
<file path=[Content_Types].xml><?xml version="1.0" encoding="utf-8"?>
<Types xmlns="http://schemas.openxmlformats.org/package/2006/content-types">
  <Default Extension="bin" ContentType="application/vnd.openxmlformats-officedocument.spreadsheetml.printerSetting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6130"/>
  <workbookPr autoCompressPictures="0" defaultThemeVersion="166925"/>
  <mc:AlternateContent xmlns:mc="http://schemas.openxmlformats.org/markup-compatibility/2006">
    <mc:Choice Requires="x15">
      <x15ac:absPath xmlns:x15ac="http://schemas.microsoft.com/office/spreadsheetml/2010/11/ac" url="W:\SciFac\AG\Projects\PhD students\Maureen Ondayo\Environmental paper submission\Files to submit\Resubmission\"/>
    </mc:Choice>
  </mc:AlternateContent>
  <xr:revisionPtr revIDLastSave="0" documentId="8_{D2AE58C1-B6DE-45D0-969C-25B3B3F5A2CD}" xr6:coauthVersionLast="47" xr6:coauthVersionMax="47" xr10:uidLastSave="{00000000-0000-0000-0000-000000000000}"/>
  <bookViews>
    <workbookView xWindow="2445" yWindow="690" windowWidth="16920" windowHeight="15600" activeTab="1" xr2:uid="{00000000-000D-0000-FFFF-FFFF00000000}"/>
  </bookViews>
  <sheets>
    <sheet name="Title Page" sheetId="1" r:id="rId1"/>
    <sheet name="Supp. Table_1a" sheetId="2" r:id="rId2"/>
    <sheet name="Supp. Table_1b" sheetId="21" r:id="rId3"/>
    <sheet name="Supp. Table_1c" sheetId="24" r:id="rId4"/>
    <sheet name="Supp. Table_2" sheetId="13" r:id="rId5"/>
    <sheet name="Supp. Table_3" sheetId="4" r:id="rId6"/>
    <sheet name="Supp. Table_4" sheetId="14" r:id="rId7"/>
    <sheet name="Supp. Table 5" sheetId="8" r:id="rId8"/>
    <sheet name="Supp. Table_6" sheetId="11" r:id="rId9"/>
    <sheet name="Supp. Table _7" sheetId="10" r:id="rId10"/>
    <sheet name="Supp. Table_8" sheetId="15" r:id="rId11"/>
    <sheet name="Supp. Table 9" sheetId="16" r:id="rId12"/>
    <sheet name="Supl. Table_10" sheetId="17" r:id="rId13"/>
    <sheet name="Supp. Table_11" sheetId="19" r:id="rId14"/>
    <sheet name="Supplementary Table 12" sheetId="23" r:id="rId15"/>
  </sheets>
  <externalReferences>
    <externalReference r:id="rId16"/>
  </externalReferences>
  <definedNames>
    <definedName name="_Ani1" localSheetId="7">'Supp. Table 5'!$AM$4:$AM$90</definedName>
    <definedName name="_Ani1">#REF!</definedName>
    <definedName name="_Ani2" localSheetId="7">'Supp. Table 5'!$AN$4:$AN$90</definedName>
    <definedName name="_Ani2">#REF!</definedName>
    <definedName name="_Cat1" localSheetId="7">'Supp. Table 5'!$AK$4:$AK$90</definedName>
    <definedName name="_Cat1">#REF!</definedName>
    <definedName name="_Cat2" localSheetId="7">'Supp. Table 5'!$AL$4:$AL$90</definedName>
    <definedName name="_Cat2">#REF!</definedName>
    <definedName name="_Cat3" localSheetId="7">'Supp. Table 5'!#REF!</definedName>
    <definedName name="_Cat3">#REF!</definedName>
    <definedName name="_xlnm._FilterDatabase" localSheetId="7" hidden="1">'Supp. Table 5'!$A$2:$DR$46</definedName>
    <definedName name="_HCO3" localSheetId="7">'Supp. Table 5'!$AF$4:$AF$90</definedName>
    <definedName name="_HCO3">#REF!</definedName>
    <definedName name="_HPO4" localSheetId="7">'Supp. Table 5'!$AY$4:$AY$90</definedName>
    <definedName name="_HPO4">#REF!</definedName>
    <definedName name="_NH4" localSheetId="7">'Supp. Table 5'!$BM$4:$BM$90</definedName>
    <definedName name="_NH4">#REF!</definedName>
    <definedName name="_NO2" localSheetId="7">'Supp. Table 5'!$AX$4:$AX$90</definedName>
    <definedName name="_NO2">#REF!</definedName>
    <definedName name="_NO3" localSheetId="7">'Supp. Table 5'!$AJ$4:$AJ$90</definedName>
    <definedName name="_NO3">#REF!</definedName>
    <definedName name="_SO4" localSheetId="7">'Supp. Table 5'!$AI$4:$AI$90</definedName>
    <definedName name="_SO4">#REF!</definedName>
    <definedName name="Al" localSheetId="7">'Supp. Table 5'!#REF!</definedName>
    <definedName name="Al">#REF!</definedName>
    <definedName name="Am">[1]Constants!$F$23</definedName>
    <definedName name="Anion_Total" localSheetId="7">'Supp. Table 5'!$AR$4:$AR$90</definedName>
    <definedName name="Anion_Total">#REF!</definedName>
    <definedName name="Ba" localSheetId="7">'Supp. Table 5'!$BP$4:$BP$90</definedName>
    <definedName name="Ba">#REF!</definedName>
    <definedName name="Br" localSheetId="7">'Supp. Table 5'!$AW$4:$AW$90</definedName>
    <definedName name="Br">#REF!</definedName>
    <definedName name="Ca" localSheetId="7">'Supp. Table 5'!$AB$4:$AB$90</definedName>
    <definedName name="Ca">#REF!</definedName>
    <definedName name="Cation_Total" localSheetId="7">'Supp. Table 5'!$AQ$4:$AQ$90</definedName>
    <definedName name="Cation_Total">#REF!</definedName>
    <definedName name="Cd" localSheetId="7">'Supp. Table 5'!$CC$4:$CC$90</definedName>
    <definedName name="Cd">#REF!</definedName>
    <definedName name="Cl" localSheetId="7">'Supp. Table 5'!$AH$4:$AH$90</definedName>
    <definedName name="Cl">#REF!</definedName>
    <definedName name="Co" localSheetId="7">'Supp. Table 5'!$BW$4:$BW$90</definedName>
    <definedName name="Co">#REF!</definedName>
    <definedName name="CO3." localSheetId="7">'Supp. Table 5'!#REF!</definedName>
    <definedName name="CO3.">#REF!</definedName>
    <definedName name="Cu" localSheetId="7">'Supp. Table 5'!$BY$4:$BY$90</definedName>
    <definedName name="Cu">#REF!</definedName>
    <definedName name="D">[1]Constants!$F$26</definedName>
    <definedName name="_xlnm.Database" localSheetId="7">#REF!</definedName>
    <definedName name="_xlnm.Database">#REF!</definedName>
    <definedName name="E">[1]Constants!$F$25</definedName>
    <definedName name="F" localSheetId="7">'Supp. Table 5'!$AZ$4:$AZ$90</definedName>
    <definedName name="F">#REF!</definedName>
    <definedName name="Field_Eh_uc" localSheetId="7">'Supp. Table 5'!$E$2:$E$90</definedName>
    <definedName name="Field_Eh_uc">#REF!</definedName>
    <definedName name="Field_HCO3" localSheetId="7">'Supp. Table 5'!$J$4:$J$90</definedName>
    <definedName name="Field_HCO3">#REF!</definedName>
    <definedName name="HCO3_read" localSheetId="7">'Supp. Table 5'!$I$3:$I$90</definedName>
    <definedName name="HCO3_read">#REF!</definedName>
    <definedName name="HCO3_vol" localSheetId="7">'Supp. Table 5'!$H$3:$H$90</definedName>
    <definedName name="HCO3_vol">#REF!</definedName>
    <definedName name="K" localSheetId="7">'Supp. Table 5'!$AE$4:$AE$90</definedName>
    <definedName name="K">#REF!</definedName>
    <definedName name="Li" localSheetId="7">'Supp. Table 5'!$BV$4:$BV$90</definedName>
    <definedName name="Li">#REF!</definedName>
    <definedName name="Mg" localSheetId="7">'Supp. Table 5'!$AC$4:$AC$90</definedName>
    <definedName name="Mg">#REF!</definedName>
    <definedName name="Mn" localSheetId="7">'Supp. Table 5'!$BR$4:$BR$90</definedName>
    <definedName name="Mn">#REF!</definedName>
    <definedName name="Na" localSheetId="7">'Supp. Table 5'!$AD$4:$AD$90</definedName>
    <definedName name="Na">#REF!</definedName>
    <definedName name="OLE_LINK2" localSheetId="12">'Supl. Table_10'!$A$3</definedName>
    <definedName name="Oxidised_Fe" localSheetId="7">'Supp. Table 5'!$BU$4:$BU$90</definedName>
    <definedName name="Oxidised_Fe">#REF!</definedName>
    <definedName name="Pb" localSheetId="7">'Supp. Table 5'!$CD$4:$CD$90</definedName>
    <definedName name="Pb">#REF!</definedName>
    <definedName name="_xlnm.Print_Area" localSheetId="7">'Supp. Table 5'!$A$2:$DR$41</definedName>
    <definedName name="_xlnm.Print_Area">#N/A</definedName>
    <definedName name="_xlnm.Print_Titles" localSheetId="7">'Supp. Table 5'!$A:$B,'Supp. Table 5'!$2:$4</definedName>
    <definedName name="qelfkjfnrw" localSheetId="7">#REF!</definedName>
    <definedName name="qelfkjfnrw">#REF!</definedName>
    <definedName name="qry_Extract_W_Samples_BATCH4" localSheetId="7">#REF!</definedName>
    <definedName name="qry_Extract_W_Samples_BATCH4">#REF!</definedName>
    <definedName name="Reduced_Fe" localSheetId="7">'Supp. Table 5'!$BT$4:$BT$90</definedName>
    <definedName name="Reduced_Fe">#REF!</definedName>
    <definedName name="S2O3" localSheetId="7">'Supp. Table 5'!$BA$4:$BA$90</definedName>
    <definedName name="S2O3">#REF!</definedName>
    <definedName name="Si" localSheetId="7">'Supp. Table 5'!$BN$4:$BN$90</definedName>
    <definedName name="Si">#REF!</definedName>
    <definedName name="Sr" localSheetId="7">'Supp. Table 5'!$BQ$4:$BQ$90</definedName>
    <definedName name="Sr">#REF!</definedName>
    <definedName name="TIC" localSheetId="7">'Supp. Table 5'!$BE$4:$BE$90</definedName>
    <definedName name="TIC">#REF!</definedName>
    <definedName name="Total_Alk" localSheetId="7">'Supp. Table 5'!$AG$4:$AG$90</definedName>
    <definedName name="Total_Alk">#REF!</definedName>
    <definedName name="Total_Fe" localSheetId="7">'Supp. Table 5'!$BS$4:$BS$90</definedName>
    <definedName name="Total_Fe">#REF!</definedName>
    <definedName name="Total_S" localSheetId="7">'Supp. Table 5'!$BJ$4:$BJ$90</definedName>
    <definedName name="Total_S">#REF!</definedName>
    <definedName name="Zn" localSheetId="7">'Supp. Table 5'!$BZ$4:$BZ$90</definedName>
    <definedName name="Zn">#REF!</definedName>
  </definedNames>
  <calcPr calcId="191029"/>
  <extLst>
    <ext xmlns:x14="http://schemas.microsoft.com/office/spreadsheetml/2009/9/main" uri="{79F54976-1DA5-4618-B147-4CDE4B953A38}">
      <x14:workbookPr defaultImageDpi="330"/>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G96" i="24" l="1"/>
  <c r="AH96" i="24"/>
  <c r="AI96" i="24"/>
  <c r="AJ96" i="24"/>
  <c r="AK96" i="24"/>
  <c r="AL96" i="24"/>
  <c r="AM96" i="24"/>
  <c r="AN96" i="24"/>
  <c r="AO96" i="24"/>
  <c r="AP96" i="24"/>
  <c r="AQ96" i="24"/>
  <c r="AR96" i="24"/>
  <c r="AS96" i="24"/>
  <c r="AT96" i="24"/>
  <c r="AU96" i="24"/>
  <c r="AV96" i="24"/>
  <c r="AW96" i="24"/>
  <c r="AX96" i="24"/>
  <c r="AY96" i="24"/>
  <c r="AZ96" i="24"/>
  <c r="BA96" i="24"/>
  <c r="BB96" i="24"/>
  <c r="BC96" i="24"/>
  <c r="BD96" i="24"/>
  <c r="AG97" i="24"/>
  <c r="AH97" i="24"/>
  <c r="AI97" i="24"/>
  <c r="AJ97" i="24"/>
  <c r="AK97" i="24"/>
  <c r="AL97" i="24"/>
  <c r="AM97" i="24"/>
  <c r="AN97" i="24"/>
  <c r="AO97" i="24"/>
  <c r="AP97" i="24"/>
  <c r="AQ97" i="24"/>
  <c r="AR97" i="24"/>
  <c r="AS97" i="24"/>
  <c r="AT97" i="24"/>
  <c r="AU97" i="24"/>
  <c r="AV97" i="24"/>
  <c r="AW97" i="24"/>
  <c r="AX97" i="24"/>
  <c r="AY97" i="24"/>
  <c r="AZ97" i="24"/>
  <c r="BA97" i="24"/>
  <c r="BB97" i="24"/>
  <c r="BC97" i="24"/>
  <c r="BD97" i="24"/>
  <c r="AG98" i="24"/>
  <c r="AH98" i="24"/>
  <c r="AI98" i="24"/>
  <c r="AJ98" i="24"/>
  <c r="AK98" i="24"/>
  <c r="AL98" i="24"/>
  <c r="AM98" i="24"/>
  <c r="AN98" i="24"/>
  <c r="AO98" i="24"/>
  <c r="AP98" i="24"/>
  <c r="AQ98" i="24"/>
  <c r="AR98" i="24"/>
  <c r="AS98" i="24"/>
  <c r="AT98" i="24"/>
  <c r="AU98" i="24"/>
  <c r="AV98" i="24"/>
  <c r="AW98" i="24"/>
  <c r="AX98" i="24"/>
  <c r="AY98" i="24"/>
  <c r="AZ98" i="24"/>
  <c r="BA98" i="24"/>
  <c r="BB98" i="24"/>
  <c r="BC98" i="24"/>
  <c r="BD98" i="24"/>
  <c r="AG99" i="24"/>
  <c r="AH99" i="24"/>
  <c r="AI99" i="24"/>
  <c r="AJ99" i="24"/>
  <c r="AK99" i="24"/>
  <c r="AL99" i="24"/>
  <c r="AM99" i="24"/>
  <c r="AN99" i="24"/>
  <c r="AO99" i="24"/>
  <c r="AP99" i="24"/>
  <c r="AQ99" i="24"/>
  <c r="AR99" i="24"/>
  <c r="AS99" i="24"/>
  <c r="AT99" i="24"/>
  <c r="AU99" i="24"/>
  <c r="AV99" i="24"/>
  <c r="AW99" i="24"/>
  <c r="AX99" i="24"/>
  <c r="AY99" i="24"/>
  <c r="AZ99" i="24"/>
  <c r="BA99" i="24"/>
  <c r="BB99" i="24"/>
  <c r="BC99" i="24"/>
  <c r="BD99" i="24"/>
  <c r="AG100" i="24"/>
  <c r="AH100" i="24"/>
  <c r="AI100" i="24"/>
  <c r="AJ100" i="24"/>
  <c r="AK100" i="24"/>
  <c r="AL100" i="24"/>
  <c r="AM100" i="24"/>
  <c r="AN100" i="24"/>
  <c r="AO100" i="24"/>
  <c r="AP100" i="24"/>
  <c r="AQ100" i="24"/>
  <c r="AR100" i="24"/>
  <c r="AS100" i="24"/>
  <c r="AT100" i="24"/>
  <c r="AU100" i="24"/>
  <c r="AV100" i="24"/>
  <c r="AW100" i="24"/>
  <c r="AX100" i="24"/>
  <c r="AY100" i="24"/>
  <c r="AZ100" i="24"/>
  <c r="BA100" i="24"/>
  <c r="BB100" i="24"/>
  <c r="BC100" i="24"/>
  <c r="BD100" i="24"/>
  <c r="AG101" i="24"/>
  <c r="AH101" i="24"/>
  <c r="AI101" i="24"/>
  <c r="AJ101" i="24"/>
  <c r="AK101" i="24"/>
  <c r="AL101" i="24"/>
  <c r="AM101" i="24"/>
  <c r="AN101" i="24"/>
  <c r="AO101" i="24"/>
  <c r="AP101" i="24"/>
  <c r="AQ101" i="24"/>
  <c r="AR101" i="24"/>
  <c r="AS101" i="24"/>
  <c r="AT101" i="24"/>
  <c r="AU101" i="24"/>
  <c r="AV101" i="24"/>
  <c r="AW101" i="24"/>
  <c r="AX101" i="24"/>
  <c r="AY101" i="24"/>
  <c r="AZ101" i="24"/>
  <c r="BA101" i="24"/>
  <c r="BB101" i="24"/>
  <c r="BC101" i="24"/>
  <c r="BD101" i="24"/>
  <c r="AG102" i="24"/>
  <c r="AH102" i="24"/>
  <c r="AI102" i="24"/>
  <c r="AJ102" i="24"/>
  <c r="AK102" i="24"/>
  <c r="AL102" i="24"/>
  <c r="AM102" i="24"/>
  <c r="AN102" i="24"/>
  <c r="AO102" i="24"/>
  <c r="AP102" i="24"/>
  <c r="AQ102" i="24"/>
  <c r="AR102" i="24"/>
  <c r="AS102" i="24"/>
  <c r="AT102" i="24"/>
  <c r="AU102" i="24"/>
  <c r="AV102" i="24"/>
  <c r="AW102" i="24"/>
  <c r="AX102" i="24"/>
  <c r="AY102" i="24"/>
  <c r="AZ102" i="24"/>
  <c r="BA102" i="24"/>
  <c r="BB102" i="24"/>
  <c r="BC102" i="24"/>
  <c r="BD102" i="24"/>
  <c r="AG95" i="24"/>
  <c r="AH95" i="24"/>
  <c r="AI95" i="24"/>
  <c r="AJ95" i="24"/>
  <c r="AK95" i="24"/>
  <c r="AL95" i="24"/>
  <c r="AM95" i="24"/>
  <c r="AN95" i="24"/>
  <c r="AO95" i="24"/>
  <c r="AP95" i="24"/>
  <c r="AQ95" i="24"/>
  <c r="AR95" i="24"/>
  <c r="AS95" i="24"/>
  <c r="AT95" i="24"/>
  <c r="AU95" i="24"/>
  <c r="AV95" i="24"/>
  <c r="AW95" i="24"/>
  <c r="AX95" i="24"/>
  <c r="AY95" i="24"/>
  <c r="AZ95" i="24"/>
  <c r="BA95" i="24"/>
  <c r="BB95" i="24"/>
  <c r="BC95" i="24"/>
  <c r="BD95" i="24"/>
  <c r="BB134" i="24"/>
  <c r="BC134" i="24"/>
  <c r="AS128" i="24"/>
  <c r="AG135" i="24"/>
  <c r="AH135" i="24"/>
  <c r="AI135" i="24"/>
  <c r="AJ135" i="24"/>
  <c r="AK135" i="24"/>
  <c r="AL135" i="24"/>
  <c r="AM135" i="24"/>
  <c r="AN135" i="24"/>
  <c r="AO135" i="24"/>
  <c r="AP135" i="24"/>
  <c r="AQ135" i="24"/>
  <c r="AR135" i="24"/>
  <c r="AS135" i="24"/>
  <c r="AT135" i="24"/>
  <c r="AU135" i="24"/>
  <c r="AV135" i="24"/>
  <c r="AW135" i="24"/>
  <c r="AX135" i="24"/>
  <c r="AY135" i="24"/>
  <c r="AZ135" i="24"/>
  <c r="BA135" i="24"/>
  <c r="BB135" i="24"/>
  <c r="BC135" i="24"/>
  <c r="BD135" i="24"/>
  <c r="AG134" i="24"/>
  <c r="AH134" i="24"/>
  <c r="AI134" i="24"/>
  <c r="AJ134" i="24"/>
  <c r="AK134" i="24"/>
  <c r="AL134" i="24"/>
  <c r="AM134" i="24"/>
  <c r="AN134" i="24"/>
  <c r="AO134" i="24"/>
  <c r="AP134" i="24"/>
  <c r="AQ134" i="24"/>
  <c r="AR134" i="24"/>
  <c r="AS134" i="24"/>
  <c r="AT134" i="24"/>
  <c r="AU134" i="24"/>
  <c r="AV134" i="24"/>
  <c r="AW134" i="24"/>
  <c r="AX134" i="24"/>
  <c r="AY134" i="24"/>
  <c r="AZ134" i="24"/>
  <c r="BA134" i="24"/>
  <c r="BD134" i="24"/>
  <c r="AG133" i="24"/>
  <c r="AH133" i="24"/>
  <c r="AI133" i="24"/>
  <c r="AJ133" i="24"/>
  <c r="AK133" i="24"/>
  <c r="AL133" i="24"/>
  <c r="AM133" i="24"/>
  <c r="AN133" i="24"/>
  <c r="AO133" i="24"/>
  <c r="AP133" i="24"/>
  <c r="AQ133" i="24"/>
  <c r="AR133" i="24"/>
  <c r="AS133" i="24"/>
  <c r="AT133" i="24"/>
  <c r="AU133" i="24"/>
  <c r="AV133" i="24"/>
  <c r="AW133" i="24"/>
  <c r="AX133" i="24"/>
  <c r="AY133" i="24"/>
  <c r="AZ133" i="24"/>
  <c r="BA133" i="24"/>
  <c r="BB133" i="24"/>
  <c r="BC133" i="24"/>
  <c r="BD133" i="24"/>
  <c r="AG132" i="24"/>
  <c r="AH132" i="24"/>
  <c r="AI132" i="24"/>
  <c r="AJ132" i="24"/>
  <c r="AK132" i="24"/>
  <c r="AL132" i="24"/>
  <c r="AM132" i="24"/>
  <c r="AN132" i="24"/>
  <c r="AO132" i="24"/>
  <c r="AP132" i="24"/>
  <c r="AQ132" i="24"/>
  <c r="AR132" i="24"/>
  <c r="AS132" i="24"/>
  <c r="AT132" i="24"/>
  <c r="AU132" i="24"/>
  <c r="AV132" i="24"/>
  <c r="AW132" i="24"/>
  <c r="AX132" i="24"/>
  <c r="AY132" i="24"/>
  <c r="AZ132" i="24"/>
  <c r="BA132" i="24"/>
  <c r="BB132" i="24"/>
  <c r="BC132" i="24"/>
  <c r="BD132" i="24"/>
  <c r="AG131" i="24"/>
  <c r="AH131" i="24"/>
  <c r="AI131" i="24"/>
  <c r="AJ131" i="24"/>
  <c r="AK131" i="24"/>
  <c r="AL131" i="24"/>
  <c r="AM131" i="24"/>
  <c r="AN131" i="24"/>
  <c r="AO131" i="24"/>
  <c r="AP131" i="24"/>
  <c r="AQ131" i="24"/>
  <c r="AR131" i="24"/>
  <c r="AS131" i="24"/>
  <c r="AT131" i="24"/>
  <c r="AU131" i="24"/>
  <c r="AV131" i="24"/>
  <c r="AW131" i="24"/>
  <c r="AX131" i="24"/>
  <c r="AY131" i="24"/>
  <c r="AZ131" i="24"/>
  <c r="BA131" i="24"/>
  <c r="BB131" i="24"/>
  <c r="BC131" i="24"/>
  <c r="BD131" i="24"/>
  <c r="AG130" i="24"/>
  <c r="AH130" i="24"/>
  <c r="AI130" i="24"/>
  <c r="AJ130" i="24"/>
  <c r="AK130" i="24"/>
  <c r="AL130" i="24"/>
  <c r="AM130" i="24"/>
  <c r="AN130" i="24"/>
  <c r="AO130" i="24"/>
  <c r="AP130" i="24"/>
  <c r="AQ130" i="24"/>
  <c r="AR130" i="24"/>
  <c r="AS130" i="24"/>
  <c r="AT130" i="24"/>
  <c r="AU130" i="24"/>
  <c r="AV130" i="24"/>
  <c r="AW130" i="24"/>
  <c r="AX130" i="24"/>
  <c r="AY130" i="24"/>
  <c r="AZ130" i="24"/>
  <c r="BA130" i="24"/>
  <c r="BB130" i="24"/>
  <c r="BC130" i="24"/>
  <c r="BD130" i="24"/>
  <c r="AG129" i="24"/>
  <c r="AH129" i="24"/>
  <c r="AI129" i="24"/>
  <c r="AJ129" i="24"/>
  <c r="AK129" i="24"/>
  <c r="AL129" i="24"/>
  <c r="AM129" i="24"/>
  <c r="AN129" i="24"/>
  <c r="AO129" i="24"/>
  <c r="AP129" i="24"/>
  <c r="AQ129" i="24"/>
  <c r="AR129" i="24"/>
  <c r="AS129" i="24"/>
  <c r="AT129" i="24"/>
  <c r="AU129" i="24"/>
  <c r="AV129" i="24"/>
  <c r="AW129" i="24"/>
  <c r="AX129" i="24"/>
  <c r="AY129" i="24"/>
  <c r="AZ129" i="24"/>
  <c r="BA129" i="24"/>
  <c r="BB129" i="24"/>
  <c r="BC129" i="24"/>
  <c r="BD129" i="24"/>
  <c r="AG128" i="24"/>
  <c r="AH128" i="24"/>
  <c r="AI128" i="24"/>
  <c r="AJ128" i="24"/>
  <c r="AK128" i="24"/>
  <c r="AL128" i="24"/>
  <c r="AM128" i="24"/>
  <c r="AN128" i="24"/>
  <c r="AO128" i="24"/>
  <c r="AP128" i="24"/>
  <c r="AQ128" i="24"/>
  <c r="AR128" i="24"/>
  <c r="AT128" i="24"/>
  <c r="AU128" i="24"/>
  <c r="AV128" i="24"/>
  <c r="AW128" i="24"/>
  <c r="AX128" i="24"/>
  <c r="AY128" i="24"/>
  <c r="AZ128" i="24"/>
  <c r="BA128" i="24"/>
  <c r="BB128" i="24"/>
  <c r="BC128" i="24"/>
  <c r="BD128" i="24"/>
  <c r="AD127" i="24"/>
  <c r="AE127" i="24" s="1"/>
  <c r="BJ127" i="24" s="1"/>
  <c r="AB127" i="24"/>
  <c r="AC127" i="24" s="1"/>
  <c r="BG127" i="24" s="1"/>
  <c r="Z127" i="24"/>
  <c r="AA127" i="24" s="1"/>
  <c r="BH127" i="24" s="1"/>
  <c r="X127" i="24"/>
  <c r="Y127" i="24" s="1"/>
  <c r="BI127" i="24" s="1"/>
  <c r="V127" i="24"/>
  <c r="W127" i="24" s="1"/>
  <c r="BK127" i="24" s="1"/>
  <c r="T127" i="24"/>
  <c r="U127" i="24" s="1"/>
  <c r="BF127" i="24" s="1"/>
  <c r="AD126" i="24"/>
  <c r="AE126" i="24" s="1"/>
  <c r="BJ126" i="24" s="1"/>
  <c r="AB126" i="24"/>
  <c r="AC126" i="24" s="1"/>
  <c r="BG126" i="24" s="1"/>
  <c r="Z126" i="24"/>
  <c r="AA126" i="24" s="1"/>
  <c r="BH126" i="24" s="1"/>
  <c r="X126" i="24"/>
  <c r="Y126" i="24" s="1"/>
  <c r="BI126" i="24" s="1"/>
  <c r="V126" i="24"/>
  <c r="W126" i="24" s="1"/>
  <c r="BK126" i="24" s="1"/>
  <c r="T126" i="24"/>
  <c r="U126" i="24" s="1"/>
  <c r="BF126" i="24" s="1"/>
  <c r="AD125" i="24"/>
  <c r="AE125" i="24" s="1"/>
  <c r="BJ125" i="24" s="1"/>
  <c r="AC125" i="24"/>
  <c r="BG125" i="24" s="1"/>
  <c r="AB125" i="24"/>
  <c r="Z125" i="24"/>
  <c r="AA125" i="24" s="1"/>
  <c r="BH125" i="24" s="1"/>
  <c r="X125" i="24"/>
  <c r="Y125" i="24" s="1"/>
  <c r="BI125" i="24" s="1"/>
  <c r="V125" i="24"/>
  <c r="W125" i="24" s="1"/>
  <c r="BK125" i="24" s="1"/>
  <c r="T125" i="24"/>
  <c r="U125" i="24" s="1"/>
  <c r="BF125" i="24" s="1"/>
  <c r="AD124" i="24"/>
  <c r="AE124" i="24" s="1"/>
  <c r="BJ124" i="24" s="1"/>
  <c r="AB124" i="24"/>
  <c r="AC124" i="24" s="1"/>
  <c r="BG124" i="24" s="1"/>
  <c r="Z124" i="24"/>
  <c r="AA124" i="24" s="1"/>
  <c r="BH124" i="24" s="1"/>
  <c r="X124" i="24"/>
  <c r="Y124" i="24" s="1"/>
  <c r="BI124" i="24" s="1"/>
  <c r="V124" i="24"/>
  <c r="W124" i="24" s="1"/>
  <c r="BK124" i="24" s="1"/>
  <c r="T124" i="24"/>
  <c r="U124" i="24" s="1"/>
  <c r="BF124" i="24" s="1"/>
  <c r="AD123" i="24"/>
  <c r="AE123" i="24" s="1"/>
  <c r="BJ123" i="24" s="1"/>
  <c r="AB123" i="24"/>
  <c r="AC123" i="24" s="1"/>
  <c r="BG123" i="24" s="1"/>
  <c r="Z123" i="24"/>
  <c r="AA123" i="24" s="1"/>
  <c r="BH123" i="24" s="1"/>
  <c r="X123" i="24"/>
  <c r="Y123" i="24" s="1"/>
  <c r="BI123" i="24" s="1"/>
  <c r="V123" i="24"/>
  <c r="W123" i="24" s="1"/>
  <c r="BK123" i="24" s="1"/>
  <c r="T123" i="24"/>
  <c r="U123" i="24" s="1"/>
  <c r="BF123" i="24" s="1"/>
  <c r="AD122" i="24"/>
  <c r="AE122" i="24" s="1"/>
  <c r="BJ122" i="24" s="1"/>
  <c r="AB122" i="24"/>
  <c r="AC122" i="24" s="1"/>
  <c r="BG122" i="24" s="1"/>
  <c r="Z122" i="24"/>
  <c r="AA122" i="24" s="1"/>
  <c r="BH122" i="24" s="1"/>
  <c r="X122" i="24"/>
  <c r="Y122" i="24" s="1"/>
  <c r="BI122" i="24" s="1"/>
  <c r="V122" i="24"/>
  <c r="W122" i="24" s="1"/>
  <c r="BK122" i="24" s="1"/>
  <c r="T122" i="24"/>
  <c r="U122" i="24" s="1"/>
  <c r="BF122" i="24" s="1"/>
  <c r="AD121" i="24"/>
  <c r="AE121" i="24" s="1"/>
  <c r="BJ121" i="24" s="1"/>
  <c r="AB121" i="24"/>
  <c r="AC121" i="24" s="1"/>
  <c r="BG121" i="24" s="1"/>
  <c r="Z121" i="24"/>
  <c r="AA121" i="24" s="1"/>
  <c r="BH121" i="24" s="1"/>
  <c r="X121" i="24"/>
  <c r="Y121" i="24" s="1"/>
  <c r="BI121" i="24" s="1"/>
  <c r="V121" i="24"/>
  <c r="W121" i="24" s="1"/>
  <c r="BK121" i="24" s="1"/>
  <c r="T121" i="24"/>
  <c r="U121" i="24" s="1"/>
  <c r="BF121" i="24" s="1"/>
  <c r="AD120" i="24"/>
  <c r="AE120" i="24" s="1"/>
  <c r="BJ120" i="24" s="1"/>
  <c r="AB120" i="24"/>
  <c r="AC120" i="24" s="1"/>
  <c r="BG120" i="24" s="1"/>
  <c r="Z120" i="24"/>
  <c r="AA120" i="24" s="1"/>
  <c r="BH120" i="24" s="1"/>
  <c r="X120" i="24"/>
  <c r="Y120" i="24" s="1"/>
  <c r="BI120" i="24" s="1"/>
  <c r="V120" i="24"/>
  <c r="W120" i="24" s="1"/>
  <c r="BK120" i="24" s="1"/>
  <c r="T120" i="24"/>
  <c r="U120" i="24" s="1"/>
  <c r="BF120" i="24" s="1"/>
  <c r="AD119" i="24"/>
  <c r="AE119" i="24" s="1"/>
  <c r="BJ119" i="24" s="1"/>
  <c r="AB119" i="24"/>
  <c r="AC119" i="24" s="1"/>
  <c r="BG119" i="24" s="1"/>
  <c r="Z119" i="24"/>
  <c r="AA119" i="24" s="1"/>
  <c r="BH119" i="24" s="1"/>
  <c r="X119" i="24"/>
  <c r="Y119" i="24" s="1"/>
  <c r="BI119" i="24" s="1"/>
  <c r="V119" i="24"/>
  <c r="W119" i="24" s="1"/>
  <c r="BK119" i="24" s="1"/>
  <c r="T119" i="24"/>
  <c r="U119" i="24" s="1"/>
  <c r="BF119" i="24" s="1"/>
  <c r="AD118" i="24"/>
  <c r="AE118" i="24" s="1"/>
  <c r="BJ118" i="24" s="1"/>
  <c r="AB118" i="24"/>
  <c r="AC118" i="24" s="1"/>
  <c r="BG118" i="24" s="1"/>
  <c r="Z118" i="24"/>
  <c r="AA118" i="24" s="1"/>
  <c r="BH118" i="24" s="1"/>
  <c r="X118" i="24"/>
  <c r="Y118" i="24" s="1"/>
  <c r="BI118" i="24" s="1"/>
  <c r="V118" i="24"/>
  <c r="W118" i="24" s="1"/>
  <c r="BK118" i="24" s="1"/>
  <c r="T118" i="24"/>
  <c r="U118" i="24" s="1"/>
  <c r="BF118" i="24" s="1"/>
  <c r="AD117" i="24"/>
  <c r="AE117" i="24" s="1"/>
  <c r="BJ117" i="24" s="1"/>
  <c r="AB117" i="24"/>
  <c r="AC117" i="24" s="1"/>
  <c r="BG117" i="24" s="1"/>
  <c r="Z117" i="24"/>
  <c r="AA117" i="24" s="1"/>
  <c r="BH117" i="24" s="1"/>
  <c r="X117" i="24"/>
  <c r="Y117" i="24" s="1"/>
  <c r="BI117" i="24" s="1"/>
  <c r="V117" i="24"/>
  <c r="W117" i="24" s="1"/>
  <c r="BK117" i="24" s="1"/>
  <c r="T117" i="24"/>
  <c r="U117" i="24" s="1"/>
  <c r="BF117" i="24" s="1"/>
  <c r="AD116" i="24"/>
  <c r="AE116" i="24" s="1"/>
  <c r="BJ116" i="24" s="1"/>
  <c r="AB116" i="24"/>
  <c r="AC116" i="24" s="1"/>
  <c r="BG116" i="24" s="1"/>
  <c r="Z116" i="24"/>
  <c r="AA116" i="24" s="1"/>
  <c r="BH116" i="24" s="1"/>
  <c r="X116" i="24"/>
  <c r="Y116" i="24" s="1"/>
  <c r="BI116" i="24" s="1"/>
  <c r="V116" i="24"/>
  <c r="W116" i="24" s="1"/>
  <c r="BK116" i="24" s="1"/>
  <c r="T116" i="24"/>
  <c r="U116" i="24" s="1"/>
  <c r="BF116" i="24" s="1"/>
  <c r="BG115" i="24"/>
  <c r="AD115" i="24"/>
  <c r="AE115" i="24" s="1"/>
  <c r="BJ115" i="24" s="1"/>
  <c r="AB115" i="24"/>
  <c r="AC115" i="24" s="1"/>
  <c r="Z115" i="24"/>
  <c r="AA115" i="24" s="1"/>
  <c r="BH115" i="24" s="1"/>
  <c r="X115" i="24"/>
  <c r="Y115" i="24" s="1"/>
  <c r="BI115" i="24" s="1"/>
  <c r="V115" i="24"/>
  <c r="W115" i="24" s="1"/>
  <c r="BK115" i="24" s="1"/>
  <c r="T115" i="24"/>
  <c r="U115" i="24" s="1"/>
  <c r="BF115" i="24" s="1"/>
  <c r="AD114" i="24"/>
  <c r="AE114" i="24" s="1"/>
  <c r="AB114" i="24"/>
  <c r="AC114" i="24" s="1"/>
  <c r="BG114" i="24" s="1"/>
  <c r="Z114" i="24"/>
  <c r="AA114" i="24" s="1"/>
  <c r="BH114" i="24" s="1"/>
  <c r="X114" i="24"/>
  <c r="Y114" i="24" s="1"/>
  <c r="V114" i="24"/>
  <c r="W114" i="24" s="1"/>
  <c r="BK114" i="24" s="1"/>
  <c r="T114" i="24"/>
  <c r="U114" i="24" s="1"/>
  <c r="BF114" i="24" s="1"/>
  <c r="AD113" i="24"/>
  <c r="AE113" i="24" s="1"/>
  <c r="AB113" i="24"/>
  <c r="AC113" i="24" s="1"/>
  <c r="BG113" i="24" s="1"/>
  <c r="Z113" i="24"/>
  <c r="AA113" i="24" s="1"/>
  <c r="BH113" i="24" s="1"/>
  <c r="X113" i="24"/>
  <c r="Y113" i="24" s="1"/>
  <c r="V113" i="24"/>
  <c r="W113" i="24" s="1"/>
  <c r="BK113" i="24" s="1"/>
  <c r="T113" i="24"/>
  <c r="U113" i="24" s="1"/>
  <c r="BF113" i="24" s="1"/>
  <c r="AD112" i="24"/>
  <c r="AE112" i="24" s="1"/>
  <c r="BJ112" i="24" s="1"/>
  <c r="AB112" i="24"/>
  <c r="AC112" i="24" s="1"/>
  <c r="Z112" i="24"/>
  <c r="AA112" i="24" s="1"/>
  <c r="BH112" i="24" s="1"/>
  <c r="X112" i="24"/>
  <c r="Y112" i="24" s="1"/>
  <c r="BI112" i="24" s="1"/>
  <c r="V112" i="24"/>
  <c r="W112" i="24" s="1"/>
  <c r="BK112" i="24" s="1"/>
  <c r="T112" i="24"/>
  <c r="U112" i="24" s="1"/>
  <c r="BF112" i="24" s="1"/>
  <c r="AD111" i="24"/>
  <c r="AE111" i="24" s="1"/>
  <c r="BJ111" i="24" s="1"/>
  <c r="AB111" i="24"/>
  <c r="AC111" i="24" s="1"/>
  <c r="BG111" i="24" s="1"/>
  <c r="Z111" i="24"/>
  <c r="AA111" i="24" s="1"/>
  <c r="BH111" i="24" s="1"/>
  <c r="X111" i="24"/>
  <c r="Y111" i="24" s="1"/>
  <c r="BI111" i="24" s="1"/>
  <c r="V111" i="24"/>
  <c r="W111" i="24" s="1"/>
  <c r="BK111" i="24" s="1"/>
  <c r="T111" i="24"/>
  <c r="U111" i="24" s="1"/>
  <c r="BF111" i="24" s="1"/>
  <c r="AD110" i="24"/>
  <c r="AE110" i="24" s="1"/>
  <c r="BJ110" i="24" s="1"/>
  <c r="AB110" i="24"/>
  <c r="AC110" i="24" s="1"/>
  <c r="BG110" i="24" s="1"/>
  <c r="Z110" i="24"/>
  <c r="AA110" i="24" s="1"/>
  <c r="BH110" i="24" s="1"/>
  <c r="X110" i="24"/>
  <c r="Y110" i="24" s="1"/>
  <c r="BI110" i="24" s="1"/>
  <c r="V110" i="24"/>
  <c r="W110" i="24" s="1"/>
  <c r="BK110" i="24" s="1"/>
  <c r="T110" i="24"/>
  <c r="AD109" i="24"/>
  <c r="AE109" i="24" s="1"/>
  <c r="AB109" i="24"/>
  <c r="AC109" i="24" s="1"/>
  <c r="BG109" i="24" s="1"/>
  <c r="Z109" i="24"/>
  <c r="AA109" i="24" s="1"/>
  <c r="BH109" i="24" s="1"/>
  <c r="X109" i="24"/>
  <c r="Y109" i="24" s="1"/>
  <c r="BI109" i="24" s="1"/>
  <c r="V109" i="24"/>
  <c r="W109" i="24" s="1"/>
  <c r="BK109" i="24" s="1"/>
  <c r="T109" i="24"/>
  <c r="U109" i="24" s="1"/>
  <c r="BF109" i="24" s="1"/>
  <c r="AD108" i="24"/>
  <c r="AE108" i="24" s="1"/>
  <c r="AB108" i="24"/>
  <c r="AC108" i="24" s="1"/>
  <c r="BG108" i="24" s="1"/>
  <c r="AA108" i="24"/>
  <c r="BH108" i="24" s="1"/>
  <c r="Z108" i="24"/>
  <c r="X108" i="24"/>
  <c r="Y108" i="24" s="1"/>
  <c r="BI108" i="24" s="1"/>
  <c r="V108" i="24"/>
  <c r="W108" i="24" s="1"/>
  <c r="BK108" i="24" s="1"/>
  <c r="T108" i="24"/>
  <c r="U108" i="24" s="1"/>
  <c r="BF108" i="24" s="1"/>
  <c r="AD94" i="24"/>
  <c r="AE94" i="24" s="1"/>
  <c r="BJ94" i="24" s="1"/>
  <c r="AB94" i="24"/>
  <c r="AC94" i="24" s="1"/>
  <c r="BG94" i="24" s="1"/>
  <c r="Z94" i="24"/>
  <c r="AA94" i="24" s="1"/>
  <c r="BH94" i="24" s="1"/>
  <c r="X94" i="24"/>
  <c r="Y94" i="24" s="1"/>
  <c r="BI94" i="24" s="1"/>
  <c r="V94" i="24"/>
  <c r="W94" i="24" s="1"/>
  <c r="BK94" i="24" s="1"/>
  <c r="T94" i="24"/>
  <c r="U94" i="24" s="1"/>
  <c r="BF94" i="24" s="1"/>
  <c r="AD93" i="24"/>
  <c r="AE93" i="24" s="1"/>
  <c r="BJ93" i="24" s="1"/>
  <c r="AB93" i="24"/>
  <c r="AC93" i="24" s="1"/>
  <c r="BG93" i="24" s="1"/>
  <c r="Z93" i="24"/>
  <c r="AA93" i="24" s="1"/>
  <c r="BH93" i="24" s="1"/>
  <c r="X93" i="24"/>
  <c r="Y93" i="24" s="1"/>
  <c r="BI93" i="24" s="1"/>
  <c r="V93" i="24"/>
  <c r="W93" i="24" s="1"/>
  <c r="BK93" i="24" s="1"/>
  <c r="T93" i="24"/>
  <c r="U93" i="24" s="1"/>
  <c r="BF93" i="24" s="1"/>
  <c r="AD92" i="24"/>
  <c r="AE92" i="24" s="1"/>
  <c r="BJ92" i="24" s="1"/>
  <c r="AB92" i="24"/>
  <c r="AC92" i="24" s="1"/>
  <c r="BG92" i="24" s="1"/>
  <c r="Z92" i="24"/>
  <c r="AA92" i="24" s="1"/>
  <c r="BH92" i="24" s="1"/>
  <c r="X92" i="24"/>
  <c r="Y92" i="24" s="1"/>
  <c r="BI92" i="24" s="1"/>
  <c r="V92" i="24"/>
  <c r="W92" i="24" s="1"/>
  <c r="BK92" i="24" s="1"/>
  <c r="T92" i="24"/>
  <c r="U92" i="24" s="1"/>
  <c r="BF92" i="24" s="1"/>
  <c r="AD91" i="24"/>
  <c r="AE91" i="24" s="1"/>
  <c r="BJ91" i="24" s="1"/>
  <c r="AB91" i="24"/>
  <c r="AC91" i="24" s="1"/>
  <c r="BG91" i="24" s="1"/>
  <c r="Z91" i="24"/>
  <c r="AA91" i="24" s="1"/>
  <c r="BH91" i="24" s="1"/>
  <c r="X91" i="24"/>
  <c r="Y91" i="24" s="1"/>
  <c r="BI91" i="24" s="1"/>
  <c r="V91" i="24"/>
  <c r="W91" i="24" s="1"/>
  <c r="BK91" i="24" s="1"/>
  <c r="T91" i="24"/>
  <c r="U91" i="24" s="1"/>
  <c r="BF91" i="24" s="1"/>
  <c r="AE90" i="24"/>
  <c r="BJ90" i="24" s="1"/>
  <c r="AD90" i="24"/>
  <c r="AB90" i="24"/>
  <c r="AC90" i="24" s="1"/>
  <c r="BG90" i="24" s="1"/>
  <c r="Z90" i="24"/>
  <c r="AA90" i="24" s="1"/>
  <c r="BH90" i="24" s="1"/>
  <c r="X90" i="24"/>
  <c r="Y90" i="24" s="1"/>
  <c r="BI90" i="24" s="1"/>
  <c r="V90" i="24"/>
  <c r="W90" i="24" s="1"/>
  <c r="BK90" i="24" s="1"/>
  <c r="T90" i="24"/>
  <c r="U90" i="24" s="1"/>
  <c r="BF90" i="24" s="1"/>
  <c r="AD89" i="24"/>
  <c r="AE89" i="24" s="1"/>
  <c r="BJ89" i="24" s="1"/>
  <c r="AC89" i="24"/>
  <c r="BG89" i="24" s="1"/>
  <c r="AB89" i="24"/>
  <c r="Z89" i="24"/>
  <c r="AA89" i="24" s="1"/>
  <c r="BH89" i="24" s="1"/>
  <c r="X89" i="24"/>
  <c r="Y89" i="24" s="1"/>
  <c r="BI89" i="24" s="1"/>
  <c r="V89" i="24"/>
  <c r="W89" i="24" s="1"/>
  <c r="BK89" i="24" s="1"/>
  <c r="T89" i="24"/>
  <c r="U89" i="24" s="1"/>
  <c r="BF89" i="24" s="1"/>
  <c r="AD88" i="24"/>
  <c r="AE88" i="24" s="1"/>
  <c r="BJ88" i="24" s="1"/>
  <c r="AB88" i="24"/>
  <c r="AC88" i="24" s="1"/>
  <c r="BG88" i="24" s="1"/>
  <c r="Z88" i="24"/>
  <c r="AA88" i="24" s="1"/>
  <c r="BH88" i="24" s="1"/>
  <c r="X88" i="24"/>
  <c r="Y88" i="24" s="1"/>
  <c r="BI88" i="24" s="1"/>
  <c r="V88" i="24"/>
  <c r="W88" i="24" s="1"/>
  <c r="BK88" i="24" s="1"/>
  <c r="T88" i="24"/>
  <c r="U88" i="24" s="1"/>
  <c r="BF88" i="24" s="1"/>
  <c r="AD87" i="24"/>
  <c r="AE87" i="24" s="1"/>
  <c r="BJ87" i="24" s="1"/>
  <c r="AB87" i="24"/>
  <c r="AC87" i="24" s="1"/>
  <c r="BG87" i="24" s="1"/>
  <c r="Z87" i="24"/>
  <c r="AA87" i="24" s="1"/>
  <c r="BH87" i="24" s="1"/>
  <c r="X87" i="24"/>
  <c r="Y87" i="24" s="1"/>
  <c r="BI87" i="24" s="1"/>
  <c r="V87" i="24"/>
  <c r="W87" i="24" s="1"/>
  <c r="BK87" i="24" s="1"/>
  <c r="T87" i="24"/>
  <c r="U87" i="24" s="1"/>
  <c r="BF87" i="24" s="1"/>
  <c r="AD86" i="24"/>
  <c r="AE86" i="24" s="1"/>
  <c r="BJ86" i="24" s="1"/>
  <c r="AB86" i="24"/>
  <c r="AC86" i="24" s="1"/>
  <c r="BG86" i="24" s="1"/>
  <c r="Z86" i="24"/>
  <c r="AA86" i="24" s="1"/>
  <c r="BH86" i="24" s="1"/>
  <c r="X86" i="24"/>
  <c r="Y86" i="24" s="1"/>
  <c r="BI86" i="24" s="1"/>
  <c r="V86" i="24"/>
  <c r="W86" i="24" s="1"/>
  <c r="BK86" i="24" s="1"/>
  <c r="T86" i="24"/>
  <c r="U86" i="24" s="1"/>
  <c r="BF86" i="24" s="1"/>
  <c r="AD85" i="24"/>
  <c r="AE85" i="24" s="1"/>
  <c r="BJ85" i="24" s="1"/>
  <c r="AB85" i="24"/>
  <c r="AC85" i="24" s="1"/>
  <c r="BG85" i="24" s="1"/>
  <c r="Z85" i="24"/>
  <c r="AA85" i="24" s="1"/>
  <c r="BH85" i="24" s="1"/>
  <c r="X85" i="24"/>
  <c r="Y85" i="24" s="1"/>
  <c r="BI85" i="24" s="1"/>
  <c r="V85" i="24"/>
  <c r="W85" i="24" s="1"/>
  <c r="BK85" i="24" s="1"/>
  <c r="T85" i="24"/>
  <c r="U85" i="24" s="1"/>
  <c r="BF85" i="24" s="1"/>
  <c r="AD84" i="24"/>
  <c r="AE84" i="24" s="1"/>
  <c r="BJ84" i="24" s="1"/>
  <c r="AB84" i="24"/>
  <c r="AC84" i="24" s="1"/>
  <c r="BG84" i="24" s="1"/>
  <c r="Z84" i="24"/>
  <c r="AA84" i="24" s="1"/>
  <c r="BH84" i="24" s="1"/>
  <c r="X84" i="24"/>
  <c r="Y84" i="24" s="1"/>
  <c r="BI84" i="24" s="1"/>
  <c r="V84" i="24"/>
  <c r="W84" i="24" s="1"/>
  <c r="BK84" i="24" s="1"/>
  <c r="T84" i="24"/>
  <c r="U84" i="24" s="1"/>
  <c r="BF84" i="24" s="1"/>
  <c r="AD83" i="24"/>
  <c r="AE83" i="24" s="1"/>
  <c r="BJ83" i="24" s="1"/>
  <c r="AB83" i="24"/>
  <c r="AC83" i="24" s="1"/>
  <c r="BG83" i="24" s="1"/>
  <c r="Z83" i="24"/>
  <c r="AA83" i="24" s="1"/>
  <c r="BH83" i="24" s="1"/>
  <c r="X83" i="24"/>
  <c r="Y83" i="24" s="1"/>
  <c r="BI83" i="24" s="1"/>
  <c r="V83" i="24"/>
  <c r="W83" i="24" s="1"/>
  <c r="BK83" i="24" s="1"/>
  <c r="T83" i="24"/>
  <c r="U83" i="24" s="1"/>
  <c r="BF83" i="24" s="1"/>
  <c r="AD82" i="24"/>
  <c r="AE82" i="24" s="1"/>
  <c r="BJ82" i="24" s="1"/>
  <c r="AB82" i="24"/>
  <c r="AC82" i="24" s="1"/>
  <c r="BG82" i="24" s="1"/>
  <c r="Z82" i="24"/>
  <c r="AA82" i="24" s="1"/>
  <c r="BH82" i="24" s="1"/>
  <c r="X82" i="24"/>
  <c r="Y82" i="24" s="1"/>
  <c r="BI82" i="24" s="1"/>
  <c r="V82" i="24"/>
  <c r="W82" i="24" s="1"/>
  <c r="BK82" i="24" s="1"/>
  <c r="T82" i="24"/>
  <c r="U82" i="24" s="1"/>
  <c r="BF82" i="24" s="1"/>
  <c r="AD81" i="24"/>
  <c r="AE81" i="24" s="1"/>
  <c r="BJ81" i="24" s="1"/>
  <c r="AB81" i="24"/>
  <c r="AC81" i="24" s="1"/>
  <c r="BG81" i="24" s="1"/>
  <c r="Z81" i="24"/>
  <c r="AA81" i="24" s="1"/>
  <c r="BH81" i="24" s="1"/>
  <c r="X81" i="24"/>
  <c r="Y81" i="24" s="1"/>
  <c r="V81" i="24"/>
  <c r="W81" i="24" s="1"/>
  <c r="BK81" i="24" s="1"/>
  <c r="T81" i="24"/>
  <c r="U81" i="24" s="1"/>
  <c r="BF81" i="24" s="1"/>
  <c r="AD80" i="24"/>
  <c r="AE80" i="24" s="1"/>
  <c r="BJ80" i="24" s="1"/>
  <c r="AB80" i="24"/>
  <c r="AC80" i="24" s="1"/>
  <c r="BG80" i="24" s="1"/>
  <c r="Z80" i="24"/>
  <c r="AA80" i="24" s="1"/>
  <c r="BH80" i="24" s="1"/>
  <c r="X80" i="24"/>
  <c r="Y80" i="24" s="1"/>
  <c r="V80" i="24"/>
  <c r="W80" i="24" s="1"/>
  <c r="BK80" i="24" s="1"/>
  <c r="T80" i="24"/>
  <c r="U80" i="24" s="1"/>
  <c r="BF80" i="24" s="1"/>
  <c r="AD79" i="24"/>
  <c r="AE79" i="24" s="1"/>
  <c r="BJ79" i="24" s="1"/>
  <c r="AB79" i="24"/>
  <c r="AC79" i="24" s="1"/>
  <c r="BG79" i="24" s="1"/>
  <c r="Z79" i="24"/>
  <c r="AA79" i="24" s="1"/>
  <c r="BH79" i="24" s="1"/>
  <c r="X79" i="24"/>
  <c r="Y79" i="24" s="1"/>
  <c r="BI79" i="24" s="1"/>
  <c r="V79" i="24"/>
  <c r="W79" i="24" s="1"/>
  <c r="BK79" i="24" s="1"/>
  <c r="T79" i="24"/>
  <c r="U79" i="24" s="1"/>
  <c r="BF79" i="24" s="1"/>
  <c r="AD78" i="24"/>
  <c r="AE78" i="24" s="1"/>
  <c r="BJ78" i="24" s="1"/>
  <c r="AB78" i="24"/>
  <c r="AC78" i="24" s="1"/>
  <c r="BG78" i="24" s="1"/>
  <c r="Z78" i="24"/>
  <c r="AA78" i="24" s="1"/>
  <c r="BH78" i="24" s="1"/>
  <c r="X78" i="24"/>
  <c r="Y78" i="24" s="1"/>
  <c r="BI78" i="24" s="1"/>
  <c r="V78" i="24"/>
  <c r="W78" i="24" s="1"/>
  <c r="BK78" i="24" s="1"/>
  <c r="T78" i="24"/>
  <c r="U78" i="24" s="1"/>
  <c r="BF78" i="24" s="1"/>
  <c r="AD77" i="24"/>
  <c r="AE77" i="24" s="1"/>
  <c r="BJ77" i="24" s="1"/>
  <c r="AB77" i="24"/>
  <c r="AC77" i="24" s="1"/>
  <c r="BG77" i="24" s="1"/>
  <c r="Z77" i="24"/>
  <c r="X77" i="24"/>
  <c r="Y77" i="24" s="1"/>
  <c r="BI77" i="24" s="1"/>
  <c r="V77" i="24"/>
  <c r="W77" i="24" s="1"/>
  <c r="BK77" i="24" s="1"/>
  <c r="T77" i="24"/>
  <c r="U77" i="24" s="1"/>
  <c r="BF77" i="24" s="1"/>
  <c r="AD76" i="24"/>
  <c r="AE76" i="24" s="1"/>
  <c r="BJ76" i="24" s="1"/>
  <c r="AB76" i="24"/>
  <c r="AC76" i="24" s="1"/>
  <c r="BG76" i="24" s="1"/>
  <c r="Z76" i="24"/>
  <c r="AA76" i="24" s="1"/>
  <c r="BH76" i="24" s="1"/>
  <c r="Y76" i="24"/>
  <c r="BI76" i="24" s="1"/>
  <c r="X76" i="24"/>
  <c r="V76" i="24"/>
  <c r="W76" i="24" s="1"/>
  <c r="BK76" i="24" s="1"/>
  <c r="T76" i="24"/>
  <c r="U76" i="24" s="1"/>
  <c r="BF76" i="24" s="1"/>
  <c r="AD75" i="24"/>
  <c r="AE75" i="24" s="1"/>
  <c r="BJ75" i="24" s="1"/>
  <c r="AB75" i="24"/>
  <c r="Z75" i="24"/>
  <c r="AA75" i="24" s="1"/>
  <c r="BH75" i="24" s="1"/>
  <c r="X75" i="24"/>
  <c r="Y75" i="24" s="1"/>
  <c r="BI75" i="24" s="1"/>
  <c r="V75" i="24"/>
  <c r="T75" i="24"/>
  <c r="T97" i="24" l="1"/>
  <c r="V96" i="24"/>
  <c r="AB97" i="24"/>
  <c r="T98" i="24"/>
  <c r="AD95" i="24"/>
  <c r="X97" i="24"/>
  <c r="T130" i="24"/>
  <c r="AB95" i="24"/>
  <c r="T100" i="24"/>
  <c r="AD101" i="24"/>
  <c r="X100" i="24"/>
  <c r="AB98" i="24"/>
  <c r="V97" i="24"/>
  <c r="BJ97" i="24"/>
  <c r="Z95" i="24"/>
  <c r="T101" i="24"/>
  <c r="AB101" i="24"/>
  <c r="V100" i="24"/>
  <c r="Z98" i="24"/>
  <c r="AD96" i="24"/>
  <c r="AA128" i="24"/>
  <c r="X95" i="24"/>
  <c r="T102" i="24"/>
  <c r="Z101" i="24"/>
  <c r="AD99" i="24"/>
  <c r="X98" i="24"/>
  <c r="AB96" i="24"/>
  <c r="T95" i="24"/>
  <c r="AB100" i="24"/>
  <c r="Z97" i="24"/>
  <c r="Z100" i="24"/>
  <c r="AA129" i="24"/>
  <c r="V95" i="24"/>
  <c r="AD102" i="24"/>
  <c r="X101" i="24"/>
  <c r="AB99" i="24"/>
  <c r="V98" i="24"/>
  <c r="Z96" i="24"/>
  <c r="BI98" i="24"/>
  <c r="X102" i="24"/>
  <c r="V99" i="24"/>
  <c r="AE130" i="24"/>
  <c r="T99" i="24"/>
  <c r="V102" i="24"/>
  <c r="AD98" i="24"/>
  <c r="BI101" i="24"/>
  <c r="BJ100" i="24"/>
  <c r="Z135" i="24"/>
  <c r="AB130" i="24"/>
  <c r="T96" i="24"/>
  <c r="AB102" i="24"/>
  <c r="V101" i="24"/>
  <c r="Z99" i="24"/>
  <c r="AD97" i="24"/>
  <c r="X96" i="24"/>
  <c r="BH99" i="24"/>
  <c r="BH135" i="24"/>
  <c r="Z102" i="24"/>
  <c r="AD100" i="24"/>
  <c r="X99" i="24"/>
  <c r="AE101" i="24"/>
  <c r="Y99" i="24"/>
  <c r="BH98" i="24"/>
  <c r="BI97" i="24"/>
  <c r="BJ96" i="24"/>
  <c r="BI95" i="24"/>
  <c r="AE100" i="24"/>
  <c r="Y98" i="24"/>
  <c r="BI96" i="24"/>
  <c r="BI102" i="24"/>
  <c r="BJ95" i="24"/>
  <c r="BJ102" i="24"/>
  <c r="AE99" i="24"/>
  <c r="Y97" i="24"/>
  <c r="AE97" i="24"/>
  <c r="Y95" i="24"/>
  <c r="Y102" i="24"/>
  <c r="BI100" i="24"/>
  <c r="AA100" i="24"/>
  <c r="BJ99" i="24"/>
  <c r="AE96" i="24"/>
  <c r="BJ101" i="24"/>
  <c r="Y96" i="24"/>
  <c r="Y101" i="24"/>
  <c r="BI99" i="24"/>
  <c r="BJ98" i="24"/>
  <c r="AE98" i="24"/>
  <c r="AE95" i="24"/>
  <c r="AE102" i="24"/>
  <c r="Y100" i="24"/>
  <c r="AE133" i="24"/>
  <c r="BJ109" i="24"/>
  <c r="BG112" i="24"/>
  <c r="BG132" i="24" s="1"/>
  <c r="AC131" i="24"/>
  <c r="BK131" i="24"/>
  <c r="BI134" i="24"/>
  <c r="BK134" i="24"/>
  <c r="AD132" i="24"/>
  <c r="T128" i="24"/>
  <c r="AC128" i="24"/>
  <c r="BK129" i="24"/>
  <c r="AC129" i="24"/>
  <c r="AD130" i="24"/>
  <c r="V130" i="24"/>
  <c r="AE131" i="24"/>
  <c r="W131" i="24"/>
  <c r="X132" i="24"/>
  <c r="BG133" i="24"/>
  <c r="Y133" i="24"/>
  <c r="BH134" i="24"/>
  <c r="X134" i="24"/>
  <c r="Y135" i="24"/>
  <c r="BI129" i="24"/>
  <c r="V132" i="24"/>
  <c r="BK128" i="24"/>
  <c r="AB128" i="24"/>
  <c r="T129" i="24"/>
  <c r="AB129" i="24"/>
  <c r="BK130" i="24"/>
  <c r="AC130" i="24"/>
  <c r="AD131" i="24"/>
  <c r="V131" i="24"/>
  <c r="AE132" i="24"/>
  <c r="W132" i="24"/>
  <c r="X133" i="24"/>
  <c r="AE134" i="24"/>
  <c r="W134" i="24"/>
  <c r="X135" i="24"/>
  <c r="W133" i="24"/>
  <c r="AD134" i="24"/>
  <c r="V134" i="24"/>
  <c r="AE135" i="24"/>
  <c r="W135" i="24"/>
  <c r="U110" i="24"/>
  <c r="U129" i="24" s="1"/>
  <c r="BI128" i="24"/>
  <c r="Z128" i="24"/>
  <c r="T131" i="24"/>
  <c r="BH129" i="24"/>
  <c r="Z129" i="24"/>
  <c r="BI130" i="24"/>
  <c r="AA130" i="24"/>
  <c r="AB131" i="24"/>
  <c r="BK132" i="24"/>
  <c r="AC132" i="24"/>
  <c r="AD133" i="24"/>
  <c r="V133" i="24"/>
  <c r="AC134" i="24"/>
  <c r="AD135" i="24"/>
  <c r="V135" i="24"/>
  <c r="BH128" i="24"/>
  <c r="Y128" i="24"/>
  <c r="T132" i="24"/>
  <c r="Y129" i="24"/>
  <c r="BH130" i="24"/>
  <c r="Z130" i="24"/>
  <c r="BI131" i="24"/>
  <c r="AA131" i="24"/>
  <c r="AB132" i="24"/>
  <c r="BK133" i="24"/>
  <c r="AC133" i="24"/>
  <c r="AB134" i="24"/>
  <c r="BK135" i="24"/>
  <c r="AC135" i="24"/>
  <c r="X128" i="24"/>
  <c r="T133" i="24"/>
  <c r="X129" i="24"/>
  <c r="Y130" i="24"/>
  <c r="BH131" i="24"/>
  <c r="Z131" i="24"/>
  <c r="BI132" i="24"/>
  <c r="AA132" i="24"/>
  <c r="AB133" i="24"/>
  <c r="AA134" i="24"/>
  <c r="AB135" i="24"/>
  <c r="AE128" i="24"/>
  <c r="W128" i="24"/>
  <c r="T134" i="24"/>
  <c r="AE129" i="24"/>
  <c r="W129" i="24"/>
  <c r="X130" i="24"/>
  <c r="BG131" i="24"/>
  <c r="Y131" i="24"/>
  <c r="BH132" i="24"/>
  <c r="Z132" i="24"/>
  <c r="BI133" i="24"/>
  <c r="AA133" i="24"/>
  <c r="Z134" i="24"/>
  <c r="BI135" i="24"/>
  <c r="AA135" i="24"/>
  <c r="BJ108" i="24"/>
  <c r="AD128" i="24"/>
  <c r="V128" i="24"/>
  <c r="T135" i="24"/>
  <c r="AD129" i="24"/>
  <c r="V129" i="24"/>
  <c r="W130" i="24"/>
  <c r="X131" i="24"/>
  <c r="Y132" i="24"/>
  <c r="BH133" i="24"/>
  <c r="Z133" i="24"/>
  <c r="Y134" i="24"/>
  <c r="U75" i="24"/>
  <c r="AC75" i="24"/>
  <c r="W75" i="24"/>
  <c r="AA77" i="24"/>
  <c r="BH77" i="24" s="1"/>
  <c r="BH102" i="24" s="1"/>
  <c r="DG44" i="16"/>
  <c r="DG134" i="16"/>
  <c r="DG135" i="16"/>
  <c r="DG136" i="16"/>
  <c r="DG137" i="16"/>
  <c r="DG138" i="16"/>
  <c r="DG139" i="16"/>
  <c r="DG140" i="16"/>
  <c r="DG141" i="16"/>
  <c r="DG142" i="16"/>
  <c r="DG143" i="16"/>
  <c r="DG144" i="16"/>
  <c r="DG145" i="16"/>
  <c r="DG146" i="16"/>
  <c r="DG147" i="16"/>
  <c r="DG148" i="16"/>
  <c r="DG149" i="16"/>
  <c r="DG150" i="16"/>
  <c r="DG151" i="16"/>
  <c r="DG152" i="16"/>
  <c r="DG153" i="16"/>
  <c r="DG154" i="16"/>
  <c r="DG155" i="16"/>
  <c r="DG156" i="16"/>
  <c r="DG157" i="16"/>
  <c r="DG158" i="16"/>
  <c r="DG159" i="16"/>
  <c r="DG160" i="16"/>
  <c r="DG161" i="16"/>
  <c r="DG162" i="16"/>
  <c r="DG163" i="16"/>
  <c r="DG164" i="16"/>
  <c r="DG165" i="16"/>
  <c r="DG166" i="16"/>
  <c r="DG167" i="16"/>
  <c r="DG168" i="16"/>
  <c r="DG133" i="16"/>
  <c r="DF134" i="16"/>
  <c r="DF135" i="16"/>
  <c r="DF136" i="16"/>
  <c r="DF137" i="16"/>
  <c r="DF138" i="16"/>
  <c r="DF139" i="16"/>
  <c r="DF140" i="16"/>
  <c r="DF141" i="16"/>
  <c r="DF142" i="16"/>
  <c r="DF143" i="16"/>
  <c r="DF144" i="16"/>
  <c r="DF145" i="16"/>
  <c r="DF146" i="16"/>
  <c r="DF147" i="16"/>
  <c r="DF148" i="16"/>
  <c r="DF149" i="16"/>
  <c r="DF150" i="16"/>
  <c r="DF151" i="16"/>
  <c r="DF152" i="16"/>
  <c r="DF153" i="16"/>
  <c r="DF154" i="16"/>
  <c r="DF155" i="16"/>
  <c r="DF156" i="16"/>
  <c r="DF157" i="16"/>
  <c r="DF158" i="16"/>
  <c r="DF159" i="16"/>
  <c r="DF160" i="16"/>
  <c r="DF161" i="16"/>
  <c r="DF162" i="16"/>
  <c r="DF163" i="16"/>
  <c r="DF164" i="16"/>
  <c r="DF165" i="16"/>
  <c r="DF166" i="16"/>
  <c r="DF167" i="16"/>
  <c r="DF168" i="16"/>
  <c r="DF133" i="16"/>
  <c r="DE134" i="16"/>
  <c r="DE135" i="16"/>
  <c r="DE136" i="16"/>
  <c r="DE137" i="16"/>
  <c r="DE138" i="16"/>
  <c r="DE139" i="16"/>
  <c r="DE141" i="16"/>
  <c r="DE142" i="16"/>
  <c r="DE143" i="16"/>
  <c r="DE144" i="16"/>
  <c r="DE145" i="16"/>
  <c r="DE147" i="16"/>
  <c r="DE148" i="16"/>
  <c r="DE149" i="16"/>
  <c r="DE150" i="16"/>
  <c r="DE151" i="16"/>
  <c r="DE152" i="16"/>
  <c r="DE153" i="16"/>
  <c r="DE154" i="16"/>
  <c r="DE155" i="16"/>
  <c r="DE156" i="16"/>
  <c r="DE157" i="16"/>
  <c r="DE158" i="16"/>
  <c r="DE159" i="16"/>
  <c r="DE160" i="16"/>
  <c r="DE161" i="16"/>
  <c r="DE163" i="16"/>
  <c r="DE164" i="16"/>
  <c r="DE165" i="16"/>
  <c r="DE166" i="16"/>
  <c r="DE167" i="16"/>
  <c r="DE133" i="16"/>
  <c r="DD134" i="16"/>
  <c r="DD135" i="16"/>
  <c r="DD136" i="16"/>
  <c r="DD137" i="16"/>
  <c r="DD138" i="16"/>
  <c r="DD139" i="16"/>
  <c r="DD140" i="16"/>
  <c r="DD141" i="16"/>
  <c r="DD142" i="16"/>
  <c r="DD143" i="16"/>
  <c r="DD144" i="16"/>
  <c r="DD145" i="16"/>
  <c r="DD146" i="16"/>
  <c r="DD147" i="16"/>
  <c r="DD148" i="16"/>
  <c r="DD149" i="16"/>
  <c r="DD150" i="16"/>
  <c r="DD151" i="16"/>
  <c r="DD152" i="16"/>
  <c r="DD154" i="16"/>
  <c r="DD155" i="16"/>
  <c r="DD156" i="16"/>
  <c r="DD158" i="16"/>
  <c r="DD159" i="16"/>
  <c r="DD160" i="16"/>
  <c r="DD161" i="16"/>
  <c r="DD162" i="16"/>
  <c r="DD163" i="16"/>
  <c r="DD164" i="16"/>
  <c r="DD165" i="16"/>
  <c r="DD166" i="16"/>
  <c r="DD167" i="16"/>
  <c r="DD168" i="16"/>
  <c r="DD133" i="16"/>
  <c r="DC154" i="16"/>
  <c r="DC136" i="16"/>
  <c r="DC134" i="16"/>
  <c r="DC135" i="16"/>
  <c r="DC137" i="16"/>
  <c r="DC138" i="16"/>
  <c r="DC139" i="16"/>
  <c r="DC140" i="16"/>
  <c r="DC141" i="16"/>
  <c r="DC142" i="16"/>
  <c r="DC143" i="16"/>
  <c r="DC144" i="16"/>
  <c r="DC145" i="16"/>
  <c r="DC146" i="16"/>
  <c r="DC147" i="16"/>
  <c r="DC148" i="16"/>
  <c r="DC149" i="16"/>
  <c r="DC150" i="16"/>
  <c r="DC151" i="16"/>
  <c r="DC152" i="16"/>
  <c r="DC155" i="16"/>
  <c r="DC156" i="16"/>
  <c r="DC158" i="16"/>
  <c r="DC159" i="16"/>
  <c r="DC160" i="16"/>
  <c r="DC161" i="16"/>
  <c r="DC162" i="16"/>
  <c r="DC163" i="16"/>
  <c r="DC164" i="16"/>
  <c r="DC165" i="16"/>
  <c r="DC166" i="16"/>
  <c r="DC167" i="16"/>
  <c r="DC168" i="16"/>
  <c r="DC133" i="16"/>
  <c r="DH128" i="16"/>
  <c r="DH129" i="16"/>
  <c r="DG129" i="16"/>
  <c r="DG128" i="16"/>
  <c r="DF128" i="16"/>
  <c r="DF129" i="16"/>
  <c r="DE128" i="16"/>
  <c r="DE129" i="16"/>
  <c r="DD128" i="16"/>
  <c r="DD129" i="16"/>
  <c r="DC128" i="16"/>
  <c r="DC129" i="16"/>
  <c r="DH127" i="16"/>
  <c r="DG127" i="16"/>
  <c r="DF127" i="16"/>
  <c r="DE127" i="16"/>
  <c r="DD127" i="16"/>
  <c r="DC127" i="16"/>
  <c r="DH126" i="16"/>
  <c r="DG126" i="16"/>
  <c r="DF126" i="16"/>
  <c r="DD126" i="16"/>
  <c r="DC126" i="16"/>
  <c r="DH125" i="16"/>
  <c r="DG125" i="16"/>
  <c r="DF125" i="16"/>
  <c r="DD125" i="16"/>
  <c r="DC125" i="16"/>
  <c r="DH124" i="16"/>
  <c r="DG124" i="16"/>
  <c r="DF124" i="16"/>
  <c r="DD124" i="16"/>
  <c r="DC124" i="16"/>
  <c r="DH123" i="16"/>
  <c r="DG123" i="16"/>
  <c r="DF123" i="16"/>
  <c r="DE123" i="16"/>
  <c r="DD123" i="16"/>
  <c r="DC123" i="16"/>
  <c r="DH122" i="16"/>
  <c r="DG122" i="16"/>
  <c r="DF122" i="16"/>
  <c r="DE122" i="16"/>
  <c r="DD122" i="16"/>
  <c r="DC122" i="16"/>
  <c r="DH121" i="16"/>
  <c r="DG121" i="16"/>
  <c r="DF121" i="16"/>
  <c r="DE121" i="16"/>
  <c r="DD121" i="16"/>
  <c r="DC121" i="16"/>
  <c r="DH120" i="16"/>
  <c r="DG120" i="16"/>
  <c r="DF120" i="16"/>
  <c r="DE120" i="16"/>
  <c r="DD120" i="16"/>
  <c r="DC120" i="16"/>
  <c r="DH119" i="16"/>
  <c r="DG119" i="16"/>
  <c r="DF119" i="16"/>
  <c r="DE119" i="16"/>
  <c r="DD119" i="16"/>
  <c r="DC119" i="16"/>
  <c r="DH118" i="16"/>
  <c r="DG118" i="16"/>
  <c r="DF118" i="16"/>
  <c r="DE118" i="16"/>
  <c r="DD118" i="16"/>
  <c r="DC118" i="16"/>
  <c r="DH117" i="16"/>
  <c r="DG117" i="16"/>
  <c r="DF117" i="16"/>
  <c r="DE117" i="16"/>
  <c r="DD117" i="16"/>
  <c r="DC117" i="16"/>
  <c r="DH116" i="16"/>
  <c r="DG116" i="16"/>
  <c r="DF116" i="16"/>
  <c r="DE116" i="16"/>
  <c r="DD116" i="16"/>
  <c r="DC116" i="16"/>
  <c r="DH115" i="16"/>
  <c r="DG115" i="16"/>
  <c r="DF115" i="16"/>
  <c r="DD115" i="16"/>
  <c r="DC115" i="16"/>
  <c r="DH114" i="16"/>
  <c r="DG114" i="16"/>
  <c r="DF114" i="16"/>
  <c r="DD114" i="16"/>
  <c r="DC114" i="16"/>
  <c r="DH113" i="16"/>
  <c r="DG113" i="16"/>
  <c r="DF113" i="16"/>
  <c r="DD113" i="16"/>
  <c r="DC113" i="16"/>
  <c r="DH112" i="16"/>
  <c r="DG112" i="16"/>
  <c r="DF112" i="16"/>
  <c r="DD112" i="16"/>
  <c r="DC112" i="16"/>
  <c r="DH111" i="16"/>
  <c r="DG111" i="16"/>
  <c r="DF111" i="16"/>
  <c r="DD111" i="16"/>
  <c r="DC111" i="16"/>
  <c r="DH110" i="16"/>
  <c r="DG110" i="16"/>
  <c r="DF110" i="16"/>
  <c r="DD110" i="16"/>
  <c r="DC110" i="16"/>
  <c r="DH109" i="16"/>
  <c r="DG109" i="16"/>
  <c r="DF109" i="16"/>
  <c r="DD109" i="16"/>
  <c r="DC109" i="16"/>
  <c r="DH108" i="16"/>
  <c r="DG108" i="16"/>
  <c r="DF108" i="16"/>
  <c r="DD108" i="16"/>
  <c r="DC108" i="16"/>
  <c r="DH107" i="16"/>
  <c r="DG107" i="16"/>
  <c r="DF107" i="16"/>
  <c r="DD107" i="16"/>
  <c r="DC107" i="16"/>
  <c r="DH106" i="16"/>
  <c r="DG106" i="16"/>
  <c r="DF106" i="16"/>
  <c r="DD106" i="16"/>
  <c r="DC106" i="16"/>
  <c r="DH105" i="16"/>
  <c r="DG105" i="16"/>
  <c r="DF105" i="16"/>
  <c r="DE105" i="16"/>
  <c r="DD105" i="16"/>
  <c r="DC105" i="16"/>
  <c r="DH104" i="16"/>
  <c r="DG104" i="16"/>
  <c r="DF104" i="16"/>
  <c r="DE104" i="16"/>
  <c r="DD104" i="16"/>
  <c r="DC104" i="16"/>
  <c r="DH103" i="16"/>
  <c r="DG103" i="16"/>
  <c r="DF103" i="16"/>
  <c r="DE103" i="16"/>
  <c r="DD103" i="16"/>
  <c r="DC103" i="16"/>
  <c r="DH102" i="16"/>
  <c r="DG102" i="16"/>
  <c r="DF102" i="16"/>
  <c r="DE102" i="16"/>
  <c r="DD102" i="16"/>
  <c r="DC102" i="16"/>
  <c r="DH101" i="16"/>
  <c r="DG101" i="16"/>
  <c r="DF101" i="16"/>
  <c r="DE101" i="16"/>
  <c r="DD101" i="16"/>
  <c r="DC101" i="16"/>
  <c r="DH100" i="16"/>
  <c r="DG100" i="16"/>
  <c r="DF100" i="16"/>
  <c r="DE100" i="16"/>
  <c r="DD100" i="16"/>
  <c r="DC100" i="16"/>
  <c r="DH99" i="16"/>
  <c r="DG99" i="16"/>
  <c r="DF99" i="16"/>
  <c r="DE99" i="16"/>
  <c r="DD99" i="16"/>
  <c r="DC99" i="16"/>
  <c r="DH98" i="16"/>
  <c r="DG98" i="16"/>
  <c r="DF98" i="16"/>
  <c r="DE98" i="16"/>
  <c r="DD98" i="16"/>
  <c r="DC98" i="16"/>
  <c r="DH97" i="16"/>
  <c r="DG97" i="16"/>
  <c r="DF97" i="16"/>
  <c r="DE97" i="16"/>
  <c r="DD97" i="16"/>
  <c r="DC97" i="16"/>
  <c r="DH96" i="16"/>
  <c r="DG96" i="16"/>
  <c r="DF96" i="16"/>
  <c r="DE96" i="16"/>
  <c r="DD96" i="16"/>
  <c r="DC96" i="16"/>
  <c r="DH95" i="16"/>
  <c r="DG95" i="16"/>
  <c r="DF95" i="16"/>
  <c r="DE95" i="16"/>
  <c r="DD95" i="16"/>
  <c r="DC95" i="16"/>
  <c r="DH94" i="16"/>
  <c r="DG94" i="16"/>
  <c r="DF94" i="16"/>
  <c r="DE94" i="16"/>
  <c r="DD94" i="16"/>
  <c r="DC94" i="16"/>
  <c r="DH93" i="16"/>
  <c r="DG93" i="16"/>
  <c r="DF93" i="16"/>
  <c r="DE93" i="16"/>
  <c r="DD93" i="16"/>
  <c r="DC93" i="16"/>
  <c r="DH92" i="16"/>
  <c r="DG92" i="16"/>
  <c r="DF92" i="16"/>
  <c r="DE92" i="16"/>
  <c r="DD92" i="16"/>
  <c r="DC92" i="16"/>
  <c r="DH91" i="16"/>
  <c r="DG91" i="16"/>
  <c r="DF91" i="16"/>
  <c r="DE91" i="16"/>
  <c r="DD91" i="16"/>
  <c r="DC91" i="16"/>
  <c r="DH90" i="16"/>
  <c r="DG90" i="16"/>
  <c r="DF90" i="16"/>
  <c r="DE90" i="16"/>
  <c r="DD90" i="16"/>
  <c r="DC90" i="16"/>
  <c r="DH89" i="16"/>
  <c r="DG89" i="16"/>
  <c r="DF89" i="16"/>
  <c r="DE89" i="16"/>
  <c r="DD89" i="16"/>
  <c r="DC89" i="16"/>
  <c r="DH88" i="16"/>
  <c r="DG88" i="16"/>
  <c r="DF88" i="16"/>
  <c r="DE88" i="16"/>
  <c r="DD88" i="16"/>
  <c r="DC88" i="16"/>
  <c r="DH87" i="16"/>
  <c r="DG87" i="16"/>
  <c r="DF87" i="16"/>
  <c r="DE87" i="16"/>
  <c r="DD87" i="16"/>
  <c r="DC87" i="16"/>
  <c r="DH86" i="16"/>
  <c r="DG86" i="16"/>
  <c r="DF86" i="16"/>
  <c r="DE86" i="16"/>
  <c r="DD86" i="16"/>
  <c r="DC86" i="16"/>
  <c r="DH85" i="16"/>
  <c r="DG85" i="16"/>
  <c r="DF85" i="16"/>
  <c r="DE85" i="16"/>
  <c r="DD85" i="16"/>
  <c r="DC85" i="16"/>
  <c r="DH84" i="16"/>
  <c r="DG84" i="16"/>
  <c r="DF84" i="16"/>
  <c r="DE84" i="16"/>
  <c r="DD84" i="16"/>
  <c r="DC84" i="16"/>
  <c r="DH83" i="16"/>
  <c r="DG83" i="16"/>
  <c r="DF83" i="16"/>
  <c r="DE83" i="16"/>
  <c r="DD83" i="16"/>
  <c r="DC83" i="16"/>
  <c r="DH82" i="16"/>
  <c r="DG82" i="16"/>
  <c r="DF82" i="16"/>
  <c r="DE82" i="16"/>
  <c r="DD82" i="16"/>
  <c r="DC82" i="16"/>
  <c r="DH81" i="16"/>
  <c r="DG81" i="16"/>
  <c r="DF81" i="16"/>
  <c r="DE81" i="16"/>
  <c r="DD81" i="16"/>
  <c r="DC81" i="16"/>
  <c r="DH80" i="16"/>
  <c r="DG80" i="16"/>
  <c r="DF80" i="16"/>
  <c r="DE80" i="16"/>
  <c r="DD80" i="16"/>
  <c r="DC80" i="16"/>
  <c r="DH79" i="16"/>
  <c r="DG79" i="16"/>
  <c r="DF79" i="16"/>
  <c r="DE79" i="16"/>
  <c r="DD79" i="16"/>
  <c r="DC79" i="16"/>
  <c r="DH78" i="16"/>
  <c r="DG78" i="16"/>
  <c r="DF78" i="16"/>
  <c r="DE78" i="16"/>
  <c r="DD78" i="16"/>
  <c r="DC78" i="16"/>
  <c r="DH77" i="16"/>
  <c r="DG77" i="16"/>
  <c r="DF77" i="16"/>
  <c r="DE77" i="16"/>
  <c r="DD77" i="16"/>
  <c r="DC77" i="16"/>
  <c r="DH76" i="16"/>
  <c r="DG76" i="16"/>
  <c r="DF76" i="16"/>
  <c r="DE76" i="16"/>
  <c r="DD76" i="16"/>
  <c r="DC76" i="16"/>
  <c r="DH75" i="16"/>
  <c r="DG75" i="16"/>
  <c r="DF75" i="16"/>
  <c r="DE75" i="16"/>
  <c r="DD75" i="16"/>
  <c r="DC75" i="16"/>
  <c r="DH74" i="16"/>
  <c r="DG74" i="16"/>
  <c r="DF74" i="16"/>
  <c r="DE74" i="16"/>
  <c r="DD74" i="16"/>
  <c r="DC74" i="16"/>
  <c r="DH73" i="16"/>
  <c r="DG73" i="16"/>
  <c r="DF73" i="16"/>
  <c r="DE73" i="16"/>
  <c r="DD73" i="16"/>
  <c r="DC73" i="16"/>
  <c r="DH72" i="16"/>
  <c r="DG72" i="16"/>
  <c r="DF72" i="16"/>
  <c r="DE72" i="16"/>
  <c r="DD72" i="16"/>
  <c r="DC72" i="16"/>
  <c r="DH71" i="16"/>
  <c r="DG71" i="16"/>
  <c r="DF71" i="16"/>
  <c r="DE71" i="16"/>
  <c r="DD71" i="16"/>
  <c r="DC71" i="16"/>
  <c r="DH70" i="16"/>
  <c r="DG70" i="16"/>
  <c r="DF70" i="16"/>
  <c r="DE70" i="16"/>
  <c r="DD70" i="16"/>
  <c r="DC70" i="16"/>
  <c r="DH69" i="16"/>
  <c r="DG69" i="16"/>
  <c r="DF69" i="16"/>
  <c r="DE69" i="16"/>
  <c r="DD69" i="16"/>
  <c r="DC69" i="16"/>
  <c r="DH68" i="16"/>
  <c r="DG68" i="16"/>
  <c r="DF68" i="16"/>
  <c r="DE68" i="16"/>
  <c r="DD68" i="16"/>
  <c r="DC68" i="16"/>
  <c r="DH67" i="16"/>
  <c r="DG67" i="16"/>
  <c r="DF67" i="16"/>
  <c r="DE67" i="16"/>
  <c r="DD67" i="16"/>
  <c r="DC67" i="16"/>
  <c r="DH66" i="16"/>
  <c r="DG66" i="16"/>
  <c r="DF66" i="16"/>
  <c r="DE66" i="16"/>
  <c r="DD66" i="16"/>
  <c r="DC66" i="16"/>
  <c r="DH65" i="16"/>
  <c r="DG65" i="16"/>
  <c r="DF65" i="16"/>
  <c r="DE65" i="16"/>
  <c r="DD65" i="16"/>
  <c r="DC65" i="16"/>
  <c r="DH64" i="16"/>
  <c r="DG64" i="16"/>
  <c r="DF64" i="16"/>
  <c r="DE64" i="16"/>
  <c r="DD64" i="16"/>
  <c r="DC64" i="16"/>
  <c r="DH63" i="16"/>
  <c r="DG63" i="16"/>
  <c r="DF63" i="16"/>
  <c r="DE63" i="16"/>
  <c r="DD63" i="16"/>
  <c r="DC63" i="16"/>
  <c r="DH62" i="16"/>
  <c r="DG62" i="16"/>
  <c r="DF62" i="16"/>
  <c r="DE62" i="16"/>
  <c r="DD62" i="16"/>
  <c r="DC62" i="16"/>
  <c r="DH61" i="16"/>
  <c r="DG61" i="16"/>
  <c r="DF61" i="16"/>
  <c r="DE61" i="16"/>
  <c r="DD61" i="16"/>
  <c r="DC61" i="16"/>
  <c r="DH60" i="16"/>
  <c r="DG60" i="16"/>
  <c r="DF60" i="16"/>
  <c r="DE60" i="16"/>
  <c r="DD60" i="16"/>
  <c r="DC60" i="16"/>
  <c r="DH59" i="16"/>
  <c r="DG59" i="16"/>
  <c r="DF59" i="16"/>
  <c r="DE59" i="16"/>
  <c r="DD59" i="16"/>
  <c r="DC59" i="16"/>
  <c r="DH58" i="16"/>
  <c r="DG58" i="16"/>
  <c r="DF58" i="16"/>
  <c r="DE58" i="16"/>
  <c r="DD58" i="16"/>
  <c r="DC58" i="16"/>
  <c r="DH57" i="16"/>
  <c r="DG57" i="16"/>
  <c r="DF57" i="16"/>
  <c r="DE57" i="16"/>
  <c r="DD57" i="16"/>
  <c r="DC57" i="16"/>
  <c r="DH56" i="16"/>
  <c r="DG56" i="16"/>
  <c r="DF56" i="16"/>
  <c r="DE56" i="16"/>
  <c r="DD56" i="16"/>
  <c r="DC56" i="16"/>
  <c r="DH55" i="16"/>
  <c r="DG55" i="16"/>
  <c r="DF55" i="16"/>
  <c r="DE55" i="16"/>
  <c r="DD55" i="16"/>
  <c r="DC55" i="16"/>
  <c r="DH54" i="16"/>
  <c r="DG54" i="16"/>
  <c r="DF54" i="16"/>
  <c r="DE54" i="16"/>
  <c r="DD54" i="16"/>
  <c r="DC54" i="16"/>
  <c r="DH53" i="16"/>
  <c r="DG53" i="16"/>
  <c r="DF53" i="16"/>
  <c r="DE53" i="16"/>
  <c r="DD53" i="16"/>
  <c r="DC53" i="16"/>
  <c r="DH52" i="16"/>
  <c r="DG52" i="16"/>
  <c r="DF52" i="16"/>
  <c r="DE52" i="16"/>
  <c r="DD52" i="16"/>
  <c r="DC52" i="16"/>
  <c r="DH51" i="16"/>
  <c r="DG51" i="16"/>
  <c r="DF51" i="16"/>
  <c r="DE51" i="16"/>
  <c r="DD51" i="16"/>
  <c r="DC51" i="16"/>
  <c r="DH50" i="16"/>
  <c r="DG50" i="16"/>
  <c r="DF50" i="16"/>
  <c r="DE50" i="16"/>
  <c r="DD50" i="16"/>
  <c r="DC50" i="16"/>
  <c r="DH49" i="16"/>
  <c r="DG49" i="16"/>
  <c r="DF49" i="16"/>
  <c r="DE49" i="16"/>
  <c r="DD49" i="16"/>
  <c r="DC49" i="16"/>
  <c r="DH48" i="16"/>
  <c r="DG48" i="16"/>
  <c r="DF48" i="16"/>
  <c r="DE48" i="16"/>
  <c r="DD48" i="16"/>
  <c r="DC48" i="16"/>
  <c r="DH47" i="16"/>
  <c r="DG47" i="16"/>
  <c r="DF47" i="16"/>
  <c r="DE47" i="16"/>
  <c r="DD47" i="16"/>
  <c r="DC47" i="16"/>
  <c r="DH46" i="16"/>
  <c r="DG46" i="16"/>
  <c r="DF46" i="16"/>
  <c r="DE46" i="16"/>
  <c r="DD46" i="16"/>
  <c r="DC46" i="16"/>
  <c r="DH45" i="16"/>
  <c r="DG45" i="16"/>
  <c r="DF45" i="16"/>
  <c r="DE45" i="16"/>
  <c r="DD45" i="16"/>
  <c r="DC45" i="16"/>
  <c r="DH44" i="16"/>
  <c r="DF44" i="16"/>
  <c r="DE44" i="16"/>
  <c r="DD44" i="16"/>
  <c r="DC44" i="16"/>
  <c r="DH43" i="16"/>
  <c r="DG43" i="16"/>
  <c r="DF43" i="16"/>
  <c r="DE43" i="16"/>
  <c r="DD43" i="16"/>
  <c r="DC43" i="16"/>
  <c r="DH42" i="16"/>
  <c r="DG42" i="16"/>
  <c r="DF42" i="16"/>
  <c r="DE42" i="16"/>
  <c r="DD42" i="16"/>
  <c r="DC42" i="16"/>
  <c r="DH41" i="16"/>
  <c r="DG41" i="16"/>
  <c r="DF41" i="16"/>
  <c r="DE41" i="16"/>
  <c r="DD41" i="16"/>
  <c r="DC41" i="16"/>
  <c r="DH40" i="16"/>
  <c r="DG40" i="16"/>
  <c r="DF40" i="16"/>
  <c r="DE40" i="16"/>
  <c r="DD40" i="16"/>
  <c r="DC40" i="16"/>
  <c r="DH36" i="16"/>
  <c r="DG36" i="16"/>
  <c r="DF36" i="16"/>
  <c r="DE36" i="16"/>
  <c r="DD36" i="16"/>
  <c r="DC36" i="16"/>
  <c r="DH35" i="16"/>
  <c r="DG35" i="16"/>
  <c r="DF35" i="16"/>
  <c r="DE35" i="16"/>
  <c r="DD35" i="16"/>
  <c r="DC35" i="16"/>
  <c r="DH34" i="16"/>
  <c r="DG34" i="16"/>
  <c r="DF34" i="16"/>
  <c r="DE34" i="16"/>
  <c r="DD34" i="16"/>
  <c r="DC34" i="16"/>
  <c r="DH33" i="16"/>
  <c r="DG33" i="16"/>
  <c r="DF33" i="16"/>
  <c r="DE33" i="16"/>
  <c r="DD33" i="16"/>
  <c r="DC33" i="16"/>
  <c r="DH32" i="16"/>
  <c r="DG32" i="16"/>
  <c r="DF32" i="16"/>
  <c r="DE32" i="16"/>
  <c r="DD32" i="16"/>
  <c r="DC32" i="16"/>
  <c r="DH31" i="16"/>
  <c r="DG31" i="16"/>
  <c r="DF31" i="16"/>
  <c r="DE31" i="16"/>
  <c r="DD31" i="16"/>
  <c r="DC31" i="16"/>
  <c r="DH30" i="16"/>
  <c r="DG30" i="16"/>
  <c r="DF30" i="16"/>
  <c r="DE30" i="16"/>
  <c r="DD30" i="16"/>
  <c r="DC30" i="16"/>
  <c r="DH29" i="16"/>
  <c r="DG29" i="16"/>
  <c r="DF29" i="16"/>
  <c r="DE29" i="16"/>
  <c r="DD29" i="16"/>
  <c r="DC29" i="16"/>
  <c r="DH28" i="16"/>
  <c r="DG28" i="16"/>
  <c r="DF28" i="16"/>
  <c r="DE28" i="16"/>
  <c r="DD28" i="16"/>
  <c r="DC28" i="16"/>
  <c r="DH27" i="16"/>
  <c r="DG27" i="16"/>
  <c r="DF27" i="16"/>
  <c r="DE27" i="16"/>
  <c r="DD27" i="16"/>
  <c r="DC27" i="16"/>
  <c r="DH26" i="16"/>
  <c r="DG26" i="16"/>
  <c r="DF26" i="16"/>
  <c r="DE26" i="16"/>
  <c r="DD26" i="16"/>
  <c r="DC26" i="16"/>
  <c r="DH25" i="16"/>
  <c r="DG25" i="16"/>
  <c r="DF25" i="16"/>
  <c r="DE25" i="16"/>
  <c r="DD25" i="16"/>
  <c r="DC25" i="16"/>
  <c r="DH24" i="16"/>
  <c r="DG24" i="16"/>
  <c r="DF24" i="16"/>
  <c r="DE24" i="16"/>
  <c r="DD24" i="16"/>
  <c r="DC24" i="16"/>
  <c r="DH23" i="16"/>
  <c r="DG23" i="16"/>
  <c r="DF23" i="16"/>
  <c r="DE23" i="16"/>
  <c r="DD23" i="16"/>
  <c r="DC23" i="16"/>
  <c r="DH22" i="16"/>
  <c r="DG22" i="16"/>
  <c r="DF22" i="16"/>
  <c r="DE22" i="16"/>
  <c r="DD22" i="16"/>
  <c r="DC22" i="16"/>
  <c r="DH21" i="16"/>
  <c r="DG21" i="16"/>
  <c r="DF21" i="16"/>
  <c r="DE21" i="16"/>
  <c r="DD21" i="16"/>
  <c r="DC21" i="16"/>
  <c r="DH20" i="16"/>
  <c r="DG20" i="16"/>
  <c r="DF20" i="16"/>
  <c r="DE20" i="16"/>
  <c r="DD20" i="16"/>
  <c r="DC20" i="16"/>
  <c r="DH19" i="16"/>
  <c r="DG19" i="16"/>
  <c r="DF19" i="16"/>
  <c r="DE19" i="16"/>
  <c r="DD19" i="16"/>
  <c r="DC19" i="16"/>
  <c r="DH18" i="16"/>
  <c r="DG18" i="16"/>
  <c r="DF18" i="16"/>
  <c r="DE18" i="16"/>
  <c r="DD18" i="16"/>
  <c r="DC18" i="16"/>
  <c r="DH17" i="16"/>
  <c r="DG17" i="16"/>
  <c r="DF17" i="16"/>
  <c r="DE17" i="16"/>
  <c r="DD17" i="16"/>
  <c r="DC17" i="16"/>
  <c r="DH16" i="16"/>
  <c r="DG16" i="16"/>
  <c r="DF16" i="16"/>
  <c r="DE16" i="16"/>
  <c r="DD16" i="16"/>
  <c r="DC16" i="16"/>
  <c r="DH15" i="16"/>
  <c r="DG15" i="16"/>
  <c r="DF15" i="16"/>
  <c r="DE15" i="16"/>
  <c r="DD15" i="16"/>
  <c r="DC15" i="16"/>
  <c r="DH14" i="16"/>
  <c r="DG14" i="16"/>
  <c r="DF14" i="16"/>
  <c r="DE14" i="16"/>
  <c r="DD14" i="16"/>
  <c r="DC14" i="16"/>
  <c r="DH13" i="16"/>
  <c r="DG13" i="16"/>
  <c r="DF13" i="16"/>
  <c r="DE13" i="16"/>
  <c r="DD13" i="16"/>
  <c r="DC13" i="16"/>
  <c r="DH12" i="16"/>
  <c r="DG12" i="16"/>
  <c r="DF12" i="16"/>
  <c r="DE12" i="16"/>
  <c r="DD12" i="16"/>
  <c r="DC12" i="16"/>
  <c r="DH11" i="16"/>
  <c r="DG11" i="16"/>
  <c r="DF11" i="16"/>
  <c r="DE11" i="16"/>
  <c r="DD11" i="16"/>
  <c r="DC11" i="16"/>
  <c r="DH10" i="16"/>
  <c r="DG10" i="16"/>
  <c r="DF10" i="16"/>
  <c r="DE10" i="16"/>
  <c r="DD10" i="16"/>
  <c r="DC10" i="16"/>
  <c r="DH9" i="16"/>
  <c r="DG9" i="16"/>
  <c r="DF9" i="16"/>
  <c r="DE9" i="16"/>
  <c r="DD9" i="16"/>
  <c r="DC9" i="16"/>
  <c r="DH8" i="16"/>
  <c r="DG8" i="16"/>
  <c r="DF8" i="16"/>
  <c r="DE8" i="16"/>
  <c r="DD8" i="16"/>
  <c r="DC8" i="16"/>
  <c r="DH7" i="16"/>
  <c r="DG7" i="16"/>
  <c r="DF7" i="16"/>
  <c r="DE7" i="16"/>
  <c r="DD7" i="16"/>
  <c r="DC7" i="16"/>
  <c r="DH6" i="16"/>
  <c r="DG6" i="16"/>
  <c r="DF6" i="16"/>
  <c r="DE6" i="16"/>
  <c r="DD6" i="16"/>
  <c r="DC6" i="16"/>
  <c r="AA99" i="24" l="1"/>
  <c r="U133" i="24"/>
  <c r="BG130" i="24"/>
  <c r="BG129" i="24"/>
  <c r="BG135" i="24"/>
  <c r="BH96" i="24"/>
  <c r="AA97" i="24"/>
  <c r="BH97" i="24"/>
  <c r="BH95" i="24"/>
  <c r="AA98" i="24"/>
  <c r="BH100" i="24"/>
  <c r="BH101" i="24"/>
  <c r="AA102" i="24"/>
  <c r="AA101" i="24"/>
  <c r="AA95" i="24"/>
  <c r="BG134" i="24"/>
  <c r="AA96" i="24"/>
  <c r="BF75" i="24"/>
  <c r="U96" i="24"/>
  <c r="U99" i="24"/>
  <c r="U97" i="24"/>
  <c r="U100" i="24"/>
  <c r="U98" i="24"/>
  <c r="U101" i="24"/>
  <c r="U102" i="24"/>
  <c r="U95" i="24"/>
  <c r="BK75" i="24"/>
  <c r="W102" i="24"/>
  <c r="W95" i="24"/>
  <c r="W97" i="24"/>
  <c r="W96" i="24"/>
  <c r="W99" i="24"/>
  <c r="W98" i="24"/>
  <c r="W100" i="24"/>
  <c r="W101" i="24"/>
  <c r="BG75" i="24"/>
  <c r="AC96" i="24"/>
  <c r="AC97" i="24"/>
  <c r="AC99" i="24"/>
  <c r="AC100" i="24"/>
  <c r="AC98" i="24"/>
  <c r="AC101" i="24"/>
  <c r="AC102" i="24"/>
  <c r="AC95" i="24"/>
  <c r="BF110" i="24"/>
  <c r="U131" i="24"/>
  <c r="U134" i="24"/>
  <c r="U130" i="24"/>
  <c r="U128" i="24"/>
  <c r="BG128" i="24"/>
  <c r="U132" i="24"/>
  <c r="BJ134" i="24"/>
  <c r="BJ135" i="24"/>
  <c r="BJ133" i="24"/>
  <c r="BJ132" i="24"/>
  <c r="BJ131" i="24"/>
  <c r="BJ129" i="24"/>
  <c r="BJ130" i="24"/>
  <c r="BJ128" i="24"/>
  <c r="U135" i="24"/>
  <c r="O33" i="24"/>
  <c r="P33" i="24"/>
  <c r="Q33" i="24"/>
  <c r="R33" i="24"/>
  <c r="S33" i="24"/>
  <c r="T33" i="24"/>
  <c r="U33" i="24"/>
  <c r="V33" i="24"/>
  <c r="W33" i="24"/>
  <c r="X33" i="24"/>
  <c r="Y33" i="24"/>
  <c r="Z33" i="24"/>
  <c r="AA33" i="24"/>
  <c r="AB33" i="24"/>
  <c r="AC33" i="24"/>
  <c r="AD33" i="24"/>
  <c r="AE33" i="24"/>
  <c r="AF33" i="24"/>
  <c r="AG33" i="24"/>
  <c r="AH33" i="24"/>
  <c r="AI33" i="24"/>
  <c r="AJ33" i="24"/>
  <c r="AK33" i="24"/>
  <c r="AL33" i="24"/>
  <c r="AM33" i="24"/>
  <c r="AN33" i="24"/>
  <c r="AO33" i="24"/>
  <c r="AP33" i="24"/>
  <c r="AQ33" i="24"/>
  <c r="AR33" i="24"/>
  <c r="AS33" i="24"/>
  <c r="AT33" i="24"/>
  <c r="AU33" i="24"/>
  <c r="AV33" i="24"/>
  <c r="AW33" i="24"/>
  <c r="AX33" i="24"/>
  <c r="AY33" i="24"/>
  <c r="AZ33" i="24"/>
  <c r="BA33" i="24"/>
  <c r="BB33" i="24"/>
  <c r="BC33" i="24"/>
  <c r="BD33" i="24"/>
  <c r="BE33" i="24"/>
  <c r="BF33" i="24"/>
  <c r="BG33" i="24"/>
  <c r="BH33" i="24"/>
  <c r="BI33" i="24"/>
  <c r="BJ33" i="24"/>
  <c r="BK33" i="24"/>
  <c r="BL33" i="24"/>
  <c r="BM33" i="24"/>
  <c r="BN33" i="24"/>
  <c r="BO33" i="24"/>
  <c r="BP33" i="24"/>
  <c r="BQ33" i="24"/>
  <c r="BR33" i="24"/>
  <c r="BS33" i="24"/>
  <c r="BT33" i="24"/>
  <c r="BU33" i="24"/>
  <c r="BV33" i="24"/>
  <c r="BW33" i="24"/>
  <c r="BX33" i="24"/>
  <c r="BY33" i="24"/>
  <c r="BZ33" i="24"/>
  <c r="CA33" i="24"/>
  <c r="CB33" i="24"/>
  <c r="CC33" i="24"/>
  <c r="CD33" i="24"/>
  <c r="CE33" i="24"/>
  <c r="CF33" i="24"/>
  <c r="CG33" i="24"/>
  <c r="CH33" i="24"/>
  <c r="CI33" i="24"/>
  <c r="CJ33" i="24"/>
  <c r="CK33" i="24"/>
  <c r="CL33" i="24"/>
  <c r="CM33" i="24"/>
  <c r="CN33" i="24"/>
  <c r="CO33" i="24"/>
  <c r="CP33" i="24"/>
  <c r="CQ33" i="24"/>
  <c r="CR33" i="24"/>
  <c r="CS33" i="24"/>
  <c r="CT33" i="24"/>
  <c r="CU33" i="24"/>
  <c r="CV33" i="24"/>
  <c r="CW33" i="24"/>
  <c r="O32" i="24"/>
  <c r="P32" i="24"/>
  <c r="Q32" i="24"/>
  <c r="R32" i="24"/>
  <c r="S32" i="24"/>
  <c r="T32" i="24"/>
  <c r="U32" i="24"/>
  <c r="V32" i="24"/>
  <c r="W32" i="24"/>
  <c r="X32" i="24"/>
  <c r="Y32" i="24"/>
  <c r="Z32" i="24"/>
  <c r="AA32" i="24"/>
  <c r="AB32" i="24"/>
  <c r="AC32" i="24"/>
  <c r="AD32" i="24"/>
  <c r="AE32" i="24"/>
  <c r="AF32" i="24"/>
  <c r="AG32" i="24"/>
  <c r="AH32" i="24"/>
  <c r="AI32" i="24"/>
  <c r="AJ32" i="24"/>
  <c r="AK32" i="24"/>
  <c r="AL32" i="24"/>
  <c r="AM32" i="24"/>
  <c r="AN32" i="24"/>
  <c r="AO32" i="24"/>
  <c r="AP32" i="24"/>
  <c r="AQ32" i="24"/>
  <c r="AR32" i="24"/>
  <c r="AS32" i="24"/>
  <c r="AT32" i="24"/>
  <c r="AU32" i="24"/>
  <c r="AW32" i="24"/>
  <c r="AX32" i="24"/>
  <c r="AY32" i="24"/>
  <c r="AZ32" i="24"/>
  <c r="BA32" i="24"/>
  <c r="BB32" i="24"/>
  <c r="BC32" i="24"/>
  <c r="BD32" i="24"/>
  <c r="BE32" i="24"/>
  <c r="BF32" i="24"/>
  <c r="BG32" i="24"/>
  <c r="BH32" i="24"/>
  <c r="BI32" i="24"/>
  <c r="BJ32" i="24"/>
  <c r="BK32" i="24"/>
  <c r="BL32" i="24"/>
  <c r="BM32" i="24"/>
  <c r="BN32" i="24"/>
  <c r="BO32" i="24"/>
  <c r="BP32" i="24"/>
  <c r="BQ32" i="24"/>
  <c r="BR32" i="24"/>
  <c r="BS32" i="24"/>
  <c r="BT32" i="24"/>
  <c r="BU32" i="24"/>
  <c r="BV32" i="24"/>
  <c r="BW32" i="24"/>
  <c r="BX32" i="24"/>
  <c r="BY32" i="24"/>
  <c r="BZ32" i="24"/>
  <c r="CA32" i="24"/>
  <c r="CB32" i="24"/>
  <c r="CC32" i="24"/>
  <c r="CD32" i="24"/>
  <c r="CE32" i="24"/>
  <c r="CF32" i="24"/>
  <c r="CG32" i="24"/>
  <c r="CH32" i="24"/>
  <c r="CI32" i="24"/>
  <c r="CJ32" i="24"/>
  <c r="CK32" i="24"/>
  <c r="CL32" i="24"/>
  <c r="CM32" i="24"/>
  <c r="CN32" i="24"/>
  <c r="CO32" i="24"/>
  <c r="CP32" i="24"/>
  <c r="CQ32" i="24"/>
  <c r="CR32" i="24"/>
  <c r="CS32" i="24"/>
  <c r="CT32" i="24"/>
  <c r="CU32" i="24"/>
  <c r="CV32" i="24"/>
  <c r="CW32" i="24"/>
  <c r="O31" i="24"/>
  <c r="P31" i="24"/>
  <c r="Q31" i="24"/>
  <c r="R31" i="24"/>
  <c r="S31" i="24"/>
  <c r="T31" i="24"/>
  <c r="U31" i="24"/>
  <c r="V31" i="24"/>
  <c r="W31" i="24"/>
  <c r="X31" i="24"/>
  <c r="Y31" i="24"/>
  <c r="Z31" i="24"/>
  <c r="AA31" i="24"/>
  <c r="AB31" i="24"/>
  <c r="AC31" i="24"/>
  <c r="AD31" i="24"/>
  <c r="AE31" i="24"/>
  <c r="AF31" i="24"/>
  <c r="AG31" i="24"/>
  <c r="AH31" i="24"/>
  <c r="AI31" i="24"/>
  <c r="AJ31" i="24"/>
  <c r="AK31" i="24"/>
  <c r="AL31" i="24"/>
  <c r="AM31" i="24"/>
  <c r="AN31" i="24"/>
  <c r="AO31" i="24"/>
  <c r="AP31" i="24"/>
  <c r="AQ31" i="24"/>
  <c r="AR31" i="24"/>
  <c r="AS31" i="24"/>
  <c r="AT31" i="24"/>
  <c r="AU31" i="24"/>
  <c r="AV31" i="24"/>
  <c r="AW31" i="24"/>
  <c r="AX31" i="24"/>
  <c r="AY31" i="24"/>
  <c r="AZ31" i="24"/>
  <c r="BA31" i="24"/>
  <c r="BB31" i="24"/>
  <c r="BC31" i="24"/>
  <c r="BD31" i="24"/>
  <c r="BE31" i="24"/>
  <c r="BF31" i="24"/>
  <c r="BG31" i="24"/>
  <c r="BH31" i="24"/>
  <c r="BI31" i="24"/>
  <c r="BJ31" i="24"/>
  <c r="BK31" i="24"/>
  <c r="BL31" i="24"/>
  <c r="BM31" i="24"/>
  <c r="BN31" i="24"/>
  <c r="BO31" i="24"/>
  <c r="BP31" i="24"/>
  <c r="BQ31" i="24"/>
  <c r="BR31" i="24"/>
  <c r="BS31" i="24"/>
  <c r="BT31" i="24"/>
  <c r="BU31" i="24"/>
  <c r="BV31" i="24"/>
  <c r="BW31" i="24"/>
  <c r="BX31" i="24"/>
  <c r="BY31" i="24"/>
  <c r="BZ31" i="24"/>
  <c r="CA31" i="24"/>
  <c r="CB31" i="24"/>
  <c r="CC31" i="24"/>
  <c r="CD31" i="24"/>
  <c r="CE31" i="24"/>
  <c r="CF31" i="24"/>
  <c r="CG31" i="24"/>
  <c r="CH31" i="24"/>
  <c r="CI31" i="24"/>
  <c r="CJ31" i="24"/>
  <c r="CK31" i="24"/>
  <c r="CL31" i="24"/>
  <c r="CM31" i="24"/>
  <c r="CN31" i="24"/>
  <c r="CO31" i="24"/>
  <c r="CP31" i="24"/>
  <c r="CQ31" i="24"/>
  <c r="CR31" i="24"/>
  <c r="CS31" i="24"/>
  <c r="CT31" i="24"/>
  <c r="CU31" i="24"/>
  <c r="CV31" i="24"/>
  <c r="CW31" i="24"/>
  <c r="O30" i="24"/>
  <c r="P30" i="24"/>
  <c r="Q30" i="24"/>
  <c r="R30" i="24"/>
  <c r="S30" i="24"/>
  <c r="T30" i="24"/>
  <c r="U30" i="24"/>
  <c r="V30" i="24"/>
  <c r="W30" i="24"/>
  <c r="X30" i="24"/>
  <c r="Y30" i="24"/>
  <c r="Z30" i="24"/>
  <c r="AA30" i="24"/>
  <c r="AB30" i="24"/>
  <c r="AC30" i="24"/>
  <c r="AD30" i="24"/>
  <c r="AE30" i="24"/>
  <c r="AF30" i="24"/>
  <c r="AG30" i="24"/>
  <c r="AH30" i="24"/>
  <c r="AI30" i="24"/>
  <c r="AJ30" i="24"/>
  <c r="AK30" i="24"/>
  <c r="AL30" i="24"/>
  <c r="AM30" i="24"/>
  <c r="AN30" i="24"/>
  <c r="AO30" i="24"/>
  <c r="AP30" i="24"/>
  <c r="AQ30" i="24"/>
  <c r="AR30" i="24"/>
  <c r="AS30" i="24"/>
  <c r="AT30" i="24"/>
  <c r="AU30" i="24"/>
  <c r="AV30" i="24"/>
  <c r="AW30" i="24"/>
  <c r="AX30" i="24"/>
  <c r="AY30" i="24"/>
  <c r="AZ30" i="24"/>
  <c r="BA30" i="24"/>
  <c r="BB30" i="24"/>
  <c r="BC30" i="24"/>
  <c r="BD30" i="24"/>
  <c r="BE30" i="24"/>
  <c r="BF30" i="24"/>
  <c r="BG30" i="24"/>
  <c r="BH30" i="24"/>
  <c r="BI30" i="24"/>
  <c r="BJ30" i="24"/>
  <c r="BK30" i="24"/>
  <c r="BL30" i="24"/>
  <c r="BM30" i="24"/>
  <c r="BN30" i="24"/>
  <c r="BO30" i="24"/>
  <c r="BP30" i="24"/>
  <c r="BQ30" i="24"/>
  <c r="BR30" i="24"/>
  <c r="BS30" i="24"/>
  <c r="BT30" i="24"/>
  <c r="BU30" i="24"/>
  <c r="BV30" i="24"/>
  <c r="BW30" i="24"/>
  <c r="BX30" i="24"/>
  <c r="BY30" i="24"/>
  <c r="BZ30" i="24"/>
  <c r="CA30" i="24"/>
  <c r="CB30" i="24"/>
  <c r="CC30" i="24"/>
  <c r="CD30" i="24"/>
  <c r="CE30" i="24"/>
  <c r="CF30" i="24"/>
  <c r="CG30" i="24"/>
  <c r="CH30" i="24"/>
  <c r="CI30" i="24"/>
  <c r="CJ30" i="24"/>
  <c r="CK30" i="24"/>
  <c r="CL30" i="24"/>
  <c r="CM30" i="24"/>
  <c r="CN30" i="24"/>
  <c r="CO30" i="24"/>
  <c r="CP30" i="24"/>
  <c r="CQ30" i="24"/>
  <c r="CR30" i="24"/>
  <c r="CS30" i="24"/>
  <c r="CT30" i="24"/>
  <c r="CU30" i="24"/>
  <c r="CV30" i="24"/>
  <c r="CW30" i="24"/>
  <c r="O29" i="24"/>
  <c r="P29" i="24"/>
  <c r="Q29" i="24"/>
  <c r="R29" i="24"/>
  <c r="S29" i="24"/>
  <c r="T29" i="24"/>
  <c r="U29" i="24"/>
  <c r="V29" i="24"/>
  <c r="W29" i="24"/>
  <c r="X29" i="24"/>
  <c r="Y29" i="24"/>
  <c r="Z29" i="24"/>
  <c r="AA29" i="24"/>
  <c r="AB29" i="24"/>
  <c r="AC29" i="24"/>
  <c r="AD29" i="24"/>
  <c r="AE29" i="24"/>
  <c r="AF29" i="24"/>
  <c r="AG29" i="24"/>
  <c r="AH29" i="24"/>
  <c r="AI29" i="24"/>
  <c r="AJ29" i="24"/>
  <c r="AK29" i="24"/>
  <c r="AL29" i="24"/>
  <c r="AM29" i="24"/>
  <c r="AN29" i="24"/>
  <c r="AO29" i="24"/>
  <c r="AP29" i="24"/>
  <c r="AQ29" i="24"/>
  <c r="AR29" i="24"/>
  <c r="AS29" i="24"/>
  <c r="AT29" i="24"/>
  <c r="AU29" i="24"/>
  <c r="AV29" i="24"/>
  <c r="AW29" i="24"/>
  <c r="AX29" i="24"/>
  <c r="AY29" i="24"/>
  <c r="AZ29" i="24"/>
  <c r="BA29" i="24"/>
  <c r="BB29" i="24"/>
  <c r="BC29" i="24"/>
  <c r="BD29" i="24"/>
  <c r="BE29" i="24"/>
  <c r="BF29" i="24"/>
  <c r="BG29" i="24"/>
  <c r="BH29" i="24"/>
  <c r="BI29" i="24"/>
  <c r="BJ29" i="24"/>
  <c r="BK29" i="24"/>
  <c r="BL29" i="24"/>
  <c r="BM29" i="24"/>
  <c r="BN29" i="24"/>
  <c r="BO29" i="24"/>
  <c r="BP29" i="24"/>
  <c r="BQ29" i="24"/>
  <c r="BR29" i="24"/>
  <c r="BS29" i="24"/>
  <c r="BT29" i="24"/>
  <c r="BU29" i="24"/>
  <c r="BV29" i="24"/>
  <c r="BW29" i="24"/>
  <c r="BX29" i="24"/>
  <c r="BY29" i="24"/>
  <c r="BZ29" i="24"/>
  <c r="CA29" i="24"/>
  <c r="CB29" i="24"/>
  <c r="CC29" i="24"/>
  <c r="CD29" i="24"/>
  <c r="CE29" i="24"/>
  <c r="CF29" i="24"/>
  <c r="CG29" i="24"/>
  <c r="CH29" i="24"/>
  <c r="CI29" i="24"/>
  <c r="CJ29" i="24"/>
  <c r="CK29" i="24"/>
  <c r="CL29" i="24"/>
  <c r="CM29" i="24"/>
  <c r="CN29" i="24"/>
  <c r="CO29" i="24"/>
  <c r="CP29" i="24"/>
  <c r="CQ29" i="24"/>
  <c r="CR29" i="24"/>
  <c r="CS29" i="24"/>
  <c r="CT29" i="24"/>
  <c r="CU29" i="24"/>
  <c r="CV29" i="24"/>
  <c r="CW29" i="24"/>
  <c r="O28" i="24"/>
  <c r="P28" i="24"/>
  <c r="Q28" i="24"/>
  <c r="R28" i="24"/>
  <c r="S28" i="24"/>
  <c r="T28" i="24"/>
  <c r="U28" i="24"/>
  <c r="V28" i="24"/>
  <c r="W28" i="24"/>
  <c r="X28" i="24"/>
  <c r="Y28" i="24"/>
  <c r="Z28" i="24"/>
  <c r="AA28" i="24"/>
  <c r="AB28" i="24"/>
  <c r="AC28" i="24"/>
  <c r="AD28" i="24"/>
  <c r="AE28" i="24"/>
  <c r="AF28" i="24"/>
  <c r="AG28" i="24"/>
  <c r="AH28" i="24"/>
  <c r="AI28" i="24"/>
  <c r="AJ28" i="24"/>
  <c r="AK28" i="24"/>
  <c r="AL28" i="24"/>
  <c r="AM28" i="24"/>
  <c r="AN28" i="24"/>
  <c r="AO28" i="24"/>
  <c r="AP28" i="24"/>
  <c r="AQ28" i="24"/>
  <c r="AR28" i="24"/>
  <c r="AS28" i="24"/>
  <c r="AT28" i="24"/>
  <c r="AU28" i="24"/>
  <c r="AV28" i="24"/>
  <c r="AW28" i="24"/>
  <c r="AX28" i="24"/>
  <c r="AY28" i="24"/>
  <c r="AZ28" i="24"/>
  <c r="BA28" i="24"/>
  <c r="BB28" i="24"/>
  <c r="BC28" i="24"/>
  <c r="BD28" i="24"/>
  <c r="BE28" i="24"/>
  <c r="BF28" i="24"/>
  <c r="BG28" i="24"/>
  <c r="BH28" i="24"/>
  <c r="BI28" i="24"/>
  <c r="BJ28" i="24"/>
  <c r="BK28" i="24"/>
  <c r="BL28" i="24"/>
  <c r="BM28" i="24"/>
  <c r="BN28" i="24"/>
  <c r="BO28" i="24"/>
  <c r="BP28" i="24"/>
  <c r="BQ28" i="24"/>
  <c r="BR28" i="24"/>
  <c r="BS28" i="24"/>
  <c r="BT28" i="24"/>
  <c r="BU28" i="24"/>
  <c r="BV28" i="24"/>
  <c r="BW28" i="24"/>
  <c r="BX28" i="24"/>
  <c r="BY28" i="24"/>
  <c r="BZ28" i="24"/>
  <c r="CA28" i="24"/>
  <c r="CB28" i="24"/>
  <c r="CC28" i="24"/>
  <c r="CD28" i="24"/>
  <c r="CE28" i="24"/>
  <c r="CF28" i="24"/>
  <c r="CG28" i="24"/>
  <c r="CH28" i="24"/>
  <c r="CI28" i="24"/>
  <c r="CJ28" i="24"/>
  <c r="CK28" i="24"/>
  <c r="CL28" i="24"/>
  <c r="CM28" i="24"/>
  <c r="CN28" i="24"/>
  <c r="CO28" i="24"/>
  <c r="CP28" i="24"/>
  <c r="CQ28" i="24"/>
  <c r="CR28" i="24"/>
  <c r="CS28" i="24"/>
  <c r="CT28" i="24"/>
  <c r="CU28" i="24"/>
  <c r="CV28" i="24"/>
  <c r="CW28" i="24"/>
  <c r="O27" i="24"/>
  <c r="P27" i="24"/>
  <c r="Q27" i="24"/>
  <c r="R27" i="24"/>
  <c r="S27" i="24"/>
  <c r="T27" i="24"/>
  <c r="U27" i="24"/>
  <c r="V27" i="24"/>
  <c r="W27" i="24"/>
  <c r="X27" i="24"/>
  <c r="Y27" i="24"/>
  <c r="Z27" i="24"/>
  <c r="AA27" i="24"/>
  <c r="AB27" i="24"/>
  <c r="AC27" i="24"/>
  <c r="AD27" i="24"/>
  <c r="AE27" i="24"/>
  <c r="AF27" i="24"/>
  <c r="AG27" i="24"/>
  <c r="AH27" i="24"/>
  <c r="AI27" i="24"/>
  <c r="AJ27" i="24"/>
  <c r="AK27" i="24"/>
  <c r="AL27" i="24"/>
  <c r="AM27" i="24"/>
  <c r="AN27" i="24"/>
  <c r="AO27" i="24"/>
  <c r="AP27" i="24"/>
  <c r="AQ27" i="24"/>
  <c r="AR27" i="24"/>
  <c r="AS27" i="24"/>
  <c r="AT27" i="24"/>
  <c r="AU27" i="24"/>
  <c r="AV27" i="24"/>
  <c r="AW27" i="24"/>
  <c r="AX27" i="24"/>
  <c r="AY27" i="24"/>
  <c r="AZ27" i="24"/>
  <c r="BA27" i="24"/>
  <c r="BB27" i="24"/>
  <c r="BC27" i="24"/>
  <c r="BD27" i="24"/>
  <c r="BE27" i="24"/>
  <c r="BF27" i="24"/>
  <c r="BG27" i="24"/>
  <c r="BH27" i="24"/>
  <c r="BI27" i="24"/>
  <c r="BJ27" i="24"/>
  <c r="BK27" i="24"/>
  <c r="BL27" i="24"/>
  <c r="BM27" i="24"/>
  <c r="BN27" i="24"/>
  <c r="BO27" i="24"/>
  <c r="BP27" i="24"/>
  <c r="BQ27" i="24"/>
  <c r="BR27" i="24"/>
  <c r="BS27" i="24"/>
  <c r="BT27" i="24"/>
  <c r="BU27" i="24"/>
  <c r="BV27" i="24"/>
  <c r="BW27" i="24"/>
  <c r="BX27" i="24"/>
  <c r="BY27" i="24"/>
  <c r="BZ27" i="24"/>
  <c r="CA27" i="24"/>
  <c r="CB27" i="24"/>
  <c r="CC27" i="24"/>
  <c r="CD27" i="24"/>
  <c r="CE27" i="24"/>
  <c r="CF27" i="24"/>
  <c r="CG27" i="24"/>
  <c r="CH27" i="24"/>
  <c r="CI27" i="24"/>
  <c r="CJ27" i="24"/>
  <c r="CK27" i="24"/>
  <c r="CL27" i="24"/>
  <c r="CM27" i="24"/>
  <c r="CN27" i="24"/>
  <c r="CO27" i="24"/>
  <c r="CP27" i="24"/>
  <c r="CQ27" i="24"/>
  <c r="CR27" i="24"/>
  <c r="CS27" i="24"/>
  <c r="CT27" i="24"/>
  <c r="CU27" i="24"/>
  <c r="CV27" i="24"/>
  <c r="CW27" i="24"/>
  <c r="O26" i="24"/>
  <c r="P26" i="24"/>
  <c r="Q26" i="24"/>
  <c r="R26" i="24"/>
  <c r="S26" i="24"/>
  <c r="T26" i="24"/>
  <c r="U26" i="24"/>
  <c r="V26" i="24"/>
  <c r="W26" i="24"/>
  <c r="X26" i="24"/>
  <c r="Y26" i="24"/>
  <c r="Z26" i="24"/>
  <c r="AA26" i="24"/>
  <c r="AB26" i="24"/>
  <c r="AC26" i="24"/>
  <c r="AD26" i="24"/>
  <c r="AE26" i="24"/>
  <c r="AF26" i="24"/>
  <c r="AG26" i="24"/>
  <c r="AH26" i="24"/>
  <c r="AI26" i="24"/>
  <c r="AJ26" i="24"/>
  <c r="AK26" i="24"/>
  <c r="AL26" i="24"/>
  <c r="AM26" i="24"/>
  <c r="AN26" i="24"/>
  <c r="AO26" i="24"/>
  <c r="AP26" i="24"/>
  <c r="AQ26" i="24"/>
  <c r="AR26" i="24"/>
  <c r="AS26" i="24"/>
  <c r="AT26" i="24"/>
  <c r="AU26" i="24"/>
  <c r="AV26" i="24"/>
  <c r="AW26" i="24"/>
  <c r="AX26" i="24"/>
  <c r="AY26" i="24"/>
  <c r="AZ26" i="24"/>
  <c r="BA26" i="24"/>
  <c r="BB26" i="24"/>
  <c r="BC26" i="24"/>
  <c r="BD26" i="24"/>
  <c r="BE26" i="24"/>
  <c r="BF26" i="24"/>
  <c r="BG26" i="24"/>
  <c r="BH26" i="24"/>
  <c r="BI26" i="24"/>
  <c r="BJ26" i="24"/>
  <c r="BK26" i="24"/>
  <c r="BL26" i="24"/>
  <c r="BM26" i="24"/>
  <c r="BN26" i="24"/>
  <c r="BO26" i="24"/>
  <c r="BP26" i="24"/>
  <c r="BQ26" i="24"/>
  <c r="BR26" i="24"/>
  <c r="BS26" i="24"/>
  <c r="BT26" i="24"/>
  <c r="BU26" i="24"/>
  <c r="BV26" i="24"/>
  <c r="BW26" i="24"/>
  <c r="BX26" i="24"/>
  <c r="BY26" i="24"/>
  <c r="BZ26" i="24"/>
  <c r="CA26" i="24"/>
  <c r="CB26" i="24"/>
  <c r="CC26" i="24"/>
  <c r="CD26" i="24"/>
  <c r="CE26" i="24"/>
  <c r="CF26" i="24"/>
  <c r="CG26" i="24"/>
  <c r="CH26" i="24"/>
  <c r="CI26" i="24"/>
  <c r="CJ26" i="24"/>
  <c r="CK26" i="24"/>
  <c r="CL26" i="24"/>
  <c r="CM26" i="24"/>
  <c r="CN26" i="24"/>
  <c r="CO26" i="24"/>
  <c r="CP26" i="24"/>
  <c r="CQ26" i="24"/>
  <c r="CR26" i="24"/>
  <c r="CS26" i="24"/>
  <c r="CT26" i="24"/>
  <c r="CU26" i="24"/>
  <c r="CV26" i="24"/>
  <c r="CW26" i="24"/>
  <c r="N33" i="24"/>
  <c r="N32" i="24"/>
  <c r="N31" i="24"/>
  <c r="N30" i="24"/>
  <c r="N29" i="24"/>
  <c r="N28" i="24"/>
  <c r="N27" i="24"/>
  <c r="N26" i="24"/>
  <c r="BD402" i="19"/>
  <c r="BC402" i="19"/>
  <c r="BB402" i="19"/>
  <c r="AZ402" i="19"/>
  <c r="AY402" i="19"/>
  <c r="AX402" i="19"/>
  <c r="AW402" i="19"/>
  <c r="AV402" i="19"/>
  <c r="AT402" i="19"/>
  <c r="AS402" i="19"/>
  <c r="BD401" i="19"/>
  <c r="BC401" i="19"/>
  <c r="BB401" i="19"/>
  <c r="AZ401" i="19"/>
  <c r="AY401" i="19"/>
  <c r="AX401" i="19"/>
  <c r="AW401" i="19"/>
  <c r="AV401" i="19"/>
  <c r="AT401" i="19"/>
  <c r="AS401" i="19"/>
  <c r="BD400" i="19"/>
  <c r="BC400" i="19"/>
  <c r="BB400" i="19"/>
  <c r="AZ400" i="19"/>
  <c r="AY400" i="19"/>
  <c r="AX400" i="19"/>
  <c r="AW400" i="19"/>
  <c r="AV400" i="19"/>
  <c r="AT400" i="19"/>
  <c r="AS400" i="19"/>
  <c r="BD399" i="19"/>
  <c r="BC399" i="19"/>
  <c r="BB399" i="19"/>
  <c r="AZ399" i="19"/>
  <c r="AY399" i="19"/>
  <c r="AX399" i="19"/>
  <c r="AW399" i="19"/>
  <c r="AV399" i="19"/>
  <c r="AT399" i="19"/>
  <c r="AS399" i="19"/>
  <c r="BD398" i="19"/>
  <c r="BC398" i="19"/>
  <c r="BB398" i="19"/>
  <c r="AZ398" i="19"/>
  <c r="AY398" i="19"/>
  <c r="AX398" i="19"/>
  <c r="AW398" i="19"/>
  <c r="AV398" i="19"/>
  <c r="AT398" i="19"/>
  <c r="AS398" i="19"/>
  <c r="BD396" i="19"/>
  <c r="BC396" i="19"/>
  <c r="BB396" i="19"/>
  <c r="AZ396" i="19"/>
  <c r="AY396" i="19"/>
  <c r="AX396" i="19"/>
  <c r="AW396" i="19"/>
  <c r="AV396" i="19"/>
  <c r="AT396" i="19"/>
  <c r="AS396" i="19"/>
  <c r="BD395" i="19"/>
  <c r="BC395" i="19"/>
  <c r="BB395" i="19"/>
  <c r="AZ395" i="19"/>
  <c r="AY395" i="19"/>
  <c r="AX395" i="19"/>
  <c r="AW395" i="19"/>
  <c r="AV395" i="19"/>
  <c r="AT395" i="19"/>
  <c r="AS395" i="19"/>
  <c r="BD394" i="19"/>
  <c r="BC394" i="19"/>
  <c r="BB394" i="19"/>
  <c r="AZ394" i="19"/>
  <c r="AY394" i="19"/>
  <c r="AX394" i="19"/>
  <c r="AW394" i="19"/>
  <c r="AV394" i="19"/>
  <c r="AT394" i="19"/>
  <c r="AS394" i="19"/>
  <c r="BD393" i="19"/>
  <c r="BC393" i="19"/>
  <c r="BB393" i="19"/>
  <c r="AZ393" i="19"/>
  <c r="AY393" i="19"/>
  <c r="AX393" i="19"/>
  <c r="AW393" i="19"/>
  <c r="AV393" i="19"/>
  <c r="AT393" i="19"/>
  <c r="AS393" i="19"/>
  <c r="BD392" i="19"/>
  <c r="BC392" i="19"/>
  <c r="BB392" i="19"/>
  <c r="AZ392" i="19"/>
  <c r="AY392" i="19"/>
  <c r="AX392" i="19"/>
  <c r="AW392" i="19"/>
  <c r="AV392" i="19"/>
  <c r="AT392" i="19"/>
  <c r="AS392" i="19"/>
  <c r="BD391" i="19"/>
  <c r="BC391" i="19"/>
  <c r="BB391" i="19"/>
  <c r="AZ391" i="19"/>
  <c r="AY391" i="19"/>
  <c r="AX391" i="19"/>
  <c r="AW391" i="19"/>
  <c r="AV391" i="19"/>
  <c r="AT391" i="19"/>
  <c r="AS391" i="19"/>
  <c r="BD390" i="19"/>
  <c r="BC390" i="19"/>
  <c r="BB390" i="19"/>
  <c r="AZ390" i="19"/>
  <c r="AY390" i="19"/>
  <c r="AX390" i="19"/>
  <c r="AW390" i="19"/>
  <c r="AV390" i="19"/>
  <c r="AT390" i="19"/>
  <c r="AS390" i="19"/>
  <c r="BD389" i="19"/>
  <c r="BC389" i="19"/>
  <c r="BB389" i="19"/>
  <c r="AZ389" i="19"/>
  <c r="AY389" i="19"/>
  <c r="AX389" i="19"/>
  <c r="AW389" i="19"/>
  <c r="AV389" i="19"/>
  <c r="AT389" i="19"/>
  <c r="AS389" i="19"/>
  <c r="BD388" i="19"/>
  <c r="BC388" i="19"/>
  <c r="BB388" i="19"/>
  <c r="AZ388" i="19"/>
  <c r="AY388" i="19"/>
  <c r="AX388" i="19"/>
  <c r="AW388" i="19"/>
  <c r="AV388" i="19"/>
  <c r="AT388" i="19"/>
  <c r="AS388" i="19"/>
  <c r="BD387" i="19"/>
  <c r="BC387" i="19"/>
  <c r="BB387" i="19"/>
  <c r="AZ387" i="19"/>
  <c r="AY387" i="19"/>
  <c r="AX387" i="19"/>
  <c r="AW387" i="19"/>
  <c r="AV387" i="19"/>
  <c r="AT387" i="19"/>
  <c r="AS387" i="19"/>
  <c r="BD386" i="19"/>
  <c r="BC386" i="19"/>
  <c r="BB386" i="19"/>
  <c r="AZ386" i="19"/>
  <c r="AY386" i="19"/>
  <c r="AX386" i="19"/>
  <c r="AW386" i="19"/>
  <c r="AV386" i="19"/>
  <c r="AT386" i="19"/>
  <c r="AS386" i="19"/>
  <c r="BD385" i="19"/>
  <c r="BC385" i="19"/>
  <c r="BB385" i="19"/>
  <c r="AZ385" i="19"/>
  <c r="AY385" i="19"/>
  <c r="AX385" i="19"/>
  <c r="AW385" i="19"/>
  <c r="AV385" i="19"/>
  <c r="AT385" i="19"/>
  <c r="AS385" i="19"/>
  <c r="BD384" i="19"/>
  <c r="BC384" i="19"/>
  <c r="BB384" i="19"/>
  <c r="AZ384" i="19"/>
  <c r="AY384" i="19"/>
  <c r="AX384" i="19"/>
  <c r="AW384" i="19"/>
  <c r="AV384" i="19"/>
  <c r="AT384" i="19"/>
  <c r="AS384" i="19"/>
  <c r="BD383" i="19"/>
  <c r="BC383" i="19"/>
  <c r="BB383" i="19"/>
  <c r="AZ383" i="19"/>
  <c r="AY383" i="19"/>
  <c r="AX383" i="19"/>
  <c r="AW383" i="19"/>
  <c r="AV383" i="19"/>
  <c r="AT383" i="19"/>
  <c r="AS383" i="19"/>
  <c r="BD382" i="19"/>
  <c r="BC382" i="19"/>
  <c r="BB382" i="19"/>
  <c r="AZ382" i="19"/>
  <c r="AY382" i="19"/>
  <c r="AX382" i="19"/>
  <c r="AW382" i="19"/>
  <c r="AV382" i="19"/>
  <c r="AT382" i="19"/>
  <c r="AS382" i="19"/>
  <c r="BD381" i="19"/>
  <c r="BC381" i="19"/>
  <c r="BB381" i="19"/>
  <c r="AZ381" i="19"/>
  <c r="AY381" i="19"/>
  <c r="AX381" i="19"/>
  <c r="AW381" i="19"/>
  <c r="AV381" i="19"/>
  <c r="AT381" i="19"/>
  <c r="AS381" i="19"/>
  <c r="BD380" i="19"/>
  <c r="BC380" i="19"/>
  <c r="BB380" i="19"/>
  <c r="AZ380" i="19"/>
  <c r="AY380" i="19"/>
  <c r="AX380" i="19"/>
  <c r="AW380" i="19"/>
  <c r="AV380" i="19"/>
  <c r="AT380" i="19"/>
  <c r="AS380" i="19"/>
  <c r="BD379" i="19"/>
  <c r="BC379" i="19"/>
  <c r="BB379" i="19"/>
  <c r="AZ379" i="19"/>
  <c r="AY379" i="19"/>
  <c r="AX379" i="19"/>
  <c r="AW379" i="19"/>
  <c r="AV379" i="19"/>
  <c r="AT379" i="19"/>
  <c r="AS379" i="19"/>
  <c r="BD378" i="19"/>
  <c r="BC378" i="19"/>
  <c r="BB378" i="19"/>
  <c r="AZ378" i="19"/>
  <c r="AY378" i="19"/>
  <c r="AX378" i="19"/>
  <c r="AW378" i="19"/>
  <c r="AV378" i="19"/>
  <c r="AT378" i="19"/>
  <c r="AS378" i="19"/>
  <c r="BD377" i="19"/>
  <c r="BC377" i="19"/>
  <c r="BB377" i="19"/>
  <c r="AZ377" i="19"/>
  <c r="AY377" i="19"/>
  <c r="AX377" i="19"/>
  <c r="AW377" i="19"/>
  <c r="AV377" i="19"/>
  <c r="AT377" i="19"/>
  <c r="AS377" i="19"/>
  <c r="BD376" i="19"/>
  <c r="BC376" i="19"/>
  <c r="BB376" i="19"/>
  <c r="AZ376" i="19"/>
  <c r="AY376" i="19"/>
  <c r="AX376" i="19"/>
  <c r="AW376" i="19"/>
  <c r="AV376" i="19"/>
  <c r="AT376" i="19"/>
  <c r="AS376" i="19"/>
  <c r="BD375" i="19"/>
  <c r="BC375" i="19"/>
  <c r="BB375" i="19"/>
  <c r="AZ375" i="19"/>
  <c r="AY375" i="19"/>
  <c r="AX375" i="19"/>
  <c r="AW375" i="19"/>
  <c r="AV375" i="19"/>
  <c r="AT375" i="19"/>
  <c r="AS375" i="19"/>
  <c r="BD374" i="19"/>
  <c r="BC374" i="19"/>
  <c r="BB374" i="19"/>
  <c r="AZ374" i="19"/>
  <c r="AY374" i="19"/>
  <c r="AX374" i="19"/>
  <c r="AW374" i="19"/>
  <c r="AV374" i="19"/>
  <c r="AT374" i="19"/>
  <c r="AS374" i="19"/>
  <c r="BD373" i="19"/>
  <c r="BC373" i="19"/>
  <c r="BB373" i="19"/>
  <c r="AZ373" i="19"/>
  <c r="AY373" i="19"/>
  <c r="AX373" i="19"/>
  <c r="AW373" i="19"/>
  <c r="AV373" i="19"/>
  <c r="AT373" i="19"/>
  <c r="AS373" i="19"/>
  <c r="BD372" i="19"/>
  <c r="BC372" i="19"/>
  <c r="BB372" i="19"/>
  <c r="AZ372" i="19"/>
  <c r="AY372" i="19"/>
  <c r="AX372" i="19"/>
  <c r="AW372" i="19"/>
  <c r="AV372" i="19"/>
  <c r="AT372" i="19"/>
  <c r="AS372" i="19"/>
  <c r="BD371" i="19"/>
  <c r="BC371" i="19"/>
  <c r="BB371" i="19"/>
  <c r="AZ371" i="19"/>
  <c r="AY371" i="19"/>
  <c r="AX371" i="19"/>
  <c r="AW371" i="19"/>
  <c r="AV371" i="19"/>
  <c r="AT371" i="19"/>
  <c r="AS371" i="19"/>
  <c r="BD370" i="19"/>
  <c r="BC370" i="19"/>
  <c r="BB370" i="19"/>
  <c r="AZ370" i="19"/>
  <c r="AY370" i="19"/>
  <c r="AX370" i="19"/>
  <c r="AW370" i="19"/>
  <c r="AV370" i="19"/>
  <c r="AT370" i="19"/>
  <c r="AS370" i="19"/>
  <c r="BD369" i="19"/>
  <c r="BC369" i="19"/>
  <c r="BB369" i="19"/>
  <c r="AZ369" i="19"/>
  <c r="AY369" i="19"/>
  <c r="AX369" i="19"/>
  <c r="AW369" i="19"/>
  <c r="AV369" i="19"/>
  <c r="AT369" i="19"/>
  <c r="AS369" i="19"/>
  <c r="BD368" i="19"/>
  <c r="BC368" i="19"/>
  <c r="BB368" i="19"/>
  <c r="AZ368" i="19"/>
  <c r="AY368" i="19"/>
  <c r="AX368" i="19"/>
  <c r="AW368" i="19"/>
  <c r="AV368" i="19"/>
  <c r="AT368" i="19"/>
  <c r="AS368" i="19"/>
  <c r="BD367" i="19"/>
  <c r="BC367" i="19"/>
  <c r="BB367" i="19"/>
  <c r="AZ367" i="19"/>
  <c r="AY367" i="19"/>
  <c r="AX367" i="19"/>
  <c r="AW367" i="19"/>
  <c r="AV367" i="19"/>
  <c r="AT367" i="19"/>
  <c r="AS367" i="19"/>
  <c r="BD366" i="19"/>
  <c r="BC366" i="19"/>
  <c r="BB366" i="19"/>
  <c r="AZ366" i="19"/>
  <c r="AY366" i="19"/>
  <c r="AX366" i="19"/>
  <c r="AW366" i="19"/>
  <c r="AV366" i="19"/>
  <c r="AT366" i="19"/>
  <c r="AS366" i="19"/>
  <c r="BD365" i="19"/>
  <c r="BC365" i="19"/>
  <c r="BB365" i="19"/>
  <c r="AZ365" i="19"/>
  <c r="AY365" i="19"/>
  <c r="AX365" i="19"/>
  <c r="AW365" i="19"/>
  <c r="AV365" i="19"/>
  <c r="AT365" i="19"/>
  <c r="AS365" i="19"/>
  <c r="BD364" i="19"/>
  <c r="BC364" i="19"/>
  <c r="BB364" i="19"/>
  <c r="AZ364" i="19"/>
  <c r="AY364" i="19"/>
  <c r="AX364" i="19"/>
  <c r="AW364" i="19"/>
  <c r="AV364" i="19"/>
  <c r="AT364" i="19"/>
  <c r="AS364" i="19"/>
  <c r="BD363" i="19"/>
  <c r="BC363" i="19"/>
  <c r="BB363" i="19"/>
  <c r="AZ363" i="19"/>
  <c r="AY363" i="19"/>
  <c r="AX363" i="19"/>
  <c r="AW363" i="19"/>
  <c r="AV363" i="19"/>
  <c r="AT363" i="19"/>
  <c r="AS363" i="19"/>
  <c r="BD362" i="19"/>
  <c r="BC362" i="19"/>
  <c r="BB362" i="19"/>
  <c r="AZ362" i="19"/>
  <c r="AY362" i="19"/>
  <c r="AX362" i="19"/>
  <c r="AW362" i="19"/>
  <c r="AV362" i="19"/>
  <c r="AT362" i="19"/>
  <c r="AS362" i="19"/>
  <c r="BD361" i="19"/>
  <c r="BC361" i="19"/>
  <c r="BB361" i="19"/>
  <c r="AZ361" i="19"/>
  <c r="AY361" i="19"/>
  <c r="AX361" i="19"/>
  <c r="AW361" i="19"/>
  <c r="AV361" i="19"/>
  <c r="AT361" i="19"/>
  <c r="AS361" i="19"/>
  <c r="BD360" i="19"/>
  <c r="BC360" i="19"/>
  <c r="BB360" i="19"/>
  <c r="AZ360" i="19"/>
  <c r="AY360" i="19"/>
  <c r="AX360" i="19"/>
  <c r="AW360" i="19"/>
  <c r="AV360" i="19"/>
  <c r="AT360" i="19"/>
  <c r="AS360" i="19"/>
  <c r="BD352" i="19"/>
  <c r="BC352" i="19"/>
  <c r="BB352" i="19"/>
  <c r="AZ352" i="19"/>
  <c r="AY352" i="19"/>
  <c r="AW352" i="19"/>
  <c r="AV352" i="19"/>
  <c r="AU352" i="19"/>
  <c r="AS352" i="19"/>
  <c r="AR352" i="19"/>
  <c r="BD351" i="19"/>
  <c r="BC351" i="19"/>
  <c r="BB351" i="19"/>
  <c r="AZ351" i="19"/>
  <c r="AY351" i="19"/>
  <c r="AW351" i="19"/>
  <c r="AV351" i="19"/>
  <c r="AU351" i="19"/>
  <c r="AS351" i="19"/>
  <c r="AR351" i="19"/>
  <c r="BD350" i="19"/>
  <c r="BC350" i="19"/>
  <c r="BB350" i="19"/>
  <c r="AZ350" i="19"/>
  <c r="AY350" i="19"/>
  <c r="AW350" i="19"/>
  <c r="AV350" i="19"/>
  <c r="AU350" i="19"/>
  <c r="AS350" i="19"/>
  <c r="AR350" i="19"/>
  <c r="BD349" i="19"/>
  <c r="BC349" i="19"/>
  <c r="BB349" i="19"/>
  <c r="AZ349" i="19"/>
  <c r="AY349" i="19"/>
  <c r="AW349" i="19"/>
  <c r="AV349" i="19"/>
  <c r="AU349" i="19"/>
  <c r="AS349" i="19"/>
  <c r="AR349" i="19"/>
  <c r="BD348" i="19"/>
  <c r="BC348" i="19"/>
  <c r="BB348" i="19"/>
  <c r="AZ348" i="19"/>
  <c r="AY348" i="19"/>
  <c r="AW348" i="19"/>
  <c r="AV348" i="19"/>
  <c r="AU348" i="19"/>
  <c r="AS348" i="19"/>
  <c r="AR348" i="19"/>
  <c r="BD346" i="19"/>
  <c r="BC346" i="19"/>
  <c r="BB346" i="19"/>
  <c r="AZ346" i="19"/>
  <c r="AY346" i="19"/>
  <c r="AW346" i="19"/>
  <c r="AV346" i="19"/>
  <c r="AU346" i="19"/>
  <c r="AS346" i="19"/>
  <c r="AR346" i="19"/>
  <c r="BD345" i="19"/>
  <c r="BC345" i="19"/>
  <c r="BB345" i="19"/>
  <c r="AZ345" i="19"/>
  <c r="AY345" i="19"/>
  <c r="AW345" i="19"/>
  <c r="AV345" i="19"/>
  <c r="AU345" i="19"/>
  <c r="AS345" i="19"/>
  <c r="AR345" i="19"/>
  <c r="BD344" i="19"/>
  <c r="BC344" i="19"/>
  <c r="BB344" i="19"/>
  <c r="AZ344" i="19"/>
  <c r="AY344" i="19"/>
  <c r="AW344" i="19"/>
  <c r="AV344" i="19"/>
  <c r="AU344" i="19"/>
  <c r="AS344" i="19"/>
  <c r="AR344" i="19"/>
  <c r="BD343" i="19"/>
  <c r="BC343" i="19"/>
  <c r="BB343" i="19"/>
  <c r="AZ343" i="19"/>
  <c r="AY343" i="19"/>
  <c r="AW343" i="19"/>
  <c r="AV343" i="19"/>
  <c r="AU343" i="19"/>
  <c r="AS343" i="19"/>
  <c r="AR343" i="19"/>
  <c r="BD342" i="19"/>
  <c r="BC342" i="19"/>
  <c r="BB342" i="19"/>
  <c r="AZ342" i="19"/>
  <c r="AY342" i="19"/>
  <c r="AW342" i="19"/>
  <c r="AV342" i="19"/>
  <c r="AU342" i="19"/>
  <c r="AS342" i="19"/>
  <c r="AR342" i="19"/>
  <c r="BD341" i="19"/>
  <c r="BC341" i="19"/>
  <c r="BB341" i="19"/>
  <c r="AZ341" i="19"/>
  <c r="AY341" i="19"/>
  <c r="AW341" i="19"/>
  <c r="AV341" i="19"/>
  <c r="AU341" i="19"/>
  <c r="AS341" i="19"/>
  <c r="AR341" i="19"/>
  <c r="BD340" i="19"/>
  <c r="BC340" i="19"/>
  <c r="BB340" i="19"/>
  <c r="AZ340" i="19"/>
  <c r="AY340" i="19"/>
  <c r="AW340" i="19"/>
  <c r="AV340" i="19"/>
  <c r="AU340" i="19"/>
  <c r="AS340" i="19"/>
  <c r="AR340" i="19"/>
  <c r="BD339" i="19"/>
  <c r="BC339" i="19"/>
  <c r="BB339" i="19"/>
  <c r="AZ339" i="19"/>
  <c r="AY339" i="19"/>
  <c r="AW339" i="19"/>
  <c r="AV339" i="19"/>
  <c r="AU339" i="19"/>
  <c r="AS339" i="19"/>
  <c r="AR339" i="19"/>
  <c r="BD338" i="19"/>
  <c r="BC338" i="19"/>
  <c r="BB338" i="19"/>
  <c r="AZ338" i="19"/>
  <c r="AY338" i="19"/>
  <c r="AW338" i="19"/>
  <c r="AV338" i="19"/>
  <c r="AU338" i="19"/>
  <c r="AS338" i="19"/>
  <c r="AR338" i="19"/>
  <c r="BD337" i="19"/>
  <c r="BC337" i="19"/>
  <c r="BB337" i="19"/>
  <c r="AZ337" i="19"/>
  <c r="AY337" i="19"/>
  <c r="AW337" i="19"/>
  <c r="AV337" i="19"/>
  <c r="AU337" i="19"/>
  <c r="AS337" i="19"/>
  <c r="AR337" i="19"/>
  <c r="BD336" i="19"/>
  <c r="BC336" i="19"/>
  <c r="BB336" i="19"/>
  <c r="AZ336" i="19"/>
  <c r="AY336" i="19"/>
  <c r="AW336" i="19"/>
  <c r="AV336" i="19"/>
  <c r="AU336" i="19"/>
  <c r="AS336" i="19"/>
  <c r="AR336" i="19"/>
  <c r="BD335" i="19"/>
  <c r="BC335" i="19"/>
  <c r="BB335" i="19"/>
  <c r="AZ335" i="19"/>
  <c r="AY335" i="19"/>
  <c r="AW335" i="19"/>
  <c r="AV335" i="19"/>
  <c r="AU335" i="19"/>
  <c r="AS335" i="19"/>
  <c r="AR335" i="19"/>
  <c r="BD334" i="19"/>
  <c r="BC334" i="19"/>
  <c r="BB334" i="19"/>
  <c r="AZ334" i="19"/>
  <c r="AY334" i="19"/>
  <c r="AW334" i="19"/>
  <c r="AV334" i="19"/>
  <c r="AU334" i="19"/>
  <c r="AS334" i="19"/>
  <c r="AR334" i="19"/>
  <c r="BD333" i="19"/>
  <c r="BC333" i="19"/>
  <c r="BB333" i="19"/>
  <c r="AZ333" i="19"/>
  <c r="AY333" i="19"/>
  <c r="AW333" i="19"/>
  <c r="AV333" i="19"/>
  <c r="AU333" i="19"/>
  <c r="AS333" i="19"/>
  <c r="AR333" i="19"/>
  <c r="BD332" i="19"/>
  <c r="BC332" i="19"/>
  <c r="BB332" i="19"/>
  <c r="AZ332" i="19"/>
  <c r="AY332" i="19"/>
  <c r="AW332" i="19"/>
  <c r="AV332" i="19"/>
  <c r="AU332" i="19"/>
  <c r="AS332" i="19"/>
  <c r="AR332" i="19"/>
  <c r="BD331" i="19"/>
  <c r="BC331" i="19"/>
  <c r="BB331" i="19"/>
  <c r="AZ331" i="19"/>
  <c r="AY331" i="19"/>
  <c r="AW331" i="19"/>
  <c r="AV331" i="19"/>
  <c r="AU331" i="19"/>
  <c r="AS331" i="19"/>
  <c r="AR331" i="19"/>
  <c r="BD330" i="19"/>
  <c r="BC330" i="19"/>
  <c r="BB330" i="19"/>
  <c r="AZ330" i="19"/>
  <c r="AY330" i="19"/>
  <c r="AW330" i="19"/>
  <c r="AV330" i="19"/>
  <c r="AU330" i="19"/>
  <c r="AS330" i="19"/>
  <c r="AR330" i="19"/>
  <c r="BD329" i="19"/>
  <c r="BC329" i="19"/>
  <c r="BB329" i="19"/>
  <c r="AZ329" i="19"/>
  <c r="AY329" i="19"/>
  <c r="AW329" i="19"/>
  <c r="AV329" i="19"/>
  <c r="AU329" i="19"/>
  <c r="AS329" i="19"/>
  <c r="AR329" i="19"/>
  <c r="BD328" i="19"/>
  <c r="BC328" i="19"/>
  <c r="BB328" i="19"/>
  <c r="AZ328" i="19"/>
  <c r="AY328" i="19"/>
  <c r="AW328" i="19"/>
  <c r="AV328" i="19"/>
  <c r="AU328" i="19"/>
  <c r="AS328" i="19"/>
  <c r="AR328" i="19"/>
  <c r="BD327" i="19"/>
  <c r="BC327" i="19"/>
  <c r="BB327" i="19"/>
  <c r="AZ327" i="19"/>
  <c r="AY327" i="19"/>
  <c r="AW327" i="19"/>
  <c r="AV327" i="19"/>
  <c r="AU327" i="19"/>
  <c r="AS327" i="19"/>
  <c r="AR327" i="19"/>
  <c r="BD326" i="19"/>
  <c r="BC326" i="19"/>
  <c r="BB326" i="19"/>
  <c r="AZ326" i="19"/>
  <c r="AY326" i="19"/>
  <c r="AW326" i="19"/>
  <c r="AV326" i="19"/>
  <c r="AU326" i="19"/>
  <c r="AS326" i="19"/>
  <c r="AR326" i="19"/>
  <c r="BD325" i="19"/>
  <c r="BC325" i="19"/>
  <c r="BB325" i="19"/>
  <c r="AZ325" i="19"/>
  <c r="AY325" i="19"/>
  <c r="AW325" i="19"/>
  <c r="AV325" i="19"/>
  <c r="AU325" i="19"/>
  <c r="AS325" i="19"/>
  <c r="AR325" i="19"/>
  <c r="BD324" i="19"/>
  <c r="BC324" i="19"/>
  <c r="BB324" i="19"/>
  <c r="AZ324" i="19"/>
  <c r="AY324" i="19"/>
  <c r="AW324" i="19"/>
  <c r="AV324" i="19"/>
  <c r="AU324" i="19"/>
  <c r="AS324" i="19"/>
  <c r="AR324" i="19"/>
  <c r="BD323" i="19"/>
  <c r="BC323" i="19"/>
  <c r="BB323" i="19"/>
  <c r="AZ323" i="19"/>
  <c r="AY323" i="19"/>
  <c r="AW323" i="19"/>
  <c r="AV323" i="19"/>
  <c r="AU323" i="19"/>
  <c r="AS323" i="19"/>
  <c r="AR323" i="19"/>
  <c r="BD322" i="19"/>
  <c r="BC322" i="19"/>
  <c r="BB322" i="19"/>
  <c r="AZ322" i="19"/>
  <c r="AY322" i="19"/>
  <c r="AW322" i="19"/>
  <c r="AV322" i="19"/>
  <c r="AU322" i="19"/>
  <c r="AS322" i="19"/>
  <c r="AR322" i="19"/>
  <c r="BD321" i="19"/>
  <c r="BC321" i="19"/>
  <c r="BB321" i="19"/>
  <c r="AZ321" i="19"/>
  <c r="AY321" i="19"/>
  <c r="AW321" i="19"/>
  <c r="AV321" i="19"/>
  <c r="AU321" i="19"/>
  <c r="AS321" i="19"/>
  <c r="AR321" i="19"/>
  <c r="BD320" i="19"/>
  <c r="BC320" i="19"/>
  <c r="BB320" i="19"/>
  <c r="AZ320" i="19"/>
  <c r="AY320" i="19"/>
  <c r="AW320" i="19"/>
  <c r="AV320" i="19"/>
  <c r="AU320" i="19"/>
  <c r="AS320" i="19"/>
  <c r="AR320" i="19"/>
  <c r="BD319" i="19"/>
  <c r="BC319" i="19"/>
  <c r="BB319" i="19"/>
  <c r="AZ319" i="19"/>
  <c r="AY319" i="19"/>
  <c r="AW319" i="19"/>
  <c r="AV319" i="19"/>
  <c r="AU319" i="19"/>
  <c r="AS319" i="19"/>
  <c r="AR319" i="19"/>
  <c r="BD318" i="19"/>
  <c r="BC318" i="19"/>
  <c r="BB318" i="19"/>
  <c r="AZ318" i="19"/>
  <c r="AY318" i="19"/>
  <c r="AW318" i="19"/>
  <c r="AV318" i="19"/>
  <c r="AU318" i="19"/>
  <c r="AS318" i="19"/>
  <c r="AR318" i="19"/>
  <c r="BD317" i="19"/>
  <c r="BC317" i="19"/>
  <c r="BB317" i="19"/>
  <c r="AZ317" i="19"/>
  <c r="AY317" i="19"/>
  <c r="AW317" i="19"/>
  <c r="AV317" i="19"/>
  <c r="AU317" i="19"/>
  <c r="AS317" i="19"/>
  <c r="AR317" i="19"/>
  <c r="BD316" i="19"/>
  <c r="BC316" i="19"/>
  <c r="BB316" i="19"/>
  <c r="AZ316" i="19"/>
  <c r="AY316" i="19"/>
  <c r="AW316" i="19"/>
  <c r="AV316" i="19"/>
  <c r="AU316" i="19"/>
  <c r="AS316" i="19"/>
  <c r="AR316" i="19"/>
  <c r="BD315" i="19"/>
  <c r="BC315" i="19"/>
  <c r="BB315" i="19"/>
  <c r="AZ315" i="19"/>
  <c r="AY315" i="19"/>
  <c r="AW315" i="19"/>
  <c r="AV315" i="19"/>
  <c r="AU315" i="19"/>
  <c r="AS315" i="19"/>
  <c r="AR315" i="19"/>
  <c r="BD314" i="19"/>
  <c r="BC314" i="19"/>
  <c r="BB314" i="19"/>
  <c r="AZ314" i="19"/>
  <c r="AY314" i="19"/>
  <c r="AW314" i="19"/>
  <c r="AV314" i="19"/>
  <c r="AU314" i="19"/>
  <c r="AS314" i="19"/>
  <c r="AR314" i="19"/>
  <c r="BD313" i="19"/>
  <c r="BC313" i="19"/>
  <c r="BB313" i="19"/>
  <c r="AZ313" i="19"/>
  <c r="AY313" i="19"/>
  <c r="AW313" i="19"/>
  <c r="AV313" i="19"/>
  <c r="AU313" i="19"/>
  <c r="AS313" i="19"/>
  <c r="AR313" i="19"/>
  <c r="BD312" i="19"/>
  <c r="BC312" i="19"/>
  <c r="BB312" i="19"/>
  <c r="AZ312" i="19"/>
  <c r="AY312" i="19"/>
  <c r="AW312" i="19"/>
  <c r="AV312" i="19"/>
  <c r="AU312" i="19"/>
  <c r="AS312" i="19"/>
  <c r="AR312" i="19"/>
  <c r="BD311" i="19"/>
  <c r="BC311" i="19"/>
  <c r="BB311" i="19"/>
  <c r="AZ311" i="19"/>
  <c r="AY311" i="19"/>
  <c r="AW311" i="19"/>
  <c r="AV311" i="19"/>
  <c r="AU311" i="19"/>
  <c r="AS311" i="19"/>
  <c r="AR311" i="19"/>
  <c r="BD310" i="19"/>
  <c r="BC310" i="19"/>
  <c r="BB310" i="19"/>
  <c r="AZ310" i="19"/>
  <c r="AY310" i="19"/>
  <c r="AW310" i="19"/>
  <c r="AV310" i="19"/>
  <c r="AU310" i="19"/>
  <c r="AS310" i="19"/>
  <c r="AR310" i="19"/>
  <c r="BI302" i="19"/>
  <c r="BH302" i="19"/>
  <c r="BD302" i="19"/>
  <c r="BC302" i="19"/>
  <c r="BB302" i="19"/>
  <c r="BA302" i="19"/>
  <c r="AZ302" i="19"/>
  <c r="AY302" i="19"/>
  <c r="AW302" i="19"/>
  <c r="AV302" i="19"/>
  <c r="AU302" i="19"/>
  <c r="AT302" i="19"/>
  <c r="AS302" i="19"/>
  <c r="AR302" i="19"/>
  <c r="BG301" i="19"/>
  <c r="BF301" i="19"/>
  <c r="BE301" i="19"/>
  <c r="BI300" i="19"/>
  <c r="BH300" i="19"/>
  <c r="BD300" i="19"/>
  <c r="BC300" i="19"/>
  <c r="BB300" i="19"/>
  <c r="BA300" i="19"/>
  <c r="AZ300" i="19"/>
  <c r="AY300" i="19"/>
  <c r="AW300" i="19"/>
  <c r="AV300" i="19"/>
  <c r="AU300" i="19"/>
  <c r="AT300" i="19"/>
  <c r="AS300" i="19"/>
  <c r="AR300" i="19"/>
  <c r="BI299" i="19"/>
  <c r="BH299" i="19"/>
  <c r="BD299" i="19"/>
  <c r="BC299" i="19"/>
  <c r="BB299" i="19"/>
  <c r="BA299" i="19"/>
  <c r="AZ299" i="19"/>
  <c r="AY299" i="19"/>
  <c r="AW299" i="19"/>
  <c r="AV299" i="19"/>
  <c r="AU299" i="19"/>
  <c r="AT299" i="19"/>
  <c r="AS299" i="19"/>
  <c r="AR299" i="19"/>
  <c r="BI298" i="19"/>
  <c r="BH298" i="19"/>
  <c r="BD298" i="19"/>
  <c r="BC298" i="19"/>
  <c r="BB298" i="19"/>
  <c r="BA298" i="19"/>
  <c r="AZ298" i="19"/>
  <c r="AY298" i="19"/>
  <c r="AW298" i="19"/>
  <c r="AV298" i="19"/>
  <c r="AU298" i="19"/>
  <c r="AT298" i="19"/>
  <c r="AS298" i="19"/>
  <c r="AR298" i="19"/>
  <c r="BI297" i="19"/>
  <c r="BH297" i="19"/>
  <c r="BD297" i="19"/>
  <c r="BC297" i="19"/>
  <c r="BB297" i="19"/>
  <c r="BA297" i="19"/>
  <c r="AZ297" i="19"/>
  <c r="AY297" i="19"/>
  <c r="AW297" i="19"/>
  <c r="AV297" i="19"/>
  <c r="AU297" i="19"/>
  <c r="AT297" i="19"/>
  <c r="AS297" i="19"/>
  <c r="AR297" i="19"/>
  <c r="BI296" i="19"/>
  <c r="BH296" i="19"/>
  <c r="BD296" i="19"/>
  <c r="BC296" i="19"/>
  <c r="BB296" i="19"/>
  <c r="BA296" i="19"/>
  <c r="AZ296" i="19"/>
  <c r="AY296" i="19"/>
  <c r="AW296" i="19"/>
  <c r="AV296" i="19"/>
  <c r="AU296" i="19"/>
  <c r="AT296" i="19"/>
  <c r="AS296" i="19"/>
  <c r="AR296" i="19"/>
  <c r="BI295" i="19"/>
  <c r="BH295" i="19"/>
  <c r="BD295" i="19"/>
  <c r="BC295" i="19"/>
  <c r="BB295" i="19"/>
  <c r="BA295" i="19"/>
  <c r="AZ295" i="19"/>
  <c r="AY295" i="19"/>
  <c r="AW295" i="19"/>
  <c r="AV295" i="19"/>
  <c r="AU295" i="19"/>
  <c r="AT295" i="19"/>
  <c r="AS295" i="19"/>
  <c r="AR295" i="19"/>
  <c r="BI294" i="19"/>
  <c r="BH294" i="19"/>
  <c r="BD294" i="19"/>
  <c r="BC294" i="19"/>
  <c r="BB294" i="19"/>
  <c r="BA294" i="19"/>
  <c r="AZ294" i="19"/>
  <c r="AY294" i="19"/>
  <c r="AW294" i="19"/>
  <c r="AV294" i="19"/>
  <c r="AU294" i="19"/>
  <c r="AT294" i="19"/>
  <c r="AS294" i="19"/>
  <c r="AR294" i="19"/>
  <c r="BI293" i="19"/>
  <c r="BH293" i="19"/>
  <c r="BD293" i="19"/>
  <c r="BC293" i="19"/>
  <c r="BB293" i="19"/>
  <c r="BA293" i="19"/>
  <c r="AZ293" i="19"/>
  <c r="AY293" i="19"/>
  <c r="AW293" i="19"/>
  <c r="AV293" i="19"/>
  <c r="AU293" i="19"/>
  <c r="AT293" i="19"/>
  <c r="AS293" i="19"/>
  <c r="AR293" i="19"/>
  <c r="BI292" i="19"/>
  <c r="BH292" i="19"/>
  <c r="BD292" i="19"/>
  <c r="BC292" i="19"/>
  <c r="BB292" i="19"/>
  <c r="BA292" i="19"/>
  <c r="AZ292" i="19"/>
  <c r="AY292" i="19"/>
  <c r="AW292" i="19"/>
  <c r="AV292" i="19"/>
  <c r="AU292" i="19"/>
  <c r="AT292" i="19"/>
  <c r="AS292" i="19"/>
  <c r="AR292" i="19"/>
  <c r="BI291" i="19"/>
  <c r="BH291" i="19"/>
  <c r="BD291" i="19"/>
  <c r="BC291" i="19"/>
  <c r="BB291" i="19"/>
  <c r="BA291" i="19"/>
  <c r="AZ291" i="19"/>
  <c r="AY291" i="19"/>
  <c r="AW291" i="19"/>
  <c r="AV291" i="19"/>
  <c r="AU291" i="19"/>
  <c r="AT291" i="19"/>
  <c r="AS291" i="19"/>
  <c r="AR291" i="19"/>
  <c r="BI290" i="19"/>
  <c r="BH290" i="19"/>
  <c r="BD290" i="19"/>
  <c r="BC290" i="19"/>
  <c r="BB290" i="19"/>
  <c r="BA290" i="19"/>
  <c r="AZ290" i="19"/>
  <c r="AY290" i="19"/>
  <c r="AW290" i="19"/>
  <c r="AV290" i="19"/>
  <c r="AU290" i="19"/>
  <c r="AT290" i="19"/>
  <c r="AS290" i="19"/>
  <c r="AR290" i="19"/>
  <c r="BI289" i="19"/>
  <c r="BH289" i="19"/>
  <c r="BD289" i="19"/>
  <c r="BC289" i="19"/>
  <c r="BB289" i="19"/>
  <c r="BA289" i="19"/>
  <c r="AZ289" i="19"/>
  <c r="AY289" i="19"/>
  <c r="AW289" i="19"/>
  <c r="AV289" i="19"/>
  <c r="AU289" i="19"/>
  <c r="AT289" i="19"/>
  <c r="AS289" i="19"/>
  <c r="AR289" i="19"/>
  <c r="BI288" i="19"/>
  <c r="BH288" i="19"/>
  <c r="BD288" i="19"/>
  <c r="BC288" i="19"/>
  <c r="BB288" i="19"/>
  <c r="BA288" i="19"/>
  <c r="AZ288" i="19"/>
  <c r="AY288" i="19"/>
  <c r="AW288" i="19"/>
  <c r="AV288" i="19"/>
  <c r="AU288" i="19"/>
  <c r="AT288" i="19"/>
  <c r="AS288" i="19"/>
  <c r="AR288" i="19"/>
  <c r="BI287" i="19"/>
  <c r="BH287" i="19"/>
  <c r="BD287" i="19"/>
  <c r="BC287" i="19"/>
  <c r="BB287" i="19"/>
  <c r="BA287" i="19"/>
  <c r="AZ287" i="19"/>
  <c r="AY287" i="19"/>
  <c r="AW287" i="19"/>
  <c r="AV287" i="19"/>
  <c r="AU287" i="19"/>
  <c r="AT287" i="19"/>
  <c r="AS287" i="19"/>
  <c r="AR287" i="19"/>
  <c r="BI286" i="19"/>
  <c r="BH286" i="19"/>
  <c r="BD286" i="19"/>
  <c r="BC286" i="19"/>
  <c r="BB286" i="19"/>
  <c r="BA286" i="19"/>
  <c r="AZ286" i="19"/>
  <c r="AY286" i="19"/>
  <c r="AW286" i="19"/>
  <c r="AV286" i="19"/>
  <c r="AU286" i="19"/>
  <c r="AT286" i="19"/>
  <c r="AS286" i="19"/>
  <c r="AR286" i="19"/>
  <c r="BI285" i="19"/>
  <c r="BH285" i="19"/>
  <c r="BD285" i="19"/>
  <c r="BC285" i="19"/>
  <c r="BB285" i="19"/>
  <c r="BA285" i="19"/>
  <c r="AZ285" i="19"/>
  <c r="AY285" i="19"/>
  <c r="AW285" i="19"/>
  <c r="AV285" i="19"/>
  <c r="AU285" i="19"/>
  <c r="AT285" i="19"/>
  <c r="AS285" i="19"/>
  <c r="AR285" i="19"/>
  <c r="BI284" i="19"/>
  <c r="BH284" i="19"/>
  <c r="BD284" i="19"/>
  <c r="BC284" i="19"/>
  <c r="BB284" i="19"/>
  <c r="BA284" i="19"/>
  <c r="AZ284" i="19"/>
  <c r="AY284" i="19"/>
  <c r="AW284" i="19"/>
  <c r="AV284" i="19"/>
  <c r="AU284" i="19"/>
  <c r="AT284" i="19"/>
  <c r="AS284" i="19"/>
  <c r="AR284" i="19"/>
  <c r="BI283" i="19"/>
  <c r="BH283" i="19"/>
  <c r="BD283" i="19"/>
  <c r="BC283" i="19"/>
  <c r="BB283" i="19"/>
  <c r="BA283" i="19"/>
  <c r="AZ283" i="19"/>
  <c r="AY283" i="19"/>
  <c r="AW283" i="19"/>
  <c r="AV283" i="19"/>
  <c r="AU283" i="19"/>
  <c r="AT283" i="19"/>
  <c r="AS283" i="19"/>
  <c r="AR283" i="19"/>
  <c r="BI282" i="19"/>
  <c r="BH282" i="19"/>
  <c r="BD282" i="19"/>
  <c r="BC282" i="19"/>
  <c r="BB282" i="19"/>
  <c r="BA282" i="19"/>
  <c r="AZ282" i="19"/>
  <c r="AY282" i="19"/>
  <c r="AW282" i="19"/>
  <c r="AV282" i="19"/>
  <c r="AU282" i="19"/>
  <c r="AT282" i="19"/>
  <c r="AS282" i="19"/>
  <c r="AR282" i="19"/>
  <c r="BI281" i="19"/>
  <c r="BH281" i="19"/>
  <c r="BD281" i="19"/>
  <c r="BC281" i="19"/>
  <c r="BB281" i="19"/>
  <c r="BA281" i="19"/>
  <c r="AZ281" i="19"/>
  <c r="AY281" i="19"/>
  <c r="AW281" i="19"/>
  <c r="AV281" i="19"/>
  <c r="AU281" i="19"/>
  <c r="AT281" i="19"/>
  <c r="AS281" i="19"/>
  <c r="AR281" i="19"/>
  <c r="BI280" i="19"/>
  <c r="BH280" i="19"/>
  <c r="BD280" i="19"/>
  <c r="BC280" i="19"/>
  <c r="BB280" i="19"/>
  <c r="BA280" i="19"/>
  <c r="AZ280" i="19"/>
  <c r="AY280" i="19"/>
  <c r="AW280" i="19"/>
  <c r="AV280" i="19"/>
  <c r="AU280" i="19"/>
  <c r="AT280" i="19"/>
  <c r="AS280" i="19"/>
  <c r="AR280" i="19"/>
  <c r="BI279" i="19"/>
  <c r="BH279" i="19"/>
  <c r="BD279" i="19"/>
  <c r="BC279" i="19"/>
  <c r="BB279" i="19"/>
  <c r="BA279" i="19"/>
  <c r="AZ279" i="19"/>
  <c r="AY279" i="19"/>
  <c r="AW279" i="19"/>
  <c r="AV279" i="19"/>
  <c r="AU279" i="19"/>
  <c r="AT279" i="19"/>
  <c r="AS279" i="19"/>
  <c r="AR279" i="19"/>
  <c r="BI278" i="19"/>
  <c r="BH278" i="19"/>
  <c r="BD278" i="19"/>
  <c r="BC278" i="19"/>
  <c r="BB278" i="19"/>
  <c r="BA278" i="19"/>
  <c r="AZ278" i="19"/>
  <c r="AY278" i="19"/>
  <c r="AW278" i="19"/>
  <c r="AV278" i="19"/>
  <c r="AU278" i="19"/>
  <c r="AT278" i="19"/>
  <c r="AS278" i="19"/>
  <c r="AR278" i="19"/>
  <c r="BI277" i="19"/>
  <c r="BH277" i="19"/>
  <c r="BD277" i="19"/>
  <c r="BC277" i="19"/>
  <c r="BB277" i="19"/>
  <c r="BA277" i="19"/>
  <c r="AZ277" i="19"/>
  <c r="AY277" i="19"/>
  <c r="AW277" i="19"/>
  <c r="AV277" i="19"/>
  <c r="AU277" i="19"/>
  <c r="AT277" i="19"/>
  <c r="AS277" i="19"/>
  <c r="AR277" i="19"/>
  <c r="BI276" i="19"/>
  <c r="BH276" i="19"/>
  <c r="BD276" i="19"/>
  <c r="BC276" i="19"/>
  <c r="BB276" i="19"/>
  <c r="BA276" i="19"/>
  <c r="AZ276" i="19"/>
  <c r="AY276" i="19"/>
  <c r="AW276" i="19"/>
  <c r="AV276" i="19"/>
  <c r="AU276" i="19"/>
  <c r="AT276" i="19"/>
  <c r="AS276" i="19"/>
  <c r="AR276" i="19"/>
  <c r="BI275" i="19"/>
  <c r="BH275" i="19"/>
  <c r="BD275" i="19"/>
  <c r="BC275" i="19"/>
  <c r="BB275" i="19"/>
  <c r="BA275" i="19"/>
  <c r="AZ275" i="19"/>
  <c r="AY275" i="19"/>
  <c r="AW275" i="19"/>
  <c r="AV275" i="19"/>
  <c r="AU275" i="19"/>
  <c r="AT275" i="19"/>
  <c r="AS275" i="19"/>
  <c r="AR275" i="19"/>
  <c r="BI274" i="19"/>
  <c r="BH274" i="19"/>
  <c r="BD274" i="19"/>
  <c r="BC274" i="19"/>
  <c r="BB274" i="19"/>
  <c r="BA274" i="19"/>
  <c r="AZ274" i="19"/>
  <c r="AY274" i="19"/>
  <c r="AW274" i="19"/>
  <c r="AV274" i="19"/>
  <c r="AU274" i="19"/>
  <c r="AT274" i="19"/>
  <c r="AS274" i="19"/>
  <c r="AR274" i="19"/>
  <c r="BI273" i="19"/>
  <c r="BH273" i="19"/>
  <c r="BD273" i="19"/>
  <c r="BC273" i="19"/>
  <c r="BB273" i="19"/>
  <c r="BA273" i="19"/>
  <c r="AZ273" i="19"/>
  <c r="AY273" i="19"/>
  <c r="AW273" i="19"/>
  <c r="AV273" i="19"/>
  <c r="AU273" i="19"/>
  <c r="AT273" i="19"/>
  <c r="AS273" i="19"/>
  <c r="AR273" i="19"/>
  <c r="BI272" i="19"/>
  <c r="BH272" i="19"/>
  <c r="BD272" i="19"/>
  <c r="BC272" i="19"/>
  <c r="BB272" i="19"/>
  <c r="BA272" i="19"/>
  <c r="AZ272" i="19"/>
  <c r="AY272" i="19"/>
  <c r="AW272" i="19"/>
  <c r="AV272" i="19"/>
  <c r="AU272" i="19"/>
  <c r="AT272" i="19"/>
  <c r="AS272" i="19"/>
  <c r="AR272" i="19"/>
  <c r="BI271" i="19"/>
  <c r="BH271" i="19"/>
  <c r="BD271" i="19"/>
  <c r="BC271" i="19"/>
  <c r="BB271" i="19"/>
  <c r="BA271" i="19"/>
  <c r="AZ271" i="19"/>
  <c r="AY271" i="19"/>
  <c r="AW271" i="19"/>
  <c r="AV271" i="19"/>
  <c r="AU271" i="19"/>
  <c r="AT271" i="19"/>
  <c r="AS271" i="19"/>
  <c r="AR271" i="19"/>
  <c r="BI270" i="19"/>
  <c r="BH270" i="19"/>
  <c r="BD270" i="19"/>
  <c r="BC270" i="19"/>
  <c r="BB270" i="19"/>
  <c r="BA270" i="19"/>
  <c r="AZ270" i="19"/>
  <c r="AY270" i="19"/>
  <c r="AW270" i="19"/>
  <c r="AV270" i="19"/>
  <c r="AU270" i="19"/>
  <c r="AT270" i="19"/>
  <c r="AS270" i="19"/>
  <c r="AR270" i="19"/>
  <c r="BI269" i="19"/>
  <c r="BH269" i="19"/>
  <c r="BD269" i="19"/>
  <c r="BC269" i="19"/>
  <c r="BB269" i="19"/>
  <c r="BA269" i="19"/>
  <c r="AZ269" i="19"/>
  <c r="AY269" i="19"/>
  <c r="AW269" i="19"/>
  <c r="AV269" i="19"/>
  <c r="AU269" i="19"/>
  <c r="AT269" i="19"/>
  <c r="AS269" i="19"/>
  <c r="AR269" i="19"/>
  <c r="BI268" i="19"/>
  <c r="BH268" i="19"/>
  <c r="BD268" i="19"/>
  <c r="BC268" i="19"/>
  <c r="BB268" i="19"/>
  <c r="BA268" i="19"/>
  <c r="AZ268" i="19"/>
  <c r="AY268" i="19"/>
  <c r="AW268" i="19"/>
  <c r="AV268" i="19"/>
  <c r="AU268" i="19"/>
  <c r="AT268" i="19"/>
  <c r="AS268" i="19"/>
  <c r="AR268" i="19"/>
  <c r="BI267" i="19"/>
  <c r="BH267" i="19"/>
  <c r="BD267" i="19"/>
  <c r="BC267" i="19"/>
  <c r="BB267" i="19"/>
  <c r="BA267" i="19"/>
  <c r="AZ267" i="19"/>
  <c r="AY267" i="19"/>
  <c r="AW267" i="19"/>
  <c r="AV267" i="19"/>
  <c r="AU267" i="19"/>
  <c r="AT267" i="19"/>
  <c r="AS267" i="19"/>
  <c r="AR267" i="19"/>
  <c r="BI266" i="19"/>
  <c r="BH266" i="19"/>
  <c r="BD266" i="19"/>
  <c r="BC266" i="19"/>
  <c r="BB266" i="19"/>
  <c r="BA266" i="19"/>
  <c r="AZ266" i="19"/>
  <c r="AY266" i="19"/>
  <c r="AW266" i="19"/>
  <c r="AV266" i="19"/>
  <c r="AU266" i="19"/>
  <c r="AT266" i="19"/>
  <c r="AS266" i="19"/>
  <c r="AR266" i="19"/>
  <c r="BK258" i="19"/>
  <c r="BJ258" i="19"/>
  <c r="BI258" i="19"/>
  <c r="BH258" i="19"/>
  <c r="BG258" i="19"/>
  <c r="BF258" i="19"/>
  <c r="BD258" i="19"/>
  <c r="BC258" i="19"/>
  <c r="BB258" i="19"/>
  <c r="BA258" i="19"/>
  <c r="AZ258" i="19"/>
  <c r="AY258" i="19"/>
  <c r="AW258" i="19"/>
  <c r="AV258" i="19"/>
  <c r="AU258" i="19"/>
  <c r="AT258" i="19"/>
  <c r="AS258" i="19"/>
  <c r="AR258" i="19"/>
  <c r="BK257" i="19"/>
  <c r="BJ257" i="19"/>
  <c r="BI257" i="19"/>
  <c r="BH257" i="19"/>
  <c r="BG257" i="19"/>
  <c r="BF257" i="19"/>
  <c r="BD257" i="19"/>
  <c r="BC257" i="19"/>
  <c r="BB257" i="19"/>
  <c r="BA257" i="19"/>
  <c r="AZ257" i="19"/>
  <c r="AY257" i="19"/>
  <c r="AW257" i="19"/>
  <c r="AV257" i="19"/>
  <c r="AU257" i="19"/>
  <c r="AT257" i="19"/>
  <c r="AS257" i="19"/>
  <c r="AR257" i="19"/>
  <c r="BK256" i="19"/>
  <c r="BJ256" i="19"/>
  <c r="BI256" i="19"/>
  <c r="BH256" i="19"/>
  <c r="BG256" i="19"/>
  <c r="BF256" i="19"/>
  <c r="BD256" i="19"/>
  <c r="BC256" i="19"/>
  <c r="BB256" i="19"/>
  <c r="BA256" i="19"/>
  <c r="AZ256" i="19"/>
  <c r="AY256" i="19"/>
  <c r="AW256" i="19"/>
  <c r="AV256" i="19"/>
  <c r="AU256" i="19"/>
  <c r="AT256" i="19"/>
  <c r="AS256" i="19"/>
  <c r="AR256" i="19"/>
  <c r="BK255" i="19"/>
  <c r="BJ255" i="19"/>
  <c r="BI255" i="19"/>
  <c r="BH255" i="19"/>
  <c r="BG255" i="19"/>
  <c r="BF255" i="19"/>
  <c r="BD255" i="19"/>
  <c r="BC255" i="19"/>
  <c r="BB255" i="19"/>
  <c r="BA255" i="19"/>
  <c r="AZ255" i="19"/>
  <c r="AY255" i="19"/>
  <c r="AW255" i="19"/>
  <c r="AV255" i="19"/>
  <c r="AU255" i="19"/>
  <c r="AT255" i="19"/>
  <c r="AS255" i="19"/>
  <c r="AR255" i="19"/>
  <c r="BK254" i="19"/>
  <c r="BJ254" i="19"/>
  <c r="BI254" i="19"/>
  <c r="BH254" i="19"/>
  <c r="BG254" i="19"/>
  <c r="BF254" i="19"/>
  <c r="BD254" i="19"/>
  <c r="BC254" i="19"/>
  <c r="BB254" i="19"/>
  <c r="BA254" i="19"/>
  <c r="AZ254" i="19"/>
  <c r="AY254" i="19"/>
  <c r="AW254" i="19"/>
  <c r="AV254" i="19"/>
  <c r="AU254" i="19"/>
  <c r="AT254" i="19"/>
  <c r="AS254" i="19"/>
  <c r="AR254" i="19"/>
  <c r="BK253" i="19"/>
  <c r="BJ253" i="19"/>
  <c r="BI253" i="19"/>
  <c r="BH253" i="19"/>
  <c r="BG253" i="19"/>
  <c r="BF253" i="19"/>
  <c r="BD253" i="19"/>
  <c r="BC253" i="19"/>
  <c r="BB253" i="19"/>
  <c r="BA253" i="19"/>
  <c r="AZ253" i="19"/>
  <c r="AY253" i="19"/>
  <c r="AW253" i="19"/>
  <c r="AV253" i="19"/>
  <c r="AU253" i="19"/>
  <c r="AT253" i="19"/>
  <c r="AS253" i="19"/>
  <c r="AR253" i="19"/>
  <c r="BK252" i="19"/>
  <c r="BJ252" i="19"/>
  <c r="BI252" i="19"/>
  <c r="BH252" i="19"/>
  <c r="BG252" i="19"/>
  <c r="BF252" i="19"/>
  <c r="BD252" i="19"/>
  <c r="BC252" i="19"/>
  <c r="BB252" i="19"/>
  <c r="BA252" i="19"/>
  <c r="AZ252" i="19"/>
  <c r="AY252" i="19"/>
  <c r="AW252" i="19"/>
  <c r="AV252" i="19"/>
  <c r="AU252" i="19"/>
  <c r="AT252" i="19"/>
  <c r="AS252" i="19"/>
  <c r="AR252" i="19"/>
  <c r="BK251" i="19"/>
  <c r="BJ251" i="19"/>
  <c r="BI251" i="19"/>
  <c r="BH251" i="19"/>
  <c r="BG251" i="19"/>
  <c r="BF251" i="19"/>
  <c r="BD251" i="19"/>
  <c r="BC251" i="19"/>
  <c r="BB251" i="19"/>
  <c r="BA251" i="19"/>
  <c r="AZ251" i="19"/>
  <c r="AY251" i="19"/>
  <c r="AW251" i="19"/>
  <c r="AV251" i="19"/>
  <c r="AU251" i="19"/>
  <c r="AT251" i="19"/>
  <c r="AS251" i="19"/>
  <c r="AR251" i="19"/>
  <c r="BK250" i="19"/>
  <c r="BJ250" i="19"/>
  <c r="BI250" i="19"/>
  <c r="BH250" i="19"/>
  <c r="BG250" i="19"/>
  <c r="BF250" i="19"/>
  <c r="BD250" i="19"/>
  <c r="BC250" i="19"/>
  <c r="BB250" i="19"/>
  <c r="BA250" i="19"/>
  <c r="AZ250" i="19"/>
  <c r="AY250" i="19"/>
  <c r="AW250" i="19"/>
  <c r="AV250" i="19"/>
  <c r="AU250" i="19"/>
  <c r="AT250" i="19"/>
  <c r="AS250" i="19"/>
  <c r="AR250" i="19"/>
  <c r="BK248" i="19"/>
  <c r="BJ248" i="19"/>
  <c r="BI248" i="19"/>
  <c r="BH248" i="19"/>
  <c r="BG248" i="19"/>
  <c r="BF248" i="19"/>
  <c r="BD248" i="19"/>
  <c r="BC248" i="19"/>
  <c r="BB248" i="19"/>
  <c r="BA248" i="19"/>
  <c r="AZ248" i="19"/>
  <c r="AY248" i="19"/>
  <c r="AW248" i="19"/>
  <c r="AV248" i="19"/>
  <c r="AU248" i="19"/>
  <c r="AT248" i="19"/>
  <c r="AS248" i="19"/>
  <c r="AR248" i="19"/>
  <c r="BK247" i="19"/>
  <c r="BJ247" i="19"/>
  <c r="BI247" i="19"/>
  <c r="BH247" i="19"/>
  <c r="BG247" i="19"/>
  <c r="BF247" i="19"/>
  <c r="BD247" i="19"/>
  <c r="BC247" i="19"/>
  <c r="BB247" i="19"/>
  <c r="BA247" i="19"/>
  <c r="AZ247" i="19"/>
  <c r="AY247" i="19"/>
  <c r="AW247" i="19"/>
  <c r="AV247" i="19"/>
  <c r="AU247" i="19"/>
  <c r="AT247" i="19"/>
  <c r="AS247" i="19"/>
  <c r="AR247" i="19"/>
  <c r="BK246" i="19"/>
  <c r="BJ246" i="19"/>
  <c r="BI246" i="19"/>
  <c r="BH246" i="19"/>
  <c r="BG246" i="19"/>
  <c r="BF246" i="19"/>
  <c r="BD246" i="19"/>
  <c r="BC246" i="19"/>
  <c r="BB246" i="19"/>
  <c r="BA246" i="19"/>
  <c r="AZ246" i="19"/>
  <c r="AY246" i="19"/>
  <c r="AW246" i="19"/>
  <c r="AV246" i="19"/>
  <c r="AU246" i="19"/>
  <c r="AT246" i="19"/>
  <c r="AS246" i="19"/>
  <c r="AR246" i="19"/>
  <c r="BK245" i="19"/>
  <c r="BJ245" i="19"/>
  <c r="BI245" i="19"/>
  <c r="BH245" i="19"/>
  <c r="BG245" i="19"/>
  <c r="BF245" i="19"/>
  <c r="BD245" i="19"/>
  <c r="BC245" i="19"/>
  <c r="BB245" i="19"/>
  <c r="BA245" i="19"/>
  <c r="AZ245" i="19"/>
  <c r="AY245" i="19"/>
  <c r="AW245" i="19"/>
  <c r="AV245" i="19"/>
  <c r="AU245" i="19"/>
  <c r="AT245" i="19"/>
  <c r="AS245" i="19"/>
  <c r="AR245" i="19"/>
  <c r="BK244" i="19"/>
  <c r="BJ244" i="19"/>
  <c r="BI244" i="19"/>
  <c r="BH244" i="19"/>
  <c r="BG244" i="19"/>
  <c r="BF244" i="19"/>
  <c r="BD244" i="19"/>
  <c r="BC244" i="19"/>
  <c r="BB244" i="19"/>
  <c r="BA244" i="19"/>
  <c r="AZ244" i="19"/>
  <c r="AY244" i="19"/>
  <c r="AW244" i="19"/>
  <c r="AV244" i="19"/>
  <c r="AU244" i="19"/>
  <c r="AT244" i="19"/>
  <c r="AS244" i="19"/>
  <c r="AR244" i="19"/>
  <c r="BK243" i="19"/>
  <c r="BJ243" i="19"/>
  <c r="BI243" i="19"/>
  <c r="BH243" i="19"/>
  <c r="BG243" i="19"/>
  <c r="BF243" i="19"/>
  <c r="BD243" i="19"/>
  <c r="BC243" i="19"/>
  <c r="BB243" i="19"/>
  <c r="BA243" i="19"/>
  <c r="AZ243" i="19"/>
  <c r="AY243" i="19"/>
  <c r="AW243" i="19"/>
  <c r="AV243" i="19"/>
  <c r="AU243" i="19"/>
  <c r="AT243" i="19"/>
  <c r="AS243" i="19"/>
  <c r="AR243" i="19"/>
  <c r="BK242" i="19"/>
  <c r="BJ242" i="19"/>
  <c r="BI242" i="19"/>
  <c r="BH242" i="19"/>
  <c r="BG242" i="19"/>
  <c r="BF242" i="19"/>
  <c r="BD242" i="19"/>
  <c r="BC242" i="19"/>
  <c r="BB242" i="19"/>
  <c r="BA242" i="19"/>
  <c r="AZ242" i="19"/>
  <c r="AY242" i="19"/>
  <c r="AW242" i="19"/>
  <c r="AV242" i="19"/>
  <c r="AU242" i="19"/>
  <c r="AT242" i="19"/>
  <c r="AS242" i="19"/>
  <c r="AR242" i="19"/>
  <c r="BK241" i="19"/>
  <c r="BJ241" i="19"/>
  <c r="BI241" i="19"/>
  <c r="BH241" i="19"/>
  <c r="BG241" i="19"/>
  <c r="BF241" i="19"/>
  <c r="BD241" i="19"/>
  <c r="BC241" i="19"/>
  <c r="BB241" i="19"/>
  <c r="BA241" i="19"/>
  <c r="AZ241" i="19"/>
  <c r="AY241" i="19"/>
  <c r="AW241" i="19"/>
  <c r="AV241" i="19"/>
  <c r="AU241" i="19"/>
  <c r="AT241" i="19"/>
  <c r="AS241" i="19"/>
  <c r="AR241" i="19"/>
  <c r="BK240" i="19"/>
  <c r="BJ240" i="19"/>
  <c r="BI240" i="19"/>
  <c r="BH240" i="19"/>
  <c r="BG240" i="19"/>
  <c r="BF240" i="19"/>
  <c r="BD240" i="19"/>
  <c r="BC240" i="19"/>
  <c r="BB240" i="19"/>
  <c r="BA240" i="19"/>
  <c r="AZ240" i="19"/>
  <c r="AY240" i="19"/>
  <c r="AW240" i="19"/>
  <c r="AV240" i="19"/>
  <c r="AU240" i="19"/>
  <c r="AT240" i="19"/>
  <c r="AS240" i="19"/>
  <c r="AR240" i="19"/>
  <c r="BK239" i="19"/>
  <c r="BJ239" i="19"/>
  <c r="BI239" i="19"/>
  <c r="BH239" i="19"/>
  <c r="BG239" i="19"/>
  <c r="BF239" i="19"/>
  <c r="BD239" i="19"/>
  <c r="BC239" i="19"/>
  <c r="BB239" i="19"/>
  <c r="BA239" i="19"/>
  <c r="AZ239" i="19"/>
  <c r="AY239" i="19"/>
  <c r="AW239" i="19"/>
  <c r="AV239" i="19"/>
  <c r="AU239" i="19"/>
  <c r="AT239" i="19"/>
  <c r="AS239" i="19"/>
  <c r="AR239" i="19"/>
  <c r="BK238" i="19"/>
  <c r="BJ238" i="19"/>
  <c r="BI238" i="19"/>
  <c r="BH238" i="19"/>
  <c r="BG238" i="19"/>
  <c r="BF238" i="19"/>
  <c r="BD238" i="19"/>
  <c r="BC238" i="19"/>
  <c r="BB238" i="19"/>
  <c r="BA238" i="19"/>
  <c r="AZ238" i="19"/>
  <c r="AY238" i="19"/>
  <c r="AW238" i="19"/>
  <c r="AV238" i="19"/>
  <c r="AU238" i="19"/>
  <c r="AT238" i="19"/>
  <c r="AS238" i="19"/>
  <c r="AR238" i="19"/>
  <c r="BK237" i="19"/>
  <c r="BJ237" i="19"/>
  <c r="BI237" i="19"/>
  <c r="BH237" i="19"/>
  <c r="BG237" i="19"/>
  <c r="BF237" i="19"/>
  <c r="BD237" i="19"/>
  <c r="BC237" i="19"/>
  <c r="BB237" i="19"/>
  <c r="BA237" i="19"/>
  <c r="AZ237" i="19"/>
  <c r="AY237" i="19"/>
  <c r="AW237" i="19"/>
  <c r="AV237" i="19"/>
  <c r="AU237" i="19"/>
  <c r="AT237" i="19"/>
  <c r="AS237" i="19"/>
  <c r="AR237" i="19"/>
  <c r="BK236" i="19"/>
  <c r="BJ236" i="19"/>
  <c r="BI236" i="19"/>
  <c r="BH236" i="19"/>
  <c r="BG236" i="19"/>
  <c r="BF236" i="19"/>
  <c r="BD236" i="19"/>
  <c r="BC236" i="19"/>
  <c r="BB236" i="19"/>
  <c r="BA236" i="19"/>
  <c r="AZ236" i="19"/>
  <c r="AY236" i="19"/>
  <c r="AW236" i="19"/>
  <c r="AV236" i="19"/>
  <c r="AU236" i="19"/>
  <c r="AT236" i="19"/>
  <c r="AS236" i="19"/>
  <c r="AR236" i="19"/>
  <c r="BK235" i="19"/>
  <c r="BJ235" i="19"/>
  <c r="BI235" i="19"/>
  <c r="BH235" i="19"/>
  <c r="BG235" i="19"/>
  <c r="BF235" i="19"/>
  <c r="BD235" i="19"/>
  <c r="BC235" i="19"/>
  <c r="BB235" i="19"/>
  <c r="BA235" i="19"/>
  <c r="AZ235" i="19"/>
  <c r="AY235" i="19"/>
  <c r="AW235" i="19"/>
  <c r="AV235" i="19"/>
  <c r="AU235" i="19"/>
  <c r="AT235" i="19"/>
  <c r="AS235" i="19"/>
  <c r="AR235" i="19"/>
  <c r="BK234" i="19"/>
  <c r="BJ234" i="19"/>
  <c r="BI234" i="19"/>
  <c r="BH234" i="19"/>
  <c r="BG234" i="19"/>
  <c r="BF234" i="19"/>
  <c r="BD234" i="19"/>
  <c r="BC234" i="19"/>
  <c r="BB234" i="19"/>
  <c r="BA234" i="19"/>
  <c r="AZ234" i="19"/>
  <c r="AY234" i="19"/>
  <c r="AW234" i="19"/>
  <c r="AV234" i="19"/>
  <c r="AU234" i="19"/>
  <c r="AT234" i="19"/>
  <c r="AS234" i="19"/>
  <c r="AR234" i="19"/>
  <c r="BK233" i="19"/>
  <c r="BJ233" i="19"/>
  <c r="BI233" i="19"/>
  <c r="BH233" i="19"/>
  <c r="BG233" i="19"/>
  <c r="BF233" i="19"/>
  <c r="BD233" i="19"/>
  <c r="BC233" i="19"/>
  <c r="BB233" i="19"/>
  <c r="BA233" i="19"/>
  <c r="AZ233" i="19"/>
  <c r="AY233" i="19"/>
  <c r="AW233" i="19"/>
  <c r="AV233" i="19"/>
  <c r="AU233" i="19"/>
  <c r="AT233" i="19"/>
  <c r="AS233" i="19"/>
  <c r="AR233" i="19"/>
  <c r="BK232" i="19"/>
  <c r="BJ232" i="19"/>
  <c r="BI232" i="19"/>
  <c r="BH232" i="19"/>
  <c r="BG232" i="19"/>
  <c r="BF232" i="19"/>
  <c r="BD232" i="19"/>
  <c r="BC232" i="19"/>
  <c r="BB232" i="19"/>
  <c r="BA232" i="19"/>
  <c r="AZ232" i="19"/>
  <c r="AY232" i="19"/>
  <c r="AW232" i="19"/>
  <c r="AV232" i="19"/>
  <c r="AU232" i="19"/>
  <c r="AT232" i="19"/>
  <c r="AS232" i="19"/>
  <c r="AR232" i="19"/>
  <c r="BK231" i="19"/>
  <c r="BJ231" i="19"/>
  <c r="BI231" i="19"/>
  <c r="BH231" i="19"/>
  <c r="BG231" i="19"/>
  <c r="BF231" i="19"/>
  <c r="BD231" i="19"/>
  <c r="BC231" i="19"/>
  <c r="BB231" i="19"/>
  <c r="BA231" i="19"/>
  <c r="AZ231" i="19"/>
  <c r="AY231" i="19"/>
  <c r="AW231" i="19"/>
  <c r="AV231" i="19"/>
  <c r="AU231" i="19"/>
  <c r="AT231" i="19"/>
  <c r="AS231" i="19"/>
  <c r="AR231" i="19"/>
  <c r="BK230" i="19"/>
  <c r="BJ230" i="19"/>
  <c r="BI230" i="19"/>
  <c r="BH230" i="19"/>
  <c r="BG230" i="19"/>
  <c r="BF230" i="19"/>
  <c r="BD230" i="19"/>
  <c r="BC230" i="19"/>
  <c r="BB230" i="19"/>
  <c r="BA230" i="19"/>
  <c r="AZ230" i="19"/>
  <c r="AY230" i="19"/>
  <c r="AW230" i="19"/>
  <c r="AV230" i="19"/>
  <c r="AU230" i="19"/>
  <c r="AT230" i="19"/>
  <c r="AS230" i="19"/>
  <c r="AR230" i="19"/>
  <c r="BK229" i="19"/>
  <c r="BJ229" i="19"/>
  <c r="BI229" i="19"/>
  <c r="BH229" i="19"/>
  <c r="BG229" i="19"/>
  <c r="BF229" i="19"/>
  <c r="BD229" i="19"/>
  <c r="BC229" i="19"/>
  <c r="BB229" i="19"/>
  <c r="BA229" i="19"/>
  <c r="AZ229" i="19"/>
  <c r="AY229" i="19"/>
  <c r="AW229" i="19"/>
  <c r="AV229" i="19"/>
  <c r="AU229" i="19"/>
  <c r="AT229" i="19"/>
  <c r="AS229" i="19"/>
  <c r="AR229" i="19"/>
  <c r="BK228" i="19"/>
  <c r="BJ228" i="19"/>
  <c r="BI228" i="19"/>
  <c r="BH228" i="19"/>
  <c r="BG228" i="19"/>
  <c r="BF228" i="19"/>
  <c r="BD228" i="19"/>
  <c r="BC228" i="19"/>
  <c r="BB228" i="19"/>
  <c r="BA228" i="19"/>
  <c r="AZ228" i="19"/>
  <c r="AY228" i="19"/>
  <c r="AW228" i="19"/>
  <c r="AV228" i="19"/>
  <c r="AU228" i="19"/>
  <c r="AT228" i="19"/>
  <c r="AS228" i="19"/>
  <c r="AR228" i="19"/>
  <c r="BK227" i="19"/>
  <c r="BJ227" i="19"/>
  <c r="BI227" i="19"/>
  <c r="BH227" i="19"/>
  <c r="BG227" i="19"/>
  <c r="BF227" i="19"/>
  <c r="BD227" i="19"/>
  <c r="BC227" i="19"/>
  <c r="BB227" i="19"/>
  <c r="BA227" i="19"/>
  <c r="AZ227" i="19"/>
  <c r="AY227" i="19"/>
  <c r="AW227" i="19"/>
  <c r="AV227" i="19"/>
  <c r="AU227" i="19"/>
  <c r="AT227" i="19"/>
  <c r="AS227" i="19"/>
  <c r="AR227" i="19"/>
  <c r="BK226" i="19"/>
  <c r="BJ226" i="19"/>
  <c r="BI226" i="19"/>
  <c r="BH226" i="19"/>
  <c r="BG226" i="19"/>
  <c r="BF226" i="19"/>
  <c r="BD226" i="19"/>
  <c r="BC226" i="19"/>
  <c r="BB226" i="19"/>
  <c r="BA226" i="19"/>
  <c r="AZ226" i="19"/>
  <c r="AY226" i="19"/>
  <c r="AW226" i="19"/>
  <c r="AV226" i="19"/>
  <c r="AU226" i="19"/>
  <c r="AT226" i="19"/>
  <c r="AS226" i="19"/>
  <c r="AR226" i="19"/>
  <c r="BK225" i="19"/>
  <c r="BJ225" i="19"/>
  <c r="BI225" i="19"/>
  <c r="BH225" i="19"/>
  <c r="BG225" i="19"/>
  <c r="BF225" i="19"/>
  <c r="BD225" i="19"/>
  <c r="BC225" i="19"/>
  <c r="BB225" i="19"/>
  <c r="BA225" i="19"/>
  <c r="AZ225" i="19"/>
  <c r="AY225" i="19"/>
  <c r="AW225" i="19"/>
  <c r="AV225" i="19"/>
  <c r="AU225" i="19"/>
  <c r="AT225" i="19"/>
  <c r="AS225" i="19"/>
  <c r="AR225" i="19"/>
  <c r="BK224" i="19"/>
  <c r="BJ224" i="19"/>
  <c r="BI224" i="19"/>
  <c r="BH224" i="19"/>
  <c r="BG224" i="19"/>
  <c r="BF224" i="19"/>
  <c r="BD224" i="19"/>
  <c r="BC224" i="19"/>
  <c r="BB224" i="19"/>
  <c r="BA224" i="19"/>
  <c r="AZ224" i="19"/>
  <c r="AY224" i="19"/>
  <c r="AW224" i="19"/>
  <c r="AV224" i="19"/>
  <c r="AU224" i="19"/>
  <c r="AT224" i="19"/>
  <c r="AS224" i="19"/>
  <c r="AR224" i="19"/>
  <c r="BK223" i="19"/>
  <c r="BJ223" i="19"/>
  <c r="BI223" i="19"/>
  <c r="BH223" i="19"/>
  <c r="BG223" i="19"/>
  <c r="BF223" i="19"/>
  <c r="BD223" i="19"/>
  <c r="BC223" i="19"/>
  <c r="BB223" i="19"/>
  <c r="BA223" i="19"/>
  <c r="AZ223" i="19"/>
  <c r="AY223" i="19"/>
  <c r="AW223" i="19"/>
  <c r="AV223" i="19"/>
  <c r="AU223" i="19"/>
  <c r="AT223" i="19"/>
  <c r="AS223" i="19"/>
  <c r="AR223" i="19"/>
  <c r="BK222" i="19"/>
  <c r="BJ222" i="19"/>
  <c r="BI222" i="19"/>
  <c r="BH222" i="19"/>
  <c r="BG222" i="19"/>
  <c r="BF222" i="19"/>
  <c r="BD222" i="19"/>
  <c r="BC222" i="19"/>
  <c r="BB222" i="19"/>
  <c r="BA222" i="19"/>
  <c r="AZ222" i="19"/>
  <c r="AY222" i="19"/>
  <c r="AW222" i="19"/>
  <c r="AV222" i="19"/>
  <c r="AU222" i="19"/>
  <c r="AT222" i="19"/>
  <c r="AS222" i="19"/>
  <c r="AR222" i="19"/>
  <c r="BK221" i="19"/>
  <c r="BJ221" i="19"/>
  <c r="BI221" i="19"/>
  <c r="BH221" i="19"/>
  <c r="BG221" i="19"/>
  <c r="BF221" i="19"/>
  <c r="BD221" i="19"/>
  <c r="BC221" i="19"/>
  <c r="BB221" i="19"/>
  <c r="BA221" i="19"/>
  <c r="AZ221" i="19"/>
  <c r="AY221" i="19"/>
  <c r="AW221" i="19"/>
  <c r="AV221" i="19"/>
  <c r="AU221" i="19"/>
  <c r="AT221" i="19"/>
  <c r="AS221" i="19"/>
  <c r="AR221" i="19"/>
  <c r="BK220" i="19"/>
  <c r="BJ220" i="19"/>
  <c r="BI220" i="19"/>
  <c r="BH220" i="19"/>
  <c r="BG220" i="19"/>
  <c r="BF220" i="19"/>
  <c r="BD220" i="19"/>
  <c r="BC220" i="19"/>
  <c r="BB220" i="19"/>
  <c r="BA220" i="19"/>
  <c r="AZ220" i="19"/>
  <c r="AY220" i="19"/>
  <c r="AW220" i="19"/>
  <c r="AV220" i="19"/>
  <c r="AU220" i="19"/>
  <c r="AT220" i="19"/>
  <c r="AS220" i="19"/>
  <c r="AR220" i="19"/>
  <c r="BK219" i="19"/>
  <c r="BJ219" i="19"/>
  <c r="BI219" i="19"/>
  <c r="BH219" i="19"/>
  <c r="BG219" i="19"/>
  <c r="BF219" i="19"/>
  <c r="BD219" i="19"/>
  <c r="BC219" i="19"/>
  <c r="BB219" i="19"/>
  <c r="BA219" i="19"/>
  <c r="AZ219" i="19"/>
  <c r="AY219" i="19"/>
  <c r="AW219" i="19"/>
  <c r="AV219" i="19"/>
  <c r="AU219" i="19"/>
  <c r="AT219" i="19"/>
  <c r="AS219" i="19"/>
  <c r="AR219" i="19"/>
  <c r="BK218" i="19"/>
  <c r="BJ218" i="19"/>
  <c r="BI218" i="19"/>
  <c r="BH218" i="19"/>
  <c r="BG218" i="19"/>
  <c r="BF218" i="19"/>
  <c r="BD218" i="19"/>
  <c r="BC218" i="19"/>
  <c r="BB218" i="19"/>
  <c r="BA218" i="19"/>
  <c r="AZ218" i="19"/>
  <c r="AY218" i="19"/>
  <c r="AW218" i="19"/>
  <c r="AV218" i="19"/>
  <c r="AU218" i="19"/>
  <c r="AT218" i="19"/>
  <c r="AS218" i="19"/>
  <c r="AR218" i="19"/>
  <c r="BK217" i="19"/>
  <c r="BJ217" i="19"/>
  <c r="BI217" i="19"/>
  <c r="BH217" i="19"/>
  <c r="BG217" i="19"/>
  <c r="BF217" i="19"/>
  <c r="BD217" i="19"/>
  <c r="BC217" i="19"/>
  <c r="BB217" i="19"/>
  <c r="BA217" i="19"/>
  <c r="AZ217" i="19"/>
  <c r="AY217" i="19"/>
  <c r="AW217" i="19"/>
  <c r="AV217" i="19"/>
  <c r="AU217" i="19"/>
  <c r="AT217" i="19"/>
  <c r="AS217" i="19"/>
  <c r="AR217" i="19"/>
  <c r="BK216" i="19"/>
  <c r="BJ216" i="19"/>
  <c r="BI216" i="19"/>
  <c r="BH216" i="19"/>
  <c r="BG216" i="19"/>
  <c r="BF216" i="19"/>
  <c r="BD216" i="19"/>
  <c r="BC216" i="19"/>
  <c r="BB216" i="19"/>
  <c r="BA216" i="19"/>
  <c r="AZ216" i="19"/>
  <c r="AY216" i="19"/>
  <c r="AW216" i="19"/>
  <c r="AV216" i="19"/>
  <c r="AU216" i="19"/>
  <c r="AT216" i="19"/>
  <c r="AS216" i="19"/>
  <c r="AR216" i="19"/>
  <c r="BK215" i="19"/>
  <c r="BJ215" i="19"/>
  <c r="BI215" i="19"/>
  <c r="BH215" i="19"/>
  <c r="BG215" i="19"/>
  <c r="BF215" i="19"/>
  <c r="BD215" i="19"/>
  <c r="BC215" i="19"/>
  <c r="BB215" i="19"/>
  <c r="BA215" i="19"/>
  <c r="AZ215" i="19"/>
  <c r="AY215" i="19"/>
  <c r="AW215" i="19"/>
  <c r="AV215" i="19"/>
  <c r="AU215" i="19"/>
  <c r="AT215" i="19"/>
  <c r="AS215" i="19"/>
  <c r="AR215" i="19"/>
  <c r="BK214" i="19"/>
  <c r="BJ214" i="19"/>
  <c r="BI214" i="19"/>
  <c r="BH214" i="19"/>
  <c r="BG214" i="19"/>
  <c r="BF214" i="19"/>
  <c r="BD214" i="19"/>
  <c r="BC214" i="19"/>
  <c r="BB214" i="19"/>
  <c r="BA214" i="19"/>
  <c r="AZ214" i="19"/>
  <c r="AY214" i="19"/>
  <c r="AW214" i="19"/>
  <c r="AV214" i="19"/>
  <c r="AU214" i="19"/>
  <c r="AT214" i="19"/>
  <c r="AS214" i="19"/>
  <c r="AR214" i="19"/>
  <c r="BK213" i="19"/>
  <c r="BJ213" i="19"/>
  <c r="BI213" i="19"/>
  <c r="BH213" i="19"/>
  <c r="BG213" i="19"/>
  <c r="BF213" i="19"/>
  <c r="BD213" i="19"/>
  <c r="BC213" i="19"/>
  <c r="BB213" i="19"/>
  <c r="BA213" i="19"/>
  <c r="AZ213" i="19"/>
  <c r="AY213" i="19"/>
  <c r="AW213" i="19"/>
  <c r="AV213" i="19"/>
  <c r="AU213" i="19"/>
  <c r="AT213" i="19"/>
  <c r="AS213" i="19"/>
  <c r="AR213" i="19"/>
  <c r="BK212" i="19"/>
  <c r="BJ212" i="19"/>
  <c r="BI212" i="19"/>
  <c r="BH212" i="19"/>
  <c r="BG212" i="19"/>
  <c r="BF212" i="19"/>
  <c r="BD212" i="19"/>
  <c r="BC212" i="19"/>
  <c r="BB212" i="19"/>
  <c r="BA212" i="19"/>
  <c r="AZ212" i="19"/>
  <c r="AY212" i="19"/>
  <c r="AW212" i="19"/>
  <c r="AV212" i="19"/>
  <c r="AU212" i="19"/>
  <c r="AT212" i="19"/>
  <c r="AS212" i="19"/>
  <c r="AR212" i="19"/>
  <c r="BK211" i="19"/>
  <c r="BJ211" i="19"/>
  <c r="BI211" i="19"/>
  <c r="BH211" i="19"/>
  <c r="BG211" i="19"/>
  <c r="BF211" i="19"/>
  <c r="BD211" i="19"/>
  <c r="BC211" i="19"/>
  <c r="BB211" i="19"/>
  <c r="BA211" i="19"/>
  <c r="AZ211" i="19"/>
  <c r="AY211" i="19"/>
  <c r="AW211" i="19"/>
  <c r="AV211" i="19"/>
  <c r="AU211" i="19"/>
  <c r="AT211" i="19"/>
  <c r="AS211" i="19"/>
  <c r="AR211" i="19"/>
  <c r="BK210" i="19"/>
  <c r="BJ210" i="19"/>
  <c r="BI210" i="19"/>
  <c r="BH210" i="19"/>
  <c r="BG210" i="19"/>
  <c r="BF210" i="19"/>
  <c r="BD210" i="19"/>
  <c r="BC210" i="19"/>
  <c r="BB210" i="19"/>
  <c r="BA210" i="19"/>
  <c r="AZ210" i="19"/>
  <c r="AY210" i="19"/>
  <c r="AW210" i="19"/>
  <c r="AV210" i="19"/>
  <c r="AU210" i="19"/>
  <c r="AT210" i="19"/>
  <c r="AS210" i="19"/>
  <c r="AR210" i="19"/>
  <c r="BK209" i="19"/>
  <c r="BJ209" i="19"/>
  <c r="BI209" i="19"/>
  <c r="BH209" i="19"/>
  <c r="BG209" i="19"/>
  <c r="BF209" i="19"/>
  <c r="BD209" i="19"/>
  <c r="BC209" i="19"/>
  <c r="BB209" i="19"/>
  <c r="BA209" i="19"/>
  <c r="AZ209" i="19"/>
  <c r="AY209" i="19"/>
  <c r="AW209" i="19"/>
  <c r="AV209" i="19"/>
  <c r="AU209" i="19"/>
  <c r="AT209" i="19"/>
  <c r="AS209" i="19"/>
  <c r="AR209" i="19"/>
  <c r="BK208" i="19"/>
  <c r="BJ208" i="19"/>
  <c r="BI208" i="19"/>
  <c r="BH208" i="19"/>
  <c r="BG208" i="19"/>
  <c r="BF208" i="19"/>
  <c r="BD208" i="19"/>
  <c r="BC208" i="19"/>
  <c r="BB208" i="19"/>
  <c r="BA208" i="19"/>
  <c r="AZ208" i="19"/>
  <c r="AY208" i="19"/>
  <c r="AW208" i="19"/>
  <c r="AV208" i="19"/>
  <c r="AU208" i="19"/>
  <c r="AT208" i="19"/>
  <c r="AS208" i="19"/>
  <c r="AR208" i="19"/>
  <c r="BK207" i="19"/>
  <c r="BJ207" i="19"/>
  <c r="BI207" i="19"/>
  <c r="BH207" i="19"/>
  <c r="BG207" i="19"/>
  <c r="BF207" i="19"/>
  <c r="BD207" i="19"/>
  <c r="BC207" i="19"/>
  <c r="BB207" i="19"/>
  <c r="BA207" i="19"/>
  <c r="AZ207" i="19"/>
  <c r="AY207" i="19"/>
  <c r="AW207" i="19"/>
  <c r="AV207" i="19"/>
  <c r="AU207" i="19"/>
  <c r="AT207" i="19"/>
  <c r="AS207" i="19"/>
  <c r="AR207" i="19"/>
  <c r="BK206" i="19"/>
  <c r="BJ206" i="19"/>
  <c r="BI206" i="19"/>
  <c r="BH206" i="19"/>
  <c r="BG206" i="19"/>
  <c r="BF206" i="19"/>
  <c r="BD206" i="19"/>
  <c r="BC206" i="19"/>
  <c r="BB206" i="19"/>
  <c r="BA206" i="19"/>
  <c r="AZ206" i="19"/>
  <c r="AY206" i="19"/>
  <c r="AW206" i="19"/>
  <c r="AV206" i="19"/>
  <c r="AU206" i="19"/>
  <c r="AT206" i="19"/>
  <c r="AS206" i="19"/>
  <c r="AR206" i="19"/>
  <c r="BK205" i="19"/>
  <c r="BJ205" i="19"/>
  <c r="BI205" i="19"/>
  <c r="BH205" i="19"/>
  <c r="BG205" i="19"/>
  <c r="BF205" i="19"/>
  <c r="BD205" i="19"/>
  <c r="BC205" i="19"/>
  <c r="BB205" i="19"/>
  <c r="BA205" i="19"/>
  <c r="AZ205" i="19"/>
  <c r="AY205" i="19"/>
  <c r="AW205" i="19"/>
  <c r="AV205" i="19"/>
  <c r="AU205" i="19"/>
  <c r="AT205" i="19"/>
  <c r="AS205" i="19"/>
  <c r="AR205" i="19"/>
  <c r="BK204" i="19"/>
  <c r="BJ204" i="19"/>
  <c r="BI204" i="19"/>
  <c r="BH204" i="19"/>
  <c r="BG204" i="19"/>
  <c r="BF204" i="19"/>
  <c r="BD204" i="19"/>
  <c r="BC204" i="19"/>
  <c r="BB204" i="19"/>
  <c r="BA204" i="19"/>
  <c r="AZ204" i="19"/>
  <c r="AY204" i="19"/>
  <c r="AW204" i="19"/>
  <c r="AV204" i="19"/>
  <c r="AU204" i="19"/>
  <c r="AT204" i="19"/>
  <c r="AS204" i="19"/>
  <c r="AR204" i="19"/>
  <c r="BK203" i="19"/>
  <c r="BJ203" i="19"/>
  <c r="BI203" i="19"/>
  <c r="BH203" i="19"/>
  <c r="BG203" i="19"/>
  <c r="BF203" i="19"/>
  <c r="BD203" i="19"/>
  <c r="BC203" i="19"/>
  <c r="BB203" i="19"/>
  <c r="BA203" i="19"/>
  <c r="AZ203" i="19"/>
  <c r="AY203" i="19"/>
  <c r="AW203" i="19"/>
  <c r="AV203" i="19"/>
  <c r="AU203" i="19"/>
  <c r="AT203" i="19"/>
  <c r="AS203" i="19"/>
  <c r="AR203" i="19"/>
  <c r="BK202" i="19"/>
  <c r="BJ202" i="19"/>
  <c r="BI202" i="19"/>
  <c r="BH202" i="19"/>
  <c r="BG202" i="19"/>
  <c r="BF202" i="19"/>
  <c r="BD202" i="19"/>
  <c r="BC202" i="19"/>
  <c r="BB202" i="19"/>
  <c r="BA202" i="19"/>
  <c r="AZ202" i="19"/>
  <c r="AY202" i="19"/>
  <c r="AW202" i="19"/>
  <c r="AV202" i="19"/>
  <c r="AU202" i="19"/>
  <c r="AT202" i="19"/>
  <c r="AS202" i="19"/>
  <c r="AR202" i="19"/>
  <c r="BK201" i="19"/>
  <c r="BJ201" i="19"/>
  <c r="BI201" i="19"/>
  <c r="BH201" i="19"/>
  <c r="BG201" i="19"/>
  <c r="BF201" i="19"/>
  <c r="BD201" i="19"/>
  <c r="BC201" i="19"/>
  <c r="BB201" i="19"/>
  <c r="BA201" i="19"/>
  <c r="AZ201" i="19"/>
  <c r="AY201" i="19"/>
  <c r="AW201" i="19"/>
  <c r="AV201" i="19"/>
  <c r="AU201" i="19"/>
  <c r="AT201" i="19"/>
  <c r="AS201" i="19"/>
  <c r="AR201" i="19"/>
  <c r="BK200" i="19"/>
  <c r="BJ200" i="19"/>
  <c r="BI200" i="19"/>
  <c r="BH200" i="19"/>
  <c r="BG200" i="19"/>
  <c r="BF200" i="19"/>
  <c r="BD200" i="19"/>
  <c r="BC200" i="19"/>
  <c r="BB200" i="19"/>
  <c r="BA200" i="19"/>
  <c r="AZ200" i="19"/>
  <c r="AY200" i="19"/>
  <c r="AW200" i="19"/>
  <c r="AV200" i="19"/>
  <c r="AU200" i="19"/>
  <c r="AT200" i="19"/>
  <c r="AS200" i="19"/>
  <c r="AR200" i="19"/>
  <c r="BK199" i="19"/>
  <c r="BJ199" i="19"/>
  <c r="BI199" i="19"/>
  <c r="BH199" i="19"/>
  <c r="BG199" i="19"/>
  <c r="BF199" i="19"/>
  <c r="BD199" i="19"/>
  <c r="BC199" i="19"/>
  <c r="BB199" i="19"/>
  <c r="BA199" i="19"/>
  <c r="AZ199" i="19"/>
  <c r="AY199" i="19"/>
  <c r="AW199" i="19"/>
  <c r="AV199" i="19"/>
  <c r="AU199" i="19"/>
  <c r="AT199" i="19"/>
  <c r="AS199" i="19"/>
  <c r="AR199" i="19"/>
  <c r="BK198" i="19"/>
  <c r="BJ198" i="19"/>
  <c r="BI198" i="19"/>
  <c r="BH198" i="19"/>
  <c r="BG198" i="19"/>
  <c r="BF198" i="19"/>
  <c r="BD198" i="19"/>
  <c r="BC198" i="19"/>
  <c r="BB198" i="19"/>
  <c r="BA198" i="19"/>
  <c r="AZ198" i="19"/>
  <c r="AY198" i="19"/>
  <c r="AW198" i="19"/>
  <c r="AV198" i="19"/>
  <c r="AU198" i="19"/>
  <c r="AT198" i="19"/>
  <c r="AS198" i="19"/>
  <c r="AR198" i="19"/>
  <c r="BK197" i="19"/>
  <c r="BJ197" i="19"/>
  <c r="BI197" i="19"/>
  <c r="BH197" i="19"/>
  <c r="BG197" i="19"/>
  <c r="BF197" i="19"/>
  <c r="BD197" i="19"/>
  <c r="BC197" i="19"/>
  <c r="BB197" i="19"/>
  <c r="BA197" i="19"/>
  <c r="AZ197" i="19"/>
  <c r="AY197" i="19"/>
  <c r="AW197" i="19"/>
  <c r="AV197" i="19"/>
  <c r="AU197" i="19"/>
  <c r="AT197" i="19"/>
  <c r="AS197" i="19"/>
  <c r="AR197" i="19"/>
  <c r="BK196" i="19"/>
  <c r="BJ196" i="19"/>
  <c r="BI196" i="19"/>
  <c r="BH196" i="19"/>
  <c r="BG196" i="19"/>
  <c r="BF196" i="19"/>
  <c r="BD196" i="19"/>
  <c r="BC196" i="19"/>
  <c r="BB196" i="19"/>
  <c r="BA196" i="19"/>
  <c r="AZ196" i="19"/>
  <c r="AY196" i="19"/>
  <c r="AW196" i="19"/>
  <c r="AV196" i="19"/>
  <c r="AU196" i="19"/>
  <c r="AT196" i="19"/>
  <c r="AS196" i="19"/>
  <c r="AR196" i="19"/>
  <c r="BK195" i="19"/>
  <c r="BJ195" i="19"/>
  <c r="BI195" i="19"/>
  <c r="BH195" i="19"/>
  <c r="BG195" i="19"/>
  <c r="BF195" i="19"/>
  <c r="BD195" i="19"/>
  <c r="BC195" i="19"/>
  <c r="BB195" i="19"/>
  <c r="BA195" i="19"/>
  <c r="AZ195" i="19"/>
  <c r="AY195" i="19"/>
  <c r="AW195" i="19"/>
  <c r="AV195" i="19"/>
  <c r="AU195" i="19"/>
  <c r="AT195" i="19"/>
  <c r="AS195" i="19"/>
  <c r="AR195" i="19"/>
  <c r="BK194" i="19"/>
  <c r="BJ194" i="19"/>
  <c r="BI194" i="19"/>
  <c r="BH194" i="19"/>
  <c r="BG194" i="19"/>
  <c r="BF194" i="19"/>
  <c r="BD194" i="19"/>
  <c r="BC194" i="19"/>
  <c r="BB194" i="19"/>
  <c r="BA194" i="19"/>
  <c r="AZ194" i="19"/>
  <c r="AY194" i="19"/>
  <c r="AW194" i="19"/>
  <c r="AV194" i="19"/>
  <c r="AU194" i="19"/>
  <c r="AT194" i="19"/>
  <c r="AS194" i="19"/>
  <c r="AR194" i="19"/>
  <c r="BK193" i="19"/>
  <c r="BJ193" i="19"/>
  <c r="BI193" i="19"/>
  <c r="BH193" i="19"/>
  <c r="BG193" i="19"/>
  <c r="BF193" i="19"/>
  <c r="BD193" i="19"/>
  <c r="BC193" i="19"/>
  <c r="BB193" i="19"/>
  <c r="BA193" i="19"/>
  <c r="AZ193" i="19"/>
  <c r="AY193" i="19"/>
  <c r="AW193" i="19"/>
  <c r="AV193" i="19"/>
  <c r="AU193" i="19"/>
  <c r="AT193" i="19"/>
  <c r="AS193" i="19"/>
  <c r="AR193" i="19"/>
  <c r="BK192" i="19"/>
  <c r="BJ192" i="19"/>
  <c r="BI192" i="19"/>
  <c r="BH192" i="19"/>
  <c r="BG192" i="19"/>
  <c r="BF192" i="19"/>
  <c r="BD192" i="19"/>
  <c r="BC192" i="19"/>
  <c r="BB192" i="19"/>
  <c r="BA192" i="19"/>
  <c r="AZ192" i="19"/>
  <c r="AY192" i="19"/>
  <c r="AW192" i="19"/>
  <c r="AV192" i="19"/>
  <c r="AU192" i="19"/>
  <c r="AT192" i="19"/>
  <c r="AS192" i="19"/>
  <c r="AR192" i="19"/>
  <c r="BK191" i="19"/>
  <c r="BJ191" i="19"/>
  <c r="BI191" i="19"/>
  <c r="BH191" i="19"/>
  <c r="BG191" i="19"/>
  <c r="BF191" i="19"/>
  <c r="BD191" i="19"/>
  <c r="BC191" i="19"/>
  <c r="BB191" i="19"/>
  <c r="BA191" i="19"/>
  <c r="AZ191" i="19"/>
  <c r="AY191" i="19"/>
  <c r="AW191" i="19"/>
  <c r="AV191" i="19"/>
  <c r="AU191" i="19"/>
  <c r="AT191" i="19"/>
  <c r="AS191" i="19"/>
  <c r="AR191" i="19"/>
  <c r="BK190" i="19"/>
  <c r="BJ190" i="19"/>
  <c r="BI190" i="19"/>
  <c r="BH190" i="19"/>
  <c r="BG190" i="19"/>
  <c r="BF190" i="19"/>
  <c r="BD190" i="19"/>
  <c r="BC190" i="19"/>
  <c r="BB190" i="19"/>
  <c r="BA190" i="19"/>
  <c r="AZ190" i="19"/>
  <c r="AY190" i="19"/>
  <c r="AW190" i="19"/>
  <c r="AV190" i="19"/>
  <c r="AU190" i="19"/>
  <c r="AT190" i="19"/>
  <c r="AS190" i="19"/>
  <c r="AR190" i="19"/>
  <c r="BK189" i="19"/>
  <c r="BJ189" i="19"/>
  <c r="BI189" i="19"/>
  <c r="BH189" i="19"/>
  <c r="BG189" i="19"/>
  <c r="BF189" i="19"/>
  <c r="BD189" i="19"/>
  <c r="BC189" i="19"/>
  <c r="BB189" i="19"/>
  <c r="BA189" i="19"/>
  <c r="AZ189" i="19"/>
  <c r="AY189" i="19"/>
  <c r="AW189" i="19"/>
  <c r="AV189" i="19"/>
  <c r="AU189" i="19"/>
  <c r="AT189" i="19"/>
  <c r="AS189" i="19"/>
  <c r="AR189" i="19"/>
  <c r="BK188" i="19"/>
  <c r="BJ188" i="19"/>
  <c r="BI188" i="19"/>
  <c r="BH188" i="19"/>
  <c r="BG188" i="19"/>
  <c r="BF188" i="19"/>
  <c r="BD188" i="19"/>
  <c r="BC188" i="19"/>
  <c r="BB188" i="19"/>
  <c r="BA188" i="19"/>
  <c r="AZ188" i="19"/>
  <c r="AY188" i="19"/>
  <c r="AW188" i="19"/>
  <c r="AV188" i="19"/>
  <c r="AU188" i="19"/>
  <c r="AT188" i="19"/>
  <c r="AS188" i="19"/>
  <c r="AR188" i="19"/>
  <c r="BK187" i="19"/>
  <c r="BJ187" i="19"/>
  <c r="BI187" i="19"/>
  <c r="BH187" i="19"/>
  <c r="BG187" i="19"/>
  <c r="BF187" i="19"/>
  <c r="BD187" i="19"/>
  <c r="BC187" i="19"/>
  <c r="BB187" i="19"/>
  <c r="BA187" i="19"/>
  <c r="AZ187" i="19"/>
  <c r="AY187" i="19"/>
  <c r="AW187" i="19"/>
  <c r="AV187" i="19"/>
  <c r="AU187" i="19"/>
  <c r="AT187" i="19"/>
  <c r="AS187" i="19"/>
  <c r="AR187" i="19"/>
  <c r="BK186" i="19"/>
  <c r="BJ186" i="19"/>
  <c r="BI186" i="19"/>
  <c r="BH186" i="19"/>
  <c r="BG186" i="19"/>
  <c r="BF186" i="19"/>
  <c r="BD186" i="19"/>
  <c r="BC186" i="19"/>
  <c r="BB186" i="19"/>
  <c r="BA186" i="19"/>
  <c r="AZ186" i="19"/>
  <c r="AY186" i="19"/>
  <c r="AW186" i="19"/>
  <c r="AV186" i="19"/>
  <c r="AU186" i="19"/>
  <c r="AT186" i="19"/>
  <c r="AS186" i="19"/>
  <c r="AR186" i="19"/>
  <c r="BK185" i="19"/>
  <c r="BJ185" i="19"/>
  <c r="BI185" i="19"/>
  <c r="BH185" i="19"/>
  <c r="BG185" i="19"/>
  <c r="BF185" i="19"/>
  <c r="BD185" i="19"/>
  <c r="BC185" i="19"/>
  <c r="BB185" i="19"/>
  <c r="BA185" i="19"/>
  <c r="AZ185" i="19"/>
  <c r="AY185" i="19"/>
  <c r="AW185" i="19"/>
  <c r="AV185" i="19"/>
  <c r="AU185" i="19"/>
  <c r="AT185" i="19"/>
  <c r="AS185" i="19"/>
  <c r="AR185" i="19"/>
  <c r="BK184" i="19"/>
  <c r="BJ184" i="19"/>
  <c r="BI184" i="19"/>
  <c r="BH184" i="19"/>
  <c r="BG184" i="19"/>
  <c r="BF184" i="19"/>
  <c r="BD184" i="19"/>
  <c r="BC184" i="19"/>
  <c r="BB184" i="19"/>
  <c r="BA184" i="19"/>
  <c r="AZ184" i="19"/>
  <c r="AY184" i="19"/>
  <c r="AW184" i="19"/>
  <c r="AV184" i="19"/>
  <c r="AU184" i="19"/>
  <c r="AT184" i="19"/>
  <c r="AS184" i="19"/>
  <c r="AR184" i="19"/>
  <c r="BK183" i="19"/>
  <c r="BJ183" i="19"/>
  <c r="BI183" i="19"/>
  <c r="BH183" i="19"/>
  <c r="BG183" i="19"/>
  <c r="BF183" i="19"/>
  <c r="BD183" i="19"/>
  <c r="BC183" i="19"/>
  <c r="BB183" i="19"/>
  <c r="BA183" i="19"/>
  <c r="AZ183" i="19"/>
  <c r="AY183" i="19"/>
  <c r="AW183" i="19"/>
  <c r="AV183" i="19"/>
  <c r="AU183" i="19"/>
  <c r="AT183" i="19"/>
  <c r="AS183" i="19"/>
  <c r="AR183" i="19"/>
  <c r="BK182" i="19"/>
  <c r="BJ182" i="19"/>
  <c r="BI182" i="19"/>
  <c r="BH182" i="19"/>
  <c r="BG182" i="19"/>
  <c r="BF182" i="19"/>
  <c r="BD182" i="19"/>
  <c r="BC182" i="19"/>
  <c r="BB182" i="19"/>
  <c r="BA182" i="19"/>
  <c r="AZ182" i="19"/>
  <c r="AY182" i="19"/>
  <c r="AW182" i="19"/>
  <c r="AV182" i="19"/>
  <c r="AU182" i="19"/>
  <c r="AT182" i="19"/>
  <c r="AS182" i="19"/>
  <c r="AR182" i="19"/>
  <c r="BK181" i="19"/>
  <c r="BJ181" i="19"/>
  <c r="BI181" i="19"/>
  <c r="BH181" i="19"/>
  <c r="BG181" i="19"/>
  <c r="BF181" i="19"/>
  <c r="BD181" i="19"/>
  <c r="BC181" i="19"/>
  <c r="BB181" i="19"/>
  <c r="BA181" i="19"/>
  <c r="AZ181" i="19"/>
  <c r="AY181" i="19"/>
  <c r="AW181" i="19"/>
  <c r="AV181" i="19"/>
  <c r="AU181" i="19"/>
  <c r="AT181" i="19"/>
  <c r="AS181" i="19"/>
  <c r="AR181" i="19"/>
  <c r="BK180" i="19"/>
  <c r="BJ180" i="19"/>
  <c r="BI180" i="19"/>
  <c r="BH180" i="19"/>
  <c r="BG180" i="19"/>
  <c r="BF180" i="19"/>
  <c r="BD180" i="19"/>
  <c r="BC180" i="19"/>
  <c r="BB180" i="19"/>
  <c r="BA180" i="19"/>
  <c r="AZ180" i="19"/>
  <c r="AY180" i="19"/>
  <c r="AW180" i="19"/>
  <c r="AV180" i="19"/>
  <c r="AU180" i="19"/>
  <c r="AT180" i="19"/>
  <c r="AS180" i="19"/>
  <c r="AR180" i="19"/>
  <c r="BK179" i="19"/>
  <c r="BJ179" i="19"/>
  <c r="BI179" i="19"/>
  <c r="BH179" i="19"/>
  <c r="BG179" i="19"/>
  <c r="BF179" i="19"/>
  <c r="BD179" i="19"/>
  <c r="BC179" i="19"/>
  <c r="BB179" i="19"/>
  <c r="BA179" i="19"/>
  <c r="AZ179" i="19"/>
  <c r="AY179" i="19"/>
  <c r="AW179" i="19"/>
  <c r="AV179" i="19"/>
  <c r="AU179" i="19"/>
  <c r="AT179" i="19"/>
  <c r="AS179" i="19"/>
  <c r="AR179" i="19"/>
  <c r="BK178" i="19"/>
  <c r="BJ178" i="19"/>
  <c r="BI178" i="19"/>
  <c r="BH178" i="19"/>
  <c r="BG178" i="19"/>
  <c r="BF178" i="19"/>
  <c r="BD178" i="19"/>
  <c r="BC178" i="19"/>
  <c r="BB178" i="19"/>
  <c r="BA178" i="19"/>
  <c r="AZ178" i="19"/>
  <c r="AY178" i="19"/>
  <c r="AW178" i="19"/>
  <c r="AV178" i="19"/>
  <c r="AU178" i="19"/>
  <c r="AT178" i="19"/>
  <c r="AS178" i="19"/>
  <c r="AR178" i="19"/>
  <c r="BK177" i="19"/>
  <c r="BJ177" i="19"/>
  <c r="BI177" i="19"/>
  <c r="BH177" i="19"/>
  <c r="BG177" i="19"/>
  <c r="BF177" i="19"/>
  <c r="BD177" i="19"/>
  <c r="BC177" i="19"/>
  <c r="BB177" i="19"/>
  <c r="BA177" i="19"/>
  <c r="AZ177" i="19"/>
  <c r="AY177" i="19"/>
  <c r="AW177" i="19"/>
  <c r="AV177" i="19"/>
  <c r="AU177" i="19"/>
  <c r="AT177" i="19"/>
  <c r="AS177" i="19"/>
  <c r="AR177" i="19"/>
  <c r="BK176" i="19"/>
  <c r="BJ176" i="19"/>
  <c r="BI176" i="19"/>
  <c r="BH176" i="19"/>
  <c r="BG176" i="19"/>
  <c r="BF176" i="19"/>
  <c r="BD176" i="19"/>
  <c r="BC176" i="19"/>
  <c r="BB176" i="19"/>
  <c r="BA176" i="19"/>
  <c r="AZ176" i="19"/>
  <c r="AY176" i="19"/>
  <c r="AW176" i="19"/>
  <c r="AV176" i="19"/>
  <c r="AU176" i="19"/>
  <c r="AT176" i="19"/>
  <c r="AS176" i="19"/>
  <c r="AR176" i="19"/>
  <c r="BK175" i="19"/>
  <c r="BJ175" i="19"/>
  <c r="BI175" i="19"/>
  <c r="BH175" i="19"/>
  <c r="BG175" i="19"/>
  <c r="BF175" i="19"/>
  <c r="BD175" i="19"/>
  <c r="BC175" i="19"/>
  <c r="BB175" i="19"/>
  <c r="BA175" i="19"/>
  <c r="AZ175" i="19"/>
  <c r="AY175" i="19"/>
  <c r="AW175" i="19"/>
  <c r="AV175" i="19"/>
  <c r="AU175" i="19"/>
  <c r="AT175" i="19"/>
  <c r="AS175" i="19"/>
  <c r="AR175" i="19"/>
  <c r="BK174" i="19"/>
  <c r="BJ174" i="19"/>
  <c r="BI174" i="19"/>
  <c r="BH174" i="19"/>
  <c r="BG174" i="19"/>
  <c r="BF174" i="19"/>
  <c r="BD174" i="19"/>
  <c r="BC174" i="19"/>
  <c r="BB174" i="19"/>
  <c r="BA174" i="19"/>
  <c r="AZ174" i="19"/>
  <c r="AY174" i="19"/>
  <c r="AW174" i="19"/>
  <c r="AV174" i="19"/>
  <c r="AU174" i="19"/>
  <c r="AT174" i="19"/>
  <c r="AS174" i="19"/>
  <c r="AR174" i="19"/>
  <c r="BK173" i="19"/>
  <c r="BJ173" i="19"/>
  <c r="BI173" i="19"/>
  <c r="BH173" i="19"/>
  <c r="BG173" i="19"/>
  <c r="BF173" i="19"/>
  <c r="BD173" i="19"/>
  <c r="BC173" i="19"/>
  <c r="BB173" i="19"/>
  <c r="BA173" i="19"/>
  <c r="AZ173" i="19"/>
  <c r="AY173" i="19"/>
  <c r="AW173" i="19"/>
  <c r="AV173" i="19"/>
  <c r="AU173" i="19"/>
  <c r="AT173" i="19"/>
  <c r="AS173" i="19"/>
  <c r="AR173" i="19"/>
  <c r="BK172" i="19"/>
  <c r="BJ172" i="19"/>
  <c r="BI172" i="19"/>
  <c r="BH172" i="19"/>
  <c r="BG172" i="19"/>
  <c r="BF172" i="19"/>
  <c r="BD172" i="19"/>
  <c r="BC172" i="19"/>
  <c r="BB172" i="19"/>
  <c r="BA172" i="19"/>
  <c r="AZ172" i="19"/>
  <c r="AY172" i="19"/>
  <c r="AW172" i="19"/>
  <c r="AV172" i="19"/>
  <c r="AU172" i="19"/>
  <c r="AT172" i="19"/>
  <c r="AS172" i="19"/>
  <c r="AR172" i="19"/>
  <c r="BK171" i="19"/>
  <c r="BJ171" i="19"/>
  <c r="BI171" i="19"/>
  <c r="BH171" i="19"/>
  <c r="BG171" i="19"/>
  <c r="BF171" i="19"/>
  <c r="BD171" i="19"/>
  <c r="BC171" i="19"/>
  <c r="BB171" i="19"/>
  <c r="BA171" i="19"/>
  <c r="AZ171" i="19"/>
  <c r="AY171" i="19"/>
  <c r="AW171" i="19"/>
  <c r="AV171" i="19"/>
  <c r="AU171" i="19"/>
  <c r="AT171" i="19"/>
  <c r="AS171" i="19"/>
  <c r="AR171" i="19"/>
  <c r="BK170" i="19"/>
  <c r="BJ170" i="19"/>
  <c r="BI170" i="19"/>
  <c r="BH170" i="19"/>
  <c r="BG170" i="19"/>
  <c r="BF170" i="19"/>
  <c r="BD170" i="19"/>
  <c r="BC170" i="19"/>
  <c r="BB170" i="19"/>
  <c r="BA170" i="19"/>
  <c r="AZ170" i="19"/>
  <c r="AY170" i="19"/>
  <c r="AW170" i="19"/>
  <c r="AV170" i="19"/>
  <c r="AU170" i="19"/>
  <c r="AT170" i="19"/>
  <c r="AS170" i="19"/>
  <c r="AR170" i="19"/>
  <c r="BK169" i="19"/>
  <c r="BJ169" i="19"/>
  <c r="BI169" i="19"/>
  <c r="BH169" i="19"/>
  <c r="BG169" i="19"/>
  <c r="BF169" i="19"/>
  <c r="BD169" i="19"/>
  <c r="BC169" i="19"/>
  <c r="BB169" i="19"/>
  <c r="BA169" i="19"/>
  <c r="AZ169" i="19"/>
  <c r="AY169" i="19"/>
  <c r="AW169" i="19"/>
  <c r="AV169" i="19"/>
  <c r="AU169" i="19"/>
  <c r="AT169" i="19"/>
  <c r="AS169" i="19"/>
  <c r="AR169" i="19"/>
  <c r="BK168" i="19"/>
  <c r="BJ168" i="19"/>
  <c r="BI168" i="19"/>
  <c r="BH168" i="19"/>
  <c r="BG168" i="19"/>
  <c r="BF168" i="19"/>
  <c r="BD168" i="19"/>
  <c r="BC168" i="19"/>
  <c r="BB168" i="19"/>
  <c r="BA168" i="19"/>
  <c r="AZ168" i="19"/>
  <c r="AY168" i="19"/>
  <c r="AW168" i="19"/>
  <c r="AV168" i="19"/>
  <c r="AU168" i="19"/>
  <c r="AT168" i="19"/>
  <c r="AS168" i="19"/>
  <c r="AR168" i="19"/>
  <c r="BK167" i="19"/>
  <c r="BJ167" i="19"/>
  <c r="BI167" i="19"/>
  <c r="BH167" i="19"/>
  <c r="BG167" i="19"/>
  <c r="BF167" i="19"/>
  <c r="BD167" i="19"/>
  <c r="BC167" i="19"/>
  <c r="BB167" i="19"/>
  <c r="BA167" i="19"/>
  <c r="AZ167" i="19"/>
  <c r="AY167" i="19"/>
  <c r="AW167" i="19"/>
  <c r="AV167" i="19"/>
  <c r="AU167" i="19"/>
  <c r="AT167" i="19"/>
  <c r="AS167" i="19"/>
  <c r="AR167" i="19"/>
  <c r="BK166" i="19"/>
  <c r="BJ166" i="19"/>
  <c r="BI166" i="19"/>
  <c r="BH166" i="19"/>
  <c r="BG166" i="19"/>
  <c r="BF166" i="19"/>
  <c r="BD166" i="19"/>
  <c r="BC166" i="19"/>
  <c r="BB166" i="19"/>
  <c r="BA166" i="19"/>
  <c r="AZ166" i="19"/>
  <c r="AY166" i="19"/>
  <c r="AW166" i="19"/>
  <c r="AV166" i="19"/>
  <c r="AU166" i="19"/>
  <c r="AT166" i="19"/>
  <c r="AS166" i="19"/>
  <c r="AR166" i="19"/>
  <c r="BK165" i="19"/>
  <c r="BJ165" i="19"/>
  <c r="BI165" i="19"/>
  <c r="BH165" i="19"/>
  <c r="BG165" i="19"/>
  <c r="BF165" i="19"/>
  <c r="BD165" i="19"/>
  <c r="BC165" i="19"/>
  <c r="BB165" i="19"/>
  <c r="BA165" i="19"/>
  <c r="AZ165" i="19"/>
  <c r="AY165" i="19"/>
  <c r="AW165" i="19"/>
  <c r="AV165" i="19"/>
  <c r="AU165" i="19"/>
  <c r="AT165" i="19"/>
  <c r="AS165" i="19"/>
  <c r="AR165" i="19"/>
  <c r="BK164" i="19"/>
  <c r="BJ164" i="19"/>
  <c r="BI164" i="19"/>
  <c r="BH164" i="19"/>
  <c r="BG164" i="19"/>
  <c r="BF164" i="19"/>
  <c r="BD164" i="19"/>
  <c r="BC164" i="19"/>
  <c r="BB164" i="19"/>
  <c r="BA164" i="19"/>
  <c r="AZ164" i="19"/>
  <c r="AY164" i="19"/>
  <c r="AW164" i="19"/>
  <c r="AV164" i="19"/>
  <c r="AU164" i="19"/>
  <c r="AT164" i="19"/>
  <c r="AS164" i="19"/>
  <c r="AR164" i="19"/>
  <c r="BK163" i="19"/>
  <c r="BJ163" i="19"/>
  <c r="BI163" i="19"/>
  <c r="BH163" i="19"/>
  <c r="BG163" i="19"/>
  <c r="BF163" i="19"/>
  <c r="BD163" i="19"/>
  <c r="BC163" i="19"/>
  <c r="BB163" i="19"/>
  <c r="BA163" i="19"/>
  <c r="AZ163" i="19"/>
  <c r="AY163" i="19"/>
  <c r="AW163" i="19"/>
  <c r="AV163" i="19"/>
  <c r="AU163" i="19"/>
  <c r="AT163" i="19"/>
  <c r="AS163" i="19"/>
  <c r="AR163" i="19"/>
  <c r="BK162" i="19"/>
  <c r="BJ162" i="19"/>
  <c r="BI162" i="19"/>
  <c r="BH162" i="19"/>
  <c r="BG162" i="19"/>
  <c r="BF162" i="19"/>
  <c r="BD162" i="19"/>
  <c r="BC162" i="19"/>
  <c r="BB162" i="19"/>
  <c r="BA162" i="19"/>
  <c r="AZ162" i="19"/>
  <c r="AY162" i="19"/>
  <c r="AW162" i="19"/>
  <c r="AV162" i="19"/>
  <c r="AU162" i="19"/>
  <c r="AT162" i="19"/>
  <c r="AS162" i="19"/>
  <c r="AR162" i="19"/>
  <c r="BK161" i="19"/>
  <c r="BJ161" i="19"/>
  <c r="BI161" i="19"/>
  <c r="BH161" i="19"/>
  <c r="BG161" i="19"/>
  <c r="BF161" i="19"/>
  <c r="BD161" i="19"/>
  <c r="BC161" i="19"/>
  <c r="BB161" i="19"/>
  <c r="BA161" i="19"/>
  <c r="AZ161" i="19"/>
  <c r="AY161" i="19"/>
  <c r="AW161" i="19"/>
  <c r="AV161" i="19"/>
  <c r="AU161" i="19"/>
  <c r="AT161" i="19"/>
  <c r="AS161" i="19"/>
  <c r="AR161" i="19"/>
  <c r="BK160" i="19"/>
  <c r="BJ160" i="19"/>
  <c r="BI160" i="19"/>
  <c r="BH160" i="19"/>
  <c r="BG160" i="19"/>
  <c r="BF160" i="19"/>
  <c r="BD160" i="19"/>
  <c r="BC160" i="19"/>
  <c r="BB160" i="19"/>
  <c r="BA160" i="19"/>
  <c r="AZ160" i="19"/>
  <c r="AY160" i="19"/>
  <c r="AW160" i="19"/>
  <c r="AV160" i="19"/>
  <c r="AU160" i="19"/>
  <c r="AT160" i="19"/>
  <c r="AS160" i="19"/>
  <c r="AR160" i="19"/>
  <c r="BK159" i="19"/>
  <c r="BJ159" i="19"/>
  <c r="BI159" i="19"/>
  <c r="BH159" i="19"/>
  <c r="BG159" i="19"/>
  <c r="BF159" i="19"/>
  <c r="BD159" i="19"/>
  <c r="BC159" i="19"/>
  <c r="BB159" i="19"/>
  <c r="BA159" i="19"/>
  <c r="AZ159" i="19"/>
  <c r="AY159" i="19"/>
  <c r="AW159" i="19"/>
  <c r="AV159" i="19"/>
  <c r="AU159" i="19"/>
  <c r="AT159" i="19"/>
  <c r="AS159" i="19"/>
  <c r="AR159" i="19"/>
  <c r="BK158" i="19"/>
  <c r="BJ158" i="19"/>
  <c r="BI158" i="19"/>
  <c r="BH158" i="19"/>
  <c r="BG158" i="19"/>
  <c r="BF158" i="19"/>
  <c r="BD158" i="19"/>
  <c r="BC158" i="19"/>
  <c r="BB158" i="19"/>
  <c r="BA158" i="19"/>
  <c r="AZ158" i="19"/>
  <c r="AY158" i="19"/>
  <c r="AW158" i="19"/>
  <c r="AV158" i="19"/>
  <c r="AU158" i="19"/>
  <c r="AT158" i="19"/>
  <c r="AS158" i="19"/>
  <c r="AR158" i="19"/>
  <c r="BK157" i="19"/>
  <c r="BJ157" i="19"/>
  <c r="BI157" i="19"/>
  <c r="BH157" i="19"/>
  <c r="BG157" i="19"/>
  <c r="BF157" i="19"/>
  <c r="BD157" i="19"/>
  <c r="BC157" i="19"/>
  <c r="BB157" i="19"/>
  <c r="BA157" i="19"/>
  <c r="AZ157" i="19"/>
  <c r="AY157" i="19"/>
  <c r="AW157" i="19"/>
  <c r="AV157" i="19"/>
  <c r="AU157" i="19"/>
  <c r="AT157" i="19"/>
  <c r="AS157" i="19"/>
  <c r="AR157" i="19"/>
  <c r="BK156" i="19"/>
  <c r="BJ156" i="19"/>
  <c r="BI156" i="19"/>
  <c r="BH156" i="19"/>
  <c r="BG156" i="19"/>
  <c r="BF156" i="19"/>
  <c r="BD156" i="19"/>
  <c r="BC156" i="19"/>
  <c r="BB156" i="19"/>
  <c r="BA156" i="19"/>
  <c r="AZ156" i="19"/>
  <c r="AY156" i="19"/>
  <c r="AW156" i="19"/>
  <c r="AV156" i="19"/>
  <c r="AU156" i="19"/>
  <c r="AT156" i="19"/>
  <c r="AS156" i="19"/>
  <c r="AR156" i="19"/>
  <c r="BK155" i="19"/>
  <c r="BJ155" i="19"/>
  <c r="BI155" i="19"/>
  <c r="BH155" i="19"/>
  <c r="BG155" i="19"/>
  <c r="BF155" i="19"/>
  <c r="BD155" i="19"/>
  <c r="BC155" i="19"/>
  <c r="BB155" i="19"/>
  <c r="BA155" i="19"/>
  <c r="AZ155" i="19"/>
  <c r="AY155" i="19"/>
  <c r="AW155" i="19"/>
  <c r="AV155" i="19"/>
  <c r="AU155" i="19"/>
  <c r="AT155" i="19"/>
  <c r="AS155" i="19"/>
  <c r="AR155" i="19"/>
  <c r="BK154" i="19"/>
  <c r="BJ154" i="19"/>
  <c r="BI154" i="19"/>
  <c r="BH154" i="19"/>
  <c r="BG154" i="19"/>
  <c r="BF154" i="19"/>
  <c r="BD154" i="19"/>
  <c r="BC154" i="19"/>
  <c r="BB154" i="19"/>
  <c r="BA154" i="19"/>
  <c r="AZ154" i="19"/>
  <c r="AY154" i="19"/>
  <c r="AW154" i="19"/>
  <c r="AV154" i="19"/>
  <c r="AU154" i="19"/>
  <c r="AT154" i="19"/>
  <c r="AS154" i="19"/>
  <c r="AR154" i="19"/>
  <c r="BK153" i="19"/>
  <c r="BJ153" i="19"/>
  <c r="BI153" i="19"/>
  <c r="BH153" i="19"/>
  <c r="BG153" i="19"/>
  <c r="BF153" i="19"/>
  <c r="BD153" i="19"/>
  <c r="BC153" i="19"/>
  <c r="BB153" i="19"/>
  <c r="BA153" i="19"/>
  <c r="AZ153" i="19"/>
  <c r="AY153" i="19"/>
  <c r="AW153" i="19"/>
  <c r="AV153" i="19"/>
  <c r="AU153" i="19"/>
  <c r="AT153" i="19"/>
  <c r="AS153" i="19"/>
  <c r="AR153" i="19"/>
  <c r="BK152" i="19"/>
  <c r="BJ152" i="19"/>
  <c r="BI152" i="19"/>
  <c r="BH152" i="19"/>
  <c r="BG152" i="19"/>
  <c r="BF152" i="19"/>
  <c r="BD152" i="19"/>
  <c r="BC152" i="19"/>
  <c r="BB152" i="19"/>
  <c r="BA152" i="19"/>
  <c r="AZ152" i="19"/>
  <c r="AY152" i="19"/>
  <c r="AW152" i="19"/>
  <c r="AV152" i="19"/>
  <c r="AU152" i="19"/>
  <c r="AT152" i="19"/>
  <c r="AS152" i="19"/>
  <c r="AR152" i="19"/>
  <c r="BK151" i="19"/>
  <c r="BJ151" i="19"/>
  <c r="BI151" i="19"/>
  <c r="BH151" i="19"/>
  <c r="BG151" i="19"/>
  <c r="BF151" i="19"/>
  <c r="BD151" i="19"/>
  <c r="BC151" i="19"/>
  <c r="BB151" i="19"/>
  <c r="BA151" i="19"/>
  <c r="AZ151" i="19"/>
  <c r="AY151" i="19"/>
  <c r="AW151" i="19"/>
  <c r="AV151" i="19"/>
  <c r="AU151" i="19"/>
  <c r="AT151" i="19"/>
  <c r="AS151" i="19"/>
  <c r="AR151" i="19"/>
  <c r="BK150" i="19"/>
  <c r="BJ150" i="19"/>
  <c r="BI150" i="19"/>
  <c r="BH150" i="19"/>
  <c r="BG150" i="19"/>
  <c r="BF150" i="19"/>
  <c r="BD150" i="19"/>
  <c r="BC150" i="19"/>
  <c r="BB150" i="19"/>
  <c r="BA150" i="19"/>
  <c r="AZ150" i="19"/>
  <c r="AY150" i="19"/>
  <c r="AW150" i="19"/>
  <c r="AV150" i="19"/>
  <c r="AU150" i="19"/>
  <c r="AT150" i="19"/>
  <c r="AS150" i="19"/>
  <c r="AR150" i="19"/>
  <c r="BK149" i="19"/>
  <c r="BJ149" i="19"/>
  <c r="BI149" i="19"/>
  <c r="BH149" i="19"/>
  <c r="BG149" i="19"/>
  <c r="BF149" i="19"/>
  <c r="BD149" i="19"/>
  <c r="BC149" i="19"/>
  <c r="BB149" i="19"/>
  <c r="BA149" i="19"/>
  <c r="AZ149" i="19"/>
  <c r="AY149" i="19"/>
  <c r="AW149" i="19"/>
  <c r="AV149" i="19"/>
  <c r="AU149" i="19"/>
  <c r="AT149" i="19"/>
  <c r="AS149" i="19"/>
  <c r="AR149" i="19"/>
  <c r="BK148" i="19"/>
  <c r="BJ148" i="19"/>
  <c r="BI148" i="19"/>
  <c r="BH148" i="19"/>
  <c r="BG148" i="19"/>
  <c r="BF148" i="19"/>
  <c r="BD148" i="19"/>
  <c r="BC148" i="19"/>
  <c r="BB148" i="19"/>
  <c r="BA148" i="19"/>
  <c r="AZ148" i="19"/>
  <c r="AY148" i="19"/>
  <c r="AW148" i="19"/>
  <c r="AV148" i="19"/>
  <c r="AU148" i="19"/>
  <c r="AT148" i="19"/>
  <c r="AS148" i="19"/>
  <c r="AR148" i="19"/>
  <c r="BK147" i="19"/>
  <c r="BJ147" i="19"/>
  <c r="BI147" i="19"/>
  <c r="BH147" i="19"/>
  <c r="BG147" i="19"/>
  <c r="BF147" i="19"/>
  <c r="BD147" i="19"/>
  <c r="BC147" i="19"/>
  <c r="BB147" i="19"/>
  <c r="BA147" i="19"/>
  <c r="AZ147" i="19"/>
  <c r="AY147" i="19"/>
  <c r="AW147" i="19"/>
  <c r="AV147" i="19"/>
  <c r="AU147" i="19"/>
  <c r="AT147" i="19"/>
  <c r="AS147" i="19"/>
  <c r="AR147" i="19"/>
  <c r="BK146" i="19"/>
  <c r="BJ146" i="19"/>
  <c r="BI146" i="19"/>
  <c r="BH146" i="19"/>
  <c r="BG146" i="19"/>
  <c r="BF146" i="19"/>
  <c r="BD146" i="19"/>
  <c r="BC146" i="19"/>
  <c r="BB146" i="19"/>
  <c r="BA146" i="19"/>
  <c r="AZ146" i="19"/>
  <c r="AY146" i="19"/>
  <c r="AW146" i="19"/>
  <c r="AV146" i="19"/>
  <c r="AU146" i="19"/>
  <c r="AT146" i="19"/>
  <c r="AS146" i="19"/>
  <c r="AR146" i="19"/>
  <c r="BK145" i="19"/>
  <c r="BJ145" i="19"/>
  <c r="BI145" i="19"/>
  <c r="BH145" i="19"/>
  <c r="BG145" i="19"/>
  <c r="BF145" i="19"/>
  <c r="BD145" i="19"/>
  <c r="BC145" i="19"/>
  <c r="BB145" i="19"/>
  <c r="BA145" i="19"/>
  <c r="AZ145" i="19"/>
  <c r="AY145" i="19"/>
  <c r="AW145" i="19"/>
  <c r="AV145" i="19"/>
  <c r="AU145" i="19"/>
  <c r="AT145" i="19"/>
  <c r="AS145" i="19"/>
  <c r="AR145" i="19"/>
  <c r="BK144" i="19"/>
  <c r="BJ144" i="19"/>
  <c r="BI144" i="19"/>
  <c r="BH144" i="19"/>
  <c r="BG144" i="19"/>
  <c r="BF144" i="19"/>
  <c r="BD144" i="19"/>
  <c r="BC144" i="19"/>
  <c r="BB144" i="19"/>
  <c r="BA144" i="19"/>
  <c r="AZ144" i="19"/>
  <c r="AY144" i="19"/>
  <c r="AW144" i="19"/>
  <c r="AV144" i="19"/>
  <c r="AU144" i="19"/>
  <c r="AT144" i="19"/>
  <c r="AS144" i="19"/>
  <c r="AR144" i="19"/>
  <c r="BK143" i="19"/>
  <c r="BJ143" i="19"/>
  <c r="BI143" i="19"/>
  <c r="BH143" i="19"/>
  <c r="BG143" i="19"/>
  <c r="BF143" i="19"/>
  <c r="BD143" i="19"/>
  <c r="BC143" i="19"/>
  <c r="BB143" i="19"/>
  <c r="BA143" i="19"/>
  <c r="AZ143" i="19"/>
  <c r="AY143" i="19"/>
  <c r="AW143" i="19"/>
  <c r="AV143" i="19"/>
  <c r="AU143" i="19"/>
  <c r="AT143" i="19"/>
  <c r="AS143" i="19"/>
  <c r="AR143" i="19"/>
  <c r="BK142" i="19"/>
  <c r="BJ142" i="19"/>
  <c r="BI142" i="19"/>
  <c r="BH142" i="19"/>
  <c r="BG142" i="19"/>
  <c r="BF142" i="19"/>
  <c r="BD142" i="19"/>
  <c r="BC142" i="19"/>
  <c r="BB142" i="19"/>
  <c r="BA142" i="19"/>
  <c r="AZ142" i="19"/>
  <c r="AY142" i="19"/>
  <c r="AW142" i="19"/>
  <c r="AV142" i="19"/>
  <c r="AU142" i="19"/>
  <c r="AT142" i="19"/>
  <c r="AS142" i="19"/>
  <c r="AR142" i="19"/>
  <c r="BK141" i="19"/>
  <c r="BJ141" i="19"/>
  <c r="BI141" i="19"/>
  <c r="BH141" i="19"/>
  <c r="BG141" i="19"/>
  <c r="BF141" i="19"/>
  <c r="BD141" i="19"/>
  <c r="BC141" i="19"/>
  <c r="BB141" i="19"/>
  <c r="BA141" i="19"/>
  <c r="AZ141" i="19"/>
  <c r="AY141" i="19"/>
  <c r="AW141" i="19"/>
  <c r="AV141" i="19"/>
  <c r="AU141" i="19"/>
  <c r="AT141" i="19"/>
  <c r="AS141" i="19"/>
  <c r="AR141" i="19"/>
  <c r="BK140" i="19"/>
  <c r="BJ140" i="19"/>
  <c r="BI140" i="19"/>
  <c r="BH140" i="19"/>
  <c r="BG140" i="19"/>
  <c r="BF140" i="19"/>
  <c r="BD140" i="19"/>
  <c r="BC140" i="19"/>
  <c r="BB140" i="19"/>
  <c r="BA140" i="19"/>
  <c r="AZ140" i="19"/>
  <c r="AY140" i="19"/>
  <c r="AW140" i="19"/>
  <c r="AV140" i="19"/>
  <c r="AU140" i="19"/>
  <c r="AT140" i="19"/>
  <c r="AS140" i="19"/>
  <c r="AR140" i="19"/>
  <c r="BK139" i="19"/>
  <c r="BJ139" i="19"/>
  <c r="BI139" i="19"/>
  <c r="BH139" i="19"/>
  <c r="BG139" i="19"/>
  <c r="BF139" i="19"/>
  <c r="BD139" i="19"/>
  <c r="BC139" i="19"/>
  <c r="BB139" i="19"/>
  <c r="BA139" i="19"/>
  <c r="AZ139" i="19"/>
  <c r="AY139" i="19"/>
  <c r="AW139" i="19"/>
  <c r="AV139" i="19"/>
  <c r="AU139" i="19"/>
  <c r="AT139" i="19"/>
  <c r="AS139" i="19"/>
  <c r="AR139" i="19"/>
  <c r="BK138" i="19"/>
  <c r="BJ138" i="19"/>
  <c r="BI138" i="19"/>
  <c r="BH138" i="19"/>
  <c r="BG138" i="19"/>
  <c r="BF138" i="19"/>
  <c r="BD138" i="19"/>
  <c r="BC138" i="19"/>
  <c r="BB138" i="19"/>
  <c r="BA138" i="19"/>
  <c r="AZ138" i="19"/>
  <c r="AY138" i="19"/>
  <c r="AW138" i="19"/>
  <c r="AV138" i="19"/>
  <c r="AU138" i="19"/>
  <c r="AT138" i="19"/>
  <c r="AS138" i="19"/>
  <c r="AR138" i="19"/>
  <c r="BK137" i="19"/>
  <c r="BJ137" i="19"/>
  <c r="BI137" i="19"/>
  <c r="BH137" i="19"/>
  <c r="BG137" i="19"/>
  <c r="BF137" i="19"/>
  <c r="BD137" i="19"/>
  <c r="BC137" i="19"/>
  <c r="BB137" i="19"/>
  <c r="BA137" i="19"/>
  <c r="AZ137" i="19"/>
  <c r="AY137" i="19"/>
  <c r="AW137" i="19"/>
  <c r="AV137" i="19"/>
  <c r="AU137" i="19"/>
  <c r="AT137" i="19"/>
  <c r="AS137" i="19"/>
  <c r="AR137" i="19"/>
  <c r="BK129" i="19"/>
  <c r="BJ129" i="19"/>
  <c r="BI129" i="19"/>
  <c r="BH129" i="19"/>
  <c r="BG129" i="19"/>
  <c r="BF129" i="19"/>
  <c r="BD129" i="19"/>
  <c r="BC129" i="19"/>
  <c r="BB129" i="19"/>
  <c r="BA129" i="19"/>
  <c r="AZ129" i="19"/>
  <c r="AY129" i="19"/>
  <c r="AW129" i="19"/>
  <c r="AV129" i="19"/>
  <c r="AU129" i="19"/>
  <c r="AT129" i="19"/>
  <c r="AS129" i="19"/>
  <c r="AR129" i="19"/>
  <c r="BK128" i="19"/>
  <c r="BJ128" i="19"/>
  <c r="BI128" i="19"/>
  <c r="BH128" i="19"/>
  <c r="BG128" i="19"/>
  <c r="BF128" i="19"/>
  <c r="BD128" i="19"/>
  <c r="BC128" i="19"/>
  <c r="BB128" i="19"/>
  <c r="BA128" i="19"/>
  <c r="AZ128" i="19"/>
  <c r="AY128" i="19"/>
  <c r="AW128" i="19"/>
  <c r="AV128" i="19"/>
  <c r="AU128" i="19"/>
  <c r="AT128" i="19"/>
  <c r="AS128" i="19"/>
  <c r="AR128" i="19"/>
  <c r="BK127" i="19"/>
  <c r="BJ127" i="19"/>
  <c r="BI127" i="19"/>
  <c r="BH127" i="19"/>
  <c r="BG127" i="19"/>
  <c r="BF127" i="19"/>
  <c r="BD127" i="19"/>
  <c r="BC127" i="19"/>
  <c r="BB127" i="19"/>
  <c r="BA127" i="19"/>
  <c r="AZ127" i="19"/>
  <c r="AY127" i="19"/>
  <c r="AW127" i="19"/>
  <c r="AV127" i="19"/>
  <c r="AU127" i="19"/>
  <c r="AT127" i="19"/>
  <c r="AS127" i="19"/>
  <c r="AR127" i="19"/>
  <c r="BK126" i="19"/>
  <c r="BJ126" i="19"/>
  <c r="BI126" i="19"/>
  <c r="BH126" i="19"/>
  <c r="BG126" i="19"/>
  <c r="BF126" i="19"/>
  <c r="BD126" i="19"/>
  <c r="BC126" i="19"/>
  <c r="BB126" i="19"/>
  <c r="BA126" i="19"/>
  <c r="AZ126" i="19"/>
  <c r="AY126" i="19"/>
  <c r="AW126" i="19"/>
  <c r="AV126" i="19"/>
  <c r="AU126" i="19"/>
  <c r="AT126" i="19"/>
  <c r="AS126" i="19"/>
  <c r="AR126" i="19"/>
  <c r="BK125" i="19"/>
  <c r="BJ125" i="19"/>
  <c r="BI125" i="19"/>
  <c r="BH125" i="19"/>
  <c r="BG125" i="19"/>
  <c r="BF125" i="19"/>
  <c r="BD125" i="19"/>
  <c r="BC125" i="19"/>
  <c r="BB125" i="19"/>
  <c r="BA125" i="19"/>
  <c r="AZ125" i="19"/>
  <c r="AY125" i="19"/>
  <c r="AW125" i="19"/>
  <c r="AV125" i="19"/>
  <c r="AU125" i="19"/>
  <c r="AT125" i="19"/>
  <c r="AS125" i="19"/>
  <c r="AR125" i="19"/>
  <c r="BK124" i="19"/>
  <c r="BJ124" i="19"/>
  <c r="BI124" i="19"/>
  <c r="BH124" i="19"/>
  <c r="BG124" i="19"/>
  <c r="BF124" i="19"/>
  <c r="BD124" i="19"/>
  <c r="BC124" i="19"/>
  <c r="BB124" i="19"/>
  <c r="BA124" i="19"/>
  <c r="AZ124" i="19"/>
  <c r="AY124" i="19"/>
  <c r="AW124" i="19"/>
  <c r="AV124" i="19"/>
  <c r="AU124" i="19"/>
  <c r="AT124" i="19"/>
  <c r="AS124" i="19"/>
  <c r="AR124" i="19"/>
  <c r="BK123" i="19"/>
  <c r="BJ123" i="19"/>
  <c r="BI123" i="19"/>
  <c r="BH123" i="19"/>
  <c r="BG123" i="19"/>
  <c r="BF123" i="19"/>
  <c r="BD123" i="19"/>
  <c r="BC123" i="19"/>
  <c r="BB123" i="19"/>
  <c r="BA123" i="19"/>
  <c r="AZ123" i="19"/>
  <c r="AY123" i="19"/>
  <c r="AW123" i="19"/>
  <c r="AV123" i="19"/>
  <c r="AU123" i="19"/>
  <c r="AT123" i="19"/>
  <c r="AS123" i="19"/>
  <c r="AR123" i="19"/>
  <c r="BK122" i="19"/>
  <c r="BJ122" i="19"/>
  <c r="BI122" i="19"/>
  <c r="BH122" i="19"/>
  <c r="BG122" i="19"/>
  <c r="BF122" i="19"/>
  <c r="BD122" i="19"/>
  <c r="BC122" i="19"/>
  <c r="BB122" i="19"/>
  <c r="BA122" i="19"/>
  <c r="AZ122" i="19"/>
  <c r="AY122" i="19"/>
  <c r="AW122" i="19"/>
  <c r="AV122" i="19"/>
  <c r="AU122" i="19"/>
  <c r="AT122" i="19"/>
  <c r="AS122" i="19"/>
  <c r="AR122" i="19"/>
  <c r="BK121" i="19"/>
  <c r="BJ121" i="19"/>
  <c r="BI121" i="19"/>
  <c r="BH121" i="19"/>
  <c r="BG121" i="19"/>
  <c r="BF121" i="19"/>
  <c r="BD121" i="19"/>
  <c r="BC121" i="19"/>
  <c r="BB121" i="19"/>
  <c r="BA121" i="19"/>
  <c r="AZ121" i="19"/>
  <c r="AY121" i="19"/>
  <c r="AW121" i="19"/>
  <c r="AV121" i="19"/>
  <c r="AU121" i="19"/>
  <c r="AT121" i="19"/>
  <c r="AS121" i="19"/>
  <c r="AR121" i="19"/>
  <c r="BK119" i="19"/>
  <c r="BJ119" i="19"/>
  <c r="BI119" i="19"/>
  <c r="BH119" i="19"/>
  <c r="BG119" i="19"/>
  <c r="BF119" i="19"/>
  <c r="BD119" i="19"/>
  <c r="BC119" i="19"/>
  <c r="BB119" i="19"/>
  <c r="BA119" i="19"/>
  <c r="AZ119" i="19"/>
  <c r="AY119" i="19"/>
  <c r="AW119" i="19"/>
  <c r="AV119" i="19"/>
  <c r="AU119" i="19"/>
  <c r="AT119" i="19"/>
  <c r="AS119" i="19"/>
  <c r="AR119" i="19"/>
  <c r="BK118" i="19"/>
  <c r="BJ118" i="19"/>
  <c r="BI118" i="19"/>
  <c r="BH118" i="19"/>
  <c r="BG118" i="19"/>
  <c r="BF118" i="19"/>
  <c r="BD118" i="19"/>
  <c r="BC118" i="19"/>
  <c r="BB118" i="19"/>
  <c r="BA118" i="19"/>
  <c r="AZ118" i="19"/>
  <c r="AY118" i="19"/>
  <c r="AW118" i="19"/>
  <c r="AV118" i="19"/>
  <c r="AU118" i="19"/>
  <c r="AT118" i="19"/>
  <c r="AS118" i="19"/>
  <c r="AR118" i="19"/>
  <c r="BK117" i="19"/>
  <c r="BJ117" i="19"/>
  <c r="BI117" i="19"/>
  <c r="BH117" i="19"/>
  <c r="BG117" i="19"/>
  <c r="BF117" i="19"/>
  <c r="BD117" i="19"/>
  <c r="BC117" i="19"/>
  <c r="BB117" i="19"/>
  <c r="BA117" i="19"/>
  <c r="AZ117" i="19"/>
  <c r="AY117" i="19"/>
  <c r="AW117" i="19"/>
  <c r="AV117" i="19"/>
  <c r="AU117" i="19"/>
  <c r="AT117" i="19"/>
  <c r="AS117" i="19"/>
  <c r="AR117" i="19"/>
  <c r="BK116" i="19"/>
  <c r="BJ116" i="19"/>
  <c r="BI116" i="19"/>
  <c r="BH116" i="19"/>
  <c r="BG116" i="19"/>
  <c r="BF116" i="19"/>
  <c r="BD116" i="19"/>
  <c r="BC116" i="19"/>
  <c r="BB116" i="19"/>
  <c r="BA116" i="19"/>
  <c r="AZ116" i="19"/>
  <c r="AY116" i="19"/>
  <c r="AW116" i="19"/>
  <c r="AV116" i="19"/>
  <c r="AU116" i="19"/>
  <c r="AT116" i="19"/>
  <c r="AS116" i="19"/>
  <c r="AR116" i="19"/>
  <c r="BK115" i="19"/>
  <c r="BJ115" i="19"/>
  <c r="BI115" i="19"/>
  <c r="BH115" i="19"/>
  <c r="BG115" i="19"/>
  <c r="BF115" i="19"/>
  <c r="BD115" i="19"/>
  <c r="BC115" i="19"/>
  <c r="BB115" i="19"/>
  <c r="BA115" i="19"/>
  <c r="AZ115" i="19"/>
  <c r="AY115" i="19"/>
  <c r="AW115" i="19"/>
  <c r="AV115" i="19"/>
  <c r="AU115" i="19"/>
  <c r="AT115" i="19"/>
  <c r="AS115" i="19"/>
  <c r="AR115" i="19"/>
  <c r="BK114" i="19"/>
  <c r="BJ114" i="19"/>
  <c r="BI114" i="19"/>
  <c r="BH114" i="19"/>
  <c r="BG114" i="19"/>
  <c r="BF114" i="19"/>
  <c r="BD114" i="19"/>
  <c r="BC114" i="19"/>
  <c r="BB114" i="19"/>
  <c r="BA114" i="19"/>
  <c r="AZ114" i="19"/>
  <c r="AY114" i="19"/>
  <c r="AW114" i="19"/>
  <c r="AV114" i="19"/>
  <c r="AU114" i="19"/>
  <c r="AT114" i="19"/>
  <c r="AS114" i="19"/>
  <c r="AR114" i="19"/>
  <c r="BK113" i="19"/>
  <c r="BJ113" i="19"/>
  <c r="BI113" i="19"/>
  <c r="BH113" i="19"/>
  <c r="BG113" i="19"/>
  <c r="BF113" i="19"/>
  <c r="BD113" i="19"/>
  <c r="BC113" i="19"/>
  <c r="BB113" i="19"/>
  <c r="BA113" i="19"/>
  <c r="AZ113" i="19"/>
  <c r="AY113" i="19"/>
  <c r="AW113" i="19"/>
  <c r="AV113" i="19"/>
  <c r="AU113" i="19"/>
  <c r="AT113" i="19"/>
  <c r="AS113" i="19"/>
  <c r="AR113" i="19"/>
  <c r="BK112" i="19"/>
  <c r="BJ112" i="19"/>
  <c r="BI112" i="19"/>
  <c r="BH112" i="19"/>
  <c r="BG112" i="19"/>
  <c r="BF112" i="19"/>
  <c r="BD112" i="19"/>
  <c r="BC112" i="19"/>
  <c r="BB112" i="19"/>
  <c r="BA112" i="19"/>
  <c r="AZ112" i="19"/>
  <c r="AY112" i="19"/>
  <c r="AW112" i="19"/>
  <c r="AV112" i="19"/>
  <c r="AU112" i="19"/>
  <c r="AT112" i="19"/>
  <c r="AS112" i="19"/>
  <c r="AR112" i="19"/>
  <c r="BK111" i="19"/>
  <c r="BJ111" i="19"/>
  <c r="BI111" i="19"/>
  <c r="BH111" i="19"/>
  <c r="BG111" i="19"/>
  <c r="BF111" i="19"/>
  <c r="BD111" i="19"/>
  <c r="BC111" i="19"/>
  <c r="BB111" i="19"/>
  <c r="BA111" i="19"/>
  <c r="AZ111" i="19"/>
  <c r="AY111" i="19"/>
  <c r="AW111" i="19"/>
  <c r="AV111" i="19"/>
  <c r="AU111" i="19"/>
  <c r="AT111" i="19"/>
  <c r="AS111" i="19"/>
  <c r="AR111" i="19"/>
  <c r="BK110" i="19"/>
  <c r="BJ110" i="19"/>
  <c r="BI110" i="19"/>
  <c r="BH110" i="19"/>
  <c r="BG110" i="19"/>
  <c r="BF110" i="19"/>
  <c r="BD110" i="19"/>
  <c r="BC110" i="19"/>
  <c r="BB110" i="19"/>
  <c r="BA110" i="19"/>
  <c r="AZ110" i="19"/>
  <c r="AY110" i="19"/>
  <c r="AW110" i="19"/>
  <c r="AV110" i="19"/>
  <c r="AU110" i="19"/>
  <c r="AT110" i="19"/>
  <c r="AS110" i="19"/>
  <c r="AR110" i="19"/>
  <c r="BK109" i="19"/>
  <c r="BJ109" i="19"/>
  <c r="BI109" i="19"/>
  <c r="BH109" i="19"/>
  <c r="BG109" i="19"/>
  <c r="BF109" i="19"/>
  <c r="BD109" i="19"/>
  <c r="BC109" i="19"/>
  <c r="BB109" i="19"/>
  <c r="BA109" i="19"/>
  <c r="AZ109" i="19"/>
  <c r="AY109" i="19"/>
  <c r="AW109" i="19"/>
  <c r="AV109" i="19"/>
  <c r="AU109" i="19"/>
  <c r="AT109" i="19"/>
  <c r="AS109" i="19"/>
  <c r="AR109" i="19"/>
  <c r="BK108" i="19"/>
  <c r="BJ108" i="19"/>
  <c r="BI108" i="19"/>
  <c r="BH108" i="19"/>
  <c r="BG108" i="19"/>
  <c r="BF108" i="19"/>
  <c r="BD108" i="19"/>
  <c r="BC108" i="19"/>
  <c r="BB108" i="19"/>
  <c r="BA108" i="19"/>
  <c r="AZ108" i="19"/>
  <c r="AY108" i="19"/>
  <c r="AW108" i="19"/>
  <c r="AV108" i="19"/>
  <c r="AU108" i="19"/>
  <c r="AT108" i="19"/>
  <c r="AS108" i="19"/>
  <c r="AR108" i="19"/>
  <c r="BK107" i="19"/>
  <c r="BJ107" i="19"/>
  <c r="BI107" i="19"/>
  <c r="BH107" i="19"/>
  <c r="BG107" i="19"/>
  <c r="BF107" i="19"/>
  <c r="BD107" i="19"/>
  <c r="BC107" i="19"/>
  <c r="BB107" i="19"/>
  <c r="BA107" i="19"/>
  <c r="AZ107" i="19"/>
  <c r="AY107" i="19"/>
  <c r="AW107" i="19"/>
  <c r="AV107" i="19"/>
  <c r="AU107" i="19"/>
  <c r="AT107" i="19"/>
  <c r="AS107" i="19"/>
  <c r="AR107" i="19"/>
  <c r="BK106" i="19"/>
  <c r="BJ106" i="19"/>
  <c r="BI106" i="19"/>
  <c r="BH106" i="19"/>
  <c r="BG106" i="19"/>
  <c r="BF106" i="19"/>
  <c r="BD106" i="19"/>
  <c r="BC106" i="19"/>
  <c r="BB106" i="19"/>
  <c r="BA106" i="19"/>
  <c r="AZ106" i="19"/>
  <c r="AY106" i="19"/>
  <c r="AW106" i="19"/>
  <c r="AV106" i="19"/>
  <c r="AU106" i="19"/>
  <c r="AT106" i="19"/>
  <c r="AS106" i="19"/>
  <c r="AR106" i="19"/>
  <c r="BK105" i="19"/>
  <c r="BJ105" i="19"/>
  <c r="BI105" i="19"/>
  <c r="BH105" i="19"/>
  <c r="BG105" i="19"/>
  <c r="BF105" i="19"/>
  <c r="BD105" i="19"/>
  <c r="BC105" i="19"/>
  <c r="BB105" i="19"/>
  <c r="BA105" i="19"/>
  <c r="AZ105" i="19"/>
  <c r="AY105" i="19"/>
  <c r="AW105" i="19"/>
  <c r="AV105" i="19"/>
  <c r="AU105" i="19"/>
  <c r="AT105" i="19"/>
  <c r="AS105" i="19"/>
  <c r="AR105" i="19"/>
  <c r="BK104" i="19"/>
  <c r="BJ104" i="19"/>
  <c r="BI104" i="19"/>
  <c r="BH104" i="19"/>
  <c r="BG104" i="19"/>
  <c r="BF104" i="19"/>
  <c r="BD104" i="19"/>
  <c r="BC104" i="19"/>
  <c r="BB104" i="19"/>
  <c r="BA104" i="19"/>
  <c r="AZ104" i="19"/>
  <c r="AY104" i="19"/>
  <c r="AW104" i="19"/>
  <c r="AV104" i="19"/>
  <c r="AU104" i="19"/>
  <c r="AT104" i="19"/>
  <c r="AS104" i="19"/>
  <c r="AR104" i="19"/>
  <c r="BK103" i="19"/>
  <c r="BJ103" i="19"/>
  <c r="BI103" i="19"/>
  <c r="BH103" i="19"/>
  <c r="BG103" i="19"/>
  <c r="BF103" i="19"/>
  <c r="BD103" i="19"/>
  <c r="BC103" i="19"/>
  <c r="BB103" i="19"/>
  <c r="BA103" i="19"/>
  <c r="AZ103" i="19"/>
  <c r="AY103" i="19"/>
  <c r="AW103" i="19"/>
  <c r="AV103" i="19"/>
  <c r="AU103" i="19"/>
  <c r="AT103" i="19"/>
  <c r="AS103" i="19"/>
  <c r="AR103" i="19"/>
  <c r="BK102" i="19"/>
  <c r="BJ102" i="19"/>
  <c r="BI102" i="19"/>
  <c r="BH102" i="19"/>
  <c r="BG102" i="19"/>
  <c r="BF102" i="19"/>
  <c r="BD102" i="19"/>
  <c r="BC102" i="19"/>
  <c r="BB102" i="19"/>
  <c r="BA102" i="19"/>
  <c r="AZ102" i="19"/>
  <c r="AY102" i="19"/>
  <c r="AW102" i="19"/>
  <c r="AV102" i="19"/>
  <c r="AU102" i="19"/>
  <c r="AT102" i="19"/>
  <c r="AS102" i="19"/>
  <c r="AR102" i="19"/>
  <c r="BK101" i="19"/>
  <c r="BJ101" i="19"/>
  <c r="BI101" i="19"/>
  <c r="BH101" i="19"/>
  <c r="BG101" i="19"/>
  <c r="BF101" i="19"/>
  <c r="BD101" i="19"/>
  <c r="BC101" i="19"/>
  <c r="BB101" i="19"/>
  <c r="BA101" i="19"/>
  <c r="AZ101" i="19"/>
  <c r="AY101" i="19"/>
  <c r="AW101" i="19"/>
  <c r="AV101" i="19"/>
  <c r="AU101" i="19"/>
  <c r="AT101" i="19"/>
  <c r="AS101" i="19"/>
  <c r="AR101" i="19"/>
  <c r="BK100" i="19"/>
  <c r="BJ100" i="19"/>
  <c r="BI100" i="19"/>
  <c r="BH100" i="19"/>
  <c r="BG100" i="19"/>
  <c r="BF100" i="19"/>
  <c r="BD100" i="19"/>
  <c r="BC100" i="19"/>
  <c r="BB100" i="19"/>
  <c r="BA100" i="19"/>
  <c r="AZ100" i="19"/>
  <c r="AY100" i="19"/>
  <c r="AW100" i="19"/>
  <c r="AV100" i="19"/>
  <c r="AU100" i="19"/>
  <c r="AT100" i="19"/>
  <c r="AS100" i="19"/>
  <c r="AR100" i="19"/>
  <c r="BK99" i="19"/>
  <c r="BJ99" i="19"/>
  <c r="BI99" i="19"/>
  <c r="BH99" i="19"/>
  <c r="BG99" i="19"/>
  <c r="BF99" i="19"/>
  <c r="BD99" i="19"/>
  <c r="BC99" i="19"/>
  <c r="BB99" i="19"/>
  <c r="BA99" i="19"/>
  <c r="AZ99" i="19"/>
  <c r="AY99" i="19"/>
  <c r="AW99" i="19"/>
  <c r="AV99" i="19"/>
  <c r="AU99" i="19"/>
  <c r="AT99" i="19"/>
  <c r="AS99" i="19"/>
  <c r="AR99" i="19"/>
  <c r="BK98" i="19"/>
  <c r="BJ98" i="19"/>
  <c r="BI98" i="19"/>
  <c r="BH98" i="19"/>
  <c r="BG98" i="19"/>
  <c r="BF98" i="19"/>
  <c r="BD98" i="19"/>
  <c r="BC98" i="19"/>
  <c r="BB98" i="19"/>
  <c r="BA98" i="19"/>
  <c r="AZ98" i="19"/>
  <c r="AY98" i="19"/>
  <c r="AW98" i="19"/>
  <c r="AV98" i="19"/>
  <c r="AU98" i="19"/>
  <c r="AT98" i="19"/>
  <c r="AS98" i="19"/>
  <c r="AR98" i="19"/>
  <c r="BK97" i="19"/>
  <c r="BJ97" i="19"/>
  <c r="BI97" i="19"/>
  <c r="BH97" i="19"/>
  <c r="BG97" i="19"/>
  <c r="BF97" i="19"/>
  <c r="BD97" i="19"/>
  <c r="BC97" i="19"/>
  <c r="BB97" i="19"/>
  <c r="BA97" i="19"/>
  <c r="AZ97" i="19"/>
  <c r="AY97" i="19"/>
  <c r="AW97" i="19"/>
  <c r="AV97" i="19"/>
  <c r="AU97" i="19"/>
  <c r="AT97" i="19"/>
  <c r="AS97" i="19"/>
  <c r="AR97" i="19"/>
  <c r="BK96" i="19"/>
  <c r="BJ96" i="19"/>
  <c r="BI96" i="19"/>
  <c r="BH96" i="19"/>
  <c r="BG96" i="19"/>
  <c r="BF96" i="19"/>
  <c r="BD96" i="19"/>
  <c r="BC96" i="19"/>
  <c r="BB96" i="19"/>
  <c r="BA96" i="19"/>
  <c r="AZ96" i="19"/>
  <c r="AY96" i="19"/>
  <c r="AW96" i="19"/>
  <c r="AV96" i="19"/>
  <c r="AU96" i="19"/>
  <c r="AT96" i="19"/>
  <c r="AS96" i="19"/>
  <c r="AR96" i="19"/>
  <c r="BK95" i="19"/>
  <c r="BJ95" i="19"/>
  <c r="BI95" i="19"/>
  <c r="BH95" i="19"/>
  <c r="BG95" i="19"/>
  <c r="BF95" i="19"/>
  <c r="BD95" i="19"/>
  <c r="BC95" i="19"/>
  <c r="BB95" i="19"/>
  <c r="BA95" i="19"/>
  <c r="AZ95" i="19"/>
  <c r="AY95" i="19"/>
  <c r="AW95" i="19"/>
  <c r="AV95" i="19"/>
  <c r="AU95" i="19"/>
  <c r="AT95" i="19"/>
  <c r="AS95" i="19"/>
  <c r="AR95" i="19"/>
  <c r="BK94" i="19"/>
  <c r="BJ94" i="19"/>
  <c r="BI94" i="19"/>
  <c r="BH94" i="19"/>
  <c r="BG94" i="19"/>
  <c r="BF94" i="19"/>
  <c r="BD94" i="19"/>
  <c r="BC94" i="19"/>
  <c r="BB94" i="19"/>
  <c r="BA94" i="19"/>
  <c r="AZ94" i="19"/>
  <c r="AY94" i="19"/>
  <c r="AW94" i="19"/>
  <c r="AV94" i="19"/>
  <c r="AU94" i="19"/>
  <c r="AT94" i="19"/>
  <c r="AS94" i="19"/>
  <c r="AR94" i="19"/>
  <c r="BK93" i="19"/>
  <c r="BJ93" i="19"/>
  <c r="BI93" i="19"/>
  <c r="BH93" i="19"/>
  <c r="BG93" i="19"/>
  <c r="BF93" i="19"/>
  <c r="BD93" i="19"/>
  <c r="BC93" i="19"/>
  <c r="BB93" i="19"/>
  <c r="BA93" i="19"/>
  <c r="AZ93" i="19"/>
  <c r="AY93" i="19"/>
  <c r="AW93" i="19"/>
  <c r="AV93" i="19"/>
  <c r="AU93" i="19"/>
  <c r="AT93" i="19"/>
  <c r="AS93" i="19"/>
  <c r="AR93" i="19"/>
  <c r="BK92" i="19"/>
  <c r="BJ92" i="19"/>
  <c r="BI92" i="19"/>
  <c r="BH92" i="19"/>
  <c r="BG92" i="19"/>
  <c r="BF92" i="19"/>
  <c r="BD92" i="19"/>
  <c r="BC92" i="19"/>
  <c r="BB92" i="19"/>
  <c r="BA92" i="19"/>
  <c r="AZ92" i="19"/>
  <c r="AY92" i="19"/>
  <c r="AW92" i="19"/>
  <c r="AV92" i="19"/>
  <c r="AU92" i="19"/>
  <c r="AT92" i="19"/>
  <c r="AS92" i="19"/>
  <c r="AR92" i="19"/>
  <c r="BK91" i="19"/>
  <c r="BJ91" i="19"/>
  <c r="BI91" i="19"/>
  <c r="BH91" i="19"/>
  <c r="BG91" i="19"/>
  <c r="BF91" i="19"/>
  <c r="BD91" i="19"/>
  <c r="BC91" i="19"/>
  <c r="BB91" i="19"/>
  <c r="BA91" i="19"/>
  <c r="AZ91" i="19"/>
  <c r="AY91" i="19"/>
  <c r="AW91" i="19"/>
  <c r="AV91" i="19"/>
  <c r="AU91" i="19"/>
  <c r="AT91" i="19"/>
  <c r="AS91" i="19"/>
  <c r="AR91" i="19"/>
  <c r="BK90" i="19"/>
  <c r="BJ90" i="19"/>
  <c r="BI90" i="19"/>
  <c r="BH90" i="19"/>
  <c r="BG90" i="19"/>
  <c r="BF90" i="19"/>
  <c r="BD90" i="19"/>
  <c r="BC90" i="19"/>
  <c r="BB90" i="19"/>
  <c r="BA90" i="19"/>
  <c r="AZ90" i="19"/>
  <c r="AY90" i="19"/>
  <c r="AW90" i="19"/>
  <c r="AV90" i="19"/>
  <c r="AU90" i="19"/>
  <c r="AT90" i="19"/>
  <c r="AS90" i="19"/>
  <c r="AR90" i="19"/>
  <c r="BK89" i="19"/>
  <c r="BJ89" i="19"/>
  <c r="BI89" i="19"/>
  <c r="BH89" i="19"/>
  <c r="BG89" i="19"/>
  <c r="BF89" i="19"/>
  <c r="BD89" i="19"/>
  <c r="BC89" i="19"/>
  <c r="BB89" i="19"/>
  <c r="BA89" i="19"/>
  <c r="AZ89" i="19"/>
  <c r="AY89" i="19"/>
  <c r="AW89" i="19"/>
  <c r="AV89" i="19"/>
  <c r="AU89" i="19"/>
  <c r="AT89" i="19"/>
  <c r="AS89" i="19"/>
  <c r="AR89" i="19"/>
  <c r="BK88" i="19"/>
  <c r="BJ88" i="19"/>
  <c r="BI88" i="19"/>
  <c r="BH88" i="19"/>
  <c r="BG88" i="19"/>
  <c r="BF88" i="19"/>
  <c r="BD88" i="19"/>
  <c r="BC88" i="19"/>
  <c r="BB88" i="19"/>
  <c r="BA88" i="19"/>
  <c r="AZ88" i="19"/>
  <c r="AY88" i="19"/>
  <c r="AW88" i="19"/>
  <c r="AV88" i="19"/>
  <c r="AU88" i="19"/>
  <c r="AT88" i="19"/>
  <c r="AS88" i="19"/>
  <c r="AR88" i="19"/>
  <c r="BK87" i="19"/>
  <c r="BJ87" i="19"/>
  <c r="BI87" i="19"/>
  <c r="BH87" i="19"/>
  <c r="BG87" i="19"/>
  <c r="BF87" i="19"/>
  <c r="BD87" i="19"/>
  <c r="BC87" i="19"/>
  <c r="BB87" i="19"/>
  <c r="BA87" i="19"/>
  <c r="AZ87" i="19"/>
  <c r="AY87" i="19"/>
  <c r="AW87" i="19"/>
  <c r="AV87" i="19"/>
  <c r="AU87" i="19"/>
  <c r="AT87" i="19"/>
  <c r="AS87" i="19"/>
  <c r="AR87" i="19"/>
  <c r="BK86" i="19"/>
  <c r="BJ86" i="19"/>
  <c r="BI86" i="19"/>
  <c r="BH86" i="19"/>
  <c r="BG86" i="19"/>
  <c r="BF86" i="19"/>
  <c r="BD86" i="19"/>
  <c r="BC86" i="19"/>
  <c r="BB86" i="19"/>
  <c r="BA86" i="19"/>
  <c r="AZ86" i="19"/>
  <c r="AY86" i="19"/>
  <c r="AW86" i="19"/>
  <c r="AV86" i="19"/>
  <c r="AU86" i="19"/>
  <c r="AT86" i="19"/>
  <c r="AS86" i="19"/>
  <c r="AR86" i="19"/>
  <c r="BK85" i="19"/>
  <c r="BJ85" i="19"/>
  <c r="BI85" i="19"/>
  <c r="BH85" i="19"/>
  <c r="BG85" i="19"/>
  <c r="BF85" i="19"/>
  <c r="BD85" i="19"/>
  <c r="BC85" i="19"/>
  <c r="BB85" i="19"/>
  <c r="BA85" i="19"/>
  <c r="AZ85" i="19"/>
  <c r="AY85" i="19"/>
  <c r="AW85" i="19"/>
  <c r="AV85" i="19"/>
  <c r="AU85" i="19"/>
  <c r="AT85" i="19"/>
  <c r="AS85" i="19"/>
  <c r="AR85" i="19"/>
  <c r="BK84" i="19"/>
  <c r="BJ84" i="19"/>
  <c r="BI84" i="19"/>
  <c r="BH84" i="19"/>
  <c r="BG84" i="19"/>
  <c r="BF84" i="19"/>
  <c r="BD84" i="19"/>
  <c r="BC84" i="19"/>
  <c r="BB84" i="19"/>
  <c r="BA84" i="19"/>
  <c r="AZ84" i="19"/>
  <c r="AY84" i="19"/>
  <c r="AW84" i="19"/>
  <c r="AV84" i="19"/>
  <c r="AU84" i="19"/>
  <c r="AT84" i="19"/>
  <c r="AS84" i="19"/>
  <c r="AR84" i="19"/>
  <c r="BK83" i="19"/>
  <c r="BJ83" i="19"/>
  <c r="BI83" i="19"/>
  <c r="BH83" i="19"/>
  <c r="BG83" i="19"/>
  <c r="BF83" i="19"/>
  <c r="BD83" i="19"/>
  <c r="BC83" i="19"/>
  <c r="BB83" i="19"/>
  <c r="BA83" i="19"/>
  <c r="AZ83" i="19"/>
  <c r="AY83" i="19"/>
  <c r="AW83" i="19"/>
  <c r="AV83" i="19"/>
  <c r="AU83" i="19"/>
  <c r="AT83" i="19"/>
  <c r="AS83" i="19"/>
  <c r="AR83" i="19"/>
  <c r="BK82" i="19"/>
  <c r="BJ82" i="19"/>
  <c r="BI82" i="19"/>
  <c r="BH82" i="19"/>
  <c r="BG82" i="19"/>
  <c r="BF82" i="19"/>
  <c r="BD82" i="19"/>
  <c r="BC82" i="19"/>
  <c r="BB82" i="19"/>
  <c r="BA82" i="19"/>
  <c r="AZ82" i="19"/>
  <c r="AY82" i="19"/>
  <c r="AW82" i="19"/>
  <c r="AV82" i="19"/>
  <c r="AU82" i="19"/>
  <c r="AT82" i="19"/>
  <c r="AS82" i="19"/>
  <c r="AR82" i="19"/>
  <c r="BK81" i="19"/>
  <c r="BJ81" i="19"/>
  <c r="BI81" i="19"/>
  <c r="BH81" i="19"/>
  <c r="BG81" i="19"/>
  <c r="BF81" i="19"/>
  <c r="BD81" i="19"/>
  <c r="BC81" i="19"/>
  <c r="BB81" i="19"/>
  <c r="BA81" i="19"/>
  <c r="AZ81" i="19"/>
  <c r="AY81" i="19"/>
  <c r="AW81" i="19"/>
  <c r="AV81" i="19"/>
  <c r="AU81" i="19"/>
  <c r="AT81" i="19"/>
  <c r="AS81" i="19"/>
  <c r="AR81" i="19"/>
  <c r="BK80" i="19"/>
  <c r="BJ80" i="19"/>
  <c r="BI80" i="19"/>
  <c r="BH80" i="19"/>
  <c r="BG80" i="19"/>
  <c r="BF80" i="19"/>
  <c r="BD80" i="19"/>
  <c r="BC80" i="19"/>
  <c r="BB80" i="19"/>
  <c r="BA80" i="19"/>
  <c r="AZ80" i="19"/>
  <c r="AY80" i="19"/>
  <c r="AW80" i="19"/>
  <c r="AV80" i="19"/>
  <c r="AU80" i="19"/>
  <c r="AT80" i="19"/>
  <c r="AS80" i="19"/>
  <c r="AR80" i="19"/>
  <c r="BK79" i="19"/>
  <c r="BJ79" i="19"/>
  <c r="BI79" i="19"/>
  <c r="BH79" i="19"/>
  <c r="BG79" i="19"/>
  <c r="BF79" i="19"/>
  <c r="BD79" i="19"/>
  <c r="BC79" i="19"/>
  <c r="BB79" i="19"/>
  <c r="BA79" i="19"/>
  <c r="AZ79" i="19"/>
  <c r="AY79" i="19"/>
  <c r="AW79" i="19"/>
  <c r="AV79" i="19"/>
  <c r="AU79" i="19"/>
  <c r="AT79" i="19"/>
  <c r="AS79" i="19"/>
  <c r="AR79" i="19"/>
  <c r="BK78" i="19"/>
  <c r="BJ78" i="19"/>
  <c r="BI78" i="19"/>
  <c r="BH78" i="19"/>
  <c r="BG78" i="19"/>
  <c r="BF78" i="19"/>
  <c r="BD78" i="19"/>
  <c r="BC78" i="19"/>
  <c r="BB78" i="19"/>
  <c r="BA78" i="19"/>
  <c r="AZ78" i="19"/>
  <c r="AY78" i="19"/>
  <c r="AW78" i="19"/>
  <c r="AV78" i="19"/>
  <c r="AU78" i="19"/>
  <c r="AT78" i="19"/>
  <c r="AS78" i="19"/>
  <c r="AR78" i="19"/>
  <c r="BK77" i="19"/>
  <c r="BJ77" i="19"/>
  <c r="BI77" i="19"/>
  <c r="BH77" i="19"/>
  <c r="BG77" i="19"/>
  <c r="BF77" i="19"/>
  <c r="BD77" i="19"/>
  <c r="BC77" i="19"/>
  <c r="BB77" i="19"/>
  <c r="BA77" i="19"/>
  <c r="AZ77" i="19"/>
  <c r="AY77" i="19"/>
  <c r="AW77" i="19"/>
  <c r="AV77" i="19"/>
  <c r="AU77" i="19"/>
  <c r="AT77" i="19"/>
  <c r="AS77" i="19"/>
  <c r="AR77" i="19"/>
  <c r="BK76" i="19"/>
  <c r="BJ76" i="19"/>
  <c r="BI76" i="19"/>
  <c r="BH76" i="19"/>
  <c r="BG76" i="19"/>
  <c r="BF76" i="19"/>
  <c r="BD76" i="19"/>
  <c r="BC76" i="19"/>
  <c r="BB76" i="19"/>
  <c r="BA76" i="19"/>
  <c r="AZ76" i="19"/>
  <c r="AY76" i="19"/>
  <c r="AW76" i="19"/>
  <c r="AV76" i="19"/>
  <c r="AU76" i="19"/>
  <c r="AT76" i="19"/>
  <c r="AS76" i="19"/>
  <c r="AR76" i="19"/>
  <c r="BK75" i="19"/>
  <c r="BJ75" i="19"/>
  <c r="BI75" i="19"/>
  <c r="BH75" i="19"/>
  <c r="BG75" i="19"/>
  <c r="BF75" i="19"/>
  <c r="BD75" i="19"/>
  <c r="BC75" i="19"/>
  <c r="BB75" i="19"/>
  <c r="BA75" i="19"/>
  <c r="AZ75" i="19"/>
  <c r="AY75" i="19"/>
  <c r="AW75" i="19"/>
  <c r="AV75" i="19"/>
  <c r="AU75" i="19"/>
  <c r="AT75" i="19"/>
  <c r="AS75" i="19"/>
  <c r="AR75" i="19"/>
  <c r="BK74" i="19"/>
  <c r="BJ74" i="19"/>
  <c r="BI74" i="19"/>
  <c r="BH74" i="19"/>
  <c r="BG74" i="19"/>
  <c r="BF74" i="19"/>
  <c r="BD74" i="19"/>
  <c r="BC74" i="19"/>
  <c r="BB74" i="19"/>
  <c r="BA74" i="19"/>
  <c r="AZ74" i="19"/>
  <c r="AY74" i="19"/>
  <c r="AW74" i="19"/>
  <c r="AV74" i="19"/>
  <c r="AU74" i="19"/>
  <c r="AT74" i="19"/>
  <c r="AS74" i="19"/>
  <c r="AR74" i="19"/>
  <c r="BK73" i="19"/>
  <c r="BJ73" i="19"/>
  <c r="BI73" i="19"/>
  <c r="BH73" i="19"/>
  <c r="BG73" i="19"/>
  <c r="BF73" i="19"/>
  <c r="BD73" i="19"/>
  <c r="BC73" i="19"/>
  <c r="BB73" i="19"/>
  <c r="BA73" i="19"/>
  <c r="AZ73" i="19"/>
  <c r="AY73" i="19"/>
  <c r="AW73" i="19"/>
  <c r="AV73" i="19"/>
  <c r="AU73" i="19"/>
  <c r="AT73" i="19"/>
  <c r="AS73" i="19"/>
  <c r="AR73" i="19"/>
  <c r="BK72" i="19"/>
  <c r="BJ72" i="19"/>
  <c r="BI72" i="19"/>
  <c r="BH72" i="19"/>
  <c r="BG72" i="19"/>
  <c r="BF72" i="19"/>
  <c r="BD72" i="19"/>
  <c r="BC72" i="19"/>
  <c r="BB72" i="19"/>
  <c r="BA72" i="19"/>
  <c r="AZ72" i="19"/>
  <c r="AY72" i="19"/>
  <c r="AW72" i="19"/>
  <c r="AV72" i="19"/>
  <c r="AU72" i="19"/>
  <c r="AT72" i="19"/>
  <c r="AS72" i="19"/>
  <c r="AR72" i="19"/>
  <c r="BK71" i="19"/>
  <c r="BJ71" i="19"/>
  <c r="BI71" i="19"/>
  <c r="BH71" i="19"/>
  <c r="BG71" i="19"/>
  <c r="BF71" i="19"/>
  <c r="BD71" i="19"/>
  <c r="BC71" i="19"/>
  <c r="BB71" i="19"/>
  <c r="BA71" i="19"/>
  <c r="AZ71" i="19"/>
  <c r="AY71" i="19"/>
  <c r="AW71" i="19"/>
  <c r="AV71" i="19"/>
  <c r="AU71" i="19"/>
  <c r="AT71" i="19"/>
  <c r="AS71" i="19"/>
  <c r="AR71" i="19"/>
  <c r="BK70" i="19"/>
  <c r="BJ70" i="19"/>
  <c r="BI70" i="19"/>
  <c r="BH70" i="19"/>
  <c r="BG70" i="19"/>
  <c r="BF70" i="19"/>
  <c r="BD70" i="19"/>
  <c r="BC70" i="19"/>
  <c r="BB70" i="19"/>
  <c r="BA70" i="19"/>
  <c r="AZ70" i="19"/>
  <c r="AY70" i="19"/>
  <c r="AW70" i="19"/>
  <c r="AV70" i="19"/>
  <c r="AU70" i="19"/>
  <c r="AT70" i="19"/>
  <c r="AS70" i="19"/>
  <c r="AR70" i="19"/>
  <c r="BK69" i="19"/>
  <c r="BJ69" i="19"/>
  <c r="BI69" i="19"/>
  <c r="BH69" i="19"/>
  <c r="BG69" i="19"/>
  <c r="BF69" i="19"/>
  <c r="BD69" i="19"/>
  <c r="BC69" i="19"/>
  <c r="BB69" i="19"/>
  <c r="BA69" i="19"/>
  <c r="AZ69" i="19"/>
  <c r="AY69" i="19"/>
  <c r="AW69" i="19"/>
  <c r="AV69" i="19"/>
  <c r="AU69" i="19"/>
  <c r="AT69" i="19"/>
  <c r="AS69" i="19"/>
  <c r="AR69" i="19"/>
  <c r="BK68" i="19"/>
  <c r="BJ68" i="19"/>
  <c r="BI68" i="19"/>
  <c r="BH68" i="19"/>
  <c r="BG68" i="19"/>
  <c r="BF68" i="19"/>
  <c r="BD68" i="19"/>
  <c r="BC68" i="19"/>
  <c r="BB68" i="19"/>
  <c r="BA68" i="19"/>
  <c r="AZ68" i="19"/>
  <c r="AY68" i="19"/>
  <c r="AW68" i="19"/>
  <c r="AV68" i="19"/>
  <c r="AU68" i="19"/>
  <c r="AT68" i="19"/>
  <c r="AS68" i="19"/>
  <c r="AR68" i="19"/>
  <c r="BK67" i="19"/>
  <c r="BJ67" i="19"/>
  <c r="BI67" i="19"/>
  <c r="BH67" i="19"/>
  <c r="BG67" i="19"/>
  <c r="BF67" i="19"/>
  <c r="BD67" i="19"/>
  <c r="BC67" i="19"/>
  <c r="BB67" i="19"/>
  <c r="BA67" i="19"/>
  <c r="AZ67" i="19"/>
  <c r="AY67" i="19"/>
  <c r="AW67" i="19"/>
  <c r="AV67" i="19"/>
  <c r="AU67" i="19"/>
  <c r="AT67" i="19"/>
  <c r="AS67" i="19"/>
  <c r="AR67" i="19"/>
  <c r="BK66" i="19"/>
  <c r="BJ66" i="19"/>
  <c r="BI66" i="19"/>
  <c r="BH66" i="19"/>
  <c r="BG66" i="19"/>
  <c r="BF66" i="19"/>
  <c r="BD66" i="19"/>
  <c r="BC66" i="19"/>
  <c r="BB66" i="19"/>
  <c r="BA66" i="19"/>
  <c r="AZ66" i="19"/>
  <c r="AY66" i="19"/>
  <c r="AW66" i="19"/>
  <c r="AV66" i="19"/>
  <c r="AU66" i="19"/>
  <c r="AT66" i="19"/>
  <c r="AS66" i="19"/>
  <c r="AR66" i="19"/>
  <c r="BK65" i="19"/>
  <c r="BJ65" i="19"/>
  <c r="BI65" i="19"/>
  <c r="BH65" i="19"/>
  <c r="BG65" i="19"/>
  <c r="BF65" i="19"/>
  <c r="BD65" i="19"/>
  <c r="BC65" i="19"/>
  <c r="BB65" i="19"/>
  <c r="BA65" i="19"/>
  <c r="AZ65" i="19"/>
  <c r="AY65" i="19"/>
  <c r="AW65" i="19"/>
  <c r="AV65" i="19"/>
  <c r="AU65" i="19"/>
  <c r="AT65" i="19"/>
  <c r="AS65" i="19"/>
  <c r="AR65" i="19"/>
  <c r="BK64" i="19"/>
  <c r="BJ64" i="19"/>
  <c r="BI64" i="19"/>
  <c r="BH64" i="19"/>
  <c r="BG64" i="19"/>
  <c r="BF64" i="19"/>
  <c r="BD64" i="19"/>
  <c r="BC64" i="19"/>
  <c r="BB64" i="19"/>
  <c r="BA64" i="19"/>
  <c r="AZ64" i="19"/>
  <c r="AY64" i="19"/>
  <c r="AW64" i="19"/>
  <c r="AV64" i="19"/>
  <c r="AU64" i="19"/>
  <c r="AT64" i="19"/>
  <c r="AS64" i="19"/>
  <c r="AR64" i="19"/>
  <c r="BK63" i="19"/>
  <c r="BJ63" i="19"/>
  <c r="BI63" i="19"/>
  <c r="BH63" i="19"/>
  <c r="BG63" i="19"/>
  <c r="BF63" i="19"/>
  <c r="BD63" i="19"/>
  <c r="BC63" i="19"/>
  <c r="BB63" i="19"/>
  <c r="BA63" i="19"/>
  <c r="AZ63" i="19"/>
  <c r="AY63" i="19"/>
  <c r="AW63" i="19"/>
  <c r="AV63" i="19"/>
  <c r="AU63" i="19"/>
  <c r="AT63" i="19"/>
  <c r="AS63" i="19"/>
  <c r="AR63" i="19"/>
  <c r="BK62" i="19"/>
  <c r="BJ62" i="19"/>
  <c r="BI62" i="19"/>
  <c r="BH62" i="19"/>
  <c r="BG62" i="19"/>
  <c r="BF62" i="19"/>
  <c r="BD62" i="19"/>
  <c r="BC62" i="19"/>
  <c r="BB62" i="19"/>
  <c r="BA62" i="19"/>
  <c r="AZ62" i="19"/>
  <c r="AY62" i="19"/>
  <c r="AW62" i="19"/>
  <c r="AV62" i="19"/>
  <c r="AU62" i="19"/>
  <c r="AT62" i="19"/>
  <c r="AS62" i="19"/>
  <c r="AR62" i="19"/>
  <c r="BK61" i="19"/>
  <c r="BJ61" i="19"/>
  <c r="BI61" i="19"/>
  <c r="BH61" i="19"/>
  <c r="BG61" i="19"/>
  <c r="BF61" i="19"/>
  <c r="BD61" i="19"/>
  <c r="BC61" i="19"/>
  <c r="BB61" i="19"/>
  <c r="BA61" i="19"/>
  <c r="AZ61" i="19"/>
  <c r="AY61" i="19"/>
  <c r="AW61" i="19"/>
  <c r="AV61" i="19"/>
  <c r="AU61" i="19"/>
  <c r="AT61" i="19"/>
  <c r="AS61" i="19"/>
  <c r="AR61" i="19"/>
  <c r="BK60" i="19"/>
  <c r="BJ60" i="19"/>
  <c r="BI60" i="19"/>
  <c r="BH60" i="19"/>
  <c r="BG60" i="19"/>
  <c r="BF60" i="19"/>
  <c r="BD60" i="19"/>
  <c r="BC60" i="19"/>
  <c r="BB60" i="19"/>
  <c r="BA60" i="19"/>
  <c r="AZ60" i="19"/>
  <c r="AY60" i="19"/>
  <c r="AW60" i="19"/>
  <c r="AV60" i="19"/>
  <c r="AU60" i="19"/>
  <c r="AT60" i="19"/>
  <c r="AS60" i="19"/>
  <c r="AR60" i="19"/>
  <c r="BK59" i="19"/>
  <c r="BJ59" i="19"/>
  <c r="BI59" i="19"/>
  <c r="BH59" i="19"/>
  <c r="BG59" i="19"/>
  <c r="BF59" i="19"/>
  <c r="BD59" i="19"/>
  <c r="BC59" i="19"/>
  <c r="BB59" i="19"/>
  <c r="BA59" i="19"/>
  <c r="AZ59" i="19"/>
  <c r="AY59" i="19"/>
  <c r="AW59" i="19"/>
  <c r="AV59" i="19"/>
  <c r="AU59" i="19"/>
  <c r="AT59" i="19"/>
  <c r="AS59" i="19"/>
  <c r="AR59" i="19"/>
  <c r="BK58" i="19"/>
  <c r="BJ58" i="19"/>
  <c r="BI58" i="19"/>
  <c r="BH58" i="19"/>
  <c r="BG58" i="19"/>
  <c r="BF58" i="19"/>
  <c r="BD58" i="19"/>
  <c r="BC58" i="19"/>
  <c r="BB58" i="19"/>
  <c r="BA58" i="19"/>
  <c r="AZ58" i="19"/>
  <c r="AY58" i="19"/>
  <c r="AW58" i="19"/>
  <c r="AV58" i="19"/>
  <c r="AU58" i="19"/>
  <c r="AT58" i="19"/>
  <c r="AS58" i="19"/>
  <c r="AR58" i="19"/>
  <c r="BK57" i="19"/>
  <c r="BJ57" i="19"/>
  <c r="BI57" i="19"/>
  <c r="BH57" i="19"/>
  <c r="BG57" i="19"/>
  <c r="BF57" i="19"/>
  <c r="BD57" i="19"/>
  <c r="BC57" i="19"/>
  <c r="BB57" i="19"/>
  <c r="BA57" i="19"/>
  <c r="AZ57" i="19"/>
  <c r="AY57" i="19"/>
  <c r="AW57" i="19"/>
  <c r="AV57" i="19"/>
  <c r="AU57" i="19"/>
  <c r="AT57" i="19"/>
  <c r="AS57" i="19"/>
  <c r="AR57" i="19"/>
  <c r="BK56" i="19"/>
  <c r="BJ56" i="19"/>
  <c r="BI56" i="19"/>
  <c r="BH56" i="19"/>
  <c r="BG56" i="19"/>
  <c r="BF56" i="19"/>
  <c r="BD56" i="19"/>
  <c r="BC56" i="19"/>
  <c r="BB56" i="19"/>
  <c r="BA56" i="19"/>
  <c r="AZ56" i="19"/>
  <c r="AY56" i="19"/>
  <c r="AW56" i="19"/>
  <c r="AV56" i="19"/>
  <c r="AU56" i="19"/>
  <c r="AT56" i="19"/>
  <c r="AS56" i="19"/>
  <c r="AR56" i="19"/>
  <c r="BK55" i="19"/>
  <c r="BJ55" i="19"/>
  <c r="BI55" i="19"/>
  <c r="BH55" i="19"/>
  <c r="BG55" i="19"/>
  <c r="BF55" i="19"/>
  <c r="BD55" i="19"/>
  <c r="BC55" i="19"/>
  <c r="BB55" i="19"/>
  <c r="BA55" i="19"/>
  <c r="AZ55" i="19"/>
  <c r="AY55" i="19"/>
  <c r="AW55" i="19"/>
  <c r="AV55" i="19"/>
  <c r="AU55" i="19"/>
  <c r="AT55" i="19"/>
  <c r="AS55" i="19"/>
  <c r="AR55" i="19"/>
  <c r="BK54" i="19"/>
  <c r="BJ54" i="19"/>
  <c r="BI54" i="19"/>
  <c r="BH54" i="19"/>
  <c r="BG54" i="19"/>
  <c r="BF54" i="19"/>
  <c r="BD54" i="19"/>
  <c r="BC54" i="19"/>
  <c r="BB54" i="19"/>
  <c r="BA54" i="19"/>
  <c r="AZ54" i="19"/>
  <c r="AY54" i="19"/>
  <c r="AW54" i="19"/>
  <c r="AV54" i="19"/>
  <c r="AU54" i="19"/>
  <c r="AT54" i="19"/>
  <c r="AS54" i="19"/>
  <c r="AR54" i="19"/>
  <c r="BK53" i="19"/>
  <c r="BJ53" i="19"/>
  <c r="BI53" i="19"/>
  <c r="BH53" i="19"/>
  <c r="BG53" i="19"/>
  <c r="BF53" i="19"/>
  <c r="BD53" i="19"/>
  <c r="BC53" i="19"/>
  <c r="BB53" i="19"/>
  <c r="BA53" i="19"/>
  <c r="AZ53" i="19"/>
  <c r="AY53" i="19"/>
  <c r="AW53" i="19"/>
  <c r="AV53" i="19"/>
  <c r="AU53" i="19"/>
  <c r="AT53" i="19"/>
  <c r="AS53" i="19"/>
  <c r="AR53" i="19"/>
  <c r="BK52" i="19"/>
  <c r="BJ52" i="19"/>
  <c r="BI52" i="19"/>
  <c r="BH52" i="19"/>
  <c r="BG52" i="19"/>
  <c r="BF52" i="19"/>
  <c r="BD52" i="19"/>
  <c r="BC52" i="19"/>
  <c r="BB52" i="19"/>
  <c r="BA52" i="19"/>
  <c r="AZ52" i="19"/>
  <c r="AY52" i="19"/>
  <c r="AW52" i="19"/>
  <c r="AV52" i="19"/>
  <c r="AU52" i="19"/>
  <c r="AT52" i="19"/>
  <c r="AS52" i="19"/>
  <c r="AR52" i="19"/>
  <c r="BK51" i="19"/>
  <c r="BJ51" i="19"/>
  <c r="BI51" i="19"/>
  <c r="BH51" i="19"/>
  <c r="BG51" i="19"/>
  <c r="BF51" i="19"/>
  <c r="BD51" i="19"/>
  <c r="BC51" i="19"/>
  <c r="BB51" i="19"/>
  <c r="BA51" i="19"/>
  <c r="AZ51" i="19"/>
  <c r="AY51" i="19"/>
  <c r="AW51" i="19"/>
  <c r="AV51" i="19"/>
  <c r="AU51" i="19"/>
  <c r="AT51" i="19"/>
  <c r="AS51" i="19"/>
  <c r="AR51" i="19"/>
  <c r="BK50" i="19"/>
  <c r="BJ50" i="19"/>
  <c r="BI50" i="19"/>
  <c r="BH50" i="19"/>
  <c r="BG50" i="19"/>
  <c r="BF50" i="19"/>
  <c r="BD50" i="19"/>
  <c r="BC50" i="19"/>
  <c r="BB50" i="19"/>
  <c r="BA50" i="19"/>
  <c r="AZ50" i="19"/>
  <c r="AY50" i="19"/>
  <c r="AW50" i="19"/>
  <c r="AV50" i="19"/>
  <c r="AU50" i="19"/>
  <c r="AT50" i="19"/>
  <c r="AS50" i="19"/>
  <c r="AR50" i="19"/>
  <c r="BK49" i="19"/>
  <c r="BJ49" i="19"/>
  <c r="BI49" i="19"/>
  <c r="BH49" i="19"/>
  <c r="BG49" i="19"/>
  <c r="BF49" i="19"/>
  <c r="BD49" i="19"/>
  <c r="BC49" i="19"/>
  <c r="BB49" i="19"/>
  <c r="BA49" i="19"/>
  <c r="AZ49" i="19"/>
  <c r="AY49" i="19"/>
  <c r="AW49" i="19"/>
  <c r="AV49" i="19"/>
  <c r="AU49" i="19"/>
  <c r="AT49" i="19"/>
  <c r="AS49" i="19"/>
  <c r="AR49" i="19"/>
  <c r="BK48" i="19"/>
  <c r="BJ48" i="19"/>
  <c r="BI48" i="19"/>
  <c r="BH48" i="19"/>
  <c r="BG48" i="19"/>
  <c r="BF48" i="19"/>
  <c r="BD48" i="19"/>
  <c r="BC48" i="19"/>
  <c r="BB48" i="19"/>
  <c r="BA48" i="19"/>
  <c r="AZ48" i="19"/>
  <c r="AY48" i="19"/>
  <c r="AW48" i="19"/>
  <c r="AV48" i="19"/>
  <c r="AU48" i="19"/>
  <c r="AT48" i="19"/>
  <c r="AS48" i="19"/>
  <c r="AR48" i="19"/>
  <c r="BK47" i="19"/>
  <c r="BJ47" i="19"/>
  <c r="BI47" i="19"/>
  <c r="BH47" i="19"/>
  <c r="BG47" i="19"/>
  <c r="BF47" i="19"/>
  <c r="BD47" i="19"/>
  <c r="BC47" i="19"/>
  <c r="BB47" i="19"/>
  <c r="BA47" i="19"/>
  <c r="AZ47" i="19"/>
  <c r="AY47" i="19"/>
  <c r="AW47" i="19"/>
  <c r="AV47" i="19"/>
  <c r="AU47" i="19"/>
  <c r="AT47" i="19"/>
  <c r="AS47" i="19"/>
  <c r="AR47" i="19"/>
  <c r="BK46" i="19"/>
  <c r="BJ46" i="19"/>
  <c r="BI46" i="19"/>
  <c r="BH46" i="19"/>
  <c r="BG46" i="19"/>
  <c r="BF46" i="19"/>
  <c r="BD46" i="19"/>
  <c r="BC46" i="19"/>
  <c r="BB46" i="19"/>
  <c r="BA46" i="19"/>
  <c r="AZ46" i="19"/>
  <c r="AY46" i="19"/>
  <c r="AW46" i="19"/>
  <c r="AV46" i="19"/>
  <c r="AU46" i="19"/>
  <c r="AT46" i="19"/>
  <c r="AS46" i="19"/>
  <c r="AR46" i="19"/>
  <c r="BK45" i="19"/>
  <c r="BJ45" i="19"/>
  <c r="BI45" i="19"/>
  <c r="BH45" i="19"/>
  <c r="BG45" i="19"/>
  <c r="BF45" i="19"/>
  <c r="BD45" i="19"/>
  <c r="BC45" i="19"/>
  <c r="BB45" i="19"/>
  <c r="BA45" i="19"/>
  <c r="AZ45" i="19"/>
  <c r="AY45" i="19"/>
  <c r="AW45" i="19"/>
  <c r="AV45" i="19"/>
  <c r="AU45" i="19"/>
  <c r="AT45" i="19"/>
  <c r="AS45" i="19"/>
  <c r="AR45" i="19"/>
  <c r="BK44" i="19"/>
  <c r="BJ44" i="19"/>
  <c r="BI44" i="19"/>
  <c r="BH44" i="19"/>
  <c r="BG44" i="19"/>
  <c r="BF44" i="19"/>
  <c r="BD44" i="19"/>
  <c r="BC44" i="19"/>
  <c r="BB44" i="19"/>
  <c r="BA44" i="19"/>
  <c r="AZ44" i="19"/>
  <c r="AY44" i="19"/>
  <c r="AW44" i="19"/>
  <c r="AV44" i="19"/>
  <c r="AU44" i="19"/>
  <c r="AT44" i="19"/>
  <c r="AS44" i="19"/>
  <c r="AR44" i="19"/>
  <c r="BK43" i="19"/>
  <c r="BJ43" i="19"/>
  <c r="BI43" i="19"/>
  <c r="BH43" i="19"/>
  <c r="BG43" i="19"/>
  <c r="BF43" i="19"/>
  <c r="BD43" i="19"/>
  <c r="BC43" i="19"/>
  <c r="BB43" i="19"/>
  <c r="BA43" i="19"/>
  <c r="AZ43" i="19"/>
  <c r="AY43" i="19"/>
  <c r="AW43" i="19"/>
  <c r="AV43" i="19"/>
  <c r="AU43" i="19"/>
  <c r="AT43" i="19"/>
  <c r="AS43" i="19"/>
  <c r="AR43" i="19"/>
  <c r="BK42" i="19"/>
  <c r="BJ42" i="19"/>
  <c r="BI42" i="19"/>
  <c r="BH42" i="19"/>
  <c r="BG42" i="19"/>
  <c r="BF42" i="19"/>
  <c r="BD42" i="19"/>
  <c r="BC42" i="19"/>
  <c r="BB42" i="19"/>
  <c r="BA42" i="19"/>
  <c r="AZ42" i="19"/>
  <c r="AY42" i="19"/>
  <c r="AW42" i="19"/>
  <c r="AV42" i="19"/>
  <c r="AU42" i="19"/>
  <c r="AT42" i="19"/>
  <c r="AS42" i="19"/>
  <c r="AR42" i="19"/>
  <c r="BK41" i="19"/>
  <c r="BJ41" i="19"/>
  <c r="BI41" i="19"/>
  <c r="BH41" i="19"/>
  <c r="BG41" i="19"/>
  <c r="BF41" i="19"/>
  <c r="BD41" i="19"/>
  <c r="BC41" i="19"/>
  <c r="BB41" i="19"/>
  <c r="BA41" i="19"/>
  <c r="AZ41" i="19"/>
  <c r="AY41" i="19"/>
  <c r="AW41" i="19"/>
  <c r="AV41" i="19"/>
  <c r="AU41" i="19"/>
  <c r="AT41" i="19"/>
  <c r="AS41" i="19"/>
  <c r="AR41" i="19"/>
  <c r="BK40" i="19"/>
  <c r="BJ40" i="19"/>
  <c r="BI40" i="19"/>
  <c r="BH40" i="19"/>
  <c r="BG40" i="19"/>
  <c r="BF40" i="19"/>
  <c r="BD40" i="19"/>
  <c r="BC40" i="19"/>
  <c r="BB40" i="19"/>
  <c r="BA40" i="19"/>
  <c r="AZ40" i="19"/>
  <c r="AY40" i="19"/>
  <c r="AW40" i="19"/>
  <c r="AV40" i="19"/>
  <c r="AU40" i="19"/>
  <c r="AT40" i="19"/>
  <c r="AS40" i="19"/>
  <c r="AR40" i="19"/>
  <c r="BK39" i="19"/>
  <c r="BJ39" i="19"/>
  <c r="BI39" i="19"/>
  <c r="BH39" i="19"/>
  <c r="BG39" i="19"/>
  <c r="BF39" i="19"/>
  <c r="BD39" i="19"/>
  <c r="BC39" i="19"/>
  <c r="BB39" i="19"/>
  <c r="BA39" i="19"/>
  <c r="AZ39" i="19"/>
  <c r="AY39" i="19"/>
  <c r="AW39" i="19"/>
  <c r="AV39" i="19"/>
  <c r="AU39" i="19"/>
  <c r="AT39" i="19"/>
  <c r="AS39" i="19"/>
  <c r="AR39" i="19"/>
  <c r="BK38" i="19"/>
  <c r="BJ38" i="19"/>
  <c r="BI38" i="19"/>
  <c r="BH38" i="19"/>
  <c r="BG38" i="19"/>
  <c r="BF38" i="19"/>
  <c r="BD38" i="19"/>
  <c r="BC38" i="19"/>
  <c r="BB38" i="19"/>
  <c r="BA38" i="19"/>
  <c r="AZ38" i="19"/>
  <c r="AY38" i="19"/>
  <c r="AW38" i="19"/>
  <c r="AV38" i="19"/>
  <c r="AU38" i="19"/>
  <c r="AT38" i="19"/>
  <c r="AS38" i="19"/>
  <c r="AR38" i="19"/>
  <c r="BK37" i="19"/>
  <c r="BJ37" i="19"/>
  <c r="BI37" i="19"/>
  <c r="BH37" i="19"/>
  <c r="BG37" i="19"/>
  <c r="BF37" i="19"/>
  <c r="BD37" i="19"/>
  <c r="BC37" i="19"/>
  <c r="BB37" i="19"/>
  <c r="BA37" i="19"/>
  <c r="AZ37" i="19"/>
  <c r="AY37" i="19"/>
  <c r="AW37" i="19"/>
  <c r="AV37" i="19"/>
  <c r="AU37" i="19"/>
  <c r="AT37" i="19"/>
  <c r="AS37" i="19"/>
  <c r="AR37" i="19"/>
  <c r="BK36" i="19"/>
  <c r="BJ36" i="19"/>
  <c r="BI36" i="19"/>
  <c r="BH36" i="19"/>
  <c r="BG36" i="19"/>
  <c r="BF36" i="19"/>
  <c r="BD36" i="19"/>
  <c r="BC36" i="19"/>
  <c r="BB36" i="19"/>
  <c r="BA36" i="19"/>
  <c r="AZ36" i="19"/>
  <c r="AY36" i="19"/>
  <c r="AW36" i="19"/>
  <c r="AV36" i="19"/>
  <c r="AU36" i="19"/>
  <c r="AT36" i="19"/>
  <c r="AS36" i="19"/>
  <c r="AR36" i="19"/>
  <c r="BK35" i="19"/>
  <c r="BJ35" i="19"/>
  <c r="BI35" i="19"/>
  <c r="BH35" i="19"/>
  <c r="BG35" i="19"/>
  <c r="BF35" i="19"/>
  <c r="BD35" i="19"/>
  <c r="BC35" i="19"/>
  <c r="BB35" i="19"/>
  <c r="BA35" i="19"/>
  <c r="AZ35" i="19"/>
  <c r="AY35" i="19"/>
  <c r="AW35" i="19"/>
  <c r="AV35" i="19"/>
  <c r="AU35" i="19"/>
  <c r="AT35" i="19"/>
  <c r="AS35" i="19"/>
  <c r="AR35" i="19"/>
  <c r="BK34" i="19"/>
  <c r="BJ34" i="19"/>
  <c r="BI34" i="19"/>
  <c r="BH34" i="19"/>
  <c r="BG34" i="19"/>
  <c r="BF34" i="19"/>
  <c r="BD34" i="19"/>
  <c r="BC34" i="19"/>
  <c r="BB34" i="19"/>
  <c r="BA34" i="19"/>
  <c r="AZ34" i="19"/>
  <c r="AY34" i="19"/>
  <c r="AW34" i="19"/>
  <c r="AV34" i="19"/>
  <c r="AU34" i="19"/>
  <c r="AT34" i="19"/>
  <c r="AS34" i="19"/>
  <c r="AR34" i="19"/>
  <c r="BK33" i="19"/>
  <c r="BJ33" i="19"/>
  <c r="BI33" i="19"/>
  <c r="BH33" i="19"/>
  <c r="BG33" i="19"/>
  <c r="BF33" i="19"/>
  <c r="BD33" i="19"/>
  <c r="BC33" i="19"/>
  <c r="BB33" i="19"/>
  <c r="BA33" i="19"/>
  <c r="AZ33" i="19"/>
  <c r="AY33" i="19"/>
  <c r="AW33" i="19"/>
  <c r="AV33" i="19"/>
  <c r="AU33" i="19"/>
  <c r="AT33" i="19"/>
  <c r="AS33" i="19"/>
  <c r="AR33" i="19"/>
  <c r="BK32" i="19"/>
  <c r="BJ32" i="19"/>
  <c r="BI32" i="19"/>
  <c r="BH32" i="19"/>
  <c r="BG32" i="19"/>
  <c r="BF32" i="19"/>
  <c r="BD32" i="19"/>
  <c r="BC32" i="19"/>
  <c r="BB32" i="19"/>
  <c r="BA32" i="19"/>
  <c r="AZ32" i="19"/>
  <c r="AY32" i="19"/>
  <c r="AW32" i="19"/>
  <c r="AV32" i="19"/>
  <c r="AU32" i="19"/>
  <c r="AT32" i="19"/>
  <c r="AS32" i="19"/>
  <c r="AR32" i="19"/>
  <c r="BK31" i="19"/>
  <c r="BJ31" i="19"/>
  <c r="BI31" i="19"/>
  <c r="BH31" i="19"/>
  <c r="BG31" i="19"/>
  <c r="BF31" i="19"/>
  <c r="BD31" i="19"/>
  <c r="BC31" i="19"/>
  <c r="BB31" i="19"/>
  <c r="BA31" i="19"/>
  <c r="AZ31" i="19"/>
  <c r="AY31" i="19"/>
  <c r="AW31" i="19"/>
  <c r="AV31" i="19"/>
  <c r="AU31" i="19"/>
  <c r="AT31" i="19"/>
  <c r="AS31" i="19"/>
  <c r="AR31" i="19"/>
  <c r="BK30" i="19"/>
  <c r="BJ30" i="19"/>
  <c r="BI30" i="19"/>
  <c r="BH30" i="19"/>
  <c r="BG30" i="19"/>
  <c r="BF30" i="19"/>
  <c r="BD30" i="19"/>
  <c r="BC30" i="19"/>
  <c r="BB30" i="19"/>
  <c r="BA30" i="19"/>
  <c r="AZ30" i="19"/>
  <c r="AY30" i="19"/>
  <c r="AW30" i="19"/>
  <c r="AV30" i="19"/>
  <c r="AU30" i="19"/>
  <c r="AT30" i="19"/>
  <c r="AS30" i="19"/>
  <c r="AR30" i="19"/>
  <c r="BK29" i="19"/>
  <c r="BJ29" i="19"/>
  <c r="BI29" i="19"/>
  <c r="BH29" i="19"/>
  <c r="BG29" i="19"/>
  <c r="BF29" i="19"/>
  <c r="BD29" i="19"/>
  <c r="BC29" i="19"/>
  <c r="BB29" i="19"/>
  <c r="BA29" i="19"/>
  <c r="AZ29" i="19"/>
  <c r="AY29" i="19"/>
  <c r="AW29" i="19"/>
  <c r="AV29" i="19"/>
  <c r="AU29" i="19"/>
  <c r="AT29" i="19"/>
  <c r="AS29" i="19"/>
  <c r="AR29" i="19"/>
  <c r="BK28" i="19"/>
  <c r="BJ28" i="19"/>
  <c r="BI28" i="19"/>
  <c r="BH28" i="19"/>
  <c r="BG28" i="19"/>
  <c r="BF28" i="19"/>
  <c r="BD28" i="19"/>
  <c r="BC28" i="19"/>
  <c r="BB28" i="19"/>
  <c r="BA28" i="19"/>
  <c r="AZ28" i="19"/>
  <c r="AY28" i="19"/>
  <c r="AW28" i="19"/>
  <c r="AV28" i="19"/>
  <c r="AU28" i="19"/>
  <c r="AT28" i="19"/>
  <c r="AS28" i="19"/>
  <c r="AR28" i="19"/>
  <c r="BK27" i="19"/>
  <c r="BJ27" i="19"/>
  <c r="BI27" i="19"/>
  <c r="BH27" i="19"/>
  <c r="BG27" i="19"/>
  <c r="BF27" i="19"/>
  <c r="BD27" i="19"/>
  <c r="BC27" i="19"/>
  <c r="BB27" i="19"/>
  <c r="BA27" i="19"/>
  <c r="AZ27" i="19"/>
  <c r="AY27" i="19"/>
  <c r="AW27" i="19"/>
  <c r="AV27" i="19"/>
  <c r="AU27" i="19"/>
  <c r="AT27" i="19"/>
  <c r="AS27" i="19"/>
  <c r="AR27" i="19"/>
  <c r="BK26" i="19"/>
  <c r="BJ26" i="19"/>
  <c r="BI26" i="19"/>
  <c r="BH26" i="19"/>
  <c r="BG26" i="19"/>
  <c r="BF26" i="19"/>
  <c r="BD26" i="19"/>
  <c r="BC26" i="19"/>
  <c r="BB26" i="19"/>
  <c r="BA26" i="19"/>
  <c r="AZ26" i="19"/>
  <c r="AY26" i="19"/>
  <c r="AW26" i="19"/>
  <c r="AV26" i="19"/>
  <c r="AU26" i="19"/>
  <c r="AT26" i="19"/>
  <c r="AS26" i="19"/>
  <c r="AR26" i="19"/>
  <c r="BK25" i="19"/>
  <c r="BJ25" i="19"/>
  <c r="BI25" i="19"/>
  <c r="BH25" i="19"/>
  <c r="BG25" i="19"/>
  <c r="BF25" i="19"/>
  <c r="BD25" i="19"/>
  <c r="BC25" i="19"/>
  <c r="BB25" i="19"/>
  <c r="BA25" i="19"/>
  <c r="AZ25" i="19"/>
  <c r="AY25" i="19"/>
  <c r="AW25" i="19"/>
  <c r="AV25" i="19"/>
  <c r="AU25" i="19"/>
  <c r="AT25" i="19"/>
  <c r="AS25" i="19"/>
  <c r="AR25" i="19"/>
  <c r="BK24" i="19"/>
  <c r="BJ24" i="19"/>
  <c r="BI24" i="19"/>
  <c r="BH24" i="19"/>
  <c r="BG24" i="19"/>
  <c r="BF24" i="19"/>
  <c r="BD24" i="19"/>
  <c r="BC24" i="19"/>
  <c r="BB24" i="19"/>
  <c r="BA24" i="19"/>
  <c r="AZ24" i="19"/>
  <c r="AY24" i="19"/>
  <c r="AW24" i="19"/>
  <c r="AV24" i="19"/>
  <c r="AU24" i="19"/>
  <c r="AT24" i="19"/>
  <c r="AS24" i="19"/>
  <c r="AR24" i="19"/>
  <c r="BK23" i="19"/>
  <c r="BJ23" i="19"/>
  <c r="BI23" i="19"/>
  <c r="BH23" i="19"/>
  <c r="BG23" i="19"/>
  <c r="BF23" i="19"/>
  <c r="BD23" i="19"/>
  <c r="BC23" i="19"/>
  <c r="BB23" i="19"/>
  <c r="BA23" i="19"/>
  <c r="AZ23" i="19"/>
  <c r="AY23" i="19"/>
  <c r="AW23" i="19"/>
  <c r="AV23" i="19"/>
  <c r="AU23" i="19"/>
  <c r="AT23" i="19"/>
  <c r="AS23" i="19"/>
  <c r="AR23" i="19"/>
  <c r="BK22" i="19"/>
  <c r="BJ22" i="19"/>
  <c r="BI22" i="19"/>
  <c r="BH22" i="19"/>
  <c r="BG22" i="19"/>
  <c r="BF22" i="19"/>
  <c r="BD22" i="19"/>
  <c r="BC22" i="19"/>
  <c r="BB22" i="19"/>
  <c r="BA22" i="19"/>
  <c r="AZ22" i="19"/>
  <c r="AY22" i="19"/>
  <c r="AW22" i="19"/>
  <c r="AV22" i="19"/>
  <c r="AU22" i="19"/>
  <c r="AT22" i="19"/>
  <c r="AS22" i="19"/>
  <c r="AR22" i="19"/>
  <c r="BK21" i="19"/>
  <c r="BJ21" i="19"/>
  <c r="BI21" i="19"/>
  <c r="BH21" i="19"/>
  <c r="BG21" i="19"/>
  <c r="BF21" i="19"/>
  <c r="BD21" i="19"/>
  <c r="BC21" i="19"/>
  <c r="BB21" i="19"/>
  <c r="BA21" i="19"/>
  <c r="AZ21" i="19"/>
  <c r="AY21" i="19"/>
  <c r="AW21" i="19"/>
  <c r="AV21" i="19"/>
  <c r="AU21" i="19"/>
  <c r="AT21" i="19"/>
  <c r="AS21" i="19"/>
  <c r="AR21" i="19"/>
  <c r="BK20" i="19"/>
  <c r="BJ20" i="19"/>
  <c r="BI20" i="19"/>
  <c r="BH20" i="19"/>
  <c r="BG20" i="19"/>
  <c r="BF20" i="19"/>
  <c r="BD20" i="19"/>
  <c r="BC20" i="19"/>
  <c r="BB20" i="19"/>
  <c r="BA20" i="19"/>
  <c r="AZ20" i="19"/>
  <c r="AY20" i="19"/>
  <c r="AW20" i="19"/>
  <c r="AV20" i="19"/>
  <c r="AU20" i="19"/>
  <c r="AT20" i="19"/>
  <c r="AS20" i="19"/>
  <c r="AR20" i="19"/>
  <c r="BK19" i="19"/>
  <c r="BJ19" i="19"/>
  <c r="BI19" i="19"/>
  <c r="BH19" i="19"/>
  <c r="BG19" i="19"/>
  <c r="BF19" i="19"/>
  <c r="BD19" i="19"/>
  <c r="BC19" i="19"/>
  <c r="BB19" i="19"/>
  <c r="BA19" i="19"/>
  <c r="AZ19" i="19"/>
  <c r="AY19" i="19"/>
  <c r="AW19" i="19"/>
  <c r="AV19" i="19"/>
  <c r="AU19" i="19"/>
  <c r="AT19" i="19"/>
  <c r="AS19" i="19"/>
  <c r="AR19" i="19"/>
  <c r="BK18" i="19"/>
  <c r="BJ18" i="19"/>
  <c r="BI18" i="19"/>
  <c r="BH18" i="19"/>
  <c r="BG18" i="19"/>
  <c r="BF18" i="19"/>
  <c r="BD18" i="19"/>
  <c r="BC18" i="19"/>
  <c r="BB18" i="19"/>
  <c r="BA18" i="19"/>
  <c r="AZ18" i="19"/>
  <c r="AY18" i="19"/>
  <c r="AW18" i="19"/>
  <c r="AV18" i="19"/>
  <c r="AU18" i="19"/>
  <c r="AT18" i="19"/>
  <c r="AS18" i="19"/>
  <c r="AR18" i="19"/>
  <c r="BK17" i="19"/>
  <c r="BJ17" i="19"/>
  <c r="BI17" i="19"/>
  <c r="BH17" i="19"/>
  <c r="BG17" i="19"/>
  <c r="BF17" i="19"/>
  <c r="BD17" i="19"/>
  <c r="BC17" i="19"/>
  <c r="BB17" i="19"/>
  <c r="BA17" i="19"/>
  <c r="AZ17" i="19"/>
  <c r="AY17" i="19"/>
  <c r="AW17" i="19"/>
  <c r="AV17" i="19"/>
  <c r="AU17" i="19"/>
  <c r="AT17" i="19"/>
  <c r="AS17" i="19"/>
  <c r="AR17" i="19"/>
  <c r="BK16" i="19"/>
  <c r="BJ16" i="19"/>
  <c r="BI16" i="19"/>
  <c r="BH16" i="19"/>
  <c r="BG16" i="19"/>
  <c r="BF16" i="19"/>
  <c r="BD16" i="19"/>
  <c r="BC16" i="19"/>
  <c r="BB16" i="19"/>
  <c r="BA16" i="19"/>
  <c r="AZ16" i="19"/>
  <c r="AY16" i="19"/>
  <c r="AW16" i="19"/>
  <c r="AV16" i="19"/>
  <c r="AU16" i="19"/>
  <c r="AT16" i="19"/>
  <c r="AS16" i="19"/>
  <c r="AR16" i="19"/>
  <c r="BK15" i="19"/>
  <c r="BJ15" i="19"/>
  <c r="BI15" i="19"/>
  <c r="BH15" i="19"/>
  <c r="BG15" i="19"/>
  <c r="BF15" i="19"/>
  <c r="BD15" i="19"/>
  <c r="BC15" i="19"/>
  <c r="BB15" i="19"/>
  <c r="BA15" i="19"/>
  <c r="AZ15" i="19"/>
  <c r="AY15" i="19"/>
  <c r="AW15" i="19"/>
  <c r="AV15" i="19"/>
  <c r="AU15" i="19"/>
  <c r="AT15" i="19"/>
  <c r="AS15" i="19"/>
  <c r="AR15" i="19"/>
  <c r="BK14" i="19"/>
  <c r="BJ14" i="19"/>
  <c r="BI14" i="19"/>
  <c r="BH14" i="19"/>
  <c r="BG14" i="19"/>
  <c r="BF14" i="19"/>
  <c r="BD14" i="19"/>
  <c r="BC14" i="19"/>
  <c r="BB14" i="19"/>
  <c r="BA14" i="19"/>
  <c r="AZ14" i="19"/>
  <c r="AY14" i="19"/>
  <c r="AW14" i="19"/>
  <c r="AV14" i="19"/>
  <c r="AU14" i="19"/>
  <c r="AT14" i="19"/>
  <c r="AS14" i="19"/>
  <c r="AR14" i="19"/>
  <c r="BK13" i="19"/>
  <c r="BJ13" i="19"/>
  <c r="BI13" i="19"/>
  <c r="BH13" i="19"/>
  <c r="BG13" i="19"/>
  <c r="BF13" i="19"/>
  <c r="BD13" i="19"/>
  <c r="BC13" i="19"/>
  <c r="BB13" i="19"/>
  <c r="BA13" i="19"/>
  <c r="AZ13" i="19"/>
  <c r="AY13" i="19"/>
  <c r="AW13" i="19"/>
  <c r="AV13" i="19"/>
  <c r="AU13" i="19"/>
  <c r="AT13" i="19"/>
  <c r="AS13" i="19"/>
  <c r="AR13" i="19"/>
  <c r="BK12" i="19"/>
  <c r="BJ12" i="19"/>
  <c r="BI12" i="19"/>
  <c r="BH12" i="19"/>
  <c r="BG12" i="19"/>
  <c r="BF12" i="19"/>
  <c r="BD12" i="19"/>
  <c r="BC12" i="19"/>
  <c r="BB12" i="19"/>
  <c r="BA12" i="19"/>
  <c r="AZ12" i="19"/>
  <c r="AY12" i="19"/>
  <c r="AW12" i="19"/>
  <c r="AV12" i="19"/>
  <c r="AU12" i="19"/>
  <c r="AT12" i="19"/>
  <c r="AS12" i="19"/>
  <c r="AR12" i="19"/>
  <c r="BK11" i="19"/>
  <c r="BJ11" i="19"/>
  <c r="BI11" i="19"/>
  <c r="BH11" i="19"/>
  <c r="BG11" i="19"/>
  <c r="BF11" i="19"/>
  <c r="BD11" i="19"/>
  <c r="BC11" i="19"/>
  <c r="BB11" i="19"/>
  <c r="BA11" i="19"/>
  <c r="AZ11" i="19"/>
  <c r="AY11" i="19"/>
  <c r="AW11" i="19"/>
  <c r="AV11" i="19"/>
  <c r="AU11" i="19"/>
  <c r="AT11" i="19"/>
  <c r="AS11" i="19"/>
  <c r="AR11" i="19"/>
  <c r="BK10" i="19"/>
  <c r="BJ10" i="19"/>
  <c r="BI10" i="19"/>
  <c r="BH10" i="19"/>
  <c r="BG10" i="19"/>
  <c r="BF10" i="19"/>
  <c r="BD10" i="19"/>
  <c r="BC10" i="19"/>
  <c r="BB10" i="19"/>
  <c r="BA10" i="19"/>
  <c r="AZ10" i="19"/>
  <c r="AY10" i="19"/>
  <c r="AW10" i="19"/>
  <c r="AV10" i="19"/>
  <c r="AU10" i="19"/>
  <c r="AT10" i="19"/>
  <c r="AS10" i="19"/>
  <c r="AR10" i="19"/>
  <c r="BK9" i="19"/>
  <c r="BJ9" i="19"/>
  <c r="BI9" i="19"/>
  <c r="BH9" i="19"/>
  <c r="BG9" i="19"/>
  <c r="BF9" i="19"/>
  <c r="BD9" i="19"/>
  <c r="BC9" i="19"/>
  <c r="BB9" i="19"/>
  <c r="BA9" i="19"/>
  <c r="AZ9" i="19"/>
  <c r="AY9" i="19"/>
  <c r="AW9" i="19"/>
  <c r="AV9" i="19"/>
  <c r="AU9" i="19"/>
  <c r="AT9" i="19"/>
  <c r="AS9" i="19"/>
  <c r="AR9" i="19"/>
  <c r="BK8" i="19"/>
  <c r="BJ8" i="19"/>
  <c r="BI8" i="19"/>
  <c r="BH8" i="19"/>
  <c r="BG8" i="19"/>
  <c r="BF8" i="19"/>
  <c r="BD8" i="19"/>
  <c r="BC8" i="19"/>
  <c r="BB8" i="19"/>
  <c r="BA8" i="19"/>
  <c r="AZ8" i="19"/>
  <c r="AY8" i="19"/>
  <c r="AW8" i="19"/>
  <c r="AV8" i="19"/>
  <c r="AU8" i="19"/>
  <c r="AT8" i="19"/>
  <c r="AS8" i="19"/>
  <c r="AR8" i="19"/>
  <c r="BF395" i="17"/>
  <c r="BG395" i="17" s="1"/>
  <c r="BD395" i="17"/>
  <c r="BE395" i="17" s="1"/>
  <c r="BB395" i="17"/>
  <c r="BC395" i="17" s="1"/>
  <c r="AZ395" i="17"/>
  <c r="BA395" i="17" s="1"/>
  <c r="AX395" i="17"/>
  <c r="AY395" i="17" s="1"/>
  <c r="AV395" i="17"/>
  <c r="AW395" i="17" s="1"/>
  <c r="AT395" i="17"/>
  <c r="AU395" i="17" s="1"/>
  <c r="AR395" i="17"/>
  <c r="AS395" i="17" s="1"/>
  <c r="AP395" i="17"/>
  <c r="AQ395" i="17" s="1"/>
  <c r="AN395" i="17"/>
  <c r="AO395" i="17" s="1"/>
  <c r="BF394" i="17"/>
  <c r="BG394" i="17" s="1"/>
  <c r="BD394" i="17"/>
  <c r="BE394" i="17" s="1"/>
  <c r="BB394" i="17"/>
  <c r="BC394" i="17" s="1"/>
  <c r="AZ394" i="17"/>
  <c r="BA394" i="17" s="1"/>
  <c r="AX394" i="17"/>
  <c r="AY394" i="17" s="1"/>
  <c r="AV394" i="17"/>
  <c r="AW394" i="17" s="1"/>
  <c r="AT394" i="17"/>
  <c r="AU394" i="17" s="1"/>
  <c r="AR394" i="17"/>
  <c r="AS394" i="17" s="1"/>
  <c r="AP394" i="17"/>
  <c r="AQ394" i="17" s="1"/>
  <c r="AN394" i="17"/>
  <c r="AO394" i="17" s="1"/>
  <c r="BF393" i="17"/>
  <c r="BG393" i="17" s="1"/>
  <c r="BD393" i="17"/>
  <c r="BE393" i="17" s="1"/>
  <c r="BB393" i="17"/>
  <c r="BC393" i="17" s="1"/>
  <c r="AZ393" i="17"/>
  <c r="BA393" i="17" s="1"/>
  <c r="AX393" i="17"/>
  <c r="AY393" i="17" s="1"/>
  <c r="AV393" i="17"/>
  <c r="AW393" i="17" s="1"/>
  <c r="AT393" i="17"/>
  <c r="AU393" i="17" s="1"/>
  <c r="AR393" i="17"/>
  <c r="AS393" i="17" s="1"/>
  <c r="AP393" i="17"/>
  <c r="AQ393" i="17" s="1"/>
  <c r="AN393" i="17"/>
  <c r="AO393" i="17" s="1"/>
  <c r="BF392" i="17"/>
  <c r="BG392" i="17" s="1"/>
  <c r="BD392" i="17"/>
  <c r="BE392" i="17" s="1"/>
  <c r="BB392" i="17"/>
  <c r="BC392" i="17" s="1"/>
  <c r="AZ392" i="17"/>
  <c r="BA392" i="17" s="1"/>
  <c r="AX392" i="17"/>
  <c r="AY392" i="17" s="1"/>
  <c r="AV392" i="17"/>
  <c r="AW392" i="17" s="1"/>
  <c r="AT392" i="17"/>
  <c r="AU392" i="17" s="1"/>
  <c r="AR392" i="17"/>
  <c r="AS392" i="17" s="1"/>
  <c r="AP392" i="17"/>
  <c r="AQ392" i="17" s="1"/>
  <c r="AN392" i="17"/>
  <c r="AO392" i="17" s="1"/>
  <c r="BF391" i="17"/>
  <c r="BG391" i="17" s="1"/>
  <c r="BD391" i="17"/>
  <c r="BE391" i="17" s="1"/>
  <c r="BB391" i="17"/>
  <c r="BC391" i="17" s="1"/>
  <c r="AZ391" i="17"/>
  <c r="BA391" i="17" s="1"/>
  <c r="AX391" i="17"/>
  <c r="AY391" i="17" s="1"/>
  <c r="AV391" i="17"/>
  <c r="AW391" i="17" s="1"/>
  <c r="AT391" i="17"/>
  <c r="AU391" i="17" s="1"/>
  <c r="AR391" i="17"/>
  <c r="AS391" i="17" s="1"/>
  <c r="AP391" i="17"/>
  <c r="AQ391" i="17" s="1"/>
  <c r="AN391" i="17"/>
  <c r="AO391" i="17" s="1"/>
  <c r="BF389" i="17"/>
  <c r="BG389" i="17" s="1"/>
  <c r="BD389" i="17"/>
  <c r="BE389" i="17" s="1"/>
  <c r="BB389" i="17"/>
  <c r="BC389" i="17" s="1"/>
  <c r="AZ389" i="17"/>
  <c r="BA389" i="17" s="1"/>
  <c r="AX389" i="17"/>
  <c r="AY389" i="17" s="1"/>
  <c r="AV389" i="17"/>
  <c r="AW389" i="17" s="1"/>
  <c r="AT389" i="17"/>
  <c r="AU389" i="17" s="1"/>
  <c r="AR389" i="17"/>
  <c r="AS389" i="17" s="1"/>
  <c r="AP389" i="17"/>
  <c r="AQ389" i="17" s="1"/>
  <c r="AN389" i="17"/>
  <c r="AO389" i="17" s="1"/>
  <c r="BF388" i="17"/>
  <c r="BG388" i="17" s="1"/>
  <c r="BD388" i="17"/>
  <c r="BE388" i="17" s="1"/>
  <c r="BB388" i="17"/>
  <c r="BC388" i="17" s="1"/>
  <c r="AZ388" i="17"/>
  <c r="BA388" i="17" s="1"/>
  <c r="AX388" i="17"/>
  <c r="AY388" i="17" s="1"/>
  <c r="AV388" i="17"/>
  <c r="AW388" i="17" s="1"/>
  <c r="AT388" i="17"/>
  <c r="AU388" i="17" s="1"/>
  <c r="AR388" i="17"/>
  <c r="AS388" i="17" s="1"/>
  <c r="AP388" i="17"/>
  <c r="AQ388" i="17" s="1"/>
  <c r="AN388" i="17"/>
  <c r="AO388" i="17" s="1"/>
  <c r="BF387" i="17"/>
  <c r="BG387" i="17" s="1"/>
  <c r="BD387" i="17"/>
  <c r="BE387" i="17" s="1"/>
  <c r="BB387" i="17"/>
  <c r="BC387" i="17" s="1"/>
  <c r="AZ387" i="17"/>
  <c r="BA387" i="17" s="1"/>
  <c r="AX387" i="17"/>
  <c r="AY387" i="17" s="1"/>
  <c r="AV387" i="17"/>
  <c r="AW387" i="17" s="1"/>
  <c r="AT387" i="17"/>
  <c r="AU387" i="17" s="1"/>
  <c r="AR387" i="17"/>
  <c r="AS387" i="17" s="1"/>
  <c r="AP387" i="17"/>
  <c r="AQ387" i="17" s="1"/>
  <c r="AN387" i="17"/>
  <c r="AO387" i="17" s="1"/>
  <c r="BF386" i="17"/>
  <c r="BG386" i="17" s="1"/>
  <c r="BD386" i="17"/>
  <c r="BE386" i="17" s="1"/>
  <c r="BB386" i="17"/>
  <c r="BC386" i="17" s="1"/>
  <c r="AZ386" i="17"/>
  <c r="BA386" i="17" s="1"/>
  <c r="AX386" i="17"/>
  <c r="AY386" i="17" s="1"/>
  <c r="AV386" i="17"/>
  <c r="AW386" i="17" s="1"/>
  <c r="AT386" i="17"/>
  <c r="AU386" i="17" s="1"/>
  <c r="AR386" i="17"/>
  <c r="AS386" i="17" s="1"/>
  <c r="AP386" i="17"/>
  <c r="AQ386" i="17" s="1"/>
  <c r="AN386" i="17"/>
  <c r="AO386" i="17" s="1"/>
  <c r="BF385" i="17"/>
  <c r="BG385" i="17" s="1"/>
  <c r="BD385" i="17"/>
  <c r="BE385" i="17" s="1"/>
  <c r="BB385" i="17"/>
  <c r="BC385" i="17" s="1"/>
  <c r="AZ385" i="17"/>
  <c r="BA385" i="17" s="1"/>
  <c r="AX385" i="17"/>
  <c r="AY385" i="17" s="1"/>
  <c r="AV385" i="17"/>
  <c r="AW385" i="17" s="1"/>
  <c r="AT385" i="17"/>
  <c r="AU385" i="17" s="1"/>
  <c r="AR385" i="17"/>
  <c r="AS385" i="17" s="1"/>
  <c r="AP385" i="17"/>
  <c r="AQ385" i="17" s="1"/>
  <c r="AN385" i="17"/>
  <c r="AO385" i="17" s="1"/>
  <c r="BF384" i="17"/>
  <c r="BG384" i="17" s="1"/>
  <c r="BD384" i="17"/>
  <c r="BE384" i="17" s="1"/>
  <c r="BB384" i="17"/>
  <c r="BC384" i="17" s="1"/>
  <c r="AZ384" i="17"/>
  <c r="BA384" i="17" s="1"/>
  <c r="AX384" i="17"/>
  <c r="AY384" i="17" s="1"/>
  <c r="AV384" i="17"/>
  <c r="AW384" i="17" s="1"/>
  <c r="AT384" i="17"/>
  <c r="AU384" i="17" s="1"/>
  <c r="AR384" i="17"/>
  <c r="AS384" i="17" s="1"/>
  <c r="AP384" i="17"/>
  <c r="AQ384" i="17" s="1"/>
  <c r="AN384" i="17"/>
  <c r="AO384" i="17" s="1"/>
  <c r="BF383" i="17"/>
  <c r="BG383" i="17" s="1"/>
  <c r="BD383" i="17"/>
  <c r="BE383" i="17" s="1"/>
  <c r="BB383" i="17"/>
  <c r="BC383" i="17" s="1"/>
  <c r="AZ383" i="17"/>
  <c r="BA383" i="17" s="1"/>
  <c r="AX383" i="17"/>
  <c r="AY383" i="17" s="1"/>
  <c r="AV383" i="17"/>
  <c r="AW383" i="17" s="1"/>
  <c r="AT383" i="17"/>
  <c r="AU383" i="17" s="1"/>
  <c r="AR383" i="17"/>
  <c r="AS383" i="17" s="1"/>
  <c r="AP383" i="17"/>
  <c r="AQ383" i="17" s="1"/>
  <c r="AN383" i="17"/>
  <c r="AO383" i="17" s="1"/>
  <c r="BF382" i="17"/>
  <c r="BG382" i="17" s="1"/>
  <c r="BD382" i="17"/>
  <c r="BE382" i="17" s="1"/>
  <c r="BB382" i="17"/>
  <c r="BC382" i="17" s="1"/>
  <c r="AZ382" i="17"/>
  <c r="BA382" i="17" s="1"/>
  <c r="AX382" i="17"/>
  <c r="AY382" i="17" s="1"/>
  <c r="AV382" i="17"/>
  <c r="AW382" i="17" s="1"/>
  <c r="AT382" i="17"/>
  <c r="AU382" i="17" s="1"/>
  <c r="AR382" i="17"/>
  <c r="AS382" i="17" s="1"/>
  <c r="AP382" i="17"/>
  <c r="AQ382" i="17" s="1"/>
  <c r="AN382" i="17"/>
  <c r="AO382" i="17" s="1"/>
  <c r="BF381" i="17"/>
  <c r="BG381" i="17" s="1"/>
  <c r="BD381" i="17"/>
  <c r="BE381" i="17" s="1"/>
  <c r="BB381" i="17"/>
  <c r="BC381" i="17" s="1"/>
  <c r="AZ381" i="17"/>
  <c r="BA381" i="17" s="1"/>
  <c r="AX381" i="17"/>
  <c r="AY381" i="17" s="1"/>
  <c r="AV381" i="17"/>
  <c r="AW381" i="17" s="1"/>
  <c r="AT381" i="17"/>
  <c r="AU381" i="17" s="1"/>
  <c r="AR381" i="17"/>
  <c r="AS381" i="17" s="1"/>
  <c r="AP381" i="17"/>
  <c r="AQ381" i="17" s="1"/>
  <c r="AN381" i="17"/>
  <c r="AO381" i="17" s="1"/>
  <c r="BF380" i="17"/>
  <c r="BG380" i="17" s="1"/>
  <c r="BD380" i="17"/>
  <c r="BE380" i="17" s="1"/>
  <c r="BB380" i="17"/>
  <c r="BC380" i="17" s="1"/>
  <c r="AZ380" i="17"/>
  <c r="BA380" i="17" s="1"/>
  <c r="AX380" i="17"/>
  <c r="AY380" i="17" s="1"/>
  <c r="AV380" i="17"/>
  <c r="AW380" i="17" s="1"/>
  <c r="AT380" i="17"/>
  <c r="AU380" i="17" s="1"/>
  <c r="AR380" i="17"/>
  <c r="AS380" i="17" s="1"/>
  <c r="AP380" i="17"/>
  <c r="AQ380" i="17" s="1"/>
  <c r="AN380" i="17"/>
  <c r="AO380" i="17" s="1"/>
  <c r="BF379" i="17"/>
  <c r="BG379" i="17" s="1"/>
  <c r="BD379" i="17"/>
  <c r="BE379" i="17" s="1"/>
  <c r="BB379" i="17"/>
  <c r="BC379" i="17" s="1"/>
  <c r="AZ379" i="17"/>
  <c r="BA379" i="17" s="1"/>
  <c r="AX379" i="17"/>
  <c r="AY379" i="17" s="1"/>
  <c r="AV379" i="17"/>
  <c r="AW379" i="17" s="1"/>
  <c r="AT379" i="17"/>
  <c r="AU379" i="17" s="1"/>
  <c r="AR379" i="17"/>
  <c r="AS379" i="17" s="1"/>
  <c r="AP379" i="17"/>
  <c r="AQ379" i="17" s="1"/>
  <c r="AN379" i="17"/>
  <c r="AO379" i="17" s="1"/>
  <c r="BF378" i="17"/>
  <c r="BG378" i="17" s="1"/>
  <c r="BD378" i="17"/>
  <c r="BE378" i="17" s="1"/>
  <c r="BB378" i="17"/>
  <c r="BC378" i="17" s="1"/>
  <c r="AZ378" i="17"/>
  <c r="BA378" i="17" s="1"/>
  <c r="AX378" i="17"/>
  <c r="AY378" i="17" s="1"/>
  <c r="AV378" i="17"/>
  <c r="AW378" i="17" s="1"/>
  <c r="AT378" i="17"/>
  <c r="AU378" i="17" s="1"/>
  <c r="AR378" i="17"/>
  <c r="AS378" i="17" s="1"/>
  <c r="AP378" i="17"/>
  <c r="AQ378" i="17" s="1"/>
  <c r="AN378" i="17"/>
  <c r="AO378" i="17" s="1"/>
  <c r="BF377" i="17"/>
  <c r="BG377" i="17" s="1"/>
  <c r="BD377" i="17"/>
  <c r="BE377" i="17" s="1"/>
  <c r="BB377" i="17"/>
  <c r="BC377" i="17" s="1"/>
  <c r="AZ377" i="17"/>
  <c r="BA377" i="17" s="1"/>
  <c r="AX377" i="17"/>
  <c r="AY377" i="17" s="1"/>
  <c r="AV377" i="17"/>
  <c r="AW377" i="17" s="1"/>
  <c r="AT377" i="17"/>
  <c r="AU377" i="17" s="1"/>
  <c r="AR377" i="17"/>
  <c r="AS377" i="17" s="1"/>
  <c r="AP377" i="17"/>
  <c r="AQ377" i="17" s="1"/>
  <c r="AN377" i="17"/>
  <c r="AO377" i="17" s="1"/>
  <c r="BF376" i="17"/>
  <c r="BG376" i="17" s="1"/>
  <c r="BD376" i="17"/>
  <c r="BE376" i="17" s="1"/>
  <c r="BB376" i="17"/>
  <c r="BC376" i="17" s="1"/>
  <c r="AZ376" i="17"/>
  <c r="BA376" i="17" s="1"/>
  <c r="AX376" i="17"/>
  <c r="AY376" i="17" s="1"/>
  <c r="AV376" i="17"/>
  <c r="AW376" i="17" s="1"/>
  <c r="AT376" i="17"/>
  <c r="AU376" i="17" s="1"/>
  <c r="AR376" i="17"/>
  <c r="AS376" i="17" s="1"/>
  <c r="AP376" i="17"/>
  <c r="AQ376" i="17" s="1"/>
  <c r="AN376" i="17"/>
  <c r="AO376" i="17" s="1"/>
  <c r="BF375" i="17"/>
  <c r="BG375" i="17" s="1"/>
  <c r="BD375" i="17"/>
  <c r="BE375" i="17" s="1"/>
  <c r="BB375" i="17"/>
  <c r="BC375" i="17" s="1"/>
  <c r="AZ375" i="17"/>
  <c r="BA375" i="17" s="1"/>
  <c r="AX375" i="17"/>
  <c r="AY375" i="17" s="1"/>
  <c r="AV375" i="17"/>
  <c r="AW375" i="17" s="1"/>
  <c r="AT375" i="17"/>
  <c r="AU375" i="17" s="1"/>
  <c r="AR375" i="17"/>
  <c r="AS375" i="17" s="1"/>
  <c r="AP375" i="17"/>
  <c r="AQ375" i="17" s="1"/>
  <c r="AN375" i="17"/>
  <c r="AO375" i="17" s="1"/>
  <c r="BF374" i="17"/>
  <c r="BG374" i="17" s="1"/>
  <c r="BD374" i="17"/>
  <c r="BE374" i="17" s="1"/>
  <c r="BB374" i="17"/>
  <c r="BC374" i="17" s="1"/>
  <c r="AZ374" i="17"/>
  <c r="BA374" i="17" s="1"/>
  <c r="AX374" i="17"/>
  <c r="AY374" i="17" s="1"/>
  <c r="AV374" i="17"/>
  <c r="AW374" i="17" s="1"/>
  <c r="AT374" i="17"/>
  <c r="AU374" i="17" s="1"/>
  <c r="AR374" i="17"/>
  <c r="AS374" i="17" s="1"/>
  <c r="AP374" i="17"/>
  <c r="AQ374" i="17" s="1"/>
  <c r="AN374" i="17"/>
  <c r="AO374" i="17" s="1"/>
  <c r="BF373" i="17"/>
  <c r="BG373" i="17" s="1"/>
  <c r="BD373" i="17"/>
  <c r="BE373" i="17" s="1"/>
  <c r="BB373" i="17"/>
  <c r="BC373" i="17" s="1"/>
  <c r="AZ373" i="17"/>
  <c r="BA373" i="17" s="1"/>
  <c r="AX373" i="17"/>
  <c r="AY373" i="17" s="1"/>
  <c r="AV373" i="17"/>
  <c r="AW373" i="17" s="1"/>
  <c r="AT373" i="17"/>
  <c r="AU373" i="17" s="1"/>
  <c r="AR373" i="17"/>
  <c r="AS373" i="17" s="1"/>
  <c r="AP373" i="17"/>
  <c r="AQ373" i="17" s="1"/>
  <c r="AN373" i="17"/>
  <c r="AO373" i="17" s="1"/>
  <c r="BF372" i="17"/>
  <c r="BG372" i="17" s="1"/>
  <c r="BD372" i="17"/>
  <c r="BE372" i="17" s="1"/>
  <c r="BB372" i="17"/>
  <c r="BC372" i="17" s="1"/>
  <c r="AZ372" i="17"/>
  <c r="BA372" i="17" s="1"/>
  <c r="AX372" i="17"/>
  <c r="AY372" i="17" s="1"/>
  <c r="AV372" i="17"/>
  <c r="AW372" i="17" s="1"/>
  <c r="AT372" i="17"/>
  <c r="AU372" i="17" s="1"/>
  <c r="AR372" i="17"/>
  <c r="AS372" i="17" s="1"/>
  <c r="AP372" i="17"/>
  <c r="AQ372" i="17" s="1"/>
  <c r="AN372" i="17"/>
  <c r="AO372" i="17" s="1"/>
  <c r="BF371" i="17"/>
  <c r="BG371" i="17" s="1"/>
  <c r="BD371" i="17"/>
  <c r="BE371" i="17" s="1"/>
  <c r="BB371" i="17"/>
  <c r="BC371" i="17" s="1"/>
  <c r="AZ371" i="17"/>
  <c r="BA371" i="17" s="1"/>
  <c r="AX371" i="17"/>
  <c r="AY371" i="17" s="1"/>
  <c r="AV371" i="17"/>
  <c r="AW371" i="17" s="1"/>
  <c r="AT371" i="17"/>
  <c r="AU371" i="17" s="1"/>
  <c r="AR371" i="17"/>
  <c r="AS371" i="17" s="1"/>
  <c r="AP371" i="17"/>
  <c r="AQ371" i="17" s="1"/>
  <c r="AN371" i="17"/>
  <c r="AO371" i="17" s="1"/>
  <c r="BF370" i="17"/>
  <c r="BG370" i="17" s="1"/>
  <c r="BD370" i="17"/>
  <c r="BE370" i="17" s="1"/>
  <c r="BB370" i="17"/>
  <c r="BC370" i="17" s="1"/>
  <c r="AZ370" i="17"/>
  <c r="BA370" i="17" s="1"/>
  <c r="AX370" i="17"/>
  <c r="AY370" i="17" s="1"/>
  <c r="AV370" i="17"/>
  <c r="AW370" i="17" s="1"/>
  <c r="AT370" i="17"/>
  <c r="AU370" i="17" s="1"/>
  <c r="AR370" i="17"/>
  <c r="AS370" i="17" s="1"/>
  <c r="AP370" i="17"/>
  <c r="AQ370" i="17" s="1"/>
  <c r="AN370" i="17"/>
  <c r="AO370" i="17" s="1"/>
  <c r="BF369" i="17"/>
  <c r="BG369" i="17" s="1"/>
  <c r="BD369" i="17"/>
  <c r="BE369" i="17" s="1"/>
  <c r="BB369" i="17"/>
  <c r="BC369" i="17" s="1"/>
  <c r="AZ369" i="17"/>
  <c r="BA369" i="17" s="1"/>
  <c r="AX369" i="17"/>
  <c r="AY369" i="17" s="1"/>
  <c r="AV369" i="17"/>
  <c r="AW369" i="17" s="1"/>
  <c r="AT369" i="17"/>
  <c r="AU369" i="17" s="1"/>
  <c r="AR369" i="17"/>
  <c r="AS369" i="17" s="1"/>
  <c r="AP369" i="17"/>
  <c r="AQ369" i="17" s="1"/>
  <c r="AN369" i="17"/>
  <c r="AO369" i="17" s="1"/>
  <c r="BF368" i="17"/>
  <c r="BG368" i="17" s="1"/>
  <c r="BD368" i="17"/>
  <c r="BE368" i="17" s="1"/>
  <c r="BB368" i="17"/>
  <c r="BC368" i="17" s="1"/>
  <c r="AZ368" i="17"/>
  <c r="BA368" i="17" s="1"/>
  <c r="AX368" i="17"/>
  <c r="AY368" i="17" s="1"/>
  <c r="AV368" i="17"/>
  <c r="AW368" i="17" s="1"/>
  <c r="AT368" i="17"/>
  <c r="AU368" i="17" s="1"/>
  <c r="AR368" i="17"/>
  <c r="AS368" i="17" s="1"/>
  <c r="AP368" i="17"/>
  <c r="AQ368" i="17" s="1"/>
  <c r="AN368" i="17"/>
  <c r="AO368" i="17" s="1"/>
  <c r="BF367" i="17"/>
  <c r="BG367" i="17" s="1"/>
  <c r="BD367" i="17"/>
  <c r="BE367" i="17" s="1"/>
  <c r="BB367" i="17"/>
  <c r="BC367" i="17" s="1"/>
  <c r="AZ367" i="17"/>
  <c r="BA367" i="17" s="1"/>
  <c r="AX367" i="17"/>
  <c r="AY367" i="17" s="1"/>
  <c r="AV367" i="17"/>
  <c r="AW367" i="17" s="1"/>
  <c r="AT367" i="17"/>
  <c r="AU367" i="17" s="1"/>
  <c r="AR367" i="17"/>
  <c r="AS367" i="17" s="1"/>
  <c r="AP367" i="17"/>
  <c r="AQ367" i="17" s="1"/>
  <c r="AN367" i="17"/>
  <c r="AO367" i="17" s="1"/>
  <c r="BF366" i="17"/>
  <c r="BG366" i="17" s="1"/>
  <c r="BD366" i="17"/>
  <c r="BE366" i="17" s="1"/>
  <c r="BB366" i="17"/>
  <c r="BC366" i="17" s="1"/>
  <c r="AZ366" i="17"/>
  <c r="BA366" i="17" s="1"/>
  <c r="AX366" i="17"/>
  <c r="AY366" i="17" s="1"/>
  <c r="AV366" i="17"/>
  <c r="AW366" i="17" s="1"/>
  <c r="AT366" i="17"/>
  <c r="AU366" i="17" s="1"/>
  <c r="AR366" i="17"/>
  <c r="AS366" i="17" s="1"/>
  <c r="AP366" i="17"/>
  <c r="AQ366" i="17" s="1"/>
  <c r="AN366" i="17"/>
  <c r="AO366" i="17" s="1"/>
  <c r="BF365" i="17"/>
  <c r="BG365" i="17" s="1"/>
  <c r="BD365" i="17"/>
  <c r="BE365" i="17" s="1"/>
  <c r="BB365" i="17"/>
  <c r="BC365" i="17" s="1"/>
  <c r="AZ365" i="17"/>
  <c r="BA365" i="17" s="1"/>
  <c r="AX365" i="17"/>
  <c r="AY365" i="17" s="1"/>
  <c r="AV365" i="17"/>
  <c r="AW365" i="17" s="1"/>
  <c r="AT365" i="17"/>
  <c r="AU365" i="17" s="1"/>
  <c r="AR365" i="17"/>
  <c r="AS365" i="17" s="1"/>
  <c r="AP365" i="17"/>
  <c r="AQ365" i="17" s="1"/>
  <c r="AN365" i="17"/>
  <c r="AO365" i="17" s="1"/>
  <c r="BF364" i="17"/>
  <c r="BG364" i="17" s="1"/>
  <c r="BD364" i="17"/>
  <c r="BE364" i="17" s="1"/>
  <c r="BB364" i="17"/>
  <c r="BC364" i="17" s="1"/>
  <c r="AZ364" i="17"/>
  <c r="BA364" i="17" s="1"/>
  <c r="AX364" i="17"/>
  <c r="AY364" i="17" s="1"/>
  <c r="AV364" i="17"/>
  <c r="AW364" i="17" s="1"/>
  <c r="AT364" i="17"/>
  <c r="AU364" i="17" s="1"/>
  <c r="AR364" i="17"/>
  <c r="AS364" i="17" s="1"/>
  <c r="AP364" i="17"/>
  <c r="AQ364" i="17" s="1"/>
  <c r="AN364" i="17"/>
  <c r="AO364" i="17" s="1"/>
  <c r="BF363" i="17"/>
  <c r="BG363" i="17" s="1"/>
  <c r="BD363" i="17"/>
  <c r="BE363" i="17" s="1"/>
  <c r="BB363" i="17"/>
  <c r="BC363" i="17" s="1"/>
  <c r="AZ363" i="17"/>
  <c r="BA363" i="17" s="1"/>
  <c r="AX363" i="17"/>
  <c r="AY363" i="17" s="1"/>
  <c r="AV363" i="17"/>
  <c r="AW363" i="17" s="1"/>
  <c r="AT363" i="17"/>
  <c r="AU363" i="17" s="1"/>
  <c r="AR363" i="17"/>
  <c r="AS363" i="17" s="1"/>
  <c r="AP363" i="17"/>
  <c r="AQ363" i="17" s="1"/>
  <c r="AN363" i="17"/>
  <c r="AO363" i="17" s="1"/>
  <c r="BF362" i="17"/>
  <c r="BG362" i="17" s="1"/>
  <c r="BD362" i="17"/>
  <c r="BE362" i="17" s="1"/>
  <c r="BB362" i="17"/>
  <c r="BC362" i="17" s="1"/>
  <c r="AZ362" i="17"/>
  <c r="BA362" i="17" s="1"/>
  <c r="AX362" i="17"/>
  <c r="AY362" i="17" s="1"/>
  <c r="AV362" i="17"/>
  <c r="AW362" i="17" s="1"/>
  <c r="AT362" i="17"/>
  <c r="AU362" i="17" s="1"/>
  <c r="AR362" i="17"/>
  <c r="AS362" i="17" s="1"/>
  <c r="AP362" i="17"/>
  <c r="AQ362" i="17" s="1"/>
  <c r="AN362" i="17"/>
  <c r="AO362" i="17" s="1"/>
  <c r="BF361" i="17"/>
  <c r="BG361" i="17" s="1"/>
  <c r="BD361" i="17"/>
  <c r="BE361" i="17" s="1"/>
  <c r="BB361" i="17"/>
  <c r="BC361" i="17" s="1"/>
  <c r="AZ361" i="17"/>
  <c r="BA361" i="17" s="1"/>
  <c r="AX361" i="17"/>
  <c r="AY361" i="17" s="1"/>
  <c r="AV361" i="17"/>
  <c r="AW361" i="17" s="1"/>
  <c r="AT361" i="17"/>
  <c r="AU361" i="17" s="1"/>
  <c r="AR361" i="17"/>
  <c r="AS361" i="17" s="1"/>
  <c r="AP361" i="17"/>
  <c r="AQ361" i="17" s="1"/>
  <c r="AN361" i="17"/>
  <c r="AO361" i="17" s="1"/>
  <c r="BF360" i="17"/>
  <c r="BG360" i="17" s="1"/>
  <c r="BD360" i="17"/>
  <c r="BE360" i="17" s="1"/>
  <c r="BB360" i="17"/>
  <c r="BC360" i="17" s="1"/>
  <c r="AZ360" i="17"/>
  <c r="BA360" i="17" s="1"/>
  <c r="AX360" i="17"/>
  <c r="AY360" i="17" s="1"/>
  <c r="AV360" i="17"/>
  <c r="AW360" i="17" s="1"/>
  <c r="AT360" i="17"/>
  <c r="AU360" i="17" s="1"/>
  <c r="AR360" i="17"/>
  <c r="AS360" i="17" s="1"/>
  <c r="AP360" i="17"/>
  <c r="AQ360" i="17" s="1"/>
  <c r="AN360" i="17"/>
  <c r="AO360" i="17" s="1"/>
  <c r="BF359" i="17"/>
  <c r="BG359" i="17" s="1"/>
  <c r="BD359" i="17"/>
  <c r="BE359" i="17" s="1"/>
  <c r="BB359" i="17"/>
  <c r="BC359" i="17" s="1"/>
  <c r="AZ359" i="17"/>
  <c r="BA359" i="17" s="1"/>
  <c r="AX359" i="17"/>
  <c r="AY359" i="17" s="1"/>
  <c r="AV359" i="17"/>
  <c r="AW359" i="17" s="1"/>
  <c r="AT359" i="17"/>
  <c r="AU359" i="17" s="1"/>
  <c r="AR359" i="17"/>
  <c r="AS359" i="17" s="1"/>
  <c r="AP359" i="17"/>
  <c r="AQ359" i="17" s="1"/>
  <c r="AN359" i="17"/>
  <c r="AO359" i="17" s="1"/>
  <c r="BF358" i="17"/>
  <c r="BG358" i="17" s="1"/>
  <c r="BD358" i="17"/>
  <c r="BE358" i="17" s="1"/>
  <c r="BB358" i="17"/>
  <c r="BC358" i="17" s="1"/>
  <c r="AZ358" i="17"/>
  <c r="BA358" i="17" s="1"/>
  <c r="AX358" i="17"/>
  <c r="AY358" i="17" s="1"/>
  <c r="AV358" i="17"/>
  <c r="AW358" i="17" s="1"/>
  <c r="AT358" i="17"/>
  <c r="AU358" i="17" s="1"/>
  <c r="AR358" i="17"/>
  <c r="AS358" i="17" s="1"/>
  <c r="AP358" i="17"/>
  <c r="AQ358" i="17" s="1"/>
  <c r="AN358" i="17"/>
  <c r="AO358" i="17" s="1"/>
  <c r="BF357" i="17"/>
  <c r="BG357" i="17" s="1"/>
  <c r="BD357" i="17"/>
  <c r="BE357" i="17" s="1"/>
  <c r="BB357" i="17"/>
  <c r="BC357" i="17" s="1"/>
  <c r="AZ357" i="17"/>
  <c r="BA357" i="17" s="1"/>
  <c r="AX357" i="17"/>
  <c r="AY357" i="17" s="1"/>
  <c r="AV357" i="17"/>
  <c r="AW357" i="17" s="1"/>
  <c r="AT357" i="17"/>
  <c r="AU357" i="17" s="1"/>
  <c r="AR357" i="17"/>
  <c r="AS357" i="17" s="1"/>
  <c r="AP357" i="17"/>
  <c r="AQ357" i="17" s="1"/>
  <c r="AN357" i="17"/>
  <c r="AO357" i="17" s="1"/>
  <c r="BF356" i="17"/>
  <c r="BG356" i="17" s="1"/>
  <c r="BD356" i="17"/>
  <c r="BE356" i="17" s="1"/>
  <c r="BB356" i="17"/>
  <c r="BC356" i="17" s="1"/>
  <c r="AZ356" i="17"/>
  <c r="BA356" i="17" s="1"/>
  <c r="AX356" i="17"/>
  <c r="AY356" i="17" s="1"/>
  <c r="AV356" i="17"/>
  <c r="AW356" i="17" s="1"/>
  <c r="AT356" i="17"/>
  <c r="AU356" i="17" s="1"/>
  <c r="AR356" i="17"/>
  <c r="AS356" i="17" s="1"/>
  <c r="AP356" i="17"/>
  <c r="AQ356" i="17" s="1"/>
  <c r="AN356" i="17"/>
  <c r="AO356" i="17" s="1"/>
  <c r="BF355" i="17"/>
  <c r="BG355" i="17" s="1"/>
  <c r="BD355" i="17"/>
  <c r="BE355" i="17" s="1"/>
  <c r="BB355" i="17"/>
  <c r="BC355" i="17" s="1"/>
  <c r="AZ355" i="17"/>
  <c r="BA355" i="17" s="1"/>
  <c r="AX355" i="17"/>
  <c r="AY355" i="17" s="1"/>
  <c r="AV355" i="17"/>
  <c r="AW355" i="17" s="1"/>
  <c r="AT355" i="17"/>
  <c r="AU355" i="17" s="1"/>
  <c r="AR355" i="17"/>
  <c r="AS355" i="17" s="1"/>
  <c r="AP355" i="17"/>
  <c r="AQ355" i="17" s="1"/>
  <c r="AN355" i="17"/>
  <c r="AO355" i="17" s="1"/>
  <c r="BF354" i="17"/>
  <c r="BG354" i="17" s="1"/>
  <c r="BD354" i="17"/>
  <c r="BE354" i="17" s="1"/>
  <c r="BB354" i="17"/>
  <c r="BC354" i="17" s="1"/>
  <c r="AZ354" i="17"/>
  <c r="BA354" i="17" s="1"/>
  <c r="AX354" i="17"/>
  <c r="AY354" i="17" s="1"/>
  <c r="AV354" i="17"/>
  <c r="AW354" i="17" s="1"/>
  <c r="AT354" i="17"/>
  <c r="AU354" i="17" s="1"/>
  <c r="AR354" i="17"/>
  <c r="AS354" i="17" s="1"/>
  <c r="AP354" i="17"/>
  <c r="AQ354" i="17" s="1"/>
  <c r="AN354" i="17"/>
  <c r="AO354" i="17" s="1"/>
  <c r="BF353" i="17"/>
  <c r="BD353" i="17"/>
  <c r="BE353" i="17" s="1"/>
  <c r="BB353" i="17"/>
  <c r="BC353" i="17" s="1"/>
  <c r="AZ353" i="17"/>
  <c r="BA353" i="17" s="1"/>
  <c r="AX353" i="17"/>
  <c r="AY353" i="17" s="1"/>
  <c r="AV353" i="17"/>
  <c r="AT353" i="17"/>
  <c r="AU353" i="17" s="1"/>
  <c r="AR353" i="17"/>
  <c r="AP353" i="17"/>
  <c r="AQ353" i="17" s="1"/>
  <c r="AN353" i="17"/>
  <c r="AO353" i="17" s="1"/>
  <c r="BF347" i="17"/>
  <c r="BG347" i="17" s="1"/>
  <c r="BD347" i="17"/>
  <c r="BE347" i="17" s="1"/>
  <c r="BB347" i="17"/>
  <c r="BC347" i="17" s="1"/>
  <c r="AZ347" i="17"/>
  <c r="BA347" i="17" s="1"/>
  <c r="AX347" i="17"/>
  <c r="AY347" i="17" s="1"/>
  <c r="AV347" i="17"/>
  <c r="AW347" i="17" s="1"/>
  <c r="AT347" i="17"/>
  <c r="AU347" i="17" s="1"/>
  <c r="AR347" i="17"/>
  <c r="AS347" i="17" s="1"/>
  <c r="AP347" i="17"/>
  <c r="AQ347" i="17" s="1"/>
  <c r="AN347" i="17"/>
  <c r="AO347" i="17" s="1"/>
  <c r="BF346" i="17"/>
  <c r="BG346" i="17" s="1"/>
  <c r="BD346" i="17"/>
  <c r="BE346" i="17" s="1"/>
  <c r="BB346" i="17"/>
  <c r="BC346" i="17" s="1"/>
  <c r="AZ346" i="17"/>
  <c r="BA346" i="17" s="1"/>
  <c r="AX346" i="17"/>
  <c r="AY346" i="17" s="1"/>
  <c r="AV346" i="17"/>
  <c r="AW346" i="17" s="1"/>
  <c r="AT346" i="17"/>
  <c r="AU346" i="17" s="1"/>
  <c r="AR346" i="17"/>
  <c r="AS346" i="17" s="1"/>
  <c r="AP346" i="17"/>
  <c r="AQ346" i="17" s="1"/>
  <c r="AN346" i="17"/>
  <c r="AO346" i="17" s="1"/>
  <c r="BF345" i="17"/>
  <c r="BG345" i="17" s="1"/>
  <c r="BD345" i="17"/>
  <c r="BE345" i="17" s="1"/>
  <c r="BB345" i="17"/>
  <c r="BC345" i="17" s="1"/>
  <c r="AZ345" i="17"/>
  <c r="BA345" i="17" s="1"/>
  <c r="AX345" i="17"/>
  <c r="AY345" i="17" s="1"/>
  <c r="AV345" i="17"/>
  <c r="AW345" i="17" s="1"/>
  <c r="AT345" i="17"/>
  <c r="AU345" i="17" s="1"/>
  <c r="AR345" i="17"/>
  <c r="AS345" i="17" s="1"/>
  <c r="AP345" i="17"/>
  <c r="AQ345" i="17" s="1"/>
  <c r="AN345" i="17"/>
  <c r="AO345" i="17" s="1"/>
  <c r="BF344" i="17"/>
  <c r="BG344" i="17" s="1"/>
  <c r="BD344" i="17"/>
  <c r="BE344" i="17" s="1"/>
  <c r="BB344" i="17"/>
  <c r="BC344" i="17" s="1"/>
  <c r="AZ344" i="17"/>
  <c r="BA344" i="17" s="1"/>
  <c r="AX344" i="17"/>
  <c r="AY344" i="17" s="1"/>
  <c r="AV344" i="17"/>
  <c r="AW344" i="17" s="1"/>
  <c r="AT344" i="17"/>
  <c r="AU344" i="17" s="1"/>
  <c r="AR344" i="17"/>
  <c r="AS344" i="17" s="1"/>
  <c r="AP344" i="17"/>
  <c r="AQ344" i="17" s="1"/>
  <c r="AN344" i="17"/>
  <c r="AO344" i="17" s="1"/>
  <c r="BF343" i="17"/>
  <c r="BG343" i="17" s="1"/>
  <c r="BD343" i="17"/>
  <c r="BE343" i="17" s="1"/>
  <c r="BB343" i="17"/>
  <c r="BC343" i="17" s="1"/>
  <c r="AZ343" i="17"/>
  <c r="BA343" i="17" s="1"/>
  <c r="AX343" i="17"/>
  <c r="AY343" i="17" s="1"/>
  <c r="AV343" i="17"/>
  <c r="AW343" i="17" s="1"/>
  <c r="AT343" i="17"/>
  <c r="AU343" i="17" s="1"/>
  <c r="AR343" i="17"/>
  <c r="AS343" i="17" s="1"/>
  <c r="AP343" i="17"/>
  <c r="AQ343" i="17" s="1"/>
  <c r="AN343" i="17"/>
  <c r="AO343" i="17" s="1"/>
  <c r="BF341" i="17"/>
  <c r="BG341" i="17" s="1"/>
  <c r="BD341" i="17"/>
  <c r="BE341" i="17" s="1"/>
  <c r="BB341" i="17"/>
  <c r="BC341" i="17" s="1"/>
  <c r="AZ341" i="17"/>
  <c r="BA341" i="17" s="1"/>
  <c r="AX341" i="17"/>
  <c r="AY341" i="17" s="1"/>
  <c r="AV341" i="17"/>
  <c r="AW341" i="17" s="1"/>
  <c r="AT341" i="17"/>
  <c r="AU341" i="17" s="1"/>
  <c r="AR341" i="17"/>
  <c r="AS341" i="17" s="1"/>
  <c r="AP341" i="17"/>
  <c r="AQ341" i="17" s="1"/>
  <c r="AN341" i="17"/>
  <c r="AO341" i="17" s="1"/>
  <c r="BF340" i="17"/>
  <c r="BG340" i="17" s="1"/>
  <c r="BD340" i="17"/>
  <c r="BE340" i="17" s="1"/>
  <c r="BB340" i="17"/>
  <c r="BC340" i="17" s="1"/>
  <c r="AZ340" i="17"/>
  <c r="BA340" i="17" s="1"/>
  <c r="AX340" i="17"/>
  <c r="AY340" i="17" s="1"/>
  <c r="AV340" i="17"/>
  <c r="AW340" i="17" s="1"/>
  <c r="AT340" i="17"/>
  <c r="AU340" i="17" s="1"/>
  <c r="AR340" i="17"/>
  <c r="AS340" i="17" s="1"/>
  <c r="AP340" i="17"/>
  <c r="AQ340" i="17" s="1"/>
  <c r="AN340" i="17"/>
  <c r="AO340" i="17" s="1"/>
  <c r="BF339" i="17"/>
  <c r="BG339" i="17" s="1"/>
  <c r="BD339" i="17"/>
  <c r="BE339" i="17" s="1"/>
  <c r="BB339" i="17"/>
  <c r="BC339" i="17" s="1"/>
  <c r="AZ339" i="17"/>
  <c r="BA339" i="17" s="1"/>
  <c r="AX339" i="17"/>
  <c r="AY339" i="17" s="1"/>
  <c r="AV339" i="17"/>
  <c r="AW339" i="17" s="1"/>
  <c r="AT339" i="17"/>
  <c r="AU339" i="17" s="1"/>
  <c r="AR339" i="17"/>
  <c r="AS339" i="17" s="1"/>
  <c r="AP339" i="17"/>
  <c r="AQ339" i="17" s="1"/>
  <c r="AN339" i="17"/>
  <c r="AO339" i="17" s="1"/>
  <c r="BF338" i="17"/>
  <c r="BG338" i="17" s="1"/>
  <c r="BD338" i="17"/>
  <c r="BE338" i="17" s="1"/>
  <c r="BB338" i="17"/>
  <c r="BC338" i="17" s="1"/>
  <c r="AZ338" i="17"/>
  <c r="BA338" i="17" s="1"/>
  <c r="AX338" i="17"/>
  <c r="AY338" i="17" s="1"/>
  <c r="AV338" i="17"/>
  <c r="AW338" i="17" s="1"/>
  <c r="AT338" i="17"/>
  <c r="AU338" i="17" s="1"/>
  <c r="AR338" i="17"/>
  <c r="AS338" i="17" s="1"/>
  <c r="AP338" i="17"/>
  <c r="AQ338" i="17" s="1"/>
  <c r="AN338" i="17"/>
  <c r="AO338" i="17" s="1"/>
  <c r="BF337" i="17"/>
  <c r="BG337" i="17" s="1"/>
  <c r="BD337" i="17"/>
  <c r="BE337" i="17" s="1"/>
  <c r="BB337" i="17"/>
  <c r="BC337" i="17" s="1"/>
  <c r="AZ337" i="17"/>
  <c r="BA337" i="17" s="1"/>
  <c r="AX337" i="17"/>
  <c r="AY337" i="17" s="1"/>
  <c r="AV337" i="17"/>
  <c r="AW337" i="17" s="1"/>
  <c r="AT337" i="17"/>
  <c r="AU337" i="17" s="1"/>
  <c r="AR337" i="17"/>
  <c r="AS337" i="17" s="1"/>
  <c r="AP337" i="17"/>
  <c r="AQ337" i="17" s="1"/>
  <c r="AN337" i="17"/>
  <c r="AO337" i="17" s="1"/>
  <c r="BF336" i="17"/>
  <c r="BG336" i="17" s="1"/>
  <c r="BD336" i="17"/>
  <c r="BE336" i="17" s="1"/>
  <c r="BB336" i="17"/>
  <c r="BC336" i="17" s="1"/>
  <c r="AZ336" i="17"/>
  <c r="BA336" i="17" s="1"/>
  <c r="AX336" i="17"/>
  <c r="AY336" i="17" s="1"/>
  <c r="AV336" i="17"/>
  <c r="AW336" i="17" s="1"/>
  <c r="AT336" i="17"/>
  <c r="AU336" i="17" s="1"/>
  <c r="AR336" i="17"/>
  <c r="AS336" i="17" s="1"/>
  <c r="AP336" i="17"/>
  <c r="AQ336" i="17" s="1"/>
  <c r="AN336" i="17"/>
  <c r="AO336" i="17" s="1"/>
  <c r="BF335" i="17"/>
  <c r="BG335" i="17" s="1"/>
  <c r="BD335" i="17"/>
  <c r="BE335" i="17" s="1"/>
  <c r="BB335" i="17"/>
  <c r="BC335" i="17" s="1"/>
  <c r="AZ335" i="17"/>
  <c r="BA335" i="17" s="1"/>
  <c r="AX335" i="17"/>
  <c r="AY335" i="17" s="1"/>
  <c r="AV335" i="17"/>
  <c r="AW335" i="17" s="1"/>
  <c r="AT335" i="17"/>
  <c r="AU335" i="17" s="1"/>
  <c r="AR335" i="17"/>
  <c r="AS335" i="17" s="1"/>
  <c r="AP335" i="17"/>
  <c r="AQ335" i="17" s="1"/>
  <c r="AN335" i="17"/>
  <c r="AO335" i="17" s="1"/>
  <c r="BF334" i="17"/>
  <c r="BG334" i="17" s="1"/>
  <c r="BD334" i="17"/>
  <c r="BE334" i="17" s="1"/>
  <c r="BB334" i="17"/>
  <c r="BC334" i="17" s="1"/>
  <c r="AZ334" i="17"/>
  <c r="BA334" i="17" s="1"/>
  <c r="AX334" i="17"/>
  <c r="AY334" i="17" s="1"/>
  <c r="AV334" i="17"/>
  <c r="AW334" i="17" s="1"/>
  <c r="AT334" i="17"/>
  <c r="AU334" i="17" s="1"/>
  <c r="AR334" i="17"/>
  <c r="AS334" i="17" s="1"/>
  <c r="AP334" i="17"/>
  <c r="AQ334" i="17" s="1"/>
  <c r="AN334" i="17"/>
  <c r="AO334" i="17" s="1"/>
  <c r="BF333" i="17"/>
  <c r="BG333" i="17" s="1"/>
  <c r="BD333" i="17"/>
  <c r="BE333" i="17" s="1"/>
  <c r="BB333" i="17"/>
  <c r="BC333" i="17" s="1"/>
  <c r="AZ333" i="17"/>
  <c r="BA333" i="17" s="1"/>
  <c r="AX333" i="17"/>
  <c r="AY333" i="17" s="1"/>
  <c r="AV333" i="17"/>
  <c r="AW333" i="17" s="1"/>
  <c r="AT333" i="17"/>
  <c r="AU333" i="17" s="1"/>
  <c r="AR333" i="17"/>
  <c r="AS333" i="17" s="1"/>
  <c r="AP333" i="17"/>
  <c r="AQ333" i="17" s="1"/>
  <c r="AN333" i="17"/>
  <c r="AO333" i="17" s="1"/>
  <c r="BF332" i="17"/>
  <c r="BG332" i="17" s="1"/>
  <c r="BD332" i="17"/>
  <c r="BE332" i="17" s="1"/>
  <c r="BB332" i="17"/>
  <c r="BC332" i="17" s="1"/>
  <c r="AZ332" i="17"/>
  <c r="BA332" i="17" s="1"/>
  <c r="AX332" i="17"/>
  <c r="AY332" i="17" s="1"/>
  <c r="AV332" i="17"/>
  <c r="AW332" i="17" s="1"/>
  <c r="AT332" i="17"/>
  <c r="AU332" i="17" s="1"/>
  <c r="AR332" i="17"/>
  <c r="AS332" i="17" s="1"/>
  <c r="AP332" i="17"/>
  <c r="AQ332" i="17" s="1"/>
  <c r="AN332" i="17"/>
  <c r="AO332" i="17" s="1"/>
  <c r="BF331" i="17"/>
  <c r="BG331" i="17" s="1"/>
  <c r="BD331" i="17"/>
  <c r="BE331" i="17" s="1"/>
  <c r="BB331" i="17"/>
  <c r="BC331" i="17" s="1"/>
  <c r="AZ331" i="17"/>
  <c r="BA331" i="17" s="1"/>
  <c r="AX331" i="17"/>
  <c r="AY331" i="17" s="1"/>
  <c r="AV331" i="17"/>
  <c r="AW331" i="17" s="1"/>
  <c r="AT331" i="17"/>
  <c r="AU331" i="17" s="1"/>
  <c r="AR331" i="17"/>
  <c r="AS331" i="17" s="1"/>
  <c r="AP331" i="17"/>
  <c r="AQ331" i="17" s="1"/>
  <c r="AN331" i="17"/>
  <c r="AO331" i="17" s="1"/>
  <c r="BF330" i="17"/>
  <c r="BG330" i="17" s="1"/>
  <c r="BD330" i="17"/>
  <c r="BE330" i="17" s="1"/>
  <c r="BB330" i="17"/>
  <c r="BC330" i="17" s="1"/>
  <c r="AZ330" i="17"/>
  <c r="BA330" i="17" s="1"/>
  <c r="AX330" i="17"/>
  <c r="AY330" i="17" s="1"/>
  <c r="AV330" i="17"/>
  <c r="AW330" i="17" s="1"/>
  <c r="AT330" i="17"/>
  <c r="AU330" i="17" s="1"/>
  <c r="AR330" i="17"/>
  <c r="AS330" i="17" s="1"/>
  <c r="AP330" i="17"/>
  <c r="AQ330" i="17" s="1"/>
  <c r="AN330" i="17"/>
  <c r="AO330" i="17" s="1"/>
  <c r="BF329" i="17"/>
  <c r="BG329" i="17" s="1"/>
  <c r="BD329" i="17"/>
  <c r="BE329" i="17" s="1"/>
  <c r="BB329" i="17"/>
  <c r="BC329" i="17" s="1"/>
  <c r="AZ329" i="17"/>
  <c r="BA329" i="17" s="1"/>
  <c r="AX329" i="17"/>
  <c r="AY329" i="17" s="1"/>
  <c r="AV329" i="17"/>
  <c r="AW329" i="17" s="1"/>
  <c r="AT329" i="17"/>
  <c r="AU329" i="17" s="1"/>
  <c r="AR329" i="17"/>
  <c r="AS329" i="17" s="1"/>
  <c r="AP329" i="17"/>
  <c r="AQ329" i="17" s="1"/>
  <c r="AN329" i="17"/>
  <c r="AO329" i="17" s="1"/>
  <c r="BF328" i="17"/>
  <c r="BG328" i="17" s="1"/>
  <c r="BD328" i="17"/>
  <c r="BE328" i="17" s="1"/>
  <c r="BB328" i="17"/>
  <c r="BC328" i="17" s="1"/>
  <c r="AZ328" i="17"/>
  <c r="BA328" i="17" s="1"/>
  <c r="AX328" i="17"/>
  <c r="AY328" i="17" s="1"/>
  <c r="AV328" i="17"/>
  <c r="AW328" i="17" s="1"/>
  <c r="AT328" i="17"/>
  <c r="AU328" i="17" s="1"/>
  <c r="AR328" i="17"/>
  <c r="AS328" i="17" s="1"/>
  <c r="AP328" i="17"/>
  <c r="AQ328" i="17" s="1"/>
  <c r="AN328" i="17"/>
  <c r="AO328" i="17" s="1"/>
  <c r="BF327" i="17"/>
  <c r="BG327" i="17" s="1"/>
  <c r="BD327" i="17"/>
  <c r="BE327" i="17" s="1"/>
  <c r="BB327" i="17"/>
  <c r="BC327" i="17" s="1"/>
  <c r="AZ327" i="17"/>
  <c r="BA327" i="17" s="1"/>
  <c r="AX327" i="17"/>
  <c r="AY327" i="17" s="1"/>
  <c r="AV327" i="17"/>
  <c r="AW327" i="17" s="1"/>
  <c r="AT327" i="17"/>
  <c r="AU327" i="17" s="1"/>
  <c r="AR327" i="17"/>
  <c r="AS327" i="17" s="1"/>
  <c r="AP327" i="17"/>
  <c r="AQ327" i="17" s="1"/>
  <c r="AN327" i="17"/>
  <c r="AO327" i="17" s="1"/>
  <c r="BF326" i="17"/>
  <c r="BG326" i="17" s="1"/>
  <c r="BD326" i="17"/>
  <c r="BE326" i="17" s="1"/>
  <c r="BB326" i="17"/>
  <c r="BC326" i="17" s="1"/>
  <c r="AZ326" i="17"/>
  <c r="BA326" i="17" s="1"/>
  <c r="AX326" i="17"/>
  <c r="AY326" i="17" s="1"/>
  <c r="AV326" i="17"/>
  <c r="AW326" i="17" s="1"/>
  <c r="AT326" i="17"/>
  <c r="AU326" i="17" s="1"/>
  <c r="AR326" i="17"/>
  <c r="AS326" i="17" s="1"/>
  <c r="AP326" i="17"/>
  <c r="AQ326" i="17" s="1"/>
  <c r="AN326" i="17"/>
  <c r="AO326" i="17" s="1"/>
  <c r="BF325" i="17"/>
  <c r="BG325" i="17" s="1"/>
  <c r="BD325" i="17"/>
  <c r="BE325" i="17" s="1"/>
  <c r="BB325" i="17"/>
  <c r="BC325" i="17" s="1"/>
  <c r="AZ325" i="17"/>
  <c r="BA325" i="17" s="1"/>
  <c r="AX325" i="17"/>
  <c r="AY325" i="17" s="1"/>
  <c r="AV325" i="17"/>
  <c r="AW325" i="17" s="1"/>
  <c r="AT325" i="17"/>
  <c r="AU325" i="17" s="1"/>
  <c r="AR325" i="17"/>
  <c r="AS325" i="17" s="1"/>
  <c r="AP325" i="17"/>
  <c r="AQ325" i="17" s="1"/>
  <c r="AN325" i="17"/>
  <c r="AO325" i="17" s="1"/>
  <c r="BF324" i="17"/>
  <c r="BG324" i="17" s="1"/>
  <c r="BD324" i="17"/>
  <c r="BE324" i="17" s="1"/>
  <c r="BB324" i="17"/>
  <c r="BC324" i="17" s="1"/>
  <c r="AZ324" i="17"/>
  <c r="BA324" i="17" s="1"/>
  <c r="AX324" i="17"/>
  <c r="AY324" i="17" s="1"/>
  <c r="AV324" i="17"/>
  <c r="AW324" i="17" s="1"/>
  <c r="AT324" i="17"/>
  <c r="AU324" i="17" s="1"/>
  <c r="AR324" i="17"/>
  <c r="AS324" i="17" s="1"/>
  <c r="AP324" i="17"/>
  <c r="AQ324" i="17" s="1"/>
  <c r="AN324" i="17"/>
  <c r="AO324" i="17" s="1"/>
  <c r="BF323" i="17"/>
  <c r="BG323" i="17" s="1"/>
  <c r="BD323" i="17"/>
  <c r="BE323" i="17" s="1"/>
  <c r="BB323" i="17"/>
  <c r="BC323" i="17" s="1"/>
  <c r="AZ323" i="17"/>
  <c r="BA323" i="17" s="1"/>
  <c r="AX323" i="17"/>
  <c r="AY323" i="17" s="1"/>
  <c r="AV323" i="17"/>
  <c r="AW323" i="17" s="1"/>
  <c r="AT323" i="17"/>
  <c r="AU323" i="17" s="1"/>
  <c r="AR323" i="17"/>
  <c r="AS323" i="17" s="1"/>
  <c r="AP323" i="17"/>
  <c r="AQ323" i="17" s="1"/>
  <c r="AN323" i="17"/>
  <c r="AO323" i="17" s="1"/>
  <c r="BF322" i="17"/>
  <c r="BG322" i="17" s="1"/>
  <c r="BD322" i="17"/>
  <c r="BE322" i="17" s="1"/>
  <c r="BB322" i="17"/>
  <c r="BC322" i="17" s="1"/>
  <c r="AZ322" i="17"/>
  <c r="BA322" i="17" s="1"/>
  <c r="AX322" i="17"/>
  <c r="AY322" i="17" s="1"/>
  <c r="AV322" i="17"/>
  <c r="AW322" i="17" s="1"/>
  <c r="AT322" i="17"/>
  <c r="AU322" i="17" s="1"/>
  <c r="AR322" i="17"/>
  <c r="AS322" i="17" s="1"/>
  <c r="AP322" i="17"/>
  <c r="AQ322" i="17" s="1"/>
  <c r="AN322" i="17"/>
  <c r="AO322" i="17" s="1"/>
  <c r="BF321" i="17"/>
  <c r="BG321" i="17" s="1"/>
  <c r="BD321" i="17"/>
  <c r="BE321" i="17" s="1"/>
  <c r="BB321" i="17"/>
  <c r="BC321" i="17" s="1"/>
  <c r="AZ321" i="17"/>
  <c r="BA321" i="17" s="1"/>
  <c r="AX321" i="17"/>
  <c r="AY321" i="17" s="1"/>
  <c r="AV321" i="17"/>
  <c r="AW321" i="17" s="1"/>
  <c r="AT321" i="17"/>
  <c r="AU321" i="17" s="1"/>
  <c r="AR321" i="17"/>
  <c r="AS321" i="17" s="1"/>
  <c r="AP321" i="17"/>
  <c r="AQ321" i="17" s="1"/>
  <c r="AN321" i="17"/>
  <c r="AO321" i="17" s="1"/>
  <c r="BF320" i="17"/>
  <c r="BG320" i="17" s="1"/>
  <c r="BD320" i="17"/>
  <c r="BE320" i="17" s="1"/>
  <c r="BB320" i="17"/>
  <c r="BC320" i="17" s="1"/>
  <c r="AZ320" i="17"/>
  <c r="BA320" i="17" s="1"/>
  <c r="AX320" i="17"/>
  <c r="AY320" i="17" s="1"/>
  <c r="AV320" i="17"/>
  <c r="AW320" i="17" s="1"/>
  <c r="AT320" i="17"/>
  <c r="AU320" i="17" s="1"/>
  <c r="AR320" i="17"/>
  <c r="AS320" i="17" s="1"/>
  <c r="AP320" i="17"/>
  <c r="AQ320" i="17" s="1"/>
  <c r="AN320" i="17"/>
  <c r="AO320" i="17" s="1"/>
  <c r="BF319" i="17"/>
  <c r="BG319" i="17" s="1"/>
  <c r="BD319" i="17"/>
  <c r="BE319" i="17" s="1"/>
  <c r="BB319" i="17"/>
  <c r="BC319" i="17" s="1"/>
  <c r="AZ319" i="17"/>
  <c r="BA319" i="17" s="1"/>
  <c r="AX319" i="17"/>
  <c r="AY319" i="17" s="1"/>
  <c r="AV319" i="17"/>
  <c r="AW319" i="17" s="1"/>
  <c r="AT319" i="17"/>
  <c r="AU319" i="17" s="1"/>
  <c r="AR319" i="17"/>
  <c r="AS319" i="17" s="1"/>
  <c r="AP319" i="17"/>
  <c r="AQ319" i="17" s="1"/>
  <c r="AN319" i="17"/>
  <c r="AO319" i="17" s="1"/>
  <c r="BF318" i="17"/>
  <c r="BG318" i="17" s="1"/>
  <c r="BD318" i="17"/>
  <c r="BE318" i="17" s="1"/>
  <c r="BB318" i="17"/>
  <c r="BC318" i="17" s="1"/>
  <c r="AZ318" i="17"/>
  <c r="BA318" i="17" s="1"/>
  <c r="AX318" i="17"/>
  <c r="AY318" i="17" s="1"/>
  <c r="AV318" i="17"/>
  <c r="AW318" i="17" s="1"/>
  <c r="AT318" i="17"/>
  <c r="AU318" i="17" s="1"/>
  <c r="AR318" i="17"/>
  <c r="AS318" i="17" s="1"/>
  <c r="AP318" i="17"/>
  <c r="AQ318" i="17" s="1"/>
  <c r="AN318" i="17"/>
  <c r="AO318" i="17" s="1"/>
  <c r="BF317" i="17"/>
  <c r="BG317" i="17" s="1"/>
  <c r="BD317" i="17"/>
  <c r="BE317" i="17" s="1"/>
  <c r="BB317" i="17"/>
  <c r="BC317" i="17" s="1"/>
  <c r="AZ317" i="17"/>
  <c r="BA317" i="17" s="1"/>
  <c r="AX317" i="17"/>
  <c r="AY317" i="17" s="1"/>
  <c r="AV317" i="17"/>
  <c r="AW317" i="17" s="1"/>
  <c r="AT317" i="17"/>
  <c r="AU317" i="17" s="1"/>
  <c r="AR317" i="17"/>
  <c r="AS317" i="17" s="1"/>
  <c r="AP317" i="17"/>
  <c r="AQ317" i="17" s="1"/>
  <c r="AN317" i="17"/>
  <c r="AO317" i="17" s="1"/>
  <c r="BF316" i="17"/>
  <c r="BG316" i="17" s="1"/>
  <c r="BD316" i="17"/>
  <c r="BE316" i="17" s="1"/>
  <c r="BB316" i="17"/>
  <c r="BC316" i="17" s="1"/>
  <c r="AZ316" i="17"/>
  <c r="BA316" i="17" s="1"/>
  <c r="AX316" i="17"/>
  <c r="AY316" i="17" s="1"/>
  <c r="AV316" i="17"/>
  <c r="AW316" i="17" s="1"/>
  <c r="AT316" i="17"/>
  <c r="AU316" i="17" s="1"/>
  <c r="AR316" i="17"/>
  <c r="AS316" i="17" s="1"/>
  <c r="AP316" i="17"/>
  <c r="AQ316" i="17" s="1"/>
  <c r="AN316" i="17"/>
  <c r="AO316" i="17" s="1"/>
  <c r="BF315" i="17"/>
  <c r="BG315" i="17" s="1"/>
  <c r="BD315" i="17"/>
  <c r="BE315" i="17" s="1"/>
  <c r="BB315" i="17"/>
  <c r="BC315" i="17" s="1"/>
  <c r="AZ315" i="17"/>
  <c r="BA315" i="17" s="1"/>
  <c r="AX315" i="17"/>
  <c r="AY315" i="17" s="1"/>
  <c r="AV315" i="17"/>
  <c r="AW315" i="17" s="1"/>
  <c r="AT315" i="17"/>
  <c r="AU315" i="17" s="1"/>
  <c r="AR315" i="17"/>
  <c r="AS315" i="17" s="1"/>
  <c r="AP315" i="17"/>
  <c r="AQ315" i="17" s="1"/>
  <c r="AN315" i="17"/>
  <c r="AO315" i="17" s="1"/>
  <c r="BF314" i="17"/>
  <c r="BG314" i="17" s="1"/>
  <c r="BD314" i="17"/>
  <c r="BE314" i="17" s="1"/>
  <c r="BB314" i="17"/>
  <c r="BC314" i="17" s="1"/>
  <c r="AZ314" i="17"/>
  <c r="BA314" i="17" s="1"/>
  <c r="AX314" i="17"/>
  <c r="AY314" i="17" s="1"/>
  <c r="AV314" i="17"/>
  <c r="AW314" i="17" s="1"/>
  <c r="AT314" i="17"/>
  <c r="AU314" i="17" s="1"/>
  <c r="AR314" i="17"/>
  <c r="AS314" i="17" s="1"/>
  <c r="AP314" i="17"/>
  <c r="AQ314" i="17" s="1"/>
  <c r="AN314" i="17"/>
  <c r="AO314" i="17" s="1"/>
  <c r="BF313" i="17"/>
  <c r="BG313" i="17" s="1"/>
  <c r="BD313" i="17"/>
  <c r="BE313" i="17" s="1"/>
  <c r="BB313" i="17"/>
  <c r="BC313" i="17" s="1"/>
  <c r="AZ313" i="17"/>
  <c r="BA313" i="17" s="1"/>
  <c r="AX313" i="17"/>
  <c r="AY313" i="17" s="1"/>
  <c r="AV313" i="17"/>
  <c r="AW313" i="17" s="1"/>
  <c r="AT313" i="17"/>
  <c r="AU313" i="17" s="1"/>
  <c r="AR313" i="17"/>
  <c r="AS313" i="17" s="1"/>
  <c r="AP313" i="17"/>
  <c r="AQ313" i="17" s="1"/>
  <c r="AN313" i="17"/>
  <c r="AO313" i="17" s="1"/>
  <c r="BF312" i="17"/>
  <c r="BG312" i="17" s="1"/>
  <c r="BD312" i="17"/>
  <c r="BE312" i="17" s="1"/>
  <c r="BB312" i="17"/>
  <c r="BC312" i="17" s="1"/>
  <c r="AZ312" i="17"/>
  <c r="BA312" i="17" s="1"/>
  <c r="AX312" i="17"/>
  <c r="AY312" i="17" s="1"/>
  <c r="AV312" i="17"/>
  <c r="AW312" i="17" s="1"/>
  <c r="AT312" i="17"/>
  <c r="AU312" i="17" s="1"/>
  <c r="AR312" i="17"/>
  <c r="AS312" i="17" s="1"/>
  <c r="AP312" i="17"/>
  <c r="AQ312" i="17" s="1"/>
  <c r="AN312" i="17"/>
  <c r="AO312" i="17" s="1"/>
  <c r="BF311" i="17"/>
  <c r="BG311" i="17" s="1"/>
  <c r="BD311" i="17"/>
  <c r="BE311" i="17" s="1"/>
  <c r="BB311" i="17"/>
  <c r="BC311" i="17" s="1"/>
  <c r="AZ311" i="17"/>
  <c r="BA311" i="17" s="1"/>
  <c r="AX311" i="17"/>
  <c r="AY311" i="17" s="1"/>
  <c r="AV311" i="17"/>
  <c r="AW311" i="17" s="1"/>
  <c r="AT311" i="17"/>
  <c r="AU311" i="17" s="1"/>
  <c r="AR311" i="17"/>
  <c r="AS311" i="17" s="1"/>
  <c r="AP311" i="17"/>
  <c r="AQ311" i="17" s="1"/>
  <c r="AN311" i="17"/>
  <c r="AO311" i="17" s="1"/>
  <c r="BF310" i="17"/>
  <c r="BG310" i="17" s="1"/>
  <c r="BD310" i="17"/>
  <c r="BE310" i="17" s="1"/>
  <c r="BB310" i="17"/>
  <c r="BC310" i="17" s="1"/>
  <c r="AZ310" i="17"/>
  <c r="BA310" i="17" s="1"/>
  <c r="AX310" i="17"/>
  <c r="AY310" i="17" s="1"/>
  <c r="AV310" i="17"/>
  <c r="AW310" i="17" s="1"/>
  <c r="AT310" i="17"/>
  <c r="AU310" i="17" s="1"/>
  <c r="AR310" i="17"/>
  <c r="AS310" i="17" s="1"/>
  <c r="AP310" i="17"/>
  <c r="AQ310" i="17" s="1"/>
  <c r="AN310" i="17"/>
  <c r="AO310" i="17" s="1"/>
  <c r="BF309" i="17"/>
  <c r="BG309" i="17" s="1"/>
  <c r="BD309" i="17"/>
  <c r="BE309" i="17" s="1"/>
  <c r="BB309" i="17"/>
  <c r="BC309" i="17" s="1"/>
  <c r="AZ309" i="17"/>
  <c r="BA309" i="17" s="1"/>
  <c r="AX309" i="17"/>
  <c r="AY309" i="17" s="1"/>
  <c r="AV309" i="17"/>
  <c r="AW309" i="17" s="1"/>
  <c r="AT309" i="17"/>
  <c r="AU309" i="17" s="1"/>
  <c r="AR309" i="17"/>
  <c r="AS309" i="17" s="1"/>
  <c r="AP309" i="17"/>
  <c r="AQ309" i="17" s="1"/>
  <c r="AN309" i="17"/>
  <c r="AO309" i="17" s="1"/>
  <c r="BF308" i="17"/>
  <c r="BG308" i="17" s="1"/>
  <c r="BD308" i="17"/>
  <c r="BE308" i="17" s="1"/>
  <c r="BB308" i="17"/>
  <c r="BC308" i="17" s="1"/>
  <c r="AZ308" i="17"/>
  <c r="BA308" i="17" s="1"/>
  <c r="AX308" i="17"/>
  <c r="AY308" i="17" s="1"/>
  <c r="AV308" i="17"/>
  <c r="AW308" i="17" s="1"/>
  <c r="AT308" i="17"/>
  <c r="AU308" i="17" s="1"/>
  <c r="AR308" i="17"/>
  <c r="AS308" i="17" s="1"/>
  <c r="AP308" i="17"/>
  <c r="AQ308" i="17" s="1"/>
  <c r="AN308" i="17"/>
  <c r="AO308" i="17" s="1"/>
  <c r="BF307" i="17"/>
  <c r="BG307" i="17" s="1"/>
  <c r="BD307" i="17"/>
  <c r="BE307" i="17" s="1"/>
  <c r="BB307" i="17"/>
  <c r="BC307" i="17" s="1"/>
  <c r="AZ307" i="17"/>
  <c r="BA307" i="17" s="1"/>
  <c r="AX307" i="17"/>
  <c r="AY307" i="17" s="1"/>
  <c r="AV307" i="17"/>
  <c r="AW307" i="17" s="1"/>
  <c r="AT307" i="17"/>
  <c r="AU307" i="17" s="1"/>
  <c r="AR307" i="17"/>
  <c r="AS307" i="17" s="1"/>
  <c r="AP307" i="17"/>
  <c r="AQ307" i="17" s="1"/>
  <c r="AN307" i="17"/>
  <c r="AO307" i="17" s="1"/>
  <c r="BF306" i="17"/>
  <c r="BG306" i="17" s="1"/>
  <c r="BD306" i="17"/>
  <c r="BE306" i="17" s="1"/>
  <c r="BB306" i="17"/>
  <c r="BC306" i="17" s="1"/>
  <c r="AZ306" i="17"/>
  <c r="BA306" i="17" s="1"/>
  <c r="AX306" i="17"/>
  <c r="AY306" i="17" s="1"/>
  <c r="AV306" i="17"/>
  <c r="AW306" i="17" s="1"/>
  <c r="AT306" i="17"/>
  <c r="AU306" i="17" s="1"/>
  <c r="AR306" i="17"/>
  <c r="AS306" i="17" s="1"/>
  <c r="AP306" i="17"/>
  <c r="AQ306" i="17" s="1"/>
  <c r="AN306" i="17"/>
  <c r="BF305" i="17"/>
  <c r="BD305" i="17"/>
  <c r="BB305" i="17"/>
  <c r="BC305" i="17" s="1"/>
  <c r="AZ305" i="17"/>
  <c r="AX305" i="17"/>
  <c r="AV305" i="17"/>
  <c r="AW305" i="17" s="1"/>
  <c r="AT305" i="17"/>
  <c r="AU305" i="17" s="1"/>
  <c r="AR305" i="17"/>
  <c r="AP305" i="17"/>
  <c r="AN305" i="17"/>
  <c r="AO305" i="17" s="1"/>
  <c r="BG100" i="24" l="1"/>
  <c r="BG101" i="24"/>
  <c r="BG102" i="24"/>
  <c r="BG95" i="24"/>
  <c r="BG96" i="24"/>
  <c r="BG97" i="24"/>
  <c r="BG98" i="24"/>
  <c r="BG99" i="24"/>
  <c r="BK96" i="24"/>
  <c r="BK97" i="24"/>
  <c r="BK98" i="24"/>
  <c r="BK101" i="24"/>
  <c r="BK102" i="24"/>
  <c r="BK95" i="24"/>
  <c r="BK100" i="24"/>
  <c r="BK99" i="24"/>
  <c r="BF101" i="24"/>
  <c r="BF97" i="24"/>
  <c r="BF102" i="24"/>
  <c r="BF95" i="24"/>
  <c r="BF96" i="24"/>
  <c r="BF98" i="24"/>
  <c r="BF99" i="24"/>
  <c r="BF100" i="24"/>
  <c r="BF133" i="24"/>
  <c r="BF134" i="24"/>
  <c r="BF132" i="24"/>
  <c r="BF129" i="24"/>
  <c r="BF131" i="24"/>
  <c r="BF130" i="24"/>
  <c r="BF135" i="24"/>
  <c r="BF128" i="24"/>
  <c r="BB347" i="19"/>
  <c r="AW397" i="19"/>
  <c r="AR120" i="19"/>
  <c r="AV347" i="19"/>
  <c r="BB397" i="19"/>
  <c r="AT120" i="19"/>
  <c r="BC120" i="19"/>
  <c r="AR249" i="19"/>
  <c r="BA249" i="19"/>
  <c r="BJ249" i="19"/>
  <c r="AY301" i="19"/>
  <c r="AR342" i="17"/>
  <c r="AS342" i="17" s="1"/>
  <c r="AZ342" i="17"/>
  <c r="BA342" i="17" s="1"/>
  <c r="AN342" i="17"/>
  <c r="AO342" i="17" s="1"/>
  <c r="BF390" i="17"/>
  <c r="BG249" i="19"/>
  <c r="BH301" i="19"/>
  <c r="AW249" i="19"/>
  <c r="AU347" i="19"/>
  <c r="AR347" i="19"/>
  <c r="BC347" i="19"/>
  <c r="AZ397" i="19"/>
  <c r="AX397" i="19"/>
  <c r="AU120" i="19"/>
  <c r="BD120" i="19"/>
  <c r="AS249" i="19"/>
  <c r="BB249" i="19"/>
  <c r="BK249" i="19"/>
  <c r="AY120" i="19"/>
  <c r="AV249" i="19"/>
  <c r="AT301" i="19"/>
  <c r="AW347" i="19"/>
  <c r="AV397" i="19"/>
  <c r="AS397" i="19"/>
  <c r="AZ120" i="19"/>
  <c r="BA120" i="19"/>
  <c r="BJ120" i="19"/>
  <c r="AY249" i="19"/>
  <c r="BH249" i="19"/>
  <c r="AV301" i="19"/>
  <c r="BH120" i="19"/>
  <c r="BF249" i="19"/>
  <c r="BC301" i="19"/>
  <c r="AZ347" i="19"/>
  <c r="BC397" i="19"/>
  <c r="AS120" i="19"/>
  <c r="BB120" i="19"/>
  <c r="BK120" i="19"/>
  <c r="AZ249" i="19"/>
  <c r="BI249" i="19"/>
  <c r="AW301" i="19"/>
  <c r="BI301" i="19"/>
  <c r="AZ301" i="19"/>
  <c r="AS347" i="19"/>
  <c r="BD347" i="19"/>
  <c r="AY397" i="19"/>
  <c r="AV120" i="19"/>
  <c r="BF120" i="19"/>
  <c r="AT249" i="19"/>
  <c r="BC249" i="19"/>
  <c r="AR301" i="19"/>
  <c r="BA301" i="19"/>
  <c r="AW120" i="19"/>
  <c r="BG120" i="19"/>
  <c r="AU249" i="19"/>
  <c r="BD249" i="19"/>
  <c r="AS301" i="19"/>
  <c r="BB301" i="19"/>
  <c r="AU301" i="19"/>
  <c r="BD301" i="19"/>
  <c r="AY347" i="19"/>
  <c r="AT397" i="19"/>
  <c r="BD397" i="19"/>
  <c r="BI120" i="19"/>
  <c r="AR390" i="17"/>
  <c r="AV390" i="17"/>
  <c r="AQ390" i="17"/>
  <c r="BD342" i="17"/>
  <c r="BE342" i="17" s="1"/>
  <c r="AS353" i="17"/>
  <c r="AS390" i="17" s="1"/>
  <c r="BC390" i="17"/>
  <c r="BE390" i="17"/>
  <c r="AU390" i="17"/>
  <c r="AY390" i="17"/>
  <c r="AO390" i="17"/>
  <c r="BA390" i="17"/>
  <c r="AT390" i="17"/>
  <c r="BB390" i="17"/>
  <c r="AN390" i="17"/>
  <c r="AX390" i="17"/>
  <c r="AP390" i="17"/>
  <c r="AZ390" i="17"/>
  <c r="AW353" i="17"/>
  <c r="AW390" i="17" s="1"/>
  <c r="BD390" i="17"/>
  <c r="BG353" i="17"/>
  <c r="BG390" i="17" s="1"/>
  <c r="AV342" i="17"/>
  <c r="AW342" i="17" s="1"/>
  <c r="AS305" i="17"/>
  <c r="BA305" i="17"/>
  <c r="AO306" i="17"/>
  <c r="BB342" i="17"/>
  <c r="BC342" i="17" s="1"/>
  <c r="BE305" i="17"/>
  <c r="AP342" i="17"/>
  <c r="AQ342" i="17" s="1"/>
  <c r="BF342" i="17"/>
  <c r="BG342" i="17" s="1"/>
  <c r="AT342" i="17"/>
  <c r="AU342" i="17" s="1"/>
  <c r="AX342" i="17"/>
  <c r="AY342" i="17" s="1"/>
  <c r="AQ305" i="17"/>
  <c r="AY305" i="17"/>
  <c r="BG305" i="17"/>
  <c r="BI299" i="17"/>
  <c r="BJ299" i="17" s="1"/>
  <c r="BG299" i="17"/>
  <c r="BH299" i="17" s="1"/>
  <c r="BE299" i="17"/>
  <c r="BF299" i="17" s="1"/>
  <c r="BC299" i="17"/>
  <c r="BD299" i="17" s="1"/>
  <c r="BA299" i="17"/>
  <c r="BB299" i="17" s="1"/>
  <c r="AY299" i="17"/>
  <c r="AZ299" i="17" s="1"/>
  <c r="AW299" i="17"/>
  <c r="AX299" i="17" s="1"/>
  <c r="AU299" i="17"/>
  <c r="AV299" i="17" s="1"/>
  <c r="AS299" i="17"/>
  <c r="AT299" i="17" s="1"/>
  <c r="AQ299" i="17"/>
  <c r="AR299" i="17" s="1"/>
  <c r="AO299" i="17"/>
  <c r="AP299" i="17" s="1"/>
  <c r="AM299" i="17"/>
  <c r="AN299" i="17" s="1"/>
  <c r="BI297" i="17"/>
  <c r="BJ297" i="17" s="1"/>
  <c r="BG297" i="17"/>
  <c r="BH297" i="17" s="1"/>
  <c r="BE297" i="17"/>
  <c r="BF297" i="17" s="1"/>
  <c r="BC297" i="17"/>
  <c r="BD297" i="17" s="1"/>
  <c r="BA297" i="17"/>
  <c r="BB297" i="17" s="1"/>
  <c r="AY297" i="17"/>
  <c r="AZ297" i="17" s="1"/>
  <c r="AW297" i="17"/>
  <c r="AX297" i="17" s="1"/>
  <c r="AU297" i="17"/>
  <c r="AV297" i="17" s="1"/>
  <c r="AS297" i="17"/>
  <c r="AT297" i="17" s="1"/>
  <c r="AQ297" i="17"/>
  <c r="AR297" i="17" s="1"/>
  <c r="AO297" i="17"/>
  <c r="AP297" i="17" s="1"/>
  <c r="AM297" i="17"/>
  <c r="AN297" i="17" s="1"/>
  <c r="BI296" i="17"/>
  <c r="BJ296" i="17" s="1"/>
  <c r="BG296" i="17"/>
  <c r="BH296" i="17" s="1"/>
  <c r="BE296" i="17"/>
  <c r="BF296" i="17" s="1"/>
  <c r="BC296" i="17"/>
  <c r="BD296" i="17" s="1"/>
  <c r="BA296" i="17"/>
  <c r="BB296" i="17" s="1"/>
  <c r="AY296" i="17"/>
  <c r="AZ296" i="17" s="1"/>
  <c r="AW296" i="17"/>
  <c r="AX296" i="17" s="1"/>
  <c r="AU296" i="17"/>
  <c r="AV296" i="17" s="1"/>
  <c r="AS296" i="17"/>
  <c r="AT296" i="17" s="1"/>
  <c r="AQ296" i="17"/>
  <c r="AR296" i="17" s="1"/>
  <c r="AO296" i="17"/>
  <c r="AP296" i="17" s="1"/>
  <c r="AM296" i="17"/>
  <c r="AN296" i="17" s="1"/>
  <c r="BI295" i="17"/>
  <c r="BJ295" i="17" s="1"/>
  <c r="BG295" i="17"/>
  <c r="BH295" i="17" s="1"/>
  <c r="BE295" i="17"/>
  <c r="BF295" i="17" s="1"/>
  <c r="BC295" i="17"/>
  <c r="BD295" i="17" s="1"/>
  <c r="BA295" i="17"/>
  <c r="BB295" i="17" s="1"/>
  <c r="AY295" i="17"/>
  <c r="AZ295" i="17" s="1"/>
  <c r="AW295" i="17"/>
  <c r="AX295" i="17" s="1"/>
  <c r="AU295" i="17"/>
  <c r="AV295" i="17" s="1"/>
  <c r="AS295" i="17"/>
  <c r="AT295" i="17" s="1"/>
  <c r="AQ295" i="17"/>
  <c r="AR295" i="17" s="1"/>
  <c r="AO295" i="17"/>
  <c r="AP295" i="17" s="1"/>
  <c r="AM295" i="17"/>
  <c r="AN295" i="17" s="1"/>
  <c r="BI294" i="17"/>
  <c r="BJ294" i="17" s="1"/>
  <c r="BG294" i="17"/>
  <c r="BH294" i="17" s="1"/>
  <c r="BE294" i="17"/>
  <c r="BF294" i="17" s="1"/>
  <c r="BC294" i="17"/>
  <c r="BD294" i="17" s="1"/>
  <c r="BA294" i="17"/>
  <c r="BB294" i="17" s="1"/>
  <c r="AY294" i="17"/>
  <c r="AZ294" i="17" s="1"/>
  <c r="AW294" i="17"/>
  <c r="AX294" i="17" s="1"/>
  <c r="AU294" i="17"/>
  <c r="AV294" i="17" s="1"/>
  <c r="AS294" i="17"/>
  <c r="AT294" i="17" s="1"/>
  <c r="AQ294" i="17"/>
  <c r="AR294" i="17" s="1"/>
  <c r="AO294" i="17"/>
  <c r="AP294" i="17" s="1"/>
  <c r="AM294" i="17"/>
  <c r="AN294" i="17" s="1"/>
  <c r="BI293" i="17"/>
  <c r="BJ293" i="17" s="1"/>
  <c r="BG293" i="17"/>
  <c r="BH293" i="17" s="1"/>
  <c r="BE293" i="17"/>
  <c r="BF293" i="17" s="1"/>
  <c r="BC293" i="17"/>
  <c r="BD293" i="17" s="1"/>
  <c r="BA293" i="17"/>
  <c r="BB293" i="17" s="1"/>
  <c r="AY293" i="17"/>
  <c r="AZ293" i="17" s="1"/>
  <c r="AW293" i="17"/>
  <c r="AX293" i="17" s="1"/>
  <c r="AU293" i="17"/>
  <c r="AV293" i="17" s="1"/>
  <c r="AS293" i="17"/>
  <c r="AT293" i="17" s="1"/>
  <c r="AQ293" i="17"/>
  <c r="AR293" i="17" s="1"/>
  <c r="AO293" i="17"/>
  <c r="AP293" i="17" s="1"/>
  <c r="AM293" i="17"/>
  <c r="AN293" i="17" s="1"/>
  <c r="BI292" i="17"/>
  <c r="BJ292" i="17" s="1"/>
  <c r="BG292" i="17"/>
  <c r="BH292" i="17" s="1"/>
  <c r="BE292" i="17"/>
  <c r="BF292" i="17" s="1"/>
  <c r="BC292" i="17"/>
  <c r="BD292" i="17" s="1"/>
  <c r="BA292" i="17"/>
  <c r="BB292" i="17" s="1"/>
  <c r="AY292" i="17"/>
  <c r="AZ292" i="17" s="1"/>
  <c r="AW292" i="17"/>
  <c r="AX292" i="17" s="1"/>
  <c r="AU292" i="17"/>
  <c r="AV292" i="17" s="1"/>
  <c r="AS292" i="17"/>
  <c r="AT292" i="17" s="1"/>
  <c r="AQ292" i="17"/>
  <c r="AR292" i="17" s="1"/>
  <c r="AO292" i="17"/>
  <c r="AP292" i="17" s="1"/>
  <c r="AM292" i="17"/>
  <c r="AN292" i="17" s="1"/>
  <c r="BI291" i="17"/>
  <c r="BJ291" i="17" s="1"/>
  <c r="BG291" i="17"/>
  <c r="BH291" i="17" s="1"/>
  <c r="BE291" i="17"/>
  <c r="BF291" i="17" s="1"/>
  <c r="BC291" i="17"/>
  <c r="BD291" i="17" s="1"/>
  <c r="BA291" i="17"/>
  <c r="BB291" i="17" s="1"/>
  <c r="AY291" i="17"/>
  <c r="AZ291" i="17" s="1"/>
  <c r="AW291" i="17"/>
  <c r="AX291" i="17" s="1"/>
  <c r="AU291" i="17"/>
  <c r="AV291" i="17" s="1"/>
  <c r="AS291" i="17"/>
  <c r="AT291" i="17" s="1"/>
  <c r="AQ291" i="17"/>
  <c r="AR291" i="17" s="1"/>
  <c r="AO291" i="17"/>
  <c r="AP291" i="17" s="1"/>
  <c r="AM291" i="17"/>
  <c r="AN291" i="17" s="1"/>
  <c r="BI290" i="17"/>
  <c r="BJ290" i="17" s="1"/>
  <c r="BG290" i="17"/>
  <c r="BH290" i="17" s="1"/>
  <c r="BE290" i="17"/>
  <c r="BF290" i="17" s="1"/>
  <c r="BC290" i="17"/>
  <c r="BD290" i="17" s="1"/>
  <c r="BA290" i="17"/>
  <c r="BB290" i="17" s="1"/>
  <c r="AY290" i="17"/>
  <c r="AZ290" i="17" s="1"/>
  <c r="AW290" i="17"/>
  <c r="AX290" i="17" s="1"/>
  <c r="AU290" i="17"/>
  <c r="AV290" i="17" s="1"/>
  <c r="AS290" i="17"/>
  <c r="AT290" i="17" s="1"/>
  <c r="AQ290" i="17"/>
  <c r="AR290" i="17" s="1"/>
  <c r="AO290" i="17"/>
  <c r="AP290" i="17" s="1"/>
  <c r="AM290" i="17"/>
  <c r="AN290" i="17" s="1"/>
  <c r="BI289" i="17"/>
  <c r="BJ289" i="17" s="1"/>
  <c r="BG289" i="17"/>
  <c r="BH289" i="17" s="1"/>
  <c r="BE289" i="17"/>
  <c r="BF289" i="17" s="1"/>
  <c r="BC289" i="17"/>
  <c r="BD289" i="17" s="1"/>
  <c r="BA289" i="17"/>
  <c r="BB289" i="17" s="1"/>
  <c r="AY289" i="17"/>
  <c r="AZ289" i="17" s="1"/>
  <c r="AW289" i="17"/>
  <c r="AX289" i="17" s="1"/>
  <c r="AU289" i="17"/>
  <c r="AV289" i="17" s="1"/>
  <c r="AS289" i="17"/>
  <c r="AT289" i="17" s="1"/>
  <c r="AQ289" i="17"/>
  <c r="AR289" i="17" s="1"/>
  <c r="AO289" i="17"/>
  <c r="AP289" i="17" s="1"/>
  <c r="AM289" i="17"/>
  <c r="AN289" i="17" s="1"/>
  <c r="BI288" i="17"/>
  <c r="BJ288" i="17" s="1"/>
  <c r="BG288" i="17"/>
  <c r="BH288" i="17" s="1"/>
  <c r="BE288" i="17"/>
  <c r="BF288" i="17" s="1"/>
  <c r="BC288" i="17"/>
  <c r="BD288" i="17" s="1"/>
  <c r="BA288" i="17"/>
  <c r="BB288" i="17" s="1"/>
  <c r="AY288" i="17"/>
  <c r="AZ288" i="17" s="1"/>
  <c r="AW288" i="17"/>
  <c r="AX288" i="17" s="1"/>
  <c r="AU288" i="17"/>
  <c r="AV288" i="17" s="1"/>
  <c r="AS288" i="17"/>
  <c r="AT288" i="17" s="1"/>
  <c r="AQ288" i="17"/>
  <c r="AR288" i="17" s="1"/>
  <c r="AO288" i="17"/>
  <c r="AP288" i="17" s="1"/>
  <c r="AM288" i="17"/>
  <c r="AN288" i="17" s="1"/>
  <c r="BI287" i="17"/>
  <c r="BJ287" i="17" s="1"/>
  <c r="BG287" i="17"/>
  <c r="BH287" i="17" s="1"/>
  <c r="BE287" i="17"/>
  <c r="BF287" i="17" s="1"/>
  <c r="BC287" i="17"/>
  <c r="BD287" i="17" s="1"/>
  <c r="BA287" i="17"/>
  <c r="BB287" i="17" s="1"/>
  <c r="AY287" i="17"/>
  <c r="AZ287" i="17" s="1"/>
  <c r="AW287" i="17"/>
  <c r="AX287" i="17" s="1"/>
  <c r="AU287" i="17"/>
  <c r="AV287" i="17" s="1"/>
  <c r="AS287" i="17"/>
  <c r="AT287" i="17" s="1"/>
  <c r="AQ287" i="17"/>
  <c r="AR287" i="17" s="1"/>
  <c r="AO287" i="17"/>
  <c r="AP287" i="17" s="1"/>
  <c r="AM287" i="17"/>
  <c r="AN287" i="17" s="1"/>
  <c r="BI286" i="17"/>
  <c r="BJ286" i="17" s="1"/>
  <c r="BG286" i="17"/>
  <c r="BH286" i="17" s="1"/>
  <c r="BE286" i="17"/>
  <c r="BF286" i="17" s="1"/>
  <c r="BC286" i="17"/>
  <c r="BD286" i="17" s="1"/>
  <c r="BA286" i="17"/>
  <c r="BB286" i="17" s="1"/>
  <c r="AY286" i="17"/>
  <c r="AZ286" i="17" s="1"/>
  <c r="AW286" i="17"/>
  <c r="AX286" i="17" s="1"/>
  <c r="AU286" i="17"/>
  <c r="AV286" i="17" s="1"/>
  <c r="AS286" i="17"/>
  <c r="AT286" i="17" s="1"/>
  <c r="AQ286" i="17"/>
  <c r="AR286" i="17" s="1"/>
  <c r="AO286" i="17"/>
  <c r="AP286" i="17" s="1"/>
  <c r="AM286" i="17"/>
  <c r="AN286" i="17" s="1"/>
  <c r="BI285" i="17"/>
  <c r="BJ285" i="17" s="1"/>
  <c r="BG285" i="17"/>
  <c r="BH285" i="17" s="1"/>
  <c r="BE285" i="17"/>
  <c r="BF285" i="17" s="1"/>
  <c r="BC285" i="17"/>
  <c r="BD285" i="17" s="1"/>
  <c r="BA285" i="17"/>
  <c r="BB285" i="17" s="1"/>
  <c r="AY285" i="17"/>
  <c r="AZ285" i="17" s="1"/>
  <c r="AW285" i="17"/>
  <c r="AX285" i="17" s="1"/>
  <c r="AU285" i="17"/>
  <c r="AV285" i="17" s="1"/>
  <c r="AS285" i="17"/>
  <c r="AT285" i="17" s="1"/>
  <c r="AQ285" i="17"/>
  <c r="AR285" i="17" s="1"/>
  <c r="AO285" i="17"/>
  <c r="AP285" i="17" s="1"/>
  <c r="AM285" i="17"/>
  <c r="AN285" i="17" s="1"/>
  <c r="BI284" i="17"/>
  <c r="BJ284" i="17" s="1"/>
  <c r="BG284" i="17"/>
  <c r="BH284" i="17" s="1"/>
  <c r="BE284" i="17"/>
  <c r="BF284" i="17" s="1"/>
  <c r="BC284" i="17"/>
  <c r="BD284" i="17" s="1"/>
  <c r="BA284" i="17"/>
  <c r="BB284" i="17" s="1"/>
  <c r="AY284" i="17"/>
  <c r="AZ284" i="17" s="1"/>
  <c r="AW284" i="17"/>
  <c r="AX284" i="17" s="1"/>
  <c r="AU284" i="17"/>
  <c r="AV284" i="17" s="1"/>
  <c r="AS284" i="17"/>
  <c r="AT284" i="17" s="1"/>
  <c r="AQ284" i="17"/>
  <c r="AR284" i="17" s="1"/>
  <c r="AO284" i="17"/>
  <c r="AP284" i="17" s="1"/>
  <c r="AM284" i="17"/>
  <c r="AN284" i="17" s="1"/>
  <c r="BI283" i="17"/>
  <c r="BJ283" i="17" s="1"/>
  <c r="BG283" i="17"/>
  <c r="BH283" i="17" s="1"/>
  <c r="BE283" i="17"/>
  <c r="BF283" i="17" s="1"/>
  <c r="BC283" i="17"/>
  <c r="BD283" i="17" s="1"/>
  <c r="BA283" i="17"/>
  <c r="BB283" i="17" s="1"/>
  <c r="AY283" i="17"/>
  <c r="AZ283" i="17" s="1"/>
  <c r="AW283" i="17"/>
  <c r="AX283" i="17" s="1"/>
  <c r="AU283" i="17"/>
  <c r="AV283" i="17" s="1"/>
  <c r="AS283" i="17"/>
  <c r="AT283" i="17" s="1"/>
  <c r="AQ283" i="17"/>
  <c r="AR283" i="17" s="1"/>
  <c r="AO283" i="17"/>
  <c r="AP283" i="17" s="1"/>
  <c r="AM283" i="17"/>
  <c r="AN283" i="17" s="1"/>
  <c r="BI282" i="17"/>
  <c r="BJ282" i="17" s="1"/>
  <c r="BG282" i="17"/>
  <c r="BH282" i="17" s="1"/>
  <c r="BE282" i="17"/>
  <c r="BF282" i="17" s="1"/>
  <c r="BC282" i="17"/>
  <c r="BD282" i="17" s="1"/>
  <c r="BA282" i="17"/>
  <c r="BB282" i="17" s="1"/>
  <c r="AY282" i="17"/>
  <c r="AZ282" i="17" s="1"/>
  <c r="AW282" i="17"/>
  <c r="AX282" i="17" s="1"/>
  <c r="AU282" i="17"/>
  <c r="AV282" i="17" s="1"/>
  <c r="AS282" i="17"/>
  <c r="AT282" i="17" s="1"/>
  <c r="AQ282" i="17"/>
  <c r="AR282" i="17" s="1"/>
  <c r="AO282" i="17"/>
  <c r="AP282" i="17" s="1"/>
  <c r="AM282" i="17"/>
  <c r="AN282" i="17" s="1"/>
  <c r="BI281" i="17"/>
  <c r="BJ281" i="17" s="1"/>
  <c r="BG281" i="17"/>
  <c r="BH281" i="17" s="1"/>
  <c r="BE281" i="17"/>
  <c r="BF281" i="17" s="1"/>
  <c r="BC281" i="17"/>
  <c r="BD281" i="17" s="1"/>
  <c r="BA281" i="17"/>
  <c r="BB281" i="17" s="1"/>
  <c r="AY281" i="17"/>
  <c r="AZ281" i="17" s="1"/>
  <c r="AW281" i="17"/>
  <c r="AX281" i="17" s="1"/>
  <c r="AU281" i="17"/>
  <c r="AV281" i="17" s="1"/>
  <c r="AS281" i="17"/>
  <c r="AT281" i="17" s="1"/>
  <c r="AQ281" i="17"/>
  <c r="AR281" i="17" s="1"/>
  <c r="AO281" i="17"/>
  <c r="AP281" i="17" s="1"/>
  <c r="AM281" i="17"/>
  <c r="AN281" i="17" s="1"/>
  <c r="BI280" i="17"/>
  <c r="BJ280" i="17" s="1"/>
  <c r="BG280" i="17"/>
  <c r="BH280" i="17" s="1"/>
  <c r="BE280" i="17"/>
  <c r="BF280" i="17" s="1"/>
  <c r="BC280" i="17"/>
  <c r="BD280" i="17" s="1"/>
  <c r="BA280" i="17"/>
  <c r="BB280" i="17" s="1"/>
  <c r="AY280" i="17"/>
  <c r="AZ280" i="17" s="1"/>
  <c r="AW280" i="17"/>
  <c r="AX280" i="17" s="1"/>
  <c r="AU280" i="17"/>
  <c r="AV280" i="17" s="1"/>
  <c r="AS280" i="17"/>
  <c r="AT280" i="17" s="1"/>
  <c r="AQ280" i="17"/>
  <c r="AR280" i="17" s="1"/>
  <c r="AO280" i="17"/>
  <c r="AP280" i="17" s="1"/>
  <c r="AM280" i="17"/>
  <c r="AN280" i="17" s="1"/>
  <c r="BI279" i="17"/>
  <c r="BJ279" i="17" s="1"/>
  <c r="BG279" i="17"/>
  <c r="BH279" i="17" s="1"/>
  <c r="BE279" i="17"/>
  <c r="BF279" i="17" s="1"/>
  <c r="BC279" i="17"/>
  <c r="BD279" i="17" s="1"/>
  <c r="BA279" i="17"/>
  <c r="BB279" i="17" s="1"/>
  <c r="AY279" i="17"/>
  <c r="AZ279" i="17" s="1"/>
  <c r="AW279" i="17"/>
  <c r="AX279" i="17" s="1"/>
  <c r="AU279" i="17"/>
  <c r="AV279" i="17" s="1"/>
  <c r="AS279" i="17"/>
  <c r="AT279" i="17" s="1"/>
  <c r="AQ279" i="17"/>
  <c r="AR279" i="17" s="1"/>
  <c r="AO279" i="17"/>
  <c r="AP279" i="17" s="1"/>
  <c r="AM279" i="17"/>
  <c r="AN279" i="17" s="1"/>
  <c r="BI278" i="17"/>
  <c r="BJ278" i="17" s="1"/>
  <c r="BG278" i="17"/>
  <c r="BH278" i="17" s="1"/>
  <c r="BE278" i="17"/>
  <c r="BF278" i="17" s="1"/>
  <c r="BC278" i="17"/>
  <c r="BD278" i="17" s="1"/>
  <c r="BA278" i="17"/>
  <c r="BB278" i="17" s="1"/>
  <c r="AY278" i="17"/>
  <c r="AZ278" i="17" s="1"/>
  <c r="AW278" i="17"/>
  <c r="AX278" i="17" s="1"/>
  <c r="AU278" i="17"/>
  <c r="AV278" i="17" s="1"/>
  <c r="AS278" i="17"/>
  <c r="AT278" i="17" s="1"/>
  <c r="AQ278" i="17"/>
  <c r="AR278" i="17" s="1"/>
  <c r="AO278" i="17"/>
  <c r="AP278" i="17" s="1"/>
  <c r="AM278" i="17"/>
  <c r="AN278" i="17" s="1"/>
  <c r="BI277" i="17"/>
  <c r="BJ277" i="17" s="1"/>
  <c r="BG277" i="17"/>
  <c r="BH277" i="17" s="1"/>
  <c r="BE277" i="17"/>
  <c r="BF277" i="17" s="1"/>
  <c r="BC277" i="17"/>
  <c r="BD277" i="17" s="1"/>
  <c r="BA277" i="17"/>
  <c r="BB277" i="17" s="1"/>
  <c r="AY277" i="17"/>
  <c r="AZ277" i="17" s="1"/>
  <c r="AW277" i="17"/>
  <c r="AX277" i="17" s="1"/>
  <c r="AU277" i="17"/>
  <c r="AV277" i="17" s="1"/>
  <c r="AS277" i="17"/>
  <c r="AT277" i="17" s="1"/>
  <c r="AQ277" i="17"/>
  <c r="AR277" i="17" s="1"/>
  <c r="AO277" i="17"/>
  <c r="AP277" i="17" s="1"/>
  <c r="AM277" i="17"/>
  <c r="AN277" i="17" s="1"/>
  <c r="BI276" i="17"/>
  <c r="BJ276" i="17" s="1"/>
  <c r="BG276" i="17"/>
  <c r="BH276" i="17" s="1"/>
  <c r="BE276" i="17"/>
  <c r="BF276" i="17" s="1"/>
  <c r="BC276" i="17"/>
  <c r="BD276" i="17" s="1"/>
  <c r="BA276" i="17"/>
  <c r="BB276" i="17" s="1"/>
  <c r="AY276" i="17"/>
  <c r="AZ276" i="17" s="1"/>
  <c r="AW276" i="17"/>
  <c r="AX276" i="17" s="1"/>
  <c r="AU276" i="17"/>
  <c r="AV276" i="17" s="1"/>
  <c r="AS276" i="17"/>
  <c r="AT276" i="17" s="1"/>
  <c r="AQ276" i="17"/>
  <c r="AR276" i="17" s="1"/>
  <c r="AO276" i="17"/>
  <c r="AP276" i="17" s="1"/>
  <c r="AM276" i="17"/>
  <c r="AN276" i="17" s="1"/>
  <c r="BI275" i="17"/>
  <c r="BJ275" i="17" s="1"/>
  <c r="BG275" i="17"/>
  <c r="BH275" i="17" s="1"/>
  <c r="BE275" i="17"/>
  <c r="BF275" i="17" s="1"/>
  <c r="BC275" i="17"/>
  <c r="BD275" i="17" s="1"/>
  <c r="BA275" i="17"/>
  <c r="BB275" i="17" s="1"/>
  <c r="AY275" i="17"/>
  <c r="AZ275" i="17" s="1"/>
  <c r="AW275" i="17"/>
  <c r="AX275" i="17" s="1"/>
  <c r="AU275" i="17"/>
  <c r="AV275" i="17" s="1"/>
  <c r="AS275" i="17"/>
  <c r="AT275" i="17" s="1"/>
  <c r="AQ275" i="17"/>
  <c r="AR275" i="17" s="1"/>
  <c r="AO275" i="17"/>
  <c r="AP275" i="17" s="1"/>
  <c r="AM275" i="17"/>
  <c r="AN275" i="17" s="1"/>
  <c r="BI274" i="17"/>
  <c r="BJ274" i="17" s="1"/>
  <c r="BG274" i="17"/>
  <c r="BH274" i="17" s="1"/>
  <c r="BE274" i="17"/>
  <c r="BF274" i="17" s="1"/>
  <c r="BC274" i="17"/>
  <c r="BD274" i="17" s="1"/>
  <c r="BA274" i="17"/>
  <c r="BB274" i="17" s="1"/>
  <c r="AY274" i="17"/>
  <c r="AZ274" i="17" s="1"/>
  <c r="AW274" i="17"/>
  <c r="AX274" i="17" s="1"/>
  <c r="AU274" i="17"/>
  <c r="AV274" i="17" s="1"/>
  <c r="AS274" i="17"/>
  <c r="AT274" i="17" s="1"/>
  <c r="AQ274" i="17"/>
  <c r="AR274" i="17" s="1"/>
  <c r="AO274" i="17"/>
  <c r="AP274" i="17" s="1"/>
  <c r="AM274" i="17"/>
  <c r="AN274" i="17" s="1"/>
  <c r="BI273" i="17"/>
  <c r="BJ273" i="17" s="1"/>
  <c r="BG273" i="17"/>
  <c r="BH273" i="17" s="1"/>
  <c r="BE273" i="17"/>
  <c r="BF273" i="17" s="1"/>
  <c r="BC273" i="17"/>
  <c r="BD273" i="17" s="1"/>
  <c r="BA273" i="17"/>
  <c r="BB273" i="17" s="1"/>
  <c r="AY273" i="17"/>
  <c r="AZ273" i="17" s="1"/>
  <c r="AW273" i="17"/>
  <c r="AX273" i="17" s="1"/>
  <c r="AU273" i="17"/>
  <c r="AV273" i="17" s="1"/>
  <c r="AS273" i="17"/>
  <c r="AT273" i="17" s="1"/>
  <c r="AQ273" i="17"/>
  <c r="AR273" i="17" s="1"/>
  <c r="AO273" i="17"/>
  <c r="AP273" i="17" s="1"/>
  <c r="AM273" i="17"/>
  <c r="AN273" i="17" s="1"/>
  <c r="BI272" i="17"/>
  <c r="BJ272" i="17" s="1"/>
  <c r="BG272" i="17"/>
  <c r="BH272" i="17" s="1"/>
  <c r="BE272" i="17"/>
  <c r="BF272" i="17" s="1"/>
  <c r="BC272" i="17"/>
  <c r="BD272" i="17" s="1"/>
  <c r="BA272" i="17"/>
  <c r="BB272" i="17" s="1"/>
  <c r="AY272" i="17"/>
  <c r="AZ272" i="17" s="1"/>
  <c r="AW272" i="17"/>
  <c r="AX272" i="17" s="1"/>
  <c r="AU272" i="17"/>
  <c r="AV272" i="17" s="1"/>
  <c r="AS272" i="17"/>
  <c r="AT272" i="17" s="1"/>
  <c r="AQ272" i="17"/>
  <c r="AR272" i="17" s="1"/>
  <c r="AO272" i="17"/>
  <c r="AP272" i="17" s="1"/>
  <c r="AM272" i="17"/>
  <c r="AN272" i="17" s="1"/>
  <c r="BI271" i="17"/>
  <c r="BJ271" i="17" s="1"/>
  <c r="BG271" i="17"/>
  <c r="BH271" i="17" s="1"/>
  <c r="BE271" i="17"/>
  <c r="BF271" i="17" s="1"/>
  <c r="BC271" i="17"/>
  <c r="BD271" i="17" s="1"/>
  <c r="BA271" i="17"/>
  <c r="BB271" i="17" s="1"/>
  <c r="AY271" i="17"/>
  <c r="AZ271" i="17" s="1"/>
  <c r="AW271" i="17"/>
  <c r="AX271" i="17" s="1"/>
  <c r="AU271" i="17"/>
  <c r="AV271" i="17" s="1"/>
  <c r="AS271" i="17"/>
  <c r="AT271" i="17" s="1"/>
  <c r="AQ271" i="17"/>
  <c r="AR271" i="17" s="1"/>
  <c r="AO271" i="17"/>
  <c r="AP271" i="17" s="1"/>
  <c r="AM271" i="17"/>
  <c r="AN271" i="17" s="1"/>
  <c r="BI270" i="17"/>
  <c r="BJ270" i="17" s="1"/>
  <c r="BG270" i="17"/>
  <c r="BH270" i="17" s="1"/>
  <c r="BE270" i="17"/>
  <c r="BF270" i="17" s="1"/>
  <c r="BC270" i="17"/>
  <c r="BD270" i="17" s="1"/>
  <c r="BA270" i="17"/>
  <c r="BB270" i="17" s="1"/>
  <c r="AY270" i="17"/>
  <c r="AZ270" i="17" s="1"/>
  <c r="AW270" i="17"/>
  <c r="AX270" i="17" s="1"/>
  <c r="AU270" i="17"/>
  <c r="AV270" i="17" s="1"/>
  <c r="AS270" i="17"/>
  <c r="AT270" i="17" s="1"/>
  <c r="AQ270" i="17"/>
  <c r="AR270" i="17" s="1"/>
  <c r="AO270" i="17"/>
  <c r="AP270" i="17" s="1"/>
  <c r="AM270" i="17"/>
  <c r="AN270" i="17" s="1"/>
  <c r="BI269" i="17"/>
  <c r="BJ269" i="17" s="1"/>
  <c r="BG269" i="17"/>
  <c r="BH269" i="17" s="1"/>
  <c r="BE269" i="17"/>
  <c r="BF269" i="17" s="1"/>
  <c r="BC269" i="17"/>
  <c r="BD269" i="17" s="1"/>
  <c r="BA269" i="17"/>
  <c r="BB269" i="17" s="1"/>
  <c r="AY269" i="17"/>
  <c r="AZ269" i="17" s="1"/>
  <c r="AW269" i="17"/>
  <c r="AX269" i="17" s="1"/>
  <c r="AU269" i="17"/>
  <c r="AV269" i="17" s="1"/>
  <c r="AS269" i="17"/>
  <c r="AT269" i="17" s="1"/>
  <c r="AQ269" i="17"/>
  <c r="AR269" i="17" s="1"/>
  <c r="AO269" i="17"/>
  <c r="AP269" i="17" s="1"/>
  <c r="AM269" i="17"/>
  <c r="AN269" i="17" s="1"/>
  <c r="BI268" i="17"/>
  <c r="BJ268" i="17" s="1"/>
  <c r="BG268" i="17"/>
  <c r="BH268" i="17" s="1"/>
  <c r="BE268" i="17"/>
  <c r="BF268" i="17" s="1"/>
  <c r="BC268" i="17"/>
  <c r="BD268" i="17" s="1"/>
  <c r="BA268" i="17"/>
  <c r="BB268" i="17" s="1"/>
  <c r="AY268" i="17"/>
  <c r="AZ268" i="17" s="1"/>
  <c r="AW268" i="17"/>
  <c r="AX268" i="17" s="1"/>
  <c r="AU268" i="17"/>
  <c r="AV268" i="17" s="1"/>
  <c r="AS268" i="17"/>
  <c r="AT268" i="17" s="1"/>
  <c r="AQ268" i="17"/>
  <c r="AR268" i="17" s="1"/>
  <c r="AO268" i="17"/>
  <c r="AP268" i="17" s="1"/>
  <c r="AM268" i="17"/>
  <c r="AN268" i="17" s="1"/>
  <c r="BI267" i="17"/>
  <c r="BJ267" i="17" s="1"/>
  <c r="BG267" i="17"/>
  <c r="BH267" i="17" s="1"/>
  <c r="BE267" i="17"/>
  <c r="BF267" i="17" s="1"/>
  <c r="BC267" i="17"/>
  <c r="BD267" i="17" s="1"/>
  <c r="BA267" i="17"/>
  <c r="BB267" i="17" s="1"/>
  <c r="AY267" i="17"/>
  <c r="AZ267" i="17" s="1"/>
  <c r="AW267" i="17"/>
  <c r="AX267" i="17" s="1"/>
  <c r="AU267" i="17"/>
  <c r="AV267" i="17" s="1"/>
  <c r="AS267" i="17"/>
  <c r="AT267" i="17" s="1"/>
  <c r="AQ267" i="17"/>
  <c r="AR267" i="17" s="1"/>
  <c r="AO267" i="17"/>
  <c r="AP267" i="17" s="1"/>
  <c r="AM267" i="17"/>
  <c r="AN267" i="17" s="1"/>
  <c r="BI266" i="17"/>
  <c r="BJ266" i="17" s="1"/>
  <c r="BG266" i="17"/>
  <c r="BH266" i="17" s="1"/>
  <c r="BE266" i="17"/>
  <c r="BF266" i="17" s="1"/>
  <c r="BC266" i="17"/>
  <c r="BD266" i="17" s="1"/>
  <c r="BA266" i="17"/>
  <c r="BB266" i="17" s="1"/>
  <c r="AY266" i="17"/>
  <c r="AZ266" i="17" s="1"/>
  <c r="AW266" i="17"/>
  <c r="AX266" i="17" s="1"/>
  <c r="AU266" i="17"/>
  <c r="AV266" i="17" s="1"/>
  <c r="AS266" i="17"/>
  <c r="AT266" i="17" s="1"/>
  <c r="AQ266" i="17"/>
  <c r="AR266" i="17" s="1"/>
  <c r="AO266" i="17"/>
  <c r="AP266" i="17" s="1"/>
  <c r="AM266" i="17"/>
  <c r="AN266" i="17" s="1"/>
  <c r="BI265" i="17"/>
  <c r="BJ265" i="17" s="1"/>
  <c r="BG265" i="17"/>
  <c r="BH265" i="17" s="1"/>
  <c r="BE265" i="17"/>
  <c r="BF265" i="17" s="1"/>
  <c r="BC265" i="17"/>
  <c r="BD265" i="17" s="1"/>
  <c r="BA265" i="17"/>
  <c r="BB265" i="17" s="1"/>
  <c r="AY265" i="17"/>
  <c r="AZ265" i="17" s="1"/>
  <c r="AW265" i="17"/>
  <c r="AX265" i="17" s="1"/>
  <c r="AU265" i="17"/>
  <c r="AV265" i="17" s="1"/>
  <c r="AS265" i="17"/>
  <c r="AT265" i="17" s="1"/>
  <c r="AQ265" i="17"/>
  <c r="AR265" i="17" s="1"/>
  <c r="AO265" i="17"/>
  <c r="AP265" i="17" s="1"/>
  <c r="AM265" i="17"/>
  <c r="AN265" i="17" s="1"/>
  <c r="BI264" i="17"/>
  <c r="BJ264" i="17" s="1"/>
  <c r="BG264" i="17"/>
  <c r="BH264" i="17" s="1"/>
  <c r="BE264" i="17"/>
  <c r="BF264" i="17" s="1"/>
  <c r="BC264" i="17"/>
  <c r="BD264" i="17" s="1"/>
  <c r="BA264" i="17"/>
  <c r="BB264" i="17" s="1"/>
  <c r="AY264" i="17"/>
  <c r="AZ264" i="17" s="1"/>
  <c r="AW264" i="17"/>
  <c r="AX264" i="17" s="1"/>
  <c r="AU264" i="17"/>
  <c r="AV264" i="17" s="1"/>
  <c r="AS264" i="17"/>
  <c r="AT264" i="17" s="1"/>
  <c r="AQ264" i="17"/>
  <c r="AR264" i="17" s="1"/>
  <c r="AO264" i="17"/>
  <c r="AP264" i="17" s="1"/>
  <c r="AM264" i="17"/>
  <c r="AN264" i="17" s="1"/>
  <c r="BI263" i="17"/>
  <c r="BG263" i="17"/>
  <c r="BE263" i="17"/>
  <c r="BC263" i="17"/>
  <c r="BD263" i="17" s="1"/>
  <c r="BA263" i="17"/>
  <c r="AY263" i="17"/>
  <c r="AZ263" i="17" s="1"/>
  <c r="AW263" i="17"/>
  <c r="AU263" i="17"/>
  <c r="AS263" i="17"/>
  <c r="AQ263" i="17"/>
  <c r="AO263" i="17"/>
  <c r="AM263" i="17"/>
  <c r="AN263" i="17" s="1"/>
  <c r="BU257" i="17"/>
  <c r="BV257" i="17" s="1"/>
  <c r="BS257" i="17"/>
  <c r="BT257" i="17" s="1"/>
  <c r="BQ257" i="17"/>
  <c r="BR257" i="17" s="1"/>
  <c r="BO257" i="17"/>
  <c r="BP257" i="17" s="1"/>
  <c r="BM257" i="17"/>
  <c r="BN257" i="17" s="1"/>
  <c r="BK257" i="17"/>
  <c r="BL257" i="17" s="1"/>
  <c r="BI257" i="17"/>
  <c r="BJ257" i="17" s="1"/>
  <c r="BG257" i="17"/>
  <c r="BH257" i="17" s="1"/>
  <c r="BE257" i="17"/>
  <c r="BF257" i="17" s="1"/>
  <c r="BC257" i="17"/>
  <c r="BD257" i="17" s="1"/>
  <c r="BA257" i="17"/>
  <c r="BB257" i="17" s="1"/>
  <c r="AY257" i="17"/>
  <c r="AZ257" i="17" s="1"/>
  <c r="AW257" i="17"/>
  <c r="AX257" i="17" s="1"/>
  <c r="AU257" i="17"/>
  <c r="AV257" i="17" s="1"/>
  <c r="AS257" i="17"/>
  <c r="AT257" i="17" s="1"/>
  <c r="AQ257" i="17"/>
  <c r="AR257" i="17" s="1"/>
  <c r="AO257" i="17"/>
  <c r="AP257" i="17" s="1"/>
  <c r="AM257" i="17"/>
  <c r="AN257" i="17" s="1"/>
  <c r="BU256" i="17"/>
  <c r="BV256" i="17" s="1"/>
  <c r="BS256" i="17"/>
  <c r="BT256" i="17" s="1"/>
  <c r="BQ256" i="17"/>
  <c r="BR256" i="17" s="1"/>
  <c r="BO256" i="17"/>
  <c r="BP256" i="17" s="1"/>
  <c r="BM256" i="17"/>
  <c r="BN256" i="17" s="1"/>
  <c r="BK256" i="17"/>
  <c r="BL256" i="17" s="1"/>
  <c r="BI256" i="17"/>
  <c r="BJ256" i="17" s="1"/>
  <c r="BG256" i="17"/>
  <c r="BH256" i="17" s="1"/>
  <c r="BE256" i="17"/>
  <c r="BF256" i="17" s="1"/>
  <c r="BC256" i="17"/>
  <c r="BD256" i="17" s="1"/>
  <c r="BA256" i="17"/>
  <c r="BB256" i="17" s="1"/>
  <c r="AY256" i="17"/>
  <c r="AZ256" i="17" s="1"/>
  <c r="AW256" i="17"/>
  <c r="AX256" i="17" s="1"/>
  <c r="AU256" i="17"/>
  <c r="AV256" i="17" s="1"/>
  <c r="AS256" i="17"/>
  <c r="AT256" i="17" s="1"/>
  <c r="AQ256" i="17"/>
  <c r="AR256" i="17" s="1"/>
  <c r="AO256" i="17"/>
  <c r="AP256" i="17" s="1"/>
  <c r="AM256" i="17"/>
  <c r="AN256" i="17" s="1"/>
  <c r="BU255" i="17"/>
  <c r="BV255" i="17" s="1"/>
  <c r="BS255" i="17"/>
  <c r="BT255" i="17" s="1"/>
  <c r="BQ255" i="17"/>
  <c r="BR255" i="17" s="1"/>
  <c r="BO255" i="17"/>
  <c r="BP255" i="17" s="1"/>
  <c r="BM255" i="17"/>
  <c r="BN255" i="17" s="1"/>
  <c r="BK255" i="17"/>
  <c r="BL255" i="17" s="1"/>
  <c r="BI255" i="17"/>
  <c r="BJ255" i="17" s="1"/>
  <c r="BG255" i="17"/>
  <c r="BH255" i="17" s="1"/>
  <c r="BE255" i="17"/>
  <c r="BF255" i="17" s="1"/>
  <c r="BC255" i="17"/>
  <c r="BD255" i="17" s="1"/>
  <c r="BA255" i="17"/>
  <c r="BB255" i="17" s="1"/>
  <c r="AY255" i="17"/>
  <c r="AZ255" i="17" s="1"/>
  <c r="AW255" i="17"/>
  <c r="AX255" i="17" s="1"/>
  <c r="AU255" i="17"/>
  <c r="AV255" i="17" s="1"/>
  <c r="AS255" i="17"/>
  <c r="AT255" i="17" s="1"/>
  <c r="AQ255" i="17"/>
  <c r="AR255" i="17" s="1"/>
  <c r="AO255" i="17"/>
  <c r="AP255" i="17" s="1"/>
  <c r="AM255" i="17"/>
  <c r="AN255" i="17" s="1"/>
  <c r="BU254" i="17"/>
  <c r="BV254" i="17" s="1"/>
  <c r="BS254" i="17"/>
  <c r="BT254" i="17" s="1"/>
  <c r="BQ254" i="17"/>
  <c r="BR254" i="17" s="1"/>
  <c r="BO254" i="17"/>
  <c r="BP254" i="17" s="1"/>
  <c r="BM254" i="17"/>
  <c r="BN254" i="17" s="1"/>
  <c r="BK254" i="17"/>
  <c r="BL254" i="17" s="1"/>
  <c r="BI254" i="17"/>
  <c r="BJ254" i="17" s="1"/>
  <c r="BG254" i="17"/>
  <c r="BH254" i="17" s="1"/>
  <c r="BE254" i="17"/>
  <c r="BF254" i="17" s="1"/>
  <c r="BC254" i="17"/>
  <c r="BD254" i="17" s="1"/>
  <c r="BA254" i="17"/>
  <c r="BB254" i="17" s="1"/>
  <c r="AY254" i="17"/>
  <c r="AZ254" i="17" s="1"/>
  <c r="AW254" i="17"/>
  <c r="AX254" i="17" s="1"/>
  <c r="AU254" i="17"/>
  <c r="AV254" i="17" s="1"/>
  <c r="AS254" i="17"/>
  <c r="AT254" i="17" s="1"/>
  <c r="AQ254" i="17"/>
  <c r="AR254" i="17" s="1"/>
  <c r="AO254" i="17"/>
  <c r="AP254" i="17" s="1"/>
  <c r="AM254" i="17"/>
  <c r="AN254" i="17" s="1"/>
  <c r="BU253" i="17"/>
  <c r="BV253" i="17" s="1"/>
  <c r="BS253" i="17"/>
  <c r="BT253" i="17" s="1"/>
  <c r="BQ253" i="17"/>
  <c r="BR253" i="17" s="1"/>
  <c r="BO253" i="17"/>
  <c r="BP253" i="17" s="1"/>
  <c r="BM253" i="17"/>
  <c r="BN253" i="17" s="1"/>
  <c r="BK253" i="17"/>
  <c r="BL253" i="17" s="1"/>
  <c r="BI253" i="17"/>
  <c r="BJ253" i="17" s="1"/>
  <c r="BG253" i="17"/>
  <c r="BH253" i="17" s="1"/>
  <c r="BE253" i="17"/>
  <c r="BF253" i="17" s="1"/>
  <c r="BC253" i="17"/>
  <c r="BD253" i="17" s="1"/>
  <c r="BA253" i="17"/>
  <c r="BB253" i="17" s="1"/>
  <c r="AY253" i="17"/>
  <c r="AZ253" i="17" s="1"/>
  <c r="AW253" i="17"/>
  <c r="AX253" i="17" s="1"/>
  <c r="AU253" i="17"/>
  <c r="AV253" i="17" s="1"/>
  <c r="AS253" i="17"/>
  <c r="AT253" i="17" s="1"/>
  <c r="AQ253" i="17"/>
  <c r="AR253" i="17" s="1"/>
  <c r="AO253" i="17"/>
  <c r="AP253" i="17" s="1"/>
  <c r="AM253" i="17"/>
  <c r="AN253" i="17" s="1"/>
  <c r="BU252" i="17"/>
  <c r="BV252" i="17" s="1"/>
  <c r="BS252" i="17"/>
  <c r="BT252" i="17" s="1"/>
  <c r="BQ252" i="17"/>
  <c r="BR252" i="17" s="1"/>
  <c r="BO252" i="17"/>
  <c r="BP252" i="17" s="1"/>
  <c r="BM252" i="17"/>
  <c r="BN252" i="17" s="1"/>
  <c r="BK252" i="17"/>
  <c r="BL252" i="17" s="1"/>
  <c r="BI252" i="17"/>
  <c r="BJ252" i="17" s="1"/>
  <c r="BG252" i="17"/>
  <c r="BH252" i="17" s="1"/>
  <c r="BE252" i="17"/>
  <c r="BF252" i="17" s="1"/>
  <c r="BC252" i="17"/>
  <c r="BD252" i="17" s="1"/>
  <c r="BA252" i="17"/>
  <c r="BB252" i="17" s="1"/>
  <c r="AY252" i="17"/>
  <c r="AZ252" i="17" s="1"/>
  <c r="AW252" i="17"/>
  <c r="AX252" i="17" s="1"/>
  <c r="AU252" i="17"/>
  <c r="AV252" i="17" s="1"/>
  <c r="AS252" i="17"/>
  <c r="AT252" i="17" s="1"/>
  <c r="AQ252" i="17"/>
  <c r="AR252" i="17" s="1"/>
  <c r="AO252" i="17"/>
  <c r="AP252" i="17" s="1"/>
  <c r="AM252" i="17"/>
  <c r="AN252" i="17" s="1"/>
  <c r="BU251" i="17"/>
  <c r="BV251" i="17" s="1"/>
  <c r="BS251" i="17"/>
  <c r="BT251" i="17" s="1"/>
  <c r="BQ251" i="17"/>
  <c r="BR251" i="17" s="1"/>
  <c r="BO251" i="17"/>
  <c r="BP251" i="17" s="1"/>
  <c r="BM251" i="17"/>
  <c r="BN251" i="17" s="1"/>
  <c r="BK251" i="17"/>
  <c r="BL251" i="17" s="1"/>
  <c r="BI251" i="17"/>
  <c r="BJ251" i="17" s="1"/>
  <c r="BG251" i="17"/>
  <c r="BH251" i="17" s="1"/>
  <c r="BE251" i="17"/>
  <c r="BF251" i="17" s="1"/>
  <c r="BC251" i="17"/>
  <c r="BD251" i="17" s="1"/>
  <c r="BA251" i="17"/>
  <c r="BB251" i="17" s="1"/>
  <c r="AY251" i="17"/>
  <c r="AZ251" i="17" s="1"/>
  <c r="AW251" i="17"/>
  <c r="AX251" i="17" s="1"/>
  <c r="AU251" i="17"/>
  <c r="AV251" i="17" s="1"/>
  <c r="AS251" i="17"/>
  <c r="AT251" i="17" s="1"/>
  <c r="AQ251" i="17"/>
  <c r="AR251" i="17" s="1"/>
  <c r="AO251" i="17"/>
  <c r="AP251" i="17" s="1"/>
  <c r="AM251" i="17"/>
  <c r="AN251" i="17" s="1"/>
  <c r="BU250" i="17"/>
  <c r="BV250" i="17" s="1"/>
  <c r="BS250" i="17"/>
  <c r="BT250" i="17" s="1"/>
  <c r="BQ250" i="17"/>
  <c r="BR250" i="17" s="1"/>
  <c r="BO250" i="17"/>
  <c r="BP250" i="17" s="1"/>
  <c r="BM250" i="17"/>
  <c r="BN250" i="17" s="1"/>
  <c r="BK250" i="17"/>
  <c r="BL250" i="17" s="1"/>
  <c r="BI250" i="17"/>
  <c r="BJ250" i="17" s="1"/>
  <c r="BG250" i="17"/>
  <c r="BH250" i="17" s="1"/>
  <c r="BE250" i="17"/>
  <c r="BF250" i="17" s="1"/>
  <c r="BC250" i="17"/>
  <c r="BD250" i="17" s="1"/>
  <c r="BA250" i="17"/>
  <c r="BB250" i="17" s="1"/>
  <c r="AY250" i="17"/>
  <c r="AZ250" i="17" s="1"/>
  <c r="AW250" i="17"/>
  <c r="AX250" i="17" s="1"/>
  <c r="AU250" i="17"/>
  <c r="AV250" i="17" s="1"/>
  <c r="AS250" i="17"/>
  <c r="AT250" i="17" s="1"/>
  <c r="AQ250" i="17"/>
  <c r="AR250" i="17" s="1"/>
  <c r="AO250" i="17"/>
  <c r="AP250" i="17" s="1"/>
  <c r="AM250" i="17"/>
  <c r="AN250" i="17" s="1"/>
  <c r="BU249" i="17"/>
  <c r="BV249" i="17" s="1"/>
  <c r="BS249" i="17"/>
  <c r="BT249" i="17" s="1"/>
  <c r="BQ249" i="17"/>
  <c r="BR249" i="17" s="1"/>
  <c r="BO249" i="17"/>
  <c r="BP249" i="17" s="1"/>
  <c r="BM249" i="17"/>
  <c r="BN249" i="17" s="1"/>
  <c r="BK249" i="17"/>
  <c r="BL249" i="17" s="1"/>
  <c r="BI249" i="17"/>
  <c r="BJ249" i="17" s="1"/>
  <c r="BG249" i="17"/>
  <c r="BH249" i="17" s="1"/>
  <c r="BE249" i="17"/>
  <c r="BF249" i="17" s="1"/>
  <c r="BC249" i="17"/>
  <c r="BD249" i="17" s="1"/>
  <c r="BA249" i="17"/>
  <c r="BB249" i="17" s="1"/>
  <c r="AY249" i="17"/>
  <c r="AZ249" i="17" s="1"/>
  <c r="AW249" i="17"/>
  <c r="AX249" i="17" s="1"/>
  <c r="AU249" i="17"/>
  <c r="AV249" i="17" s="1"/>
  <c r="AS249" i="17"/>
  <c r="AT249" i="17" s="1"/>
  <c r="AQ249" i="17"/>
  <c r="AR249" i="17" s="1"/>
  <c r="AO249" i="17"/>
  <c r="AP249" i="17" s="1"/>
  <c r="AM249" i="17"/>
  <c r="AN249" i="17" s="1"/>
  <c r="BU247" i="17"/>
  <c r="BV247" i="17" s="1"/>
  <c r="BS247" i="17"/>
  <c r="BT247" i="17" s="1"/>
  <c r="BQ247" i="17"/>
  <c r="BR247" i="17" s="1"/>
  <c r="BO247" i="17"/>
  <c r="BP247" i="17" s="1"/>
  <c r="BM247" i="17"/>
  <c r="BN247" i="17" s="1"/>
  <c r="BK247" i="17"/>
  <c r="BL247" i="17" s="1"/>
  <c r="BI247" i="17"/>
  <c r="BJ247" i="17" s="1"/>
  <c r="BG247" i="17"/>
  <c r="BH247" i="17" s="1"/>
  <c r="BE247" i="17"/>
  <c r="BF247" i="17" s="1"/>
  <c r="BC247" i="17"/>
  <c r="BD247" i="17" s="1"/>
  <c r="BA247" i="17"/>
  <c r="BB247" i="17" s="1"/>
  <c r="AY247" i="17"/>
  <c r="AZ247" i="17" s="1"/>
  <c r="AW247" i="17"/>
  <c r="AX247" i="17" s="1"/>
  <c r="AU247" i="17"/>
  <c r="AV247" i="17" s="1"/>
  <c r="AS247" i="17"/>
  <c r="AT247" i="17" s="1"/>
  <c r="AQ247" i="17"/>
  <c r="AR247" i="17" s="1"/>
  <c r="AO247" i="17"/>
  <c r="AP247" i="17" s="1"/>
  <c r="AM247" i="17"/>
  <c r="AN247" i="17" s="1"/>
  <c r="BU246" i="17"/>
  <c r="BV246" i="17" s="1"/>
  <c r="BS246" i="17"/>
  <c r="BT246" i="17" s="1"/>
  <c r="BQ246" i="17"/>
  <c r="BR246" i="17" s="1"/>
  <c r="BO246" i="17"/>
  <c r="BP246" i="17" s="1"/>
  <c r="BM246" i="17"/>
  <c r="BN246" i="17" s="1"/>
  <c r="BK246" i="17"/>
  <c r="BL246" i="17" s="1"/>
  <c r="BI246" i="17"/>
  <c r="BJ246" i="17" s="1"/>
  <c r="BG246" i="17"/>
  <c r="BH246" i="17" s="1"/>
  <c r="BE246" i="17"/>
  <c r="BF246" i="17" s="1"/>
  <c r="BC246" i="17"/>
  <c r="BD246" i="17" s="1"/>
  <c r="BA246" i="17"/>
  <c r="BB246" i="17" s="1"/>
  <c r="AY246" i="17"/>
  <c r="AZ246" i="17" s="1"/>
  <c r="AW246" i="17"/>
  <c r="AX246" i="17" s="1"/>
  <c r="AU246" i="17"/>
  <c r="AV246" i="17" s="1"/>
  <c r="AS246" i="17"/>
  <c r="AT246" i="17" s="1"/>
  <c r="AQ246" i="17"/>
  <c r="AR246" i="17" s="1"/>
  <c r="AO246" i="17"/>
  <c r="AP246" i="17" s="1"/>
  <c r="AM246" i="17"/>
  <c r="AN246" i="17" s="1"/>
  <c r="BU245" i="17"/>
  <c r="BV245" i="17" s="1"/>
  <c r="BS245" i="17"/>
  <c r="BT245" i="17" s="1"/>
  <c r="BQ245" i="17"/>
  <c r="BR245" i="17" s="1"/>
  <c r="BO245" i="17"/>
  <c r="BP245" i="17" s="1"/>
  <c r="BM245" i="17"/>
  <c r="BN245" i="17" s="1"/>
  <c r="BK245" i="17"/>
  <c r="BL245" i="17" s="1"/>
  <c r="BI245" i="17"/>
  <c r="BJ245" i="17" s="1"/>
  <c r="BG245" i="17"/>
  <c r="BH245" i="17" s="1"/>
  <c r="BE245" i="17"/>
  <c r="BF245" i="17" s="1"/>
  <c r="BC245" i="17"/>
  <c r="BD245" i="17" s="1"/>
  <c r="BA245" i="17"/>
  <c r="BB245" i="17" s="1"/>
  <c r="AY245" i="17"/>
  <c r="AZ245" i="17" s="1"/>
  <c r="AW245" i="17"/>
  <c r="AX245" i="17" s="1"/>
  <c r="AU245" i="17"/>
  <c r="AV245" i="17" s="1"/>
  <c r="AS245" i="17"/>
  <c r="AT245" i="17" s="1"/>
  <c r="AQ245" i="17"/>
  <c r="AR245" i="17" s="1"/>
  <c r="AO245" i="17"/>
  <c r="AP245" i="17" s="1"/>
  <c r="AM245" i="17"/>
  <c r="AN245" i="17" s="1"/>
  <c r="BU244" i="17"/>
  <c r="BV244" i="17" s="1"/>
  <c r="BS244" i="17"/>
  <c r="BT244" i="17" s="1"/>
  <c r="BQ244" i="17"/>
  <c r="BR244" i="17" s="1"/>
  <c r="BO244" i="17"/>
  <c r="BP244" i="17" s="1"/>
  <c r="BM244" i="17"/>
  <c r="BN244" i="17" s="1"/>
  <c r="BK244" i="17"/>
  <c r="BL244" i="17" s="1"/>
  <c r="BJ244" i="17"/>
  <c r="BI244" i="17"/>
  <c r="BG244" i="17"/>
  <c r="BH244" i="17" s="1"/>
  <c r="BE244" i="17"/>
  <c r="BF244" i="17" s="1"/>
  <c r="BC244" i="17"/>
  <c r="BD244" i="17" s="1"/>
  <c r="BA244" i="17"/>
  <c r="BB244" i="17" s="1"/>
  <c r="AY244" i="17"/>
  <c r="AZ244" i="17" s="1"/>
  <c r="AW244" i="17"/>
  <c r="AX244" i="17" s="1"/>
  <c r="AU244" i="17"/>
  <c r="AV244" i="17" s="1"/>
  <c r="AS244" i="17"/>
  <c r="AT244" i="17" s="1"/>
  <c r="AQ244" i="17"/>
  <c r="AR244" i="17" s="1"/>
  <c r="AO244" i="17"/>
  <c r="AP244" i="17" s="1"/>
  <c r="AM244" i="17"/>
  <c r="AN244" i="17" s="1"/>
  <c r="BU243" i="17"/>
  <c r="BV243" i="17" s="1"/>
  <c r="BS243" i="17"/>
  <c r="BT243" i="17" s="1"/>
  <c r="BQ243" i="17"/>
  <c r="BR243" i="17" s="1"/>
  <c r="BO243" i="17"/>
  <c r="BP243" i="17" s="1"/>
  <c r="BM243" i="17"/>
  <c r="BN243" i="17" s="1"/>
  <c r="BK243" i="17"/>
  <c r="BL243" i="17" s="1"/>
  <c r="BI243" i="17"/>
  <c r="BJ243" i="17" s="1"/>
  <c r="BG243" i="17"/>
  <c r="BH243" i="17" s="1"/>
  <c r="BE243" i="17"/>
  <c r="BF243" i="17" s="1"/>
  <c r="BC243" i="17"/>
  <c r="BD243" i="17" s="1"/>
  <c r="BA243" i="17"/>
  <c r="BB243" i="17" s="1"/>
  <c r="AY243" i="17"/>
  <c r="AZ243" i="17" s="1"/>
  <c r="AW243" i="17"/>
  <c r="AX243" i="17" s="1"/>
  <c r="AU243" i="17"/>
  <c r="AV243" i="17" s="1"/>
  <c r="AS243" i="17"/>
  <c r="AT243" i="17" s="1"/>
  <c r="AQ243" i="17"/>
  <c r="AR243" i="17" s="1"/>
  <c r="AO243" i="17"/>
  <c r="AP243" i="17" s="1"/>
  <c r="AM243" i="17"/>
  <c r="AN243" i="17" s="1"/>
  <c r="BU242" i="17"/>
  <c r="BV242" i="17" s="1"/>
  <c r="BS242" i="17"/>
  <c r="BT242" i="17" s="1"/>
  <c r="BQ242" i="17"/>
  <c r="BR242" i="17" s="1"/>
  <c r="BO242" i="17"/>
  <c r="BP242" i="17" s="1"/>
  <c r="BM242" i="17"/>
  <c r="BN242" i="17" s="1"/>
  <c r="BK242" i="17"/>
  <c r="BL242" i="17" s="1"/>
  <c r="BI242" i="17"/>
  <c r="BJ242" i="17" s="1"/>
  <c r="BG242" i="17"/>
  <c r="BH242" i="17" s="1"/>
  <c r="BE242" i="17"/>
  <c r="BF242" i="17" s="1"/>
  <c r="BC242" i="17"/>
  <c r="BD242" i="17" s="1"/>
  <c r="BA242" i="17"/>
  <c r="BB242" i="17" s="1"/>
  <c r="AY242" i="17"/>
  <c r="AZ242" i="17" s="1"/>
  <c r="AW242" i="17"/>
  <c r="AX242" i="17" s="1"/>
  <c r="AU242" i="17"/>
  <c r="AV242" i="17" s="1"/>
  <c r="AS242" i="17"/>
  <c r="AT242" i="17" s="1"/>
  <c r="AQ242" i="17"/>
  <c r="AR242" i="17" s="1"/>
  <c r="AO242" i="17"/>
  <c r="AP242" i="17" s="1"/>
  <c r="AM242" i="17"/>
  <c r="AN242" i="17" s="1"/>
  <c r="BU241" i="17"/>
  <c r="BV241" i="17" s="1"/>
  <c r="BS241" i="17"/>
  <c r="BT241" i="17" s="1"/>
  <c r="BQ241" i="17"/>
  <c r="BR241" i="17" s="1"/>
  <c r="BO241" i="17"/>
  <c r="BP241" i="17" s="1"/>
  <c r="BM241" i="17"/>
  <c r="BN241" i="17" s="1"/>
  <c r="BK241" i="17"/>
  <c r="BL241" i="17" s="1"/>
  <c r="BI241" i="17"/>
  <c r="BJ241" i="17" s="1"/>
  <c r="BG241" i="17"/>
  <c r="BH241" i="17" s="1"/>
  <c r="BE241" i="17"/>
  <c r="BF241" i="17" s="1"/>
  <c r="BC241" i="17"/>
  <c r="BD241" i="17" s="1"/>
  <c r="BA241" i="17"/>
  <c r="BB241" i="17" s="1"/>
  <c r="AY241" i="17"/>
  <c r="AZ241" i="17" s="1"/>
  <c r="AW241" i="17"/>
  <c r="AX241" i="17" s="1"/>
  <c r="AU241" i="17"/>
  <c r="AV241" i="17" s="1"/>
  <c r="AS241" i="17"/>
  <c r="AT241" i="17" s="1"/>
  <c r="AQ241" i="17"/>
  <c r="AR241" i="17" s="1"/>
  <c r="AO241" i="17"/>
  <c r="AP241" i="17" s="1"/>
  <c r="AM241" i="17"/>
  <c r="AN241" i="17" s="1"/>
  <c r="BU240" i="17"/>
  <c r="BV240" i="17" s="1"/>
  <c r="BS240" i="17"/>
  <c r="BT240" i="17" s="1"/>
  <c r="BQ240" i="17"/>
  <c r="BR240" i="17" s="1"/>
  <c r="BO240" i="17"/>
  <c r="BP240" i="17" s="1"/>
  <c r="BM240" i="17"/>
  <c r="BN240" i="17" s="1"/>
  <c r="BK240" i="17"/>
  <c r="BL240" i="17" s="1"/>
  <c r="BI240" i="17"/>
  <c r="BJ240" i="17" s="1"/>
  <c r="BG240" i="17"/>
  <c r="BH240" i="17" s="1"/>
  <c r="BE240" i="17"/>
  <c r="BF240" i="17" s="1"/>
  <c r="BC240" i="17"/>
  <c r="BD240" i="17" s="1"/>
  <c r="BA240" i="17"/>
  <c r="BB240" i="17" s="1"/>
  <c r="AY240" i="17"/>
  <c r="AZ240" i="17" s="1"/>
  <c r="AW240" i="17"/>
  <c r="AX240" i="17" s="1"/>
  <c r="AU240" i="17"/>
  <c r="AV240" i="17" s="1"/>
  <c r="AS240" i="17"/>
  <c r="AT240" i="17" s="1"/>
  <c r="AQ240" i="17"/>
  <c r="AR240" i="17" s="1"/>
  <c r="AO240" i="17"/>
  <c r="AP240" i="17" s="1"/>
  <c r="AM240" i="17"/>
  <c r="AN240" i="17" s="1"/>
  <c r="BU239" i="17"/>
  <c r="BV239" i="17" s="1"/>
  <c r="BS239" i="17"/>
  <c r="BT239" i="17" s="1"/>
  <c r="BQ239" i="17"/>
  <c r="BR239" i="17" s="1"/>
  <c r="BO239" i="17"/>
  <c r="BP239" i="17" s="1"/>
  <c r="BM239" i="17"/>
  <c r="BN239" i="17" s="1"/>
  <c r="BK239" i="17"/>
  <c r="BL239" i="17" s="1"/>
  <c r="BI239" i="17"/>
  <c r="BJ239" i="17" s="1"/>
  <c r="BG239" i="17"/>
  <c r="BH239" i="17" s="1"/>
  <c r="BE239" i="17"/>
  <c r="BF239" i="17" s="1"/>
  <c r="BC239" i="17"/>
  <c r="BD239" i="17" s="1"/>
  <c r="BA239" i="17"/>
  <c r="BB239" i="17" s="1"/>
  <c r="AY239" i="17"/>
  <c r="AZ239" i="17" s="1"/>
  <c r="AW239" i="17"/>
  <c r="AX239" i="17" s="1"/>
  <c r="AU239" i="17"/>
  <c r="AV239" i="17" s="1"/>
  <c r="AS239" i="17"/>
  <c r="AT239" i="17" s="1"/>
  <c r="AQ239" i="17"/>
  <c r="AR239" i="17" s="1"/>
  <c r="AO239" i="17"/>
  <c r="AP239" i="17" s="1"/>
  <c r="AM239" i="17"/>
  <c r="AN239" i="17" s="1"/>
  <c r="BU238" i="17"/>
  <c r="BV238" i="17" s="1"/>
  <c r="BS238" i="17"/>
  <c r="BT238" i="17" s="1"/>
  <c r="BQ238" i="17"/>
  <c r="BR238" i="17" s="1"/>
  <c r="BO238" i="17"/>
  <c r="BP238" i="17" s="1"/>
  <c r="BM238" i="17"/>
  <c r="BN238" i="17" s="1"/>
  <c r="BK238" i="17"/>
  <c r="BL238" i="17" s="1"/>
  <c r="BI238" i="17"/>
  <c r="BJ238" i="17" s="1"/>
  <c r="BG238" i="17"/>
  <c r="BH238" i="17" s="1"/>
  <c r="BE238" i="17"/>
  <c r="BF238" i="17" s="1"/>
  <c r="BC238" i="17"/>
  <c r="BD238" i="17" s="1"/>
  <c r="BA238" i="17"/>
  <c r="BB238" i="17" s="1"/>
  <c r="AY238" i="17"/>
  <c r="AZ238" i="17" s="1"/>
  <c r="AW238" i="17"/>
  <c r="AX238" i="17" s="1"/>
  <c r="AU238" i="17"/>
  <c r="AV238" i="17" s="1"/>
  <c r="AS238" i="17"/>
  <c r="AT238" i="17" s="1"/>
  <c r="AQ238" i="17"/>
  <c r="AR238" i="17" s="1"/>
  <c r="AO238" i="17"/>
  <c r="AP238" i="17" s="1"/>
  <c r="AM238" i="17"/>
  <c r="AN238" i="17" s="1"/>
  <c r="BU237" i="17"/>
  <c r="BV237" i="17" s="1"/>
  <c r="BS237" i="17"/>
  <c r="BT237" i="17" s="1"/>
  <c r="BQ237" i="17"/>
  <c r="BR237" i="17" s="1"/>
  <c r="BO237" i="17"/>
  <c r="BP237" i="17" s="1"/>
  <c r="BM237" i="17"/>
  <c r="BN237" i="17" s="1"/>
  <c r="BK237" i="17"/>
  <c r="BL237" i="17" s="1"/>
  <c r="BI237" i="17"/>
  <c r="BJ237" i="17" s="1"/>
  <c r="BG237" i="17"/>
  <c r="BH237" i="17" s="1"/>
  <c r="BE237" i="17"/>
  <c r="BF237" i="17" s="1"/>
  <c r="BC237" i="17"/>
  <c r="BD237" i="17" s="1"/>
  <c r="BA237" i="17"/>
  <c r="BB237" i="17" s="1"/>
  <c r="AY237" i="17"/>
  <c r="AZ237" i="17" s="1"/>
  <c r="AW237" i="17"/>
  <c r="AX237" i="17" s="1"/>
  <c r="AU237" i="17"/>
  <c r="AV237" i="17" s="1"/>
  <c r="AS237" i="17"/>
  <c r="AT237" i="17" s="1"/>
  <c r="AQ237" i="17"/>
  <c r="AR237" i="17" s="1"/>
  <c r="AO237" i="17"/>
  <c r="AP237" i="17" s="1"/>
  <c r="AM237" i="17"/>
  <c r="AN237" i="17" s="1"/>
  <c r="BU236" i="17"/>
  <c r="BV236" i="17" s="1"/>
  <c r="BS236" i="17"/>
  <c r="BT236" i="17" s="1"/>
  <c r="BQ236" i="17"/>
  <c r="BR236" i="17" s="1"/>
  <c r="BO236" i="17"/>
  <c r="BP236" i="17" s="1"/>
  <c r="BM236" i="17"/>
  <c r="BN236" i="17" s="1"/>
  <c r="BK236" i="17"/>
  <c r="BL236" i="17" s="1"/>
  <c r="BI236" i="17"/>
  <c r="BJ236" i="17" s="1"/>
  <c r="BG236" i="17"/>
  <c r="BH236" i="17" s="1"/>
  <c r="BE236" i="17"/>
  <c r="BF236" i="17" s="1"/>
  <c r="BC236" i="17"/>
  <c r="BD236" i="17" s="1"/>
  <c r="BA236" i="17"/>
  <c r="BB236" i="17" s="1"/>
  <c r="AY236" i="17"/>
  <c r="AZ236" i="17" s="1"/>
  <c r="AW236" i="17"/>
  <c r="AX236" i="17" s="1"/>
  <c r="AU236" i="17"/>
  <c r="AV236" i="17" s="1"/>
  <c r="AS236" i="17"/>
  <c r="AT236" i="17" s="1"/>
  <c r="AQ236" i="17"/>
  <c r="AR236" i="17" s="1"/>
  <c r="AO236" i="17"/>
  <c r="AP236" i="17" s="1"/>
  <c r="AM236" i="17"/>
  <c r="AN236" i="17" s="1"/>
  <c r="BU235" i="17"/>
  <c r="BV235" i="17" s="1"/>
  <c r="BS235" i="17"/>
  <c r="BT235" i="17" s="1"/>
  <c r="BQ235" i="17"/>
  <c r="BR235" i="17" s="1"/>
  <c r="BO235" i="17"/>
  <c r="BP235" i="17" s="1"/>
  <c r="BM235" i="17"/>
  <c r="BN235" i="17" s="1"/>
  <c r="BK235" i="17"/>
  <c r="BL235" i="17" s="1"/>
  <c r="BI235" i="17"/>
  <c r="BJ235" i="17" s="1"/>
  <c r="BG235" i="17"/>
  <c r="BH235" i="17" s="1"/>
  <c r="BE235" i="17"/>
  <c r="BF235" i="17" s="1"/>
  <c r="BC235" i="17"/>
  <c r="BD235" i="17" s="1"/>
  <c r="BA235" i="17"/>
  <c r="BB235" i="17" s="1"/>
  <c r="AY235" i="17"/>
  <c r="AZ235" i="17" s="1"/>
  <c r="AW235" i="17"/>
  <c r="AX235" i="17" s="1"/>
  <c r="AU235" i="17"/>
  <c r="AV235" i="17" s="1"/>
  <c r="AS235" i="17"/>
  <c r="AT235" i="17" s="1"/>
  <c r="AQ235" i="17"/>
  <c r="AR235" i="17" s="1"/>
  <c r="AO235" i="17"/>
  <c r="AP235" i="17" s="1"/>
  <c r="AM235" i="17"/>
  <c r="AN235" i="17" s="1"/>
  <c r="BU234" i="17"/>
  <c r="BV234" i="17" s="1"/>
  <c r="BS234" i="17"/>
  <c r="BT234" i="17" s="1"/>
  <c r="BQ234" i="17"/>
  <c r="BR234" i="17" s="1"/>
  <c r="BO234" i="17"/>
  <c r="BP234" i="17" s="1"/>
  <c r="BM234" i="17"/>
  <c r="BN234" i="17" s="1"/>
  <c r="BK234" i="17"/>
  <c r="BL234" i="17" s="1"/>
  <c r="BI234" i="17"/>
  <c r="BJ234" i="17" s="1"/>
  <c r="BG234" i="17"/>
  <c r="BH234" i="17" s="1"/>
  <c r="BE234" i="17"/>
  <c r="BF234" i="17" s="1"/>
  <c r="BC234" i="17"/>
  <c r="BD234" i="17" s="1"/>
  <c r="BA234" i="17"/>
  <c r="BB234" i="17" s="1"/>
  <c r="AY234" i="17"/>
  <c r="AZ234" i="17" s="1"/>
  <c r="AW234" i="17"/>
  <c r="AX234" i="17" s="1"/>
  <c r="AU234" i="17"/>
  <c r="AV234" i="17" s="1"/>
  <c r="AS234" i="17"/>
  <c r="AT234" i="17" s="1"/>
  <c r="AQ234" i="17"/>
  <c r="AR234" i="17" s="1"/>
  <c r="AO234" i="17"/>
  <c r="AP234" i="17" s="1"/>
  <c r="AM234" i="17"/>
  <c r="AN234" i="17" s="1"/>
  <c r="BU233" i="17"/>
  <c r="BV233" i="17" s="1"/>
  <c r="BS233" i="17"/>
  <c r="BT233" i="17" s="1"/>
  <c r="BQ233" i="17"/>
  <c r="BR233" i="17" s="1"/>
  <c r="BO233" i="17"/>
  <c r="BP233" i="17" s="1"/>
  <c r="BM233" i="17"/>
  <c r="BN233" i="17" s="1"/>
  <c r="BK233" i="17"/>
  <c r="BL233" i="17" s="1"/>
  <c r="BI233" i="17"/>
  <c r="BJ233" i="17" s="1"/>
  <c r="BG233" i="17"/>
  <c r="BH233" i="17" s="1"/>
  <c r="BE233" i="17"/>
  <c r="BF233" i="17" s="1"/>
  <c r="BC233" i="17"/>
  <c r="BD233" i="17" s="1"/>
  <c r="BA233" i="17"/>
  <c r="BB233" i="17" s="1"/>
  <c r="AY233" i="17"/>
  <c r="AZ233" i="17" s="1"/>
  <c r="AW233" i="17"/>
  <c r="AX233" i="17" s="1"/>
  <c r="AU233" i="17"/>
  <c r="AV233" i="17" s="1"/>
  <c r="AS233" i="17"/>
  <c r="AT233" i="17" s="1"/>
  <c r="AQ233" i="17"/>
  <c r="AR233" i="17" s="1"/>
  <c r="AO233" i="17"/>
  <c r="AP233" i="17" s="1"/>
  <c r="AM233" i="17"/>
  <c r="AN233" i="17" s="1"/>
  <c r="BU232" i="17"/>
  <c r="BV232" i="17" s="1"/>
  <c r="BS232" i="17"/>
  <c r="BT232" i="17" s="1"/>
  <c r="BQ232" i="17"/>
  <c r="BR232" i="17" s="1"/>
  <c r="BO232" i="17"/>
  <c r="BP232" i="17" s="1"/>
  <c r="BM232" i="17"/>
  <c r="BN232" i="17" s="1"/>
  <c r="BK232" i="17"/>
  <c r="BL232" i="17" s="1"/>
  <c r="BI232" i="17"/>
  <c r="BJ232" i="17" s="1"/>
  <c r="BG232" i="17"/>
  <c r="BH232" i="17" s="1"/>
  <c r="BE232" i="17"/>
  <c r="BF232" i="17" s="1"/>
  <c r="BC232" i="17"/>
  <c r="BD232" i="17" s="1"/>
  <c r="BA232" i="17"/>
  <c r="BB232" i="17" s="1"/>
  <c r="AY232" i="17"/>
  <c r="AZ232" i="17" s="1"/>
  <c r="AW232" i="17"/>
  <c r="AX232" i="17" s="1"/>
  <c r="AU232" i="17"/>
  <c r="AV232" i="17" s="1"/>
  <c r="AS232" i="17"/>
  <c r="AT232" i="17" s="1"/>
  <c r="AQ232" i="17"/>
  <c r="AR232" i="17" s="1"/>
  <c r="AO232" i="17"/>
  <c r="AP232" i="17" s="1"/>
  <c r="AM232" i="17"/>
  <c r="AN232" i="17" s="1"/>
  <c r="BU231" i="17"/>
  <c r="BV231" i="17" s="1"/>
  <c r="BS231" i="17"/>
  <c r="BT231" i="17" s="1"/>
  <c r="BQ231" i="17"/>
  <c r="BR231" i="17" s="1"/>
  <c r="BO231" i="17"/>
  <c r="BP231" i="17" s="1"/>
  <c r="BM231" i="17"/>
  <c r="BN231" i="17" s="1"/>
  <c r="BK231" i="17"/>
  <c r="BL231" i="17" s="1"/>
  <c r="BI231" i="17"/>
  <c r="BJ231" i="17" s="1"/>
  <c r="BG231" i="17"/>
  <c r="BH231" i="17" s="1"/>
  <c r="BE231" i="17"/>
  <c r="BF231" i="17" s="1"/>
  <c r="BC231" i="17"/>
  <c r="BD231" i="17" s="1"/>
  <c r="BA231" i="17"/>
  <c r="BB231" i="17" s="1"/>
  <c r="AY231" i="17"/>
  <c r="AZ231" i="17" s="1"/>
  <c r="AW231" i="17"/>
  <c r="AX231" i="17" s="1"/>
  <c r="AU231" i="17"/>
  <c r="AV231" i="17" s="1"/>
  <c r="AS231" i="17"/>
  <c r="AT231" i="17" s="1"/>
  <c r="AQ231" i="17"/>
  <c r="AR231" i="17" s="1"/>
  <c r="AO231" i="17"/>
  <c r="AP231" i="17" s="1"/>
  <c r="AM231" i="17"/>
  <c r="AN231" i="17" s="1"/>
  <c r="BU230" i="17"/>
  <c r="BV230" i="17" s="1"/>
  <c r="BS230" i="17"/>
  <c r="BT230" i="17" s="1"/>
  <c r="BQ230" i="17"/>
  <c r="BR230" i="17" s="1"/>
  <c r="BO230" i="17"/>
  <c r="BP230" i="17" s="1"/>
  <c r="BM230" i="17"/>
  <c r="BN230" i="17" s="1"/>
  <c r="BK230" i="17"/>
  <c r="BL230" i="17" s="1"/>
  <c r="BI230" i="17"/>
  <c r="BJ230" i="17" s="1"/>
  <c r="BG230" i="17"/>
  <c r="BH230" i="17" s="1"/>
  <c r="BE230" i="17"/>
  <c r="BF230" i="17" s="1"/>
  <c r="BC230" i="17"/>
  <c r="BD230" i="17" s="1"/>
  <c r="BA230" i="17"/>
  <c r="BB230" i="17" s="1"/>
  <c r="AY230" i="17"/>
  <c r="AZ230" i="17" s="1"/>
  <c r="AW230" i="17"/>
  <c r="AX230" i="17" s="1"/>
  <c r="AU230" i="17"/>
  <c r="AV230" i="17" s="1"/>
  <c r="AS230" i="17"/>
  <c r="AT230" i="17" s="1"/>
  <c r="AQ230" i="17"/>
  <c r="AR230" i="17" s="1"/>
  <c r="AO230" i="17"/>
  <c r="AP230" i="17" s="1"/>
  <c r="AM230" i="17"/>
  <c r="AN230" i="17" s="1"/>
  <c r="BU229" i="17"/>
  <c r="BV229" i="17" s="1"/>
  <c r="BS229" i="17"/>
  <c r="BT229" i="17" s="1"/>
  <c r="BQ229" i="17"/>
  <c r="BR229" i="17" s="1"/>
  <c r="BO229" i="17"/>
  <c r="BP229" i="17" s="1"/>
  <c r="BM229" i="17"/>
  <c r="BN229" i="17" s="1"/>
  <c r="BK229" i="17"/>
  <c r="BL229" i="17" s="1"/>
  <c r="BI229" i="17"/>
  <c r="BJ229" i="17" s="1"/>
  <c r="BG229" i="17"/>
  <c r="BH229" i="17" s="1"/>
  <c r="BE229" i="17"/>
  <c r="BF229" i="17" s="1"/>
  <c r="BC229" i="17"/>
  <c r="BD229" i="17" s="1"/>
  <c r="BA229" i="17"/>
  <c r="BB229" i="17" s="1"/>
  <c r="AY229" i="17"/>
  <c r="AZ229" i="17" s="1"/>
  <c r="AW229" i="17"/>
  <c r="AX229" i="17" s="1"/>
  <c r="AU229" i="17"/>
  <c r="AV229" i="17" s="1"/>
  <c r="AS229" i="17"/>
  <c r="AT229" i="17" s="1"/>
  <c r="AQ229" i="17"/>
  <c r="AR229" i="17" s="1"/>
  <c r="AO229" i="17"/>
  <c r="AP229" i="17" s="1"/>
  <c r="AM229" i="17"/>
  <c r="AN229" i="17" s="1"/>
  <c r="BU228" i="17"/>
  <c r="BV228" i="17" s="1"/>
  <c r="BS228" i="17"/>
  <c r="BT228" i="17" s="1"/>
  <c r="BQ228" i="17"/>
  <c r="BR228" i="17" s="1"/>
  <c r="BO228" i="17"/>
  <c r="BP228" i="17" s="1"/>
  <c r="BM228" i="17"/>
  <c r="BN228" i="17" s="1"/>
  <c r="BK228" i="17"/>
  <c r="BL228" i="17" s="1"/>
  <c r="BI228" i="17"/>
  <c r="BJ228" i="17" s="1"/>
  <c r="BG228" i="17"/>
  <c r="BH228" i="17" s="1"/>
  <c r="BE228" i="17"/>
  <c r="BF228" i="17" s="1"/>
  <c r="BC228" i="17"/>
  <c r="BD228" i="17" s="1"/>
  <c r="BA228" i="17"/>
  <c r="BB228" i="17" s="1"/>
  <c r="AY228" i="17"/>
  <c r="AZ228" i="17" s="1"/>
  <c r="AW228" i="17"/>
  <c r="AX228" i="17" s="1"/>
  <c r="AU228" i="17"/>
  <c r="AV228" i="17" s="1"/>
  <c r="AS228" i="17"/>
  <c r="AT228" i="17" s="1"/>
  <c r="AQ228" i="17"/>
  <c r="AR228" i="17" s="1"/>
  <c r="AO228" i="17"/>
  <c r="AP228" i="17" s="1"/>
  <c r="AM228" i="17"/>
  <c r="AN228" i="17" s="1"/>
  <c r="BU227" i="17"/>
  <c r="BV227" i="17" s="1"/>
  <c r="BS227" i="17"/>
  <c r="BT227" i="17" s="1"/>
  <c r="BQ227" i="17"/>
  <c r="BR227" i="17" s="1"/>
  <c r="BO227" i="17"/>
  <c r="BP227" i="17" s="1"/>
  <c r="BM227" i="17"/>
  <c r="BN227" i="17" s="1"/>
  <c r="BK227" i="17"/>
  <c r="BL227" i="17" s="1"/>
  <c r="BI227" i="17"/>
  <c r="BJ227" i="17" s="1"/>
  <c r="BG227" i="17"/>
  <c r="BH227" i="17" s="1"/>
  <c r="BE227" i="17"/>
  <c r="BF227" i="17" s="1"/>
  <c r="BC227" i="17"/>
  <c r="BD227" i="17" s="1"/>
  <c r="BA227" i="17"/>
  <c r="BB227" i="17" s="1"/>
  <c r="AY227" i="17"/>
  <c r="AZ227" i="17" s="1"/>
  <c r="AW227" i="17"/>
  <c r="AX227" i="17" s="1"/>
  <c r="AU227" i="17"/>
  <c r="AV227" i="17" s="1"/>
  <c r="AS227" i="17"/>
  <c r="AT227" i="17" s="1"/>
  <c r="AQ227" i="17"/>
  <c r="AR227" i="17" s="1"/>
  <c r="AO227" i="17"/>
  <c r="AP227" i="17" s="1"/>
  <c r="AM227" i="17"/>
  <c r="AN227" i="17" s="1"/>
  <c r="BU226" i="17"/>
  <c r="BV226" i="17" s="1"/>
  <c r="BS226" i="17"/>
  <c r="BT226" i="17" s="1"/>
  <c r="BQ226" i="17"/>
  <c r="BR226" i="17" s="1"/>
  <c r="BO226" i="17"/>
  <c r="BP226" i="17" s="1"/>
  <c r="BM226" i="17"/>
  <c r="BN226" i="17" s="1"/>
  <c r="BK226" i="17"/>
  <c r="BL226" i="17" s="1"/>
  <c r="BI226" i="17"/>
  <c r="BJ226" i="17" s="1"/>
  <c r="BG226" i="17"/>
  <c r="BH226" i="17" s="1"/>
  <c r="BE226" i="17"/>
  <c r="BF226" i="17" s="1"/>
  <c r="BC226" i="17"/>
  <c r="BD226" i="17" s="1"/>
  <c r="BA226" i="17"/>
  <c r="BB226" i="17" s="1"/>
  <c r="AY226" i="17"/>
  <c r="AZ226" i="17" s="1"/>
  <c r="AW226" i="17"/>
  <c r="AX226" i="17" s="1"/>
  <c r="AU226" i="17"/>
  <c r="AV226" i="17" s="1"/>
  <c r="AS226" i="17"/>
  <c r="AT226" i="17" s="1"/>
  <c r="AQ226" i="17"/>
  <c r="AR226" i="17" s="1"/>
  <c r="AO226" i="17"/>
  <c r="AP226" i="17" s="1"/>
  <c r="AM226" i="17"/>
  <c r="AN226" i="17" s="1"/>
  <c r="BU225" i="17"/>
  <c r="BV225" i="17" s="1"/>
  <c r="BS225" i="17"/>
  <c r="BT225" i="17" s="1"/>
  <c r="BQ225" i="17"/>
  <c r="BR225" i="17" s="1"/>
  <c r="BO225" i="17"/>
  <c r="BP225" i="17" s="1"/>
  <c r="BM225" i="17"/>
  <c r="BN225" i="17" s="1"/>
  <c r="BK225" i="17"/>
  <c r="BL225" i="17" s="1"/>
  <c r="BI225" i="17"/>
  <c r="BJ225" i="17" s="1"/>
  <c r="BG225" i="17"/>
  <c r="BH225" i="17" s="1"/>
  <c r="BE225" i="17"/>
  <c r="BF225" i="17" s="1"/>
  <c r="BC225" i="17"/>
  <c r="BD225" i="17" s="1"/>
  <c r="BA225" i="17"/>
  <c r="BB225" i="17" s="1"/>
  <c r="AY225" i="17"/>
  <c r="AZ225" i="17" s="1"/>
  <c r="AW225" i="17"/>
  <c r="AX225" i="17" s="1"/>
  <c r="AU225" i="17"/>
  <c r="AV225" i="17" s="1"/>
  <c r="AS225" i="17"/>
  <c r="AT225" i="17" s="1"/>
  <c r="AQ225" i="17"/>
  <c r="AR225" i="17" s="1"/>
  <c r="AO225" i="17"/>
  <c r="AP225" i="17" s="1"/>
  <c r="AM225" i="17"/>
  <c r="AN225" i="17" s="1"/>
  <c r="BU224" i="17"/>
  <c r="BV224" i="17" s="1"/>
  <c r="BS224" i="17"/>
  <c r="BT224" i="17" s="1"/>
  <c r="BQ224" i="17"/>
  <c r="BR224" i="17" s="1"/>
  <c r="BO224" i="17"/>
  <c r="BP224" i="17" s="1"/>
  <c r="BM224" i="17"/>
  <c r="BN224" i="17" s="1"/>
  <c r="BK224" i="17"/>
  <c r="BL224" i="17" s="1"/>
  <c r="BI224" i="17"/>
  <c r="BJ224" i="17" s="1"/>
  <c r="BG224" i="17"/>
  <c r="BH224" i="17" s="1"/>
  <c r="BE224" i="17"/>
  <c r="BF224" i="17" s="1"/>
  <c r="BC224" i="17"/>
  <c r="BD224" i="17" s="1"/>
  <c r="BA224" i="17"/>
  <c r="BB224" i="17" s="1"/>
  <c r="AY224" i="17"/>
  <c r="AZ224" i="17" s="1"/>
  <c r="AW224" i="17"/>
  <c r="AX224" i="17" s="1"/>
  <c r="AU224" i="17"/>
  <c r="AV224" i="17" s="1"/>
  <c r="AS224" i="17"/>
  <c r="AT224" i="17" s="1"/>
  <c r="AQ224" i="17"/>
  <c r="AR224" i="17" s="1"/>
  <c r="AO224" i="17"/>
  <c r="AP224" i="17" s="1"/>
  <c r="AM224" i="17"/>
  <c r="AN224" i="17" s="1"/>
  <c r="BU223" i="17"/>
  <c r="BV223" i="17" s="1"/>
  <c r="BS223" i="17"/>
  <c r="BT223" i="17" s="1"/>
  <c r="BQ223" i="17"/>
  <c r="BR223" i="17" s="1"/>
  <c r="BO223" i="17"/>
  <c r="BP223" i="17" s="1"/>
  <c r="BM223" i="17"/>
  <c r="BN223" i="17" s="1"/>
  <c r="BK223" i="17"/>
  <c r="BL223" i="17" s="1"/>
  <c r="BI223" i="17"/>
  <c r="BJ223" i="17" s="1"/>
  <c r="BG223" i="17"/>
  <c r="BH223" i="17" s="1"/>
  <c r="BE223" i="17"/>
  <c r="BF223" i="17" s="1"/>
  <c r="BC223" i="17"/>
  <c r="BD223" i="17" s="1"/>
  <c r="BA223" i="17"/>
  <c r="BB223" i="17" s="1"/>
  <c r="AY223" i="17"/>
  <c r="AZ223" i="17" s="1"/>
  <c r="AW223" i="17"/>
  <c r="AX223" i="17" s="1"/>
  <c r="AU223" i="17"/>
  <c r="AV223" i="17" s="1"/>
  <c r="AS223" i="17"/>
  <c r="AT223" i="17" s="1"/>
  <c r="AQ223" i="17"/>
  <c r="AR223" i="17" s="1"/>
  <c r="AO223" i="17"/>
  <c r="AP223" i="17" s="1"/>
  <c r="AM223" i="17"/>
  <c r="AN223" i="17" s="1"/>
  <c r="BU222" i="17"/>
  <c r="BV222" i="17" s="1"/>
  <c r="BS222" i="17"/>
  <c r="BT222" i="17" s="1"/>
  <c r="BQ222" i="17"/>
  <c r="BR222" i="17" s="1"/>
  <c r="BO222" i="17"/>
  <c r="BP222" i="17" s="1"/>
  <c r="BM222" i="17"/>
  <c r="BN222" i="17" s="1"/>
  <c r="BK222" i="17"/>
  <c r="BL222" i="17" s="1"/>
  <c r="BI222" i="17"/>
  <c r="BJ222" i="17" s="1"/>
  <c r="BG222" i="17"/>
  <c r="BH222" i="17" s="1"/>
  <c r="BE222" i="17"/>
  <c r="BF222" i="17" s="1"/>
  <c r="BC222" i="17"/>
  <c r="BD222" i="17" s="1"/>
  <c r="BA222" i="17"/>
  <c r="BB222" i="17" s="1"/>
  <c r="AY222" i="17"/>
  <c r="AZ222" i="17" s="1"/>
  <c r="AW222" i="17"/>
  <c r="AX222" i="17" s="1"/>
  <c r="AU222" i="17"/>
  <c r="AV222" i="17" s="1"/>
  <c r="AS222" i="17"/>
  <c r="AT222" i="17" s="1"/>
  <c r="AQ222" i="17"/>
  <c r="AR222" i="17" s="1"/>
  <c r="AO222" i="17"/>
  <c r="AP222" i="17" s="1"/>
  <c r="AM222" i="17"/>
  <c r="AN222" i="17" s="1"/>
  <c r="BU221" i="17"/>
  <c r="BV221" i="17" s="1"/>
  <c r="BS221" i="17"/>
  <c r="BT221" i="17" s="1"/>
  <c r="BQ221" i="17"/>
  <c r="BR221" i="17" s="1"/>
  <c r="BO221" i="17"/>
  <c r="BP221" i="17" s="1"/>
  <c r="BM221" i="17"/>
  <c r="BN221" i="17" s="1"/>
  <c r="BK221" i="17"/>
  <c r="BL221" i="17" s="1"/>
  <c r="BI221" i="17"/>
  <c r="BJ221" i="17" s="1"/>
  <c r="BG221" i="17"/>
  <c r="BH221" i="17" s="1"/>
  <c r="BE221" i="17"/>
  <c r="BF221" i="17" s="1"/>
  <c r="BC221" i="17"/>
  <c r="BD221" i="17" s="1"/>
  <c r="BA221" i="17"/>
  <c r="BB221" i="17" s="1"/>
  <c r="AY221" i="17"/>
  <c r="AZ221" i="17" s="1"/>
  <c r="AW221" i="17"/>
  <c r="AX221" i="17" s="1"/>
  <c r="AU221" i="17"/>
  <c r="AV221" i="17" s="1"/>
  <c r="AS221" i="17"/>
  <c r="AT221" i="17" s="1"/>
  <c r="AQ221" i="17"/>
  <c r="AR221" i="17" s="1"/>
  <c r="AO221" i="17"/>
  <c r="AP221" i="17" s="1"/>
  <c r="AM221" i="17"/>
  <c r="AN221" i="17" s="1"/>
  <c r="BU220" i="17"/>
  <c r="BV220" i="17" s="1"/>
  <c r="BS220" i="17"/>
  <c r="BT220" i="17" s="1"/>
  <c r="BQ220" i="17"/>
  <c r="BR220" i="17" s="1"/>
  <c r="BO220" i="17"/>
  <c r="BP220" i="17" s="1"/>
  <c r="BM220" i="17"/>
  <c r="BN220" i="17" s="1"/>
  <c r="BK220" i="17"/>
  <c r="BL220" i="17" s="1"/>
  <c r="BI220" i="17"/>
  <c r="BJ220" i="17" s="1"/>
  <c r="BG220" i="17"/>
  <c r="BH220" i="17" s="1"/>
  <c r="BE220" i="17"/>
  <c r="BF220" i="17" s="1"/>
  <c r="BC220" i="17"/>
  <c r="BD220" i="17" s="1"/>
  <c r="BA220" i="17"/>
  <c r="BB220" i="17" s="1"/>
  <c r="AY220" i="17"/>
  <c r="AZ220" i="17" s="1"/>
  <c r="AW220" i="17"/>
  <c r="AX220" i="17" s="1"/>
  <c r="AU220" i="17"/>
  <c r="AV220" i="17" s="1"/>
  <c r="AS220" i="17"/>
  <c r="AT220" i="17" s="1"/>
  <c r="AQ220" i="17"/>
  <c r="AR220" i="17" s="1"/>
  <c r="AO220" i="17"/>
  <c r="AP220" i="17" s="1"/>
  <c r="AM220" i="17"/>
  <c r="AN220" i="17" s="1"/>
  <c r="BU219" i="17"/>
  <c r="BV219" i="17" s="1"/>
  <c r="BS219" i="17"/>
  <c r="BT219" i="17" s="1"/>
  <c r="BQ219" i="17"/>
  <c r="BR219" i="17" s="1"/>
  <c r="BO219" i="17"/>
  <c r="BP219" i="17" s="1"/>
  <c r="BM219" i="17"/>
  <c r="BN219" i="17" s="1"/>
  <c r="BK219" i="17"/>
  <c r="BL219" i="17" s="1"/>
  <c r="BI219" i="17"/>
  <c r="BJ219" i="17" s="1"/>
  <c r="BG219" i="17"/>
  <c r="BH219" i="17" s="1"/>
  <c r="BE219" i="17"/>
  <c r="BF219" i="17" s="1"/>
  <c r="BC219" i="17"/>
  <c r="BD219" i="17" s="1"/>
  <c r="BA219" i="17"/>
  <c r="BB219" i="17" s="1"/>
  <c r="AY219" i="17"/>
  <c r="AZ219" i="17" s="1"/>
  <c r="AW219" i="17"/>
  <c r="AX219" i="17" s="1"/>
  <c r="AU219" i="17"/>
  <c r="AV219" i="17" s="1"/>
  <c r="AS219" i="17"/>
  <c r="AT219" i="17" s="1"/>
  <c r="AQ219" i="17"/>
  <c r="AR219" i="17" s="1"/>
  <c r="AO219" i="17"/>
  <c r="AP219" i="17" s="1"/>
  <c r="AM219" i="17"/>
  <c r="AN219" i="17" s="1"/>
  <c r="BU218" i="17"/>
  <c r="BV218" i="17" s="1"/>
  <c r="BS218" i="17"/>
  <c r="BT218" i="17" s="1"/>
  <c r="BQ218" i="17"/>
  <c r="BR218" i="17" s="1"/>
  <c r="BO218" i="17"/>
  <c r="BP218" i="17" s="1"/>
  <c r="BM218" i="17"/>
  <c r="BN218" i="17" s="1"/>
  <c r="BK218" i="17"/>
  <c r="BL218" i="17" s="1"/>
  <c r="BI218" i="17"/>
  <c r="BJ218" i="17" s="1"/>
  <c r="BG218" i="17"/>
  <c r="BH218" i="17" s="1"/>
  <c r="BE218" i="17"/>
  <c r="BF218" i="17" s="1"/>
  <c r="BC218" i="17"/>
  <c r="BD218" i="17" s="1"/>
  <c r="BA218" i="17"/>
  <c r="BB218" i="17" s="1"/>
  <c r="AY218" i="17"/>
  <c r="AZ218" i="17" s="1"/>
  <c r="AW218" i="17"/>
  <c r="AX218" i="17" s="1"/>
  <c r="AU218" i="17"/>
  <c r="AV218" i="17" s="1"/>
  <c r="AS218" i="17"/>
  <c r="AT218" i="17" s="1"/>
  <c r="AQ218" i="17"/>
  <c r="AR218" i="17" s="1"/>
  <c r="AO218" i="17"/>
  <c r="AP218" i="17" s="1"/>
  <c r="AM218" i="17"/>
  <c r="AN218" i="17" s="1"/>
  <c r="BU217" i="17"/>
  <c r="BV217" i="17" s="1"/>
  <c r="BS217" i="17"/>
  <c r="BT217" i="17" s="1"/>
  <c r="BQ217" i="17"/>
  <c r="BR217" i="17" s="1"/>
  <c r="BO217" i="17"/>
  <c r="BP217" i="17" s="1"/>
  <c r="BM217" i="17"/>
  <c r="BN217" i="17" s="1"/>
  <c r="BK217" i="17"/>
  <c r="BL217" i="17" s="1"/>
  <c r="BI217" i="17"/>
  <c r="BJ217" i="17" s="1"/>
  <c r="BG217" i="17"/>
  <c r="BH217" i="17" s="1"/>
  <c r="BE217" i="17"/>
  <c r="BF217" i="17" s="1"/>
  <c r="BC217" i="17"/>
  <c r="BD217" i="17" s="1"/>
  <c r="BA217" i="17"/>
  <c r="BB217" i="17" s="1"/>
  <c r="AY217" i="17"/>
  <c r="AZ217" i="17" s="1"/>
  <c r="AW217" i="17"/>
  <c r="AX217" i="17" s="1"/>
  <c r="AU217" i="17"/>
  <c r="AV217" i="17" s="1"/>
  <c r="AS217" i="17"/>
  <c r="AT217" i="17" s="1"/>
  <c r="AQ217" i="17"/>
  <c r="AR217" i="17" s="1"/>
  <c r="AO217" i="17"/>
  <c r="AP217" i="17" s="1"/>
  <c r="AM217" i="17"/>
  <c r="AN217" i="17" s="1"/>
  <c r="BU216" i="17"/>
  <c r="BV216" i="17" s="1"/>
  <c r="BS216" i="17"/>
  <c r="BT216" i="17" s="1"/>
  <c r="BQ216" i="17"/>
  <c r="BR216" i="17" s="1"/>
  <c r="BO216" i="17"/>
  <c r="BP216" i="17" s="1"/>
  <c r="BM216" i="17"/>
  <c r="BN216" i="17" s="1"/>
  <c r="BK216" i="17"/>
  <c r="BL216" i="17" s="1"/>
  <c r="BI216" i="17"/>
  <c r="BJ216" i="17" s="1"/>
  <c r="BG216" i="17"/>
  <c r="BH216" i="17" s="1"/>
  <c r="BE216" i="17"/>
  <c r="BF216" i="17" s="1"/>
  <c r="BC216" i="17"/>
  <c r="BD216" i="17" s="1"/>
  <c r="BA216" i="17"/>
  <c r="BB216" i="17" s="1"/>
  <c r="AY216" i="17"/>
  <c r="AZ216" i="17" s="1"/>
  <c r="AW216" i="17"/>
  <c r="AX216" i="17" s="1"/>
  <c r="AU216" i="17"/>
  <c r="AV216" i="17" s="1"/>
  <c r="AS216" i="17"/>
  <c r="AT216" i="17" s="1"/>
  <c r="AQ216" i="17"/>
  <c r="AR216" i="17" s="1"/>
  <c r="AO216" i="17"/>
  <c r="AP216" i="17" s="1"/>
  <c r="AM216" i="17"/>
  <c r="AN216" i="17" s="1"/>
  <c r="BU215" i="17"/>
  <c r="BV215" i="17" s="1"/>
  <c r="BS215" i="17"/>
  <c r="BT215" i="17" s="1"/>
  <c r="BQ215" i="17"/>
  <c r="BR215" i="17" s="1"/>
  <c r="BO215" i="17"/>
  <c r="BP215" i="17" s="1"/>
  <c r="BM215" i="17"/>
  <c r="BN215" i="17" s="1"/>
  <c r="BK215" i="17"/>
  <c r="BL215" i="17" s="1"/>
  <c r="BI215" i="17"/>
  <c r="BJ215" i="17" s="1"/>
  <c r="BG215" i="17"/>
  <c r="BH215" i="17" s="1"/>
  <c r="BE215" i="17"/>
  <c r="BF215" i="17" s="1"/>
  <c r="BC215" i="17"/>
  <c r="BD215" i="17" s="1"/>
  <c r="BA215" i="17"/>
  <c r="BB215" i="17" s="1"/>
  <c r="AY215" i="17"/>
  <c r="AZ215" i="17" s="1"/>
  <c r="AW215" i="17"/>
  <c r="AX215" i="17" s="1"/>
  <c r="AU215" i="17"/>
  <c r="AV215" i="17" s="1"/>
  <c r="AS215" i="17"/>
  <c r="AT215" i="17" s="1"/>
  <c r="AQ215" i="17"/>
  <c r="AR215" i="17" s="1"/>
  <c r="AO215" i="17"/>
  <c r="AP215" i="17" s="1"/>
  <c r="AM215" i="17"/>
  <c r="AN215" i="17" s="1"/>
  <c r="BU214" i="17"/>
  <c r="BV214" i="17" s="1"/>
  <c r="BS214" i="17"/>
  <c r="BT214" i="17" s="1"/>
  <c r="BQ214" i="17"/>
  <c r="BR214" i="17" s="1"/>
  <c r="BO214" i="17"/>
  <c r="BP214" i="17" s="1"/>
  <c r="BM214" i="17"/>
  <c r="BN214" i="17" s="1"/>
  <c r="BK214" i="17"/>
  <c r="BL214" i="17" s="1"/>
  <c r="BI214" i="17"/>
  <c r="BJ214" i="17" s="1"/>
  <c r="BG214" i="17"/>
  <c r="BH214" i="17" s="1"/>
  <c r="BE214" i="17"/>
  <c r="BF214" i="17" s="1"/>
  <c r="BC214" i="17"/>
  <c r="BD214" i="17" s="1"/>
  <c r="BA214" i="17"/>
  <c r="BB214" i="17" s="1"/>
  <c r="AY214" i="17"/>
  <c r="AZ214" i="17" s="1"/>
  <c r="AW214" i="17"/>
  <c r="AX214" i="17" s="1"/>
  <c r="AU214" i="17"/>
  <c r="AV214" i="17" s="1"/>
  <c r="AS214" i="17"/>
  <c r="AT214" i="17" s="1"/>
  <c r="AQ214" i="17"/>
  <c r="AR214" i="17" s="1"/>
  <c r="AO214" i="17"/>
  <c r="AP214" i="17" s="1"/>
  <c r="AM214" i="17"/>
  <c r="AN214" i="17" s="1"/>
  <c r="BU213" i="17"/>
  <c r="BV213" i="17" s="1"/>
  <c r="BS213" i="17"/>
  <c r="BT213" i="17" s="1"/>
  <c r="BQ213" i="17"/>
  <c r="BR213" i="17" s="1"/>
  <c r="BO213" i="17"/>
  <c r="BP213" i="17" s="1"/>
  <c r="BM213" i="17"/>
  <c r="BN213" i="17" s="1"/>
  <c r="BK213" i="17"/>
  <c r="BL213" i="17" s="1"/>
  <c r="BI213" i="17"/>
  <c r="BJ213" i="17" s="1"/>
  <c r="BG213" i="17"/>
  <c r="BH213" i="17" s="1"/>
  <c r="BE213" i="17"/>
  <c r="BF213" i="17" s="1"/>
  <c r="BC213" i="17"/>
  <c r="BD213" i="17" s="1"/>
  <c r="BA213" i="17"/>
  <c r="BB213" i="17" s="1"/>
  <c r="AY213" i="17"/>
  <c r="AZ213" i="17" s="1"/>
  <c r="AW213" i="17"/>
  <c r="AX213" i="17" s="1"/>
  <c r="AU213" i="17"/>
  <c r="AV213" i="17" s="1"/>
  <c r="AS213" i="17"/>
  <c r="AT213" i="17" s="1"/>
  <c r="AQ213" i="17"/>
  <c r="AR213" i="17" s="1"/>
  <c r="AO213" i="17"/>
  <c r="AP213" i="17" s="1"/>
  <c r="AM213" i="17"/>
  <c r="AN213" i="17" s="1"/>
  <c r="BU212" i="17"/>
  <c r="BV212" i="17" s="1"/>
  <c r="BS212" i="17"/>
  <c r="BT212" i="17" s="1"/>
  <c r="BQ212" i="17"/>
  <c r="BR212" i="17" s="1"/>
  <c r="BO212" i="17"/>
  <c r="BP212" i="17" s="1"/>
  <c r="BM212" i="17"/>
  <c r="BN212" i="17" s="1"/>
  <c r="BK212" i="17"/>
  <c r="BL212" i="17" s="1"/>
  <c r="BI212" i="17"/>
  <c r="BJ212" i="17" s="1"/>
  <c r="BG212" i="17"/>
  <c r="BH212" i="17" s="1"/>
  <c r="BE212" i="17"/>
  <c r="BF212" i="17" s="1"/>
  <c r="BC212" i="17"/>
  <c r="BD212" i="17" s="1"/>
  <c r="BA212" i="17"/>
  <c r="BB212" i="17" s="1"/>
  <c r="AY212" i="17"/>
  <c r="AZ212" i="17" s="1"/>
  <c r="AW212" i="17"/>
  <c r="AX212" i="17" s="1"/>
  <c r="AU212" i="17"/>
  <c r="AV212" i="17" s="1"/>
  <c r="AS212" i="17"/>
  <c r="AT212" i="17" s="1"/>
  <c r="AQ212" i="17"/>
  <c r="AR212" i="17" s="1"/>
  <c r="AO212" i="17"/>
  <c r="AP212" i="17" s="1"/>
  <c r="AM212" i="17"/>
  <c r="AN212" i="17" s="1"/>
  <c r="BU211" i="17"/>
  <c r="BV211" i="17" s="1"/>
  <c r="BS211" i="17"/>
  <c r="BT211" i="17" s="1"/>
  <c r="BQ211" i="17"/>
  <c r="BR211" i="17" s="1"/>
  <c r="BO211" i="17"/>
  <c r="BP211" i="17" s="1"/>
  <c r="BM211" i="17"/>
  <c r="BN211" i="17" s="1"/>
  <c r="BK211" i="17"/>
  <c r="BL211" i="17" s="1"/>
  <c r="BI211" i="17"/>
  <c r="BJ211" i="17" s="1"/>
  <c r="BG211" i="17"/>
  <c r="BH211" i="17" s="1"/>
  <c r="BE211" i="17"/>
  <c r="BF211" i="17" s="1"/>
  <c r="BC211" i="17"/>
  <c r="BD211" i="17" s="1"/>
  <c r="BA211" i="17"/>
  <c r="BB211" i="17" s="1"/>
  <c r="AY211" i="17"/>
  <c r="AZ211" i="17" s="1"/>
  <c r="AW211" i="17"/>
  <c r="AX211" i="17" s="1"/>
  <c r="AU211" i="17"/>
  <c r="AV211" i="17" s="1"/>
  <c r="AS211" i="17"/>
  <c r="AT211" i="17" s="1"/>
  <c r="AQ211" i="17"/>
  <c r="AR211" i="17" s="1"/>
  <c r="AO211" i="17"/>
  <c r="AP211" i="17" s="1"/>
  <c r="AM211" i="17"/>
  <c r="AN211" i="17" s="1"/>
  <c r="BU210" i="17"/>
  <c r="BV210" i="17" s="1"/>
  <c r="BS210" i="17"/>
  <c r="BT210" i="17" s="1"/>
  <c r="BQ210" i="17"/>
  <c r="BR210" i="17" s="1"/>
  <c r="BO210" i="17"/>
  <c r="BP210" i="17" s="1"/>
  <c r="BM210" i="17"/>
  <c r="BN210" i="17" s="1"/>
  <c r="BK210" i="17"/>
  <c r="BL210" i="17" s="1"/>
  <c r="BI210" i="17"/>
  <c r="BJ210" i="17" s="1"/>
  <c r="BG210" i="17"/>
  <c r="BH210" i="17" s="1"/>
  <c r="BE210" i="17"/>
  <c r="BF210" i="17" s="1"/>
  <c r="BC210" i="17"/>
  <c r="BD210" i="17" s="1"/>
  <c r="BA210" i="17"/>
  <c r="BB210" i="17" s="1"/>
  <c r="AY210" i="17"/>
  <c r="AZ210" i="17" s="1"/>
  <c r="AW210" i="17"/>
  <c r="AX210" i="17" s="1"/>
  <c r="AU210" i="17"/>
  <c r="AV210" i="17" s="1"/>
  <c r="AS210" i="17"/>
  <c r="AT210" i="17" s="1"/>
  <c r="AQ210" i="17"/>
  <c r="AR210" i="17" s="1"/>
  <c r="AO210" i="17"/>
  <c r="AP210" i="17" s="1"/>
  <c r="AM210" i="17"/>
  <c r="AN210" i="17" s="1"/>
  <c r="BU209" i="17"/>
  <c r="BV209" i="17" s="1"/>
  <c r="BS209" i="17"/>
  <c r="BT209" i="17" s="1"/>
  <c r="BQ209" i="17"/>
  <c r="BR209" i="17" s="1"/>
  <c r="BO209" i="17"/>
  <c r="BP209" i="17" s="1"/>
  <c r="BM209" i="17"/>
  <c r="BN209" i="17" s="1"/>
  <c r="BK209" i="17"/>
  <c r="BL209" i="17" s="1"/>
  <c r="BI209" i="17"/>
  <c r="BJ209" i="17" s="1"/>
  <c r="BG209" i="17"/>
  <c r="BH209" i="17" s="1"/>
  <c r="BE209" i="17"/>
  <c r="BF209" i="17" s="1"/>
  <c r="BC209" i="17"/>
  <c r="BD209" i="17" s="1"/>
  <c r="BA209" i="17"/>
  <c r="BB209" i="17" s="1"/>
  <c r="AY209" i="17"/>
  <c r="AZ209" i="17" s="1"/>
  <c r="AW209" i="17"/>
  <c r="AX209" i="17" s="1"/>
  <c r="AU209" i="17"/>
  <c r="AV209" i="17" s="1"/>
  <c r="AS209" i="17"/>
  <c r="AT209" i="17" s="1"/>
  <c r="AQ209" i="17"/>
  <c r="AR209" i="17" s="1"/>
  <c r="AO209" i="17"/>
  <c r="AP209" i="17" s="1"/>
  <c r="AM209" i="17"/>
  <c r="AN209" i="17" s="1"/>
  <c r="BU208" i="17"/>
  <c r="BV208" i="17" s="1"/>
  <c r="BS208" i="17"/>
  <c r="BT208" i="17" s="1"/>
  <c r="BQ208" i="17"/>
  <c r="BR208" i="17" s="1"/>
  <c r="BO208" i="17"/>
  <c r="BP208" i="17" s="1"/>
  <c r="BM208" i="17"/>
  <c r="BN208" i="17" s="1"/>
  <c r="BK208" i="17"/>
  <c r="BL208" i="17" s="1"/>
  <c r="BI208" i="17"/>
  <c r="BJ208" i="17" s="1"/>
  <c r="BG208" i="17"/>
  <c r="BH208" i="17" s="1"/>
  <c r="BE208" i="17"/>
  <c r="BF208" i="17" s="1"/>
  <c r="BC208" i="17"/>
  <c r="BD208" i="17" s="1"/>
  <c r="BA208" i="17"/>
  <c r="BB208" i="17" s="1"/>
  <c r="AY208" i="17"/>
  <c r="AZ208" i="17" s="1"/>
  <c r="AW208" i="17"/>
  <c r="AX208" i="17" s="1"/>
  <c r="AU208" i="17"/>
  <c r="AV208" i="17" s="1"/>
  <c r="AS208" i="17"/>
  <c r="AT208" i="17" s="1"/>
  <c r="AQ208" i="17"/>
  <c r="AR208" i="17" s="1"/>
  <c r="AO208" i="17"/>
  <c r="AP208" i="17" s="1"/>
  <c r="AM208" i="17"/>
  <c r="AN208" i="17" s="1"/>
  <c r="BU207" i="17"/>
  <c r="BV207" i="17" s="1"/>
  <c r="BS207" i="17"/>
  <c r="BT207" i="17" s="1"/>
  <c r="BQ207" i="17"/>
  <c r="BR207" i="17" s="1"/>
  <c r="BO207" i="17"/>
  <c r="BP207" i="17" s="1"/>
  <c r="BM207" i="17"/>
  <c r="BN207" i="17" s="1"/>
  <c r="BK207" i="17"/>
  <c r="BL207" i="17" s="1"/>
  <c r="BI207" i="17"/>
  <c r="BJ207" i="17" s="1"/>
  <c r="BG207" i="17"/>
  <c r="BH207" i="17" s="1"/>
  <c r="BE207" i="17"/>
  <c r="BF207" i="17" s="1"/>
  <c r="BC207" i="17"/>
  <c r="BD207" i="17" s="1"/>
  <c r="BA207" i="17"/>
  <c r="BB207" i="17" s="1"/>
  <c r="AY207" i="17"/>
  <c r="AZ207" i="17" s="1"/>
  <c r="AW207" i="17"/>
  <c r="AX207" i="17" s="1"/>
  <c r="AU207" i="17"/>
  <c r="AV207" i="17" s="1"/>
  <c r="AS207" i="17"/>
  <c r="AT207" i="17" s="1"/>
  <c r="AQ207" i="17"/>
  <c r="AR207" i="17" s="1"/>
  <c r="AO207" i="17"/>
  <c r="AP207" i="17" s="1"/>
  <c r="AM207" i="17"/>
  <c r="AN207" i="17" s="1"/>
  <c r="BU206" i="17"/>
  <c r="BV206" i="17" s="1"/>
  <c r="BS206" i="17"/>
  <c r="BT206" i="17" s="1"/>
  <c r="BQ206" i="17"/>
  <c r="BR206" i="17" s="1"/>
  <c r="BO206" i="17"/>
  <c r="BP206" i="17" s="1"/>
  <c r="BM206" i="17"/>
  <c r="BN206" i="17" s="1"/>
  <c r="BK206" i="17"/>
  <c r="BL206" i="17" s="1"/>
  <c r="BI206" i="17"/>
  <c r="BJ206" i="17" s="1"/>
  <c r="BG206" i="17"/>
  <c r="BH206" i="17" s="1"/>
  <c r="BE206" i="17"/>
  <c r="BF206" i="17" s="1"/>
  <c r="BC206" i="17"/>
  <c r="BD206" i="17" s="1"/>
  <c r="BA206" i="17"/>
  <c r="BB206" i="17" s="1"/>
  <c r="AY206" i="17"/>
  <c r="AZ206" i="17" s="1"/>
  <c r="AW206" i="17"/>
  <c r="AX206" i="17" s="1"/>
  <c r="AU206" i="17"/>
  <c r="AV206" i="17" s="1"/>
  <c r="AS206" i="17"/>
  <c r="AT206" i="17" s="1"/>
  <c r="AQ206" i="17"/>
  <c r="AR206" i="17" s="1"/>
  <c r="AO206" i="17"/>
  <c r="AP206" i="17" s="1"/>
  <c r="AM206" i="17"/>
  <c r="AN206" i="17" s="1"/>
  <c r="BU205" i="17"/>
  <c r="BV205" i="17" s="1"/>
  <c r="BS205" i="17"/>
  <c r="BT205" i="17" s="1"/>
  <c r="BQ205" i="17"/>
  <c r="BR205" i="17" s="1"/>
  <c r="BO205" i="17"/>
  <c r="BP205" i="17" s="1"/>
  <c r="BM205" i="17"/>
  <c r="BN205" i="17" s="1"/>
  <c r="BK205" i="17"/>
  <c r="BL205" i="17" s="1"/>
  <c r="BI205" i="17"/>
  <c r="BJ205" i="17" s="1"/>
  <c r="BG205" i="17"/>
  <c r="BH205" i="17" s="1"/>
  <c r="BE205" i="17"/>
  <c r="BF205" i="17" s="1"/>
  <c r="BC205" i="17"/>
  <c r="BD205" i="17" s="1"/>
  <c r="BA205" i="17"/>
  <c r="BB205" i="17" s="1"/>
  <c r="AY205" i="17"/>
  <c r="AZ205" i="17" s="1"/>
  <c r="AW205" i="17"/>
  <c r="AX205" i="17" s="1"/>
  <c r="AU205" i="17"/>
  <c r="AV205" i="17" s="1"/>
  <c r="AS205" i="17"/>
  <c r="AT205" i="17" s="1"/>
  <c r="AQ205" i="17"/>
  <c r="AR205" i="17" s="1"/>
  <c r="AO205" i="17"/>
  <c r="AP205" i="17" s="1"/>
  <c r="AM205" i="17"/>
  <c r="AN205" i="17" s="1"/>
  <c r="BU204" i="17"/>
  <c r="BV204" i="17" s="1"/>
  <c r="BS204" i="17"/>
  <c r="BT204" i="17" s="1"/>
  <c r="BQ204" i="17"/>
  <c r="BR204" i="17" s="1"/>
  <c r="BO204" i="17"/>
  <c r="BP204" i="17" s="1"/>
  <c r="BM204" i="17"/>
  <c r="BN204" i="17" s="1"/>
  <c r="BK204" i="17"/>
  <c r="BL204" i="17" s="1"/>
  <c r="BI204" i="17"/>
  <c r="BJ204" i="17" s="1"/>
  <c r="BG204" i="17"/>
  <c r="BH204" i="17" s="1"/>
  <c r="BE204" i="17"/>
  <c r="BF204" i="17" s="1"/>
  <c r="BC204" i="17"/>
  <c r="BD204" i="17" s="1"/>
  <c r="BA204" i="17"/>
  <c r="BB204" i="17" s="1"/>
  <c r="AY204" i="17"/>
  <c r="AZ204" i="17" s="1"/>
  <c r="AW204" i="17"/>
  <c r="AX204" i="17" s="1"/>
  <c r="AU204" i="17"/>
  <c r="AV204" i="17" s="1"/>
  <c r="AS204" i="17"/>
  <c r="AT204" i="17" s="1"/>
  <c r="AQ204" i="17"/>
  <c r="AR204" i="17" s="1"/>
  <c r="AO204" i="17"/>
  <c r="AP204" i="17" s="1"/>
  <c r="AM204" i="17"/>
  <c r="AN204" i="17" s="1"/>
  <c r="BU203" i="17"/>
  <c r="BV203" i="17" s="1"/>
  <c r="BS203" i="17"/>
  <c r="BT203" i="17" s="1"/>
  <c r="BQ203" i="17"/>
  <c r="BR203" i="17" s="1"/>
  <c r="BO203" i="17"/>
  <c r="BP203" i="17" s="1"/>
  <c r="BM203" i="17"/>
  <c r="BN203" i="17" s="1"/>
  <c r="BK203" i="17"/>
  <c r="BL203" i="17" s="1"/>
  <c r="BI203" i="17"/>
  <c r="BJ203" i="17" s="1"/>
  <c r="BG203" i="17"/>
  <c r="BH203" i="17" s="1"/>
  <c r="BE203" i="17"/>
  <c r="BF203" i="17" s="1"/>
  <c r="BC203" i="17"/>
  <c r="BD203" i="17" s="1"/>
  <c r="BA203" i="17"/>
  <c r="BB203" i="17" s="1"/>
  <c r="AY203" i="17"/>
  <c r="AZ203" i="17" s="1"/>
  <c r="AW203" i="17"/>
  <c r="AX203" i="17" s="1"/>
  <c r="AU203" i="17"/>
  <c r="AV203" i="17" s="1"/>
  <c r="AS203" i="17"/>
  <c r="AT203" i="17" s="1"/>
  <c r="AQ203" i="17"/>
  <c r="AR203" i="17" s="1"/>
  <c r="AO203" i="17"/>
  <c r="AP203" i="17" s="1"/>
  <c r="AM203" i="17"/>
  <c r="AN203" i="17" s="1"/>
  <c r="BU202" i="17"/>
  <c r="BV202" i="17" s="1"/>
  <c r="BS202" i="17"/>
  <c r="BT202" i="17" s="1"/>
  <c r="BQ202" i="17"/>
  <c r="BR202" i="17" s="1"/>
  <c r="BO202" i="17"/>
  <c r="BP202" i="17" s="1"/>
  <c r="BM202" i="17"/>
  <c r="BN202" i="17" s="1"/>
  <c r="BK202" i="17"/>
  <c r="BL202" i="17" s="1"/>
  <c r="BI202" i="17"/>
  <c r="BJ202" i="17" s="1"/>
  <c r="BG202" i="17"/>
  <c r="BH202" i="17" s="1"/>
  <c r="BE202" i="17"/>
  <c r="BF202" i="17" s="1"/>
  <c r="BC202" i="17"/>
  <c r="BD202" i="17" s="1"/>
  <c r="BA202" i="17"/>
  <c r="BB202" i="17" s="1"/>
  <c r="AY202" i="17"/>
  <c r="AZ202" i="17" s="1"/>
  <c r="AW202" i="17"/>
  <c r="AX202" i="17" s="1"/>
  <c r="AU202" i="17"/>
  <c r="AV202" i="17" s="1"/>
  <c r="AS202" i="17"/>
  <c r="AT202" i="17" s="1"/>
  <c r="AQ202" i="17"/>
  <c r="AR202" i="17" s="1"/>
  <c r="AO202" i="17"/>
  <c r="AP202" i="17" s="1"/>
  <c r="AM202" i="17"/>
  <c r="AN202" i="17" s="1"/>
  <c r="BU201" i="17"/>
  <c r="BV201" i="17" s="1"/>
  <c r="BS201" i="17"/>
  <c r="BT201" i="17" s="1"/>
  <c r="BQ201" i="17"/>
  <c r="BR201" i="17" s="1"/>
  <c r="BO201" i="17"/>
  <c r="BP201" i="17" s="1"/>
  <c r="BM201" i="17"/>
  <c r="BN201" i="17" s="1"/>
  <c r="BK201" i="17"/>
  <c r="BL201" i="17" s="1"/>
  <c r="BI201" i="17"/>
  <c r="BJ201" i="17" s="1"/>
  <c r="BG201" i="17"/>
  <c r="BH201" i="17" s="1"/>
  <c r="BE201" i="17"/>
  <c r="BF201" i="17" s="1"/>
  <c r="BC201" i="17"/>
  <c r="BD201" i="17" s="1"/>
  <c r="BA201" i="17"/>
  <c r="BB201" i="17" s="1"/>
  <c r="AY201" i="17"/>
  <c r="AZ201" i="17" s="1"/>
  <c r="AW201" i="17"/>
  <c r="AX201" i="17" s="1"/>
  <c r="AU201" i="17"/>
  <c r="AV201" i="17" s="1"/>
  <c r="AS201" i="17"/>
  <c r="AT201" i="17" s="1"/>
  <c r="AQ201" i="17"/>
  <c r="AR201" i="17" s="1"/>
  <c r="AO201" i="17"/>
  <c r="AP201" i="17" s="1"/>
  <c r="AM201" i="17"/>
  <c r="AN201" i="17" s="1"/>
  <c r="BU200" i="17"/>
  <c r="BV200" i="17" s="1"/>
  <c r="BS200" i="17"/>
  <c r="BT200" i="17" s="1"/>
  <c r="BQ200" i="17"/>
  <c r="BR200" i="17" s="1"/>
  <c r="BO200" i="17"/>
  <c r="BP200" i="17" s="1"/>
  <c r="BM200" i="17"/>
  <c r="BN200" i="17" s="1"/>
  <c r="BK200" i="17"/>
  <c r="BL200" i="17" s="1"/>
  <c r="BI200" i="17"/>
  <c r="BJ200" i="17" s="1"/>
  <c r="BG200" i="17"/>
  <c r="BH200" i="17" s="1"/>
  <c r="BE200" i="17"/>
  <c r="BF200" i="17" s="1"/>
  <c r="BC200" i="17"/>
  <c r="BD200" i="17" s="1"/>
  <c r="BA200" i="17"/>
  <c r="BB200" i="17" s="1"/>
  <c r="AY200" i="17"/>
  <c r="AZ200" i="17" s="1"/>
  <c r="AW200" i="17"/>
  <c r="AX200" i="17" s="1"/>
  <c r="AU200" i="17"/>
  <c r="AV200" i="17" s="1"/>
  <c r="AS200" i="17"/>
  <c r="AT200" i="17" s="1"/>
  <c r="AQ200" i="17"/>
  <c r="AR200" i="17" s="1"/>
  <c r="AO200" i="17"/>
  <c r="AP200" i="17" s="1"/>
  <c r="AM200" i="17"/>
  <c r="AN200" i="17" s="1"/>
  <c r="BU199" i="17"/>
  <c r="BV199" i="17" s="1"/>
  <c r="BS199" i="17"/>
  <c r="BT199" i="17" s="1"/>
  <c r="BQ199" i="17"/>
  <c r="BR199" i="17" s="1"/>
  <c r="BO199" i="17"/>
  <c r="BP199" i="17" s="1"/>
  <c r="BM199" i="17"/>
  <c r="BN199" i="17" s="1"/>
  <c r="BK199" i="17"/>
  <c r="BL199" i="17" s="1"/>
  <c r="BI199" i="17"/>
  <c r="BJ199" i="17" s="1"/>
  <c r="BG199" i="17"/>
  <c r="BH199" i="17" s="1"/>
  <c r="BE199" i="17"/>
  <c r="BF199" i="17" s="1"/>
  <c r="BC199" i="17"/>
  <c r="BD199" i="17" s="1"/>
  <c r="BA199" i="17"/>
  <c r="BB199" i="17" s="1"/>
  <c r="AY199" i="17"/>
  <c r="AZ199" i="17" s="1"/>
  <c r="AW199" i="17"/>
  <c r="AX199" i="17" s="1"/>
  <c r="AU199" i="17"/>
  <c r="AV199" i="17" s="1"/>
  <c r="AS199" i="17"/>
  <c r="AT199" i="17" s="1"/>
  <c r="AQ199" i="17"/>
  <c r="AR199" i="17" s="1"/>
  <c r="AO199" i="17"/>
  <c r="AP199" i="17" s="1"/>
  <c r="AM199" i="17"/>
  <c r="AN199" i="17" s="1"/>
  <c r="BU198" i="17"/>
  <c r="BV198" i="17" s="1"/>
  <c r="BS198" i="17"/>
  <c r="BT198" i="17" s="1"/>
  <c r="BQ198" i="17"/>
  <c r="BR198" i="17" s="1"/>
  <c r="BO198" i="17"/>
  <c r="BP198" i="17" s="1"/>
  <c r="BM198" i="17"/>
  <c r="BN198" i="17" s="1"/>
  <c r="BK198" i="17"/>
  <c r="BL198" i="17" s="1"/>
  <c r="BI198" i="17"/>
  <c r="BJ198" i="17" s="1"/>
  <c r="BG198" i="17"/>
  <c r="BH198" i="17" s="1"/>
  <c r="BE198" i="17"/>
  <c r="BF198" i="17" s="1"/>
  <c r="BC198" i="17"/>
  <c r="BD198" i="17" s="1"/>
  <c r="BA198" i="17"/>
  <c r="BB198" i="17" s="1"/>
  <c r="AY198" i="17"/>
  <c r="AZ198" i="17" s="1"/>
  <c r="AW198" i="17"/>
  <c r="AX198" i="17" s="1"/>
  <c r="AU198" i="17"/>
  <c r="AV198" i="17" s="1"/>
  <c r="AS198" i="17"/>
  <c r="AT198" i="17" s="1"/>
  <c r="AQ198" i="17"/>
  <c r="AR198" i="17" s="1"/>
  <c r="AO198" i="17"/>
  <c r="AP198" i="17" s="1"/>
  <c r="AM198" i="17"/>
  <c r="AN198" i="17" s="1"/>
  <c r="BU197" i="17"/>
  <c r="BV197" i="17" s="1"/>
  <c r="BS197" i="17"/>
  <c r="BT197" i="17" s="1"/>
  <c r="BQ197" i="17"/>
  <c r="BR197" i="17" s="1"/>
  <c r="BO197" i="17"/>
  <c r="BP197" i="17" s="1"/>
  <c r="BM197" i="17"/>
  <c r="BN197" i="17" s="1"/>
  <c r="BK197" i="17"/>
  <c r="BL197" i="17" s="1"/>
  <c r="BI197" i="17"/>
  <c r="BJ197" i="17" s="1"/>
  <c r="BG197" i="17"/>
  <c r="BH197" i="17" s="1"/>
  <c r="BE197" i="17"/>
  <c r="BF197" i="17" s="1"/>
  <c r="BC197" i="17"/>
  <c r="BD197" i="17" s="1"/>
  <c r="BA197" i="17"/>
  <c r="BB197" i="17" s="1"/>
  <c r="AY197" i="17"/>
  <c r="AZ197" i="17" s="1"/>
  <c r="AW197" i="17"/>
  <c r="AX197" i="17" s="1"/>
  <c r="AU197" i="17"/>
  <c r="AV197" i="17" s="1"/>
  <c r="AS197" i="17"/>
  <c r="AT197" i="17" s="1"/>
  <c r="AQ197" i="17"/>
  <c r="AR197" i="17" s="1"/>
  <c r="AO197" i="17"/>
  <c r="AP197" i="17" s="1"/>
  <c r="AM197" i="17"/>
  <c r="AN197" i="17" s="1"/>
  <c r="BU196" i="17"/>
  <c r="BV196" i="17" s="1"/>
  <c r="BS196" i="17"/>
  <c r="BT196" i="17" s="1"/>
  <c r="BQ196" i="17"/>
  <c r="BR196" i="17" s="1"/>
  <c r="BO196" i="17"/>
  <c r="BP196" i="17" s="1"/>
  <c r="BM196" i="17"/>
  <c r="BN196" i="17" s="1"/>
  <c r="BK196" i="17"/>
  <c r="BL196" i="17" s="1"/>
  <c r="BI196" i="17"/>
  <c r="BJ196" i="17" s="1"/>
  <c r="BG196" i="17"/>
  <c r="BH196" i="17" s="1"/>
  <c r="BE196" i="17"/>
  <c r="BF196" i="17" s="1"/>
  <c r="BC196" i="17"/>
  <c r="BD196" i="17" s="1"/>
  <c r="BA196" i="17"/>
  <c r="BB196" i="17" s="1"/>
  <c r="AY196" i="17"/>
  <c r="AZ196" i="17" s="1"/>
  <c r="AW196" i="17"/>
  <c r="AX196" i="17" s="1"/>
  <c r="AU196" i="17"/>
  <c r="AV196" i="17" s="1"/>
  <c r="AS196" i="17"/>
  <c r="AT196" i="17" s="1"/>
  <c r="AQ196" i="17"/>
  <c r="AR196" i="17" s="1"/>
  <c r="AO196" i="17"/>
  <c r="AP196" i="17" s="1"/>
  <c r="AM196" i="17"/>
  <c r="AN196" i="17" s="1"/>
  <c r="BU195" i="17"/>
  <c r="BV195" i="17" s="1"/>
  <c r="BS195" i="17"/>
  <c r="BT195" i="17" s="1"/>
  <c r="BQ195" i="17"/>
  <c r="BR195" i="17" s="1"/>
  <c r="BO195" i="17"/>
  <c r="BP195" i="17" s="1"/>
  <c r="BM195" i="17"/>
  <c r="BN195" i="17" s="1"/>
  <c r="BK195" i="17"/>
  <c r="BL195" i="17" s="1"/>
  <c r="BI195" i="17"/>
  <c r="BJ195" i="17" s="1"/>
  <c r="BG195" i="17"/>
  <c r="BH195" i="17" s="1"/>
  <c r="BE195" i="17"/>
  <c r="BF195" i="17" s="1"/>
  <c r="BC195" i="17"/>
  <c r="BD195" i="17" s="1"/>
  <c r="BA195" i="17"/>
  <c r="BB195" i="17" s="1"/>
  <c r="AY195" i="17"/>
  <c r="AZ195" i="17" s="1"/>
  <c r="AW195" i="17"/>
  <c r="AX195" i="17" s="1"/>
  <c r="AU195" i="17"/>
  <c r="AV195" i="17" s="1"/>
  <c r="AS195" i="17"/>
  <c r="AT195" i="17" s="1"/>
  <c r="AQ195" i="17"/>
  <c r="AR195" i="17" s="1"/>
  <c r="AO195" i="17"/>
  <c r="AP195" i="17" s="1"/>
  <c r="AM195" i="17"/>
  <c r="AN195" i="17" s="1"/>
  <c r="BU194" i="17"/>
  <c r="BV194" i="17" s="1"/>
  <c r="BS194" i="17"/>
  <c r="BT194" i="17" s="1"/>
  <c r="BQ194" i="17"/>
  <c r="BR194" i="17" s="1"/>
  <c r="BO194" i="17"/>
  <c r="BP194" i="17" s="1"/>
  <c r="BM194" i="17"/>
  <c r="BN194" i="17" s="1"/>
  <c r="BK194" i="17"/>
  <c r="BL194" i="17" s="1"/>
  <c r="BI194" i="17"/>
  <c r="BJ194" i="17" s="1"/>
  <c r="BG194" i="17"/>
  <c r="BH194" i="17" s="1"/>
  <c r="BE194" i="17"/>
  <c r="BF194" i="17" s="1"/>
  <c r="BC194" i="17"/>
  <c r="BD194" i="17" s="1"/>
  <c r="BA194" i="17"/>
  <c r="BB194" i="17" s="1"/>
  <c r="AY194" i="17"/>
  <c r="AZ194" i="17" s="1"/>
  <c r="AW194" i="17"/>
  <c r="AX194" i="17" s="1"/>
  <c r="AU194" i="17"/>
  <c r="AV194" i="17" s="1"/>
  <c r="AS194" i="17"/>
  <c r="AT194" i="17" s="1"/>
  <c r="AQ194" i="17"/>
  <c r="AR194" i="17" s="1"/>
  <c r="AO194" i="17"/>
  <c r="AP194" i="17" s="1"/>
  <c r="AM194" i="17"/>
  <c r="AN194" i="17" s="1"/>
  <c r="BU193" i="17"/>
  <c r="BV193" i="17" s="1"/>
  <c r="BS193" i="17"/>
  <c r="BT193" i="17" s="1"/>
  <c r="BQ193" i="17"/>
  <c r="BR193" i="17" s="1"/>
  <c r="BO193" i="17"/>
  <c r="BP193" i="17" s="1"/>
  <c r="BM193" i="17"/>
  <c r="BN193" i="17" s="1"/>
  <c r="BK193" i="17"/>
  <c r="BL193" i="17" s="1"/>
  <c r="BI193" i="17"/>
  <c r="BJ193" i="17" s="1"/>
  <c r="BG193" i="17"/>
  <c r="BH193" i="17" s="1"/>
  <c r="BE193" i="17"/>
  <c r="BF193" i="17" s="1"/>
  <c r="BC193" i="17"/>
  <c r="BD193" i="17" s="1"/>
  <c r="BA193" i="17"/>
  <c r="BB193" i="17" s="1"/>
  <c r="AY193" i="17"/>
  <c r="AZ193" i="17" s="1"/>
  <c r="AW193" i="17"/>
  <c r="AX193" i="17" s="1"/>
  <c r="AU193" i="17"/>
  <c r="AV193" i="17" s="1"/>
  <c r="AS193" i="17"/>
  <c r="AT193" i="17" s="1"/>
  <c r="AQ193" i="17"/>
  <c r="AR193" i="17" s="1"/>
  <c r="AO193" i="17"/>
  <c r="AP193" i="17" s="1"/>
  <c r="AM193" i="17"/>
  <c r="AN193" i="17" s="1"/>
  <c r="BU192" i="17"/>
  <c r="BV192" i="17" s="1"/>
  <c r="BS192" i="17"/>
  <c r="BT192" i="17" s="1"/>
  <c r="BQ192" i="17"/>
  <c r="BR192" i="17" s="1"/>
  <c r="BO192" i="17"/>
  <c r="BP192" i="17" s="1"/>
  <c r="BM192" i="17"/>
  <c r="BN192" i="17" s="1"/>
  <c r="BK192" i="17"/>
  <c r="BL192" i="17" s="1"/>
  <c r="BI192" i="17"/>
  <c r="BJ192" i="17" s="1"/>
  <c r="BG192" i="17"/>
  <c r="BH192" i="17" s="1"/>
  <c r="BE192" i="17"/>
  <c r="BF192" i="17" s="1"/>
  <c r="BC192" i="17"/>
  <c r="BD192" i="17" s="1"/>
  <c r="BA192" i="17"/>
  <c r="BB192" i="17" s="1"/>
  <c r="AY192" i="17"/>
  <c r="AZ192" i="17" s="1"/>
  <c r="AW192" i="17"/>
  <c r="AX192" i="17" s="1"/>
  <c r="AU192" i="17"/>
  <c r="AV192" i="17" s="1"/>
  <c r="AS192" i="17"/>
  <c r="AT192" i="17" s="1"/>
  <c r="AQ192" i="17"/>
  <c r="AR192" i="17" s="1"/>
  <c r="AO192" i="17"/>
  <c r="AP192" i="17" s="1"/>
  <c r="AM192" i="17"/>
  <c r="AN192" i="17" s="1"/>
  <c r="BU191" i="17"/>
  <c r="BV191" i="17" s="1"/>
  <c r="BS191" i="17"/>
  <c r="BT191" i="17" s="1"/>
  <c r="BQ191" i="17"/>
  <c r="BR191" i="17" s="1"/>
  <c r="BO191" i="17"/>
  <c r="BP191" i="17" s="1"/>
  <c r="BM191" i="17"/>
  <c r="BN191" i="17" s="1"/>
  <c r="BK191" i="17"/>
  <c r="BL191" i="17" s="1"/>
  <c r="BI191" i="17"/>
  <c r="BJ191" i="17" s="1"/>
  <c r="BG191" i="17"/>
  <c r="BH191" i="17" s="1"/>
  <c r="BE191" i="17"/>
  <c r="BF191" i="17" s="1"/>
  <c r="BC191" i="17"/>
  <c r="BD191" i="17" s="1"/>
  <c r="BA191" i="17"/>
  <c r="BB191" i="17" s="1"/>
  <c r="AY191" i="17"/>
  <c r="AZ191" i="17" s="1"/>
  <c r="AW191" i="17"/>
  <c r="AX191" i="17" s="1"/>
  <c r="AU191" i="17"/>
  <c r="AV191" i="17" s="1"/>
  <c r="AS191" i="17"/>
  <c r="AT191" i="17" s="1"/>
  <c r="AQ191" i="17"/>
  <c r="AR191" i="17" s="1"/>
  <c r="AO191" i="17"/>
  <c r="AP191" i="17" s="1"/>
  <c r="AM191" i="17"/>
  <c r="AN191" i="17" s="1"/>
  <c r="BU190" i="17"/>
  <c r="BV190" i="17" s="1"/>
  <c r="BS190" i="17"/>
  <c r="BT190" i="17" s="1"/>
  <c r="BQ190" i="17"/>
  <c r="BR190" i="17" s="1"/>
  <c r="BO190" i="17"/>
  <c r="BP190" i="17" s="1"/>
  <c r="BM190" i="17"/>
  <c r="BN190" i="17" s="1"/>
  <c r="BK190" i="17"/>
  <c r="BL190" i="17" s="1"/>
  <c r="BI190" i="17"/>
  <c r="BJ190" i="17" s="1"/>
  <c r="BG190" i="17"/>
  <c r="BH190" i="17" s="1"/>
  <c r="BE190" i="17"/>
  <c r="BF190" i="17" s="1"/>
  <c r="BC190" i="17"/>
  <c r="BD190" i="17" s="1"/>
  <c r="BA190" i="17"/>
  <c r="BB190" i="17" s="1"/>
  <c r="AY190" i="17"/>
  <c r="AZ190" i="17" s="1"/>
  <c r="AW190" i="17"/>
  <c r="AX190" i="17" s="1"/>
  <c r="AU190" i="17"/>
  <c r="AV190" i="17" s="1"/>
  <c r="AS190" i="17"/>
  <c r="AT190" i="17" s="1"/>
  <c r="AQ190" i="17"/>
  <c r="AR190" i="17" s="1"/>
  <c r="AO190" i="17"/>
  <c r="AP190" i="17" s="1"/>
  <c r="AM190" i="17"/>
  <c r="AN190" i="17" s="1"/>
  <c r="BU189" i="17"/>
  <c r="BV189" i="17" s="1"/>
  <c r="BS189" i="17"/>
  <c r="BT189" i="17" s="1"/>
  <c r="BQ189" i="17"/>
  <c r="BR189" i="17" s="1"/>
  <c r="BO189" i="17"/>
  <c r="BP189" i="17" s="1"/>
  <c r="BM189" i="17"/>
  <c r="BN189" i="17" s="1"/>
  <c r="BK189" i="17"/>
  <c r="BL189" i="17" s="1"/>
  <c r="BI189" i="17"/>
  <c r="BJ189" i="17" s="1"/>
  <c r="BG189" i="17"/>
  <c r="BH189" i="17" s="1"/>
  <c r="BE189" i="17"/>
  <c r="BF189" i="17" s="1"/>
  <c r="BC189" i="17"/>
  <c r="BD189" i="17" s="1"/>
  <c r="BA189" i="17"/>
  <c r="BB189" i="17" s="1"/>
  <c r="AY189" i="17"/>
  <c r="AZ189" i="17" s="1"/>
  <c r="AW189" i="17"/>
  <c r="AX189" i="17" s="1"/>
  <c r="AU189" i="17"/>
  <c r="AV189" i="17" s="1"/>
  <c r="AS189" i="17"/>
  <c r="AT189" i="17" s="1"/>
  <c r="AQ189" i="17"/>
  <c r="AR189" i="17" s="1"/>
  <c r="AO189" i="17"/>
  <c r="AP189" i="17" s="1"/>
  <c r="AM189" i="17"/>
  <c r="AN189" i="17" s="1"/>
  <c r="BU188" i="17"/>
  <c r="BV188" i="17" s="1"/>
  <c r="BS188" i="17"/>
  <c r="BT188" i="17" s="1"/>
  <c r="BQ188" i="17"/>
  <c r="BR188" i="17" s="1"/>
  <c r="BO188" i="17"/>
  <c r="BP188" i="17" s="1"/>
  <c r="BM188" i="17"/>
  <c r="BN188" i="17" s="1"/>
  <c r="BK188" i="17"/>
  <c r="BL188" i="17" s="1"/>
  <c r="BI188" i="17"/>
  <c r="BJ188" i="17" s="1"/>
  <c r="BG188" i="17"/>
  <c r="BH188" i="17" s="1"/>
  <c r="BE188" i="17"/>
  <c r="BF188" i="17" s="1"/>
  <c r="BC188" i="17"/>
  <c r="BD188" i="17" s="1"/>
  <c r="BA188" i="17"/>
  <c r="BB188" i="17" s="1"/>
  <c r="AY188" i="17"/>
  <c r="AZ188" i="17" s="1"/>
  <c r="AW188" i="17"/>
  <c r="AX188" i="17" s="1"/>
  <c r="AU188" i="17"/>
  <c r="AV188" i="17" s="1"/>
  <c r="AS188" i="17"/>
  <c r="AT188" i="17" s="1"/>
  <c r="AQ188" i="17"/>
  <c r="AR188" i="17" s="1"/>
  <c r="AO188" i="17"/>
  <c r="AP188" i="17" s="1"/>
  <c r="AM188" i="17"/>
  <c r="AN188" i="17" s="1"/>
  <c r="BU187" i="17"/>
  <c r="BV187" i="17" s="1"/>
  <c r="BS187" i="17"/>
  <c r="BT187" i="17" s="1"/>
  <c r="BQ187" i="17"/>
  <c r="BR187" i="17" s="1"/>
  <c r="BO187" i="17"/>
  <c r="BP187" i="17" s="1"/>
  <c r="BM187" i="17"/>
  <c r="BN187" i="17" s="1"/>
  <c r="BK187" i="17"/>
  <c r="BL187" i="17" s="1"/>
  <c r="BI187" i="17"/>
  <c r="BJ187" i="17" s="1"/>
  <c r="BG187" i="17"/>
  <c r="BH187" i="17" s="1"/>
  <c r="BE187" i="17"/>
  <c r="BF187" i="17" s="1"/>
  <c r="BC187" i="17"/>
  <c r="BD187" i="17" s="1"/>
  <c r="BA187" i="17"/>
  <c r="BB187" i="17" s="1"/>
  <c r="AY187" i="17"/>
  <c r="AZ187" i="17" s="1"/>
  <c r="AW187" i="17"/>
  <c r="AX187" i="17" s="1"/>
  <c r="AU187" i="17"/>
  <c r="AV187" i="17" s="1"/>
  <c r="AS187" i="17"/>
  <c r="AT187" i="17" s="1"/>
  <c r="AQ187" i="17"/>
  <c r="AR187" i="17" s="1"/>
  <c r="AO187" i="17"/>
  <c r="AP187" i="17" s="1"/>
  <c r="AM187" i="17"/>
  <c r="AN187" i="17" s="1"/>
  <c r="BU186" i="17"/>
  <c r="BV186" i="17" s="1"/>
  <c r="BS186" i="17"/>
  <c r="BT186" i="17" s="1"/>
  <c r="BQ186" i="17"/>
  <c r="BR186" i="17" s="1"/>
  <c r="BO186" i="17"/>
  <c r="BP186" i="17" s="1"/>
  <c r="BM186" i="17"/>
  <c r="BN186" i="17" s="1"/>
  <c r="BK186" i="17"/>
  <c r="BL186" i="17" s="1"/>
  <c r="BI186" i="17"/>
  <c r="BJ186" i="17" s="1"/>
  <c r="BG186" i="17"/>
  <c r="BH186" i="17" s="1"/>
  <c r="BE186" i="17"/>
  <c r="BF186" i="17" s="1"/>
  <c r="BC186" i="17"/>
  <c r="BD186" i="17" s="1"/>
  <c r="BA186" i="17"/>
  <c r="BB186" i="17" s="1"/>
  <c r="AY186" i="17"/>
  <c r="AZ186" i="17" s="1"/>
  <c r="AW186" i="17"/>
  <c r="AX186" i="17" s="1"/>
  <c r="AU186" i="17"/>
  <c r="AV186" i="17" s="1"/>
  <c r="AS186" i="17"/>
  <c r="AT186" i="17" s="1"/>
  <c r="AQ186" i="17"/>
  <c r="AR186" i="17" s="1"/>
  <c r="AO186" i="17"/>
  <c r="AP186" i="17" s="1"/>
  <c r="AM186" i="17"/>
  <c r="AN186" i="17" s="1"/>
  <c r="BU185" i="17"/>
  <c r="BV185" i="17" s="1"/>
  <c r="BS185" i="17"/>
  <c r="BT185" i="17" s="1"/>
  <c r="BQ185" i="17"/>
  <c r="BR185" i="17" s="1"/>
  <c r="BO185" i="17"/>
  <c r="BP185" i="17" s="1"/>
  <c r="BM185" i="17"/>
  <c r="BN185" i="17" s="1"/>
  <c r="BK185" i="17"/>
  <c r="BL185" i="17" s="1"/>
  <c r="BI185" i="17"/>
  <c r="BJ185" i="17" s="1"/>
  <c r="BG185" i="17"/>
  <c r="BH185" i="17" s="1"/>
  <c r="BE185" i="17"/>
  <c r="BF185" i="17" s="1"/>
  <c r="BC185" i="17"/>
  <c r="BD185" i="17" s="1"/>
  <c r="BA185" i="17"/>
  <c r="BB185" i="17" s="1"/>
  <c r="AY185" i="17"/>
  <c r="AZ185" i="17" s="1"/>
  <c r="AW185" i="17"/>
  <c r="AX185" i="17" s="1"/>
  <c r="AU185" i="17"/>
  <c r="AV185" i="17" s="1"/>
  <c r="AS185" i="17"/>
  <c r="AT185" i="17" s="1"/>
  <c r="AQ185" i="17"/>
  <c r="AR185" i="17" s="1"/>
  <c r="AO185" i="17"/>
  <c r="AP185" i="17" s="1"/>
  <c r="AM185" i="17"/>
  <c r="AN185" i="17" s="1"/>
  <c r="BU184" i="17"/>
  <c r="BV184" i="17" s="1"/>
  <c r="BS184" i="17"/>
  <c r="BT184" i="17" s="1"/>
  <c r="BQ184" i="17"/>
  <c r="BR184" i="17" s="1"/>
  <c r="BO184" i="17"/>
  <c r="BP184" i="17" s="1"/>
  <c r="BM184" i="17"/>
  <c r="BN184" i="17" s="1"/>
  <c r="BK184" i="17"/>
  <c r="BL184" i="17" s="1"/>
  <c r="BI184" i="17"/>
  <c r="BJ184" i="17" s="1"/>
  <c r="BG184" i="17"/>
  <c r="BH184" i="17" s="1"/>
  <c r="BE184" i="17"/>
  <c r="BF184" i="17" s="1"/>
  <c r="BC184" i="17"/>
  <c r="BD184" i="17" s="1"/>
  <c r="BA184" i="17"/>
  <c r="BB184" i="17" s="1"/>
  <c r="AY184" i="17"/>
  <c r="AZ184" i="17" s="1"/>
  <c r="AW184" i="17"/>
  <c r="AX184" i="17" s="1"/>
  <c r="AU184" i="17"/>
  <c r="AV184" i="17" s="1"/>
  <c r="AS184" i="17"/>
  <c r="AT184" i="17" s="1"/>
  <c r="AQ184" i="17"/>
  <c r="AR184" i="17" s="1"/>
  <c r="AO184" i="17"/>
  <c r="AP184" i="17" s="1"/>
  <c r="AM184" i="17"/>
  <c r="AN184" i="17" s="1"/>
  <c r="BU183" i="17"/>
  <c r="BV183" i="17" s="1"/>
  <c r="BS183" i="17"/>
  <c r="BT183" i="17" s="1"/>
  <c r="BQ183" i="17"/>
  <c r="BR183" i="17" s="1"/>
  <c r="BO183" i="17"/>
  <c r="BP183" i="17" s="1"/>
  <c r="BM183" i="17"/>
  <c r="BN183" i="17" s="1"/>
  <c r="BK183" i="17"/>
  <c r="BL183" i="17" s="1"/>
  <c r="BI183" i="17"/>
  <c r="BJ183" i="17" s="1"/>
  <c r="BG183" i="17"/>
  <c r="BH183" i="17" s="1"/>
  <c r="BE183" i="17"/>
  <c r="BF183" i="17" s="1"/>
  <c r="BC183" i="17"/>
  <c r="BD183" i="17" s="1"/>
  <c r="BA183" i="17"/>
  <c r="BB183" i="17" s="1"/>
  <c r="AY183" i="17"/>
  <c r="AZ183" i="17" s="1"/>
  <c r="AW183" i="17"/>
  <c r="AX183" i="17" s="1"/>
  <c r="AU183" i="17"/>
  <c r="AV183" i="17" s="1"/>
  <c r="AS183" i="17"/>
  <c r="AT183" i="17" s="1"/>
  <c r="AQ183" i="17"/>
  <c r="AR183" i="17" s="1"/>
  <c r="AO183" i="17"/>
  <c r="AP183" i="17" s="1"/>
  <c r="AM183" i="17"/>
  <c r="AN183" i="17" s="1"/>
  <c r="BU182" i="17"/>
  <c r="BV182" i="17" s="1"/>
  <c r="BS182" i="17"/>
  <c r="BT182" i="17" s="1"/>
  <c r="BQ182" i="17"/>
  <c r="BR182" i="17" s="1"/>
  <c r="BO182" i="17"/>
  <c r="BP182" i="17" s="1"/>
  <c r="BM182" i="17"/>
  <c r="BN182" i="17" s="1"/>
  <c r="BK182" i="17"/>
  <c r="BL182" i="17" s="1"/>
  <c r="BI182" i="17"/>
  <c r="BJ182" i="17" s="1"/>
  <c r="BG182" i="17"/>
  <c r="BH182" i="17" s="1"/>
  <c r="BE182" i="17"/>
  <c r="BF182" i="17" s="1"/>
  <c r="BC182" i="17"/>
  <c r="BD182" i="17" s="1"/>
  <c r="BA182" i="17"/>
  <c r="BB182" i="17" s="1"/>
  <c r="AY182" i="17"/>
  <c r="AZ182" i="17" s="1"/>
  <c r="AW182" i="17"/>
  <c r="AX182" i="17" s="1"/>
  <c r="AU182" i="17"/>
  <c r="AV182" i="17" s="1"/>
  <c r="AS182" i="17"/>
  <c r="AT182" i="17" s="1"/>
  <c r="AQ182" i="17"/>
  <c r="AR182" i="17" s="1"/>
  <c r="AO182" i="17"/>
  <c r="AP182" i="17" s="1"/>
  <c r="AM182" i="17"/>
  <c r="AN182" i="17" s="1"/>
  <c r="BU181" i="17"/>
  <c r="BV181" i="17" s="1"/>
  <c r="BS181" i="17"/>
  <c r="BT181" i="17" s="1"/>
  <c r="BQ181" i="17"/>
  <c r="BR181" i="17" s="1"/>
  <c r="BO181" i="17"/>
  <c r="BP181" i="17" s="1"/>
  <c r="BM181" i="17"/>
  <c r="BN181" i="17" s="1"/>
  <c r="BK181" i="17"/>
  <c r="BL181" i="17" s="1"/>
  <c r="BI181" i="17"/>
  <c r="BJ181" i="17" s="1"/>
  <c r="BG181" i="17"/>
  <c r="BH181" i="17" s="1"/>
  <c r="BE181" i="17"/>
  <c r="BF181" i="17" s="1"/>
  <c r="BC181" i="17"/>
  <c r="BD181" i="17" s="1"/>
  <c r="BA181" i="17"/>
  <c r="BB181" i="17" s="1"/>
  <c r="AY181" i="17"/>
  <c r="AZ181" i="17" s="1"/>
  <c r="AW181" i="17"/>
  <c r="AX181" i="17" s="1"/>
  <c r="AU181" i="17"/>
  <c r="AV181" i="17" s="1"/>
  <c r="AS181" i="17"/>
  <c r="AT181" i="17" s="1"/>
  <c r="AQ181" i="17"/>
  <c r="AR181" i="17" s="1"/>
  <c r="AO181" i="17"/>
  <c r="AP181" i="17" s="1"/>
  <c r="AM181" i="17"/>
  <c r="AN181" i="17" s="1"/>
  <c r="BU180" i="17"/>
  <c r="BV180" i="17" s="1"/>
  <c r="BS180" i="17"/>
  <c r="BT180" i="17" s="1"/>
  <c r="BQ180" i="17"/>
  <c r="BR180" i="17" s="1"/>
  <c r="BO180" i="17"/>
  <c r="BP180" i="17" s="1"/>
  <c r="BM180" i="17"/>
  <c r="BN180" i="17" s="1"/>
  <c r="BK180" i="17"/>
  <c r="BL180" i="17" s="1"/>
  <c r="BI180" i="17"/>
  <c r="BJ180" i="17" s="1"/>
  <c r="BG180" i="17"/>
  <c r="BH180" i="17" s="1"/>
  <c r="BE180" i="17"/>
  <c r="BF180" i="17" s="1"/>
  <c r="BC180" i="17"/>
  <c r="BD180" i="17" s="1"/>
  <c r="BA180" i="17"/>
  <c r="BB180" i="17" s="1"/>
  <c r="AY180" i="17"/>
  <c r="AZ180" i="17" s="1"/>
  <c r="AW180" i="17"/>
  <c r="AX180" i="17" s="1"/>
  <c r="AU180" i="17"/>
  <c r="AV180" i="17" s="1"/>
  <c r="AS180" i="17"/>
  <c r="AT180" i="17" s="1"/>
  <c r="AQ180" i="17"/>
  <c r="AR180" i="17" s="1"/>
  <c r="AO180" i="17"/>
  <c r="AP180" i="17" s="1"/>
  <c r="AM180" i="17"/>
  <c r="AN180" i="17" s="1"/>
  <c r="BU179" i="17"/>
  <c r="BV179" i="17" s="1"/>
  <c r="BS179" i="17"/>
  <c r="BT179" i="17" s="1"/>
  <c r="BQ179" i="17"/>
  <c r="BR179" i="17" s="1"/>
  <c r="BO179" i="17"/>
  <c r="BP179" i="17" s="1"/>
  <c r="BM179" i="17"/>
  <c r="BN179" i="17" s="1"/>
  <c r="BK179" i="17"/>
  <c r="BL179" i="17" s="1"/>
  <c r="BI179" i="17"/>
  <c r="BJ179" i="17" s="1"/>
  <c r="BG179" i="17"/>
  <c r="BH179" i="17" s="1"/>
  <c r="BE179" i="17"/>
  <c r="BF179" i="17" s="1"/>
  <c r="BC179" i="17"/>
  <c r="BD179" i="17" s="1"/>
  <c r="BA179" i="17"/>
  <c r="BB179" i="17" s="1"/>
  <c r="AY179" i="17"/>
  <c r="AZ179" i="17" s="1"/>
  <c r="AW179" i="17"/>
  <c r="AX179" i="17" s="1"/>
  <c r="AU179" i="17"/>
  <c r="AV179" i="17" s="1"/>
  <c r="AS179" i="17"/>
  <c r="AT179" i="17" s="1"/>
  <c r="AQ179" i="17"/>
  <c r="AR179" i="17" s="1"/>
  <c r="AO179" i="17"/>
  <c r="AP179" i="17" s="1"/>
  <c r="AM179" i="17"/>
  <c r="AN179" i="17" s="1"/>
  <c r="BU178" i="17"/>
  <c r="BV178" i="17" s="1"/>
  <c r="BS178" i="17"/>
  <c r="BT178" i="17" s="1"/>
  <c r="BQ178" i="17"/>
  <c r="BR178" i="17" s="1"/>
  <c r="BO178" i="17"/>
  <c r="BP178" i="17" s="1"/>
  <c r="BM178" i="17"/>
  <c r="BN178" i="17" s="1"/>
  <c r="BK178" i="17"/>
  <c r="BL178" i="17" s="1"/>
  <c r="BI178" i="17"/>
  <c r="BJ178" i="17" s="1"/>
  <c r="BG178" i="17"/>
  <c r="BH178" i="17" s="1"/>
  <c r="BE178" i="17"/>
  <c r="BF178" i="17" s="1"/>
  <c r="BC178" i="17"/>
  <c r="BD178" i="17" s="1"/>
  <c r="BA178" i="17"/>
  <c r="BB178" i="17" s="1"/>
  <c r="AY178" i="17"/>
  <c r="AZ178" i="17" s="1"/>
  <c r="AW178" i="17"/>
  <c r="AX178" i="17" s="1"/>
  <c r="AU178" i="17"/>
  <c r="AV178" i="17" s="1"/>
  <c r="AS178" i="17"/>
  <c r="AT178" i="17" s="1"/>
  <c r="AQ178" i="17"/>
  <c r="AR178" i="17" s="1"/>
  <c r="AO178" i="17"/>
  <c r="AP178" i="17" s="1"/>
  <c r="AM178" i="17"/>
  <c r="AN178" i="17" s="1"/>
  <c r="BU177" i="17"/>
  <c r="BV177" i="17" s="1"/>
  <c r="BS177" i="17"/>
  <c r="BT177" i="17" s="1"/>
  <c r="BQ177" i="17"/>
  <c r="BR177" i="17" s="1"/>
  <c r="BO177" i="17"/>
  <c r="BP177" i="17" s="1"/>
  <c r="BM177" i="17"/>
  <c r="BN177" i="17" s="1"/>
  <c r="BK177" i="17"/>
  <c r="BL177" i="17" s="1"/>
  <c r="BI177" i="17"/>
  <c r="BJ177" i="17" s="1"/>
  <c r="BG177" i="17"/>
  <c r="BH177" i="17" s="1"/>
  <c r="BE177" i="17"/>
  <c r="BF177" i="17" s="1"/>
  <c r="BC177" i="17"/>
  <c r="BD177" i="17" s="1"/>
  <c r="BA177" i="17"/>
  <c r="BB177" i="17" s="1"/>
  <c r="AY177" i="17"/>
  <c r="AZ177" i="17" s="1"/>
  <c r="AW177" i="17"/>
  <c r="AX177" i="17" s="1"/>
  <c r="AU177" i="17"/>
  <c r="AV177" i="17" s="1"/>
  <c r="AS177" i="17"/>
  <c r="AT177" i="17" s="1"/>
  <c r="AQ177" i="17"/>
  <c r="AR177" i="17" s="1"/>
  <c r="AO177" i="17"/>
  <c r="AP177" i="17" s="1"/>
  <c r="AM177" i="17"/>
  <c r="AN177" i="17" s="1"/>
  <c r="BU176" i="17"/>
  <c r="BV176" i="17" s="1"/>
  <c r="BS176" i="17"/>
  <c r="BT176" i="17" s="1"/>
  <c r="BQ176" i="17"/>
  <c r="BR176" i="17" s="1"/>
  <c r="BO176" i="17"/>
  <c r="BP176" i="17" s="1"/>
  <c r="BM176" i="17"/>
  <c r="BN176" i="17" s="1"/>
  <c r="BK176" i="17"/>
  <c r="BL176" i="17" s="1"/>
  <c r="BI176" i="17"/>
  <c r="BJ176" i="17" s="1"/>
  <c r="BG176" i="17"/>
  <c r="BH176" i="17" s="1"/>
  <c r="BE176" i="17"/>
  <c r="BF176" i="17" s="1"/>
  <c r="BC176" i="17"/>
  <c r="BD176" i="17" s="1"/>
  <c r="BA176" i="17"/>
  <c r="BB176" i="17" s="1"/>
  <c r="AY176" i="17"/>
  <c r="AZ176" i="17" s="1"/>
  <c r="AW176" i="17"/>
  <c r="AX176" i="17" s="1"/>
  <c r="AU176" i="17"/>
  <c r="AV176" i="17" s="1"/>
  <c r="AS176" i="17"/>
  <c r="AT176" i="17" s="1"/>
  <c r="AQ176" i="17"/>
  <c r="AR176" i="17" s="1"/>
  <c r="AO176" i="17"/>
  <c r="AP176" i="17" s="1"/>
  <c r="AM176" i="17"/>
  <c r="AN176" i="17" s="1"/>
  <c r="BU175" i="17"/>
  <c r="BV175" i="17" s="1"/>
  <c r="BS175" i="17"/>
  <c r="BT175" i="17" s="1"/>
  <c r="BQ175" i="17"/>
  <c r="BR175" i="17" s="1"/>
  <c r="BO175" i="17"/>
  <c r="BP175" i="17" s="1"/>
  <c r="BM175" i="17"/>
  <c r="BN175" i="17" s="1"/>
  <c r="BK175" i="17"/>
  <c r="BL175" i="17" s="1"/>
  <c r="BI175" i="17"/>
  <c r="BJ175" i="17" s="1"/>
  <c r="BG175" i="17"/>
  <c r="BH175" i="17" s="1"/>
  <c r="BE175" i="17"/>
  <c r="BF175" i="17" s="1"/>
  <c r="BC175" i="17"/>
  <c r="BD175" i="17" s="1"/>
  <c r="BA175" i="17"/>
  <c r="BB175" i="17" s="1"/>
  <c r="AY175" i="17"/>
  <c r="AZ175" i="17" s="1"/>
  <c r="AW175" i="17"/>
  <c r="AX175" i="17" s="1"/>
  <c r="AU175" i="17"/>
  <c r="AV175" i="17" s="1"/>
  <c r="AS175" i="17"/>
  <c r="AT175" i="17" s="1"/>
  <c r="AQ175" i="17"/>
  <c r="AR175" i="17" s="1"/>
  <c r="AO175" i="17"/>
  <c r="AP175" i="17" s="1"/>
  <c r="AM175" i="17"/>
  <c r="AN175" i="17" s="1"/>
  <c r="BU174" i="17"/>
  <c r="BV174" i="17" s="1"/>
  <c r="BS174" i="17"/>
  <c r="BT174" i="17" s="1"/>
  <c r="BQ174" i="17"/>
  <c r="BR174" i="17" s="1"/>
  <c r="BO174" i="17"/>
  <c r="BP174" i="17" s="1"/>
  <c r="BM174" i="17"/>
  <c r="BN174" i="17" s="1"/>
  <c r="BK174" i="17"/>
  <c r="BL174" i="17" s="1"/>
  <c r="BI174" i="17"/>
  <c r="BJ174" i="17" s="1"/>
  <c r="BG174" i="17"/>
  <c r="BH174" i="17" s="1"/>
  <c r="BE174" i="17"/>
  <c r="BF174" i="17" s="1"/>
  <c r="BC174" i="17"/>
  <c r="BD174" i="17" s="1"/>
  <c r="BA174" i="17"/>
  <c r="BB174" i="17" s="1"/>
  <c r="AY174" i="17"/>
  <c r="AZ174" i="17" s="1"/>
  <c r="AW174" i="17"/>
  <c r="AX174" i="17" s="1"/>
  <c r="AU174" i="17"/>
  <c r="AV174" i="17" s="1"/>
  <c r="AS174" i="17"/>
  <c r="AT174" i="17" s="1"/>
  <c r="AQ174" i="17"/>
  <c r="AR174" i="17" s="1"/>
  <c r="AO174" i="17"/>
  <c r="AP174" i="17" s="1"/>
  <c r="AM174" i="17"/>
  <c r="AN174" i="17" s="1"/>
  <c r="BU173" i="17"/>
  <c r="BV173" i="17" s="1"/>
  <c r="BS173" i="17"/>
  <c r="BT173" i="17" s="1"/>
  <c r="BQ173" i="17"/>
  <c r="BR173" i="17" s="1"/>
  <c r="BO173" i="17"/>
  <c r="BP173" i="17" s="1"/>
  <c r="BM173" i="17"/>
  <c r="BN173" i="17" s="1"/>
  <c r="BK173" i="17"/>
  <c r="BL173" i="17" s="1"/>
  <c r="BI173" i="17"/>
  <c r="BJ173" i="17" s="1"/>
  <c r="BG173" i="17"/>
  <c r="BH173" i="17" s="1"/>
  <c r="BE173" i="17"/>
  <c r="BF173" i="17" s="1"/>
  <c r="BC173" i="17"/>
  <c r="BD173" i="17" s="1"/>
  <c r="BA173" i="17"/>
  <c r="BB173" i="17" s="1"/>
  <c r="AY173" i="17"/>
  <c r="AZ173" i="17" s="1"/>
  <c r="AW173" i="17"/>
  <c r="AX173" i="17" s="1"/>
  <c r="AU173" i="17"/>
  <c r="AV173" i="17" s="1"/>
  <c r="AS173" i="17"/>
  <c r="AT173" i="17" s="1"/>
  <c r="AQ173" i="17"/>
  <c r="AR173" i="17" s="1"/>
  <c r="AO173" i="17"/>
  <c r="AP173" i="17" s="1"/>
  <c r="AM173" i="17"/>
  <c r="AN173" i="17" s="1"/>
  <c r="BU172" i="17"/>
  <c r="BV172" i="17" s="1"/>
  <c r="BS172" i="17"/>
  <c r="BT172" i="17" s="1"/>
  <c r="BQ172" i="17"/>
  <c r="BR172" i="17" s="1"/>
  <c r="BO172" i="17"/>
  <c r="BP172" i="17" s="1"/>
  <c r="BM172" i="17"/>
  <c r="BN172" i="17" s="1"/>
  <c r="BK172" i="17"/>
  <c r="BL172" i="17" s="1"/>
  <c r="BI172" i="17"/>
  <c r="BJ172" i="17" s="1"/>
  <c r="BG172" i="17"/>
  <c r="BH172" i="17" s="1"/>
  <c r="BE172" i="17"/>
  <c r="BF172" i="17" s="1"/>
  <c r="BC172" i="17"/>
  <c r="BD172" i="17" s="1"/>
  <c r="BA172" i="17"/>
  <c r="BB172" i="17" s="1"/>
  <c r="AY172" i="17"/>
  <c r="AZ172" i="17" s="1"/>
  <c r="AW172" i="17"/>
  <c r="AX172" i="17" s="1"/>
  <c r="AU172" i="17"/>
  <c r="AV172" i="17" s="1"/>
  <c r="AS172" i="17"/>
  <c r="AT172" i="17" s="1"/>
  <c r="AQ172" i="17"/>
  <c r="AR172" i="17" s="1"/>
  <c r="AO172" i="17"/>
  <c r="AP172" i="17" s="1"/>
  <c r="AM172" i="17"/>
  <c r="AN172" i="17" s="1"/>
  <c r="BU171" i="17"/>
  <c r="BV171" i="17" s="1"/>
  <c r="BS171" i="17"/>
  <c r="BT171" i="17" s="1"/>
  <c r="BQ171" i="17"/>
  <c r="BR171" i="17" s="1"/>
  <c r="BO171" i="17"/>
  <c r="BP171" i="17" s="1"/>
  <c r="BM171" i="17"/>
  <c r="BN171" i="17" s="1"/>
  <c r="BK171" i="17"/>
  <c r="BL171" i="17" s="1"/>
  <c r="BI171" i="17"/>
  <c r="BJ171" i="17" s="1"/>
  <c r="BG171" i="17"/>
  <c r="BH171" i="17" s="1"/>
  <c r="BE171" i="17"/>
  <c r="BF171" i="17" s="1"/>
  <c r="BC171" i="17"/>
  <c r="BD171" i="17" s="1"/>
  <c r="BA171" i="17"/>
  <c r="BB171" i="17" s="1"/>
  <c r="AY171" i="17"/>
  <c r="AZ171" i="17" s="1"/>
  <c r="AW171" i="17"/>
  <c r="AX171" i="17" s="1"/>
  <c r="AU171" i="17"/>
  <c r="AV171" i="17" s="1"/>
  <c r="AS171" i="17"/>
  <c r="AT171" i="17" s="1"/>
  <c r="AQ171" i="17"/>
  <c r="AR171" i="17" s="1"/>
  <c r="AO171" i="17"/>
  <c r="AP171" i="17" s="1"/>
  <c r="AM171" i="17"/>
  <c r="AN171" i="17" s="1"/>
  <c r="BU170" i="17"/>
  <c r="BV170" i="17" s="1"/>
  <c r="BS170" i="17"/>
  <c r="BT170" i="17" s="1"/>
  <c r="BQ170" i="17"/>
  <c r="BR170" i="17" s="1"/>
  <c r="BO170" i="17"/>
  <c r="BP170" i="17" s="1"/>
  <c r="BM170" i="17"/>
  <c r="BN170" i="17" s="1"/>
  <c r="BK170" i="17"/>
  <c r="BL170" i="17" s="1"/>
  <c r="BI170" i="17"/>
  <c r="BJ170" i="17" s="1"/>
  <c r="BG170" i="17"/>
  <c r="BH170" i="17" s="1"/>
  <c r="BE170" i="17"/>
  <c r="BF170" i="17" s="1"/>
  <c r="BC170" i="17"/>
  <c r="BD170" i="17" s="1"/>
  <c r="BA170" i="17"/>
  <c r="BB170" i="17" s="1"/>
  <c r="AY170" i="17"/>
  <c r="AZ170" i="17" s="1"/>
  <c r="AW170" i="17"/>
  <c r="AX170" i="17" s="1"/>
  <c r="AU170" i="17"/>
  <c r="AV170" i="17" s="1"/>
  <c r="AS170" i="17"/>
  <c r="AT170" i="17" s="1"/>
  <c r="AQ170" i="17"/>
  <c r="AR170" i="17" s="1"/>
  <c r="AO170" i="17"/>
  <c r="AP170" i="17" s="1"/>
  <c r="AM170" i="17"/>
  <c r="AN170" i="17" s="1"/>
  <c r="BU169" i="17"/>
  <c r="BV169" i="17" s="1"/>
  <c r="BS169" i="17"/>
  <c r="BT169" i="17" s="1"/>
  <c r="BQ169" i="17"/>
  <c r="BR169" i="17" s="1"/>
  <c r="BO169" i="17"/>
  <c r="BP169" i="17" s="1"/>
  <c r="BM169" i="17"/>
  <c r="BN169" i="17" s="1"/>
  <c r="BK169" i="17"/>
  <c r="BL169" i="17" s="1"/>
  <c r="BI169" i="17"/>
  <c r="BJ169" i="17" s="1"/>
  <c r="BG169" i="17"/>
  <c r="BH169" i="17" s="1"/>
  <c r="BE169" i="17"/>
  <c r="BF169" i="17" s="1"/>
  <c r="BC169" i="17"/>
  <c r="BD169" i="17" s="1"/>
  <c r="BA169" i="17"/>
  <c r="BB169" i="17" s="1"/>
  <c r="AY169" i="17"/>
  <c r="AZ169" i="17" s="1"/>
  <c r="AW169" i="17"/>
  <c r="AX169" i="17" s="1"/>
  <c r="AU169" i="17"/>
  <c r="AV169" i="17" s="1"/>
  <c r="AS169" i="17"/>
  <c r="AT169" i="17" s="1"/>
  <c r="AQ169" i="17"/>
  <c r="AR169" i="17" s="1"/>
  <c r="AO169" i="17"/>
  <c r="AP169" i="17" s="1"/>
  <c r="AM169" i="17"/>
  <c r="AN169" i="17" s="1"/>
  <c r="BU168" i="17"/>
  <c r="BV168" i="17" s="1"/>
  <c r="BS168" i="17"/>
  <c r="BT168" i="17" s="1"/>
  <c r="BQ168" i="17"/>
  <c r="BR168" i="17" s="1"/>
  <c r="BO168" i="17"/>
  <c r="BP168" i="17" s="1"/>
  <c r="BM168" i="17"/>
  <c r="BN168" i="17" s="1"/>
  <c r="BK168" i="17"/>
  <c r="BL168" i="17" s="1"/>
  <c r="BI168" i="17"/>
  <c r="BJ168" i="17" s="1"/>
  <c r="BG168" i="17"/>
  <c r="BH168" i="17" s="1"/>
  <c r="BE168" i="17"/>
  <c r="BF168" i="17" s="1"/>
  <c r="BC168" i="17"/>
  <c r="BD168" i="17" s="1"/>
  <c r="BA168" i="17"/>
  <c r="BB168" i="17" s="1"/>
  <c r="AY168" i="17"/>
  <c r="AZ168" i="17" s="1"/>
  <c r="AW168" i="17"/>
  <c r="AX168" i="17" s="1"/>
  <c r="AU168" i="17"/>
  <c r="AV168" i="17" s="1"/>
  <c r="AS168" i="17"/>
  <c r="AT168" i="17" s="1"/>
  <c r="AQ168" i="17"/>
  <c r="AR168" i="17" s="1"/>
  <c r="AO168" i="17"/>
  <c r="AP168" i="17" s="1"/>
  <c r="AM168" i="17"/>
  <c r="AN168" i="17" s="1"/>
  <c r="BU167" i="17"/>
  <c r="BV167" i="17" s="1"/>
  <c r="BS167" i="17"/>
  <c r="BT167" i="17" s="1"/>
  <c r="BQ167" i="17"/>
  <c r="BR167" i="17" s="1"/>
  <c r="BO167" i="17"/>
  <c r="BP167" i="17" s="1"/>
  <c r="BM167" i="17"/>
  <c r="BN167" i="17" s="1"/>
  <c r="BK167" i="17"/>
  <c r="BL167" i="17" s="1"/>
  <c r="BI167" i="17"/>
  <c r="BJ167" i="17" s="1"/>
  <c r="BG167" i="17"/>
  <c r="BH167" i="17" s="1"/>
  <c r="BE167" i="17"/>
  <c r="BF167" i="17" s="1"/>
  <c r="BC167" i="17"/>
  <c r="BD167" i="17" s="1"/>
  <c r="BA167" i="17"/>
  <c r="BB167" i="17" s="1"/>
  <c r="AY167" i="17"/>
  <c r="AZ167" i="17" s="1"/>
  <c r="AW167" i="17"/>
  <c r="AX167" i="17" s="1"/>
  <c r="AU167" i="17"/>
  <c r="AV167" i="17" s="1"/>
  <c r="AS167" i="17"/>
  <c r="AT167" i="17" s="1"/>
  <c r="AQ167" i="17"/>
  <c r="AR167" i="17" s="1"/>
  <c r="AO167" i="17"/>
  <c r="AP167" i="17" s="1"/>
  <c r="AM167" i="17"/>
  <c r="AN167" i="17" s="1"/>
  <c r="BU166" i="17"/>
  <c r="BV166" i="17" s="1"/>
  <c r="BS166" i="17"/>
  <c r="BT166" i="17" s="1"/>
  <c r="BQ166" i="17"/>
  <c r="BR166" i="17" s="1"/>
  <c r="BO166" i="17"/>
  <c r="BP166" i="17" s="1"/>
  <c r="BM166" i="17"/>
  <c r="BN166" i="17" s="1"/>
  <c r="BK166" i="17"/>
  <c r="BL166" i="17" s="1"/>
  <c r="BI166" i="17"/>
  <c r="BJ166" i="17" s="1"/>
  <c r="BG166" i="17"/>
  <c r="BH166" i="17" s="1"/>
  <c r="BE166" i="17"/>
  <c r="BF166" i="17" s="1"/>
  <c r="BC166" i="17"/>
  <c r="BD166" i="17" s="1"/>
  <c r="BA166" i="17"/>
  <c r="BB166" i="17" s="1"/>
  <c r="AY166" i="17"/>
  <c r="AZ166" i="17" s="1"/>
  <c r="AW166" i="17"/>
  <c r="AX166" i="17" s="1"/>
  <c r="AU166" i="17"/>
  <c r="AV166" i="17" s="1"/>
  <c r="AS166" i="17"/>
  <c r="AT166" i="17" s="1"/>
  <c r="AQ166" i="17"/>
  <c r="AR166" i="17" s="1"/>
  <c r="AO166" i="17"/>
  <c r="AP166" i="17" s="1"/>
  <c r="AM166" i="17"/>
  <c r="AN166" i="17" s="1"/>
  <c r="BU165" i="17"/>
  <c r="BV165" i="17" s="1"/>
  <c r="BS165" i="17"/>
  <c r="BT165" i="17" s="1"/>
  <c r="BQ165" i="17"/>
  <c r="BR165" i="17" s="1"/>
  <c r="BO165" i="17"/>
  <c r="BP165" i="17" s="1"/>
  <c r="BM165" i="17"/>
  <c r="BN165" i="17" s="1"/>
  <c r="BK165" i="17"/>
  <c r="BL165" i="17" s="1"/>
  <c r="BI165" i="17"/>
  <c r="BJ165" i="17" s="1"/>
  <c r="BG165" i="17"/>
  <c r="BH165" i="17" s="1"/>
  <c r="BE165" i="17"/>
  <c r="BF165" i="17" s="1"/>
  <c r="BC165" i="17"/>
  <c r="BD165" i="17" s="1"/>
  <c r="BA165" i="17"/>
  <c r="BB165" i="17" s="1"/>
  <c r="AY165" i="17"/>
  <c r="AZ165" i="17" s="1"/>
  <c r="AW165" i="17"/>
  <c r="AX165" i="17" s="1"/>
  <c r="AU165" i="17"/>
  <c r="AV165" i="17" s="1"/>
  <c r="AS165" i="17"/>
  <c r="AT165" i="17" s="1"/>
  <c r="AQ165" i="17"/>
  <c r="AR165" i="17" s="1"/>
  <c r="AO165" i="17"/>
  <c r="AP165" i="17" s="1"/>
  <c r="AM165" i="17"/>
  <c r="AN165" i="17" s="1"/>
  <c r="BU164" i="17"/>
  <c r="BV164" i="17" s="1"/>
  <c r="BS164" i="17"/>
  <c r="BT164" i="17" s="1"/>
  <c r="BQ164" i="17"/>
  <c r="BR164" i="17" s="1"/>
  <c r="BO164" i="17"/>
  <c r="BP164" i="17" s="1"/>
  <c r="BM164" i="17"/>
  <c r="BN164" i="17" s="1"/>
  <c r="BK164" i="17"/>
  <c r="BL164" i="17" s="1"/>
  <c r="BI164" i="17"/>
  <c r="BJ164" i="17" s="1"/>
  <c r="BG164" i="17"/>
  <c r="BH164" i="17" s="1"/>
  <c r="BE164" i="17"/>
  <c r="BF164" i="17" s="1"/>
  <c r="BC164" i="17"/>
  <c r="BD164" i="17" s="1"/>
  <c r="BA164" i="17"/>
  <c r="BB164" i="17" s="1"/>
  <c r="AY164" i="17"/>
  <c r="AZ164" i="17" s="1"/>
  <c r="AX164" i="17"/>
  <c r="AW164" i="17"/>
  <c r="AU164" i="17"/>
  <c r="AV164" i="17" s="1"/>
  <c r="AS164" i="17"/>
  <c r="AT164" i="17" s="1"/>
  <c r="AQ164" i="17"/>
  <c r="AR164" i="17" s="1"/>
  <c r="AO164" i="17"/>
  <c r="AP164" i="17" s="1"/>
  <c r="AM164" i="17"/>
  <c r="AN164" i="17" s="1"/>
  <c r="BU163" i="17"/>
  <c r="BV163" i="17" s="1"/>
  <c r="BS163" i="17"/>
  <c r="BT163" i="17" s="1"/>
  <c r="BQ163" i="17"/>
  <c r="BR163" i="17" s="1"/>
  <c r="BO163" i="17"/>
  <c r="BP163" i="17" s="1"/>
  <c r="BM163" i="17"/>
  <c r="BN163" i="17" s="1"/>
  <c r="BK163" i="17"/>
  <c r="BL163" i="17" s="1"/>
  <c r="BI163" i="17"/>
  <c r="BJ163" i="17" s="1"/>
  <c r="BG163" i="17"/>
  <c r="BH163" i="17" s="1"/>
  <c r="BE163" i="17"/>
  <c r="BF163" i="17" s="1"/>
  <c r="BC163" i="17"/>
  <c r="BD163" i="17" s="1"/>
  <c r="BA163" i="17"/>
  <c r="BB163" i="17" s="1"/>
  <c r="AY163" i="17"/>
  <c r="AZ163" i="17" s="1"/>
  <c r="AW163" i="17"/>
  <c r="AX163" i="17" s="1"/>
  <c r="AU163" i="17"/>
  <c r="AV163" i="17" s="1"/>
  <c r="AS163" i="17"/>
  <c r="AT163" i="17" s="1"/>
  <c r="AQ163" i="17"/>
  <c r="AR163" i="17" s="1"/>
  <c r="AO163" i="17"/>
  <c r="AP163" i="17" s="1"/>
  <c r="AM163" i="17"/>
  <c r="AN163" i="17" s="1"/>
  <c r="BU162" i="17"/>
  <c r="BV162" i="17" s="1"/>
  <c r="BS162" i="17"/>
  <c r="BT162" i="17" s="1"/>
  <c r="BQ162" i="17"/>
  <c r="BR162" i="17" s="1"/>
  <c r="BO162" i="17"/>
  <c r="BP162" i="17" s="1"/>
  <c r="BM162" i="17"/>
  <c r="BN162" i="17" s="1"/>
  <c r="BK162" i="17"/>
  <c r="BL162" i="17" s="1"/>
  <c r="BI162" i="17"/>
  <c r="BJ162" i="17" s="1"/>
  <c r="BG162" i="17"/>
  <c r="BH162" i="17" s="1"/>
  <c r="BE162" i="17"/>
  <c r="BF162" i="17" s="1"/>
  <c r="BC162" i="17"/>
  <c r="BD162" i="17" s="1"/>
  <c r="BA162" i="17"/>
  <c r="BB162" i="17" s="1"/>
  <c r="AY162" i="17"/>
  <c r="AZ162" i="17" s="1"/>
  <c r="AW162" i="17"/>
  <c r="AX162" i="17" s="1"/>
  <c r="AU162" i="17"/>
  <c r="AV162" i="17" s="1"/>
  <c r="AS162" i="17"/>
  <c r="AT162" i="17" s="1"/>
  <c r="AQ162" i="17"/>
  <c r="AR162" i="17" s="1"/>
  <c r="AO162" i="17"/>
  <c r="AP162" i="17" s="1"/>
  <c r="AM162" i="17"/>
  <c r="AN162" i="17" s="1"/>
  <c r="BU161" i="17"/>
  <c r="BV161" i="17" s="1"/>
  <c r="BS161" i="17"/>
  <c r="BT161" i="17" s="1"/>
  <c r="BQ161" i="17"/>
  <c r="BR161" i="17" s="1"/>
  <c r="BO161" i="17"/>
  <c r="BP161" i="17" s="1"/>
  <c r="BM161" i="17"/>
  <c r="BN161" i="17" s="1"/>
  <c r="BK161" i="17"/>
  <c r="BL161" i="17" s="1"/>
  <c r="BI161" i="17"/>
  <c r="BJ161" i="17" s="1"/>
  <c r="BG161" i="17"/>
  <c r="BH161" i="17" s="1"/>
  <c r="BE161" i="17"/>
  <c r="BF161" i="17" s="1"/>
  <c r="BC161" i="17"/>
  <c r="BD161" i="17" s="1"/>
  <c r="BA161" i="17"/>
  <c r="BB161" i="17" s="1"/>
  <c r="AY161" i="17"/>
  <c r="AZ161" i="17" s="1"/>
  <c r="AW161" i="17"/>
  <c r="AX161" i="17" s="1"/>
  <c r="AU161" i="17"/>
  <c r="AV161" i="17" s="1"/>
  <c r="AS161" i="17"/>
  <c r="AT161" i="17" s="1"/>
  <c r="AQ161" i="17"/>
  <c r="AR161" i="17" s="1"/>
  <c r="AO161" i="17"/>
  <c r="AP161" i="17" s="1"/>
  <c r="AM161" i="17"/>
  <c r="AN161" i="17" s="1"/>
  <c r="BU160" i="17"/>
  <c r="BV160" i="17" s="1"/>
  <c r="BS160" i="17"/>
  <c r="BT160" i="17" s="1"/>
  <c r="BQ160" i="17"/>
  <c r="BR160" i="17" s="1"/>
  <c r="BO160" i="17"/>
  <c r="BP160" i="17" s="1"/>
  <c r="BM160" i="17"/>
  <c r="BN160" i="17" s="1"/>
  <c r="BK160" i="17"/>
  <c r="BL160" i="17" s="1"/>
  <c r="BI160" i="17"/>
  <c r="BJ160" i="17" s="1"/>
  <c r="BG160" i="17"/>
  <c r="BH160" i="17" s="1"/>
  <c r="BE160" i="17"/>
  <c r="BF160" i="17" s="1"/>
  <c r="BC160" i="17"/>
  <c r="BD160" i="17" s="1"/>
  <c r="BA160" i="17"/>
  <c r="BB160" i="17" s="1"/>
  <c r="AY160" i="17"/>
  <c r="AZ160" i="17" s="1"/>
  <c r="AW160" i="17"/>
  <c r="AX160" i="17" s="1"/>
  <c r="AU160" i="17"/>
  <c r="AV160" i="17" s="1"/>
  <c r="AS160" i="17"/>
  <c r="AT160" i="17" s="1"/>
  <c r="AQ160" i="17"/>
  <c r="AR160" i="17" s="1"/>
  <c r="AO160" i="17"/>
  <c r="AP160" i="17" s="1"/>
  <c r="AM160" i="17"/>
  <c r="AN160" i="17" s="1"/>
  <c r="BU159" i="17"/>
  <c r="BV159" i="17" s="1"/>
  <c r="BS159" i="17"/>
  <c r="BT159" i="17" s="1"/>
  <c r="BQ159" i="17"/>
  <c r="BR159" i="17" s="1"/>
  <c r="BO159" i="17"/>
  <c r="BP159" i="17" s="1"/>
  <c r="BM159" i="17"/>
  <c r="BN159" i="17" s="1"/>
  <c r="BK159" i="17"/>
  <c r="BL159" i="17" s="1"/>
  <c r="BI159" i="17"/>
  <c r="BJ159" i="17" s="1"/>
  <c r="BG159" i="17"/>
  <c r="BH159" i="17" s="1"/>
  <c r="BE159" i="17"/>
  <c r="BF159" i="17" s="1"/>
  <c r="BC159" i="17"/>
  <c r="BD159" i="17" s="1"/>
  <c r="BA159" i="17"/>
  <c r="BB159" i="17" s="1"/>
  <c r="AY159" i="17"/>
  <c r="AZ159" i="17" s="1"/>
  <c r="AW159" i="17"/>
  <c r="AX159" i="17" s="1"/>
  <c r="AU159" i="17"/>
  <c r="AV159" i="17" s="1"/>
  <c r="AS159" i="17"/>
  <c r="AT159" i="17" s="1"/>
  <c r="AQ159" i="17"/>
  <c r="AR159" i="17" s="1"/>
  <c r="AO159" i="17"/>
  <c r="AP159" i="17" s="1"/>
  <c r="AM159" i="17"/>
  <c r="AN159" i="17" s="1"/>
  <c r="BU158" i="17"/>
  <c r="BV158" i="17" s="1"/>
  <c r="BS158" i="17"/>
  <c r="BT158" i="17" s="1"/>
  <c r="BQ158" i="17"/>
  <c r="BR158" i="17" s="1"/>
  <c r="BO158" i="17"/>
  <c r="BP158" i="17" s="1"/>
  <c r="BM158" i="17"/>
  <c r="BN158" i="17" s="1"/>
  <c r="BK158" i="17"/>
  <c r="BL158" i="17" s="1"/>
  <c r="BI158" i="17"/>
  <c r="BJ158" i="17" s="1"/>
  <c r="BG158" i="17"/>
  <c r="BH158" i="17" s="1"/>
  <c r="BE158" i="17"/>
  <c r="BF158" i="17" s="1"/>
  <c r="BC158" i="17"/>
  <c r="BD158" i="17" s="1"/>
  <c r="BA158" i="17"/>
  <c r="BB158" i="17" s="1"/>
  <c r="AY158" i="17"/>
  <c r="AZ158" i="17" s="1"/>
  <c r="AW158" i="17"/>
  <c r="AX158" i="17" s="1"/>
  <c r="AU158" i="17"/>
  <c r="AV158" i="17" s="1"/>
  <c r="AS158" i="17"/>
  <c r="AT158" i="17" s="1"/>
  <c r="AQ158" i="17"/>
  <c r="AR158" i="17" s="1"/>
  <c r="AO158" i="17"/>
  <c r="AP158" i="17" s="1"/>
  <c r="AM158" i="17"/>
  <c r="AN158" i="17" s="1"/>
  <c r="BU157" i="17"/>
  <c r="BV157" i="17" s="1"/>
  <c r="BS157" i="17"/>
  <c r="BT157" i="17" s="1"/>
  <c r="BQ157" i="17"/>
  <c r="BR157" i="17" s="1"/>
  <c r="BO157" i="17"/>
  <c r="BP157" i="17" s="1"/>
  <c r="BM157" i="17"/>
  <c r="BN157" i="17" s="1"/>
  <c r="BK157" i="17"/>
  <c r="BL157" i="17" s="1"/>
  <c r="BI157" i="17"/>
  <c r="BJ157" i="17" s="1"/>
  <c r="BG157" i="17"/>
  <c r="BH157" i="17" s="1"/>
  <c r="BE157" i="17"/>
  <c r="BF157" i="17" s="1"/>
  <c r="BC157" i="17"/>
  <c r="BD157" i="17" s="1"/>
  <c r="BA157" i="17"/>
  <c r="BB157" i="17" s="1"/>
  <c r="AY157" i="17"/>
  <c r="AZ157" i="17" s="1"/>
  <c r="AW157" i="17"/>
  <c r="AX157" i="17" s="1"/>
  <c r="AU157" i="17"/>
  <c r="AV157" i="17" s="1"/>
  <c r="AS157" i="17"/>
  <c r="AT157" i="17" s="1"/>
  <c r="AQ157" i="17"/>
  <c r="AR157" i="17" s="1"/>
  <c r="AO157" i="17"/>
  <c r="AP157" i="17" s="1"/>
  <c r="AM157" i="17"/>
  <c r="AN157" i="17" s="1"/>
  <c r="BU156" i="17"/>
  <c r="BV156" i="17" s="1"/>
  <c r="BS156" i="17"/>
  <c r="BT156" i="17" s="1"/>
  <c r="BQ156" i="17"/>
  <c r="BR156" i="17" s="1"/>
  <c r="BO156" i="17"/>
  <c r="BP156" i="17" s="1"/>
  <c r="BM156" i="17"/>
  <c r="BN156" i="17" s="1"/>
  <c r="BK156" i="17"/>
  <c r="BL156" i="17" s="1"/>
  <c r="BI156" i="17"/>
  <c r="BJ156" i="17" s="1"/>
  <c r="BG156" i="17"/>
  <c r="BH156" i="17" s="1"/>
  <c r="BE156" i="17"/>
  <c r="BF156" i="17" s="1"/>
  <c r="BC156" i="17"/>
  <c r="BD156" i="17" s="1"/>
  <c r="BA156" i="17"/>
  <c r="BB156" i="17" s="1"/>
  <c r="AY156" i="17"/>
  <c r="AZ156" i="17" s="1"/>
  <c r="AW156" i="17"/>
  <c r="AX156" i="17" s="1"/>
  <c r="AU156" i="17"/>
  <c r="AV156" i="17" s="1"/>
  <c r="AS156" i="17"/>
  <c r="AT156" i="17" s="1"/>
  <c r="AQ156" i="17"/>
  <c r="AR156" i="17" s="1"/>
  <c r="AO156" i="17"/>
  <c r="AP156" i="17" s="1"/>
  <c r="AM156" i="17"/>
  <c r="AN156" i="17" s="1"/>
  <c r="BU155" i="17"/>
  <c r="BV155" i="17" s="1"/>
  <c r="BS155" i="17"/>
  <c r="BT155" i="17" s="1"/>
  <c r="BQ155" i="17"/>
  <c r="BR155" i="17" s="1"/>
  <c r="BO155" i="17"/>
  <c r="BP155" i="17" s="1"/>
  <c r="BM155" i="17"/>
  <c r="BN155" i="17" s="1"/>
  <c r="BK155" i="17"/>
  <c r="BL155" i="17" s="1"/>
  <c r="BI155" i="17"/>
  <c r="BJ155" i="17" s="1"/>
  <c r="BG155" i="17"/>
  <c r="BH155" i="17" s="1"/>
  <c r="BE155" i="17"/>
  <c r="BF155" i="17" s="1"/>
  <c r="BC155" i="17"/>
  <c r="BD155" i="17" s="1"/>
  <c r="BA155" i="17"/>
  <c r="BB155" i="17" s="1"/>
  <c r="AY155" i="17"/>
  <c r="AZ155" i="17" s="1"/>
  <c r="AW155" i="17"/>
  <c r="AX155" i="17" s="1"/>
  <c r="AU155" i="17"/>
  <c r="AV155" i="17" s="1"/>
  <c r="AS155" i="17"/>
  <c r="AT155" i="17" s="1"/>
  <c r="AQ155" i="17"/>
  <c r="AR155" i="17" s="1"/>
  <c r="AO155" i="17"/>
  <c r="AP155" i="17" s="1"/>
  <c r="AM155" i="17"/>
  <c r="AN155" i="17" s="1"/>
  <c r="BU154" i="17"/>
  <c r="BV154" i="17" s="1"/>
  <c r="BS154" i="17"/>
  <c r="BT154" i="17" s="1"/>
  <c r="BQ154" i="17"/>
  <c r="BR154" i="17" s="1"/>
  <c r="BO154" i="17"/>
  <c r="BP154" i="17" s="1"/>
  <c r="BM154" i="17"/>
  <c r="BN154" i="17" s="1"/>
  <c r="BK154" i="17"/>
  <c r="BL154" i="17" s="1"/>
  <c r="BI154" i="17"/>
  <c r="BJ154" i="17" s="1"/>
  <c r="BG154" i="17"/>
  <c r="BH154" i="17" s="1"/>
  <c r="BE154" i="17"/>
  <c r="BF154" i="17" s="1"/>
  <c r="BC154" i="17"/>
  <c r="BD154" i="17" s="1"/>
  <c r="BA154" i="17"/>
  <c r="BB154" i="17" s="1"/>
  <c r="AY154" i="17"/>
  <c r="AZ154" i="17" s="1"/>
  <c r="AW154" i="17"/>
  <c r="AX154" i="17" s="1"/>
  <c r="AU154" i="17"/>
  <c r="AV154" i="17" s="1"/>
  <c r="AS154" i="17"/>
  <c r="AT154" i="17" s="1"/>
  <c r="AQ154" i="17"/>
  <c r="AR154" i="17" s="1"/>
  <c r="AO154" i="17"/>
  <c r="AP154" i="17" s="1"/>
  <c r="AM154" i="17"/>
  <c r="AN154" i="17" s="1"/>
  <c r="BU153" i="17"/>
  <c r="BV153" i="17" s="1"/>
  <c r="BS153" i="17"/>
  <c r="BT153" i="17" s="1"/>
  <c r="BQ153" i="17"/>
  <c r="BR153" i="17" s="1"/>
  <c r="BO153" i="17"/>
  <c r="BP153" i="17" s="1"/>
  <c r="BM153" i="17"/>
  <c r="BN153" i="17" s="1"/>
  <c r="BK153" i="17"/>
  <c r="BL153" i="17" s="1"/>
  <c r="BI153" i="17"/>
  <c r="BJ153" i="17" s="1"/>
  <c r="BG153" i="17"/>
  <c r="BH153" i="17" s="1"/>
  <c r="BE153" i="17"/>
  <c r="BF153" i="17" s="1"/>
  <c r="BC153" i="17"/>
  <c r="BD153" i="17" s="1"/>
  <c r="BA153" i="17"/>
  <c r="BB153" i="17" s="1"/>
  <c r="AY153" i="17"/>
  <c r="AZ153" i="17" s="1"/>
  <c r="AW153" i="17"/>
  <c r="AX153" i="17" s="1"/>
  <c r="AU153" i="17"/>
  <c r="AV153" i="17" s="1"/>
  <c r="AS153" i="17"/>
  <c r="AT153" i="17" s="1"/>
  <c r="AQ153" i="17"/>
  <c r="AR153" i="17" s="1"/>
  <c r="AO153" i="17"/>
  <c r="AP153" i="17" s="1"/>
  <c r="AM153" i="17"/>
  <c r="AN153" i="17" s="1"/>
  <c r="BU152" i="17"/>
  <c r="BV152" i="17" s="1"/>
  <c r="BS152" i="17"/>
  <c r="BT152" i="17" s="1"/>
  <c r="BQ152" i="17"/>
  <c r="BR152" i="17" s="1"/>
  <c r="BO152" i="17"/>
  <c r="BP152" i="17" s="1"/>
  <c r="BM152" i="17"/>
  <c r="BN152" i="17" s="1"/>
  <c r="BK152" i="17"/>
  <c r="BL152" i="17" s="1"/>
  <c r="BI152" i="17"/>
  <c r="BJ152" i="17" s="1"/>
  <c r="BG152" i="17"/>
  <c r="BH152" i="17" s="1"/>
  <c r="BE152" i="17"/>
  <c r="BF152" i="17" s="1"/>
  <c r="BC152" i="17"/>
  <c r="BD152" i="17" s="1"/>
  <c r="BA152" i="17"/>
  <c r="BB152" i="17" s="1"/>
  <c r="AY152" i="17"/>
  <c r="AZ152" i="17" s="1"/>
  <c r="AW152" i="17"/>
  <c r="AX152" i="17" s="1"/>
  <c r="AU152" i="17"/>
  <c r="AV152" i="17" s="1"/>
  <c r="AS152" i="17"/>
  <c r="AT152" i="17" s="1"/>
  <c r="AQ152" i="17"/>
  <c r="AR152" i="17" s="1"/>
  <c r="AO152" i="17"/>
  <c r="AP152" i="17" s="1"/>
  <c r="AM152" i="17"/>
  <c r="AN152" i="17" s="1"/>
  <c r="BU151" i="17"/>
  <c r="BV151" i="17" s="1"/>
  <c r="BS151" i="17"/>
  <c r="BT151" i="17" s="1"/>
  <c r="BQ151" i="17"/>
  <c r="BR151" i="17" s="1"/>
  <c r="BO151" i="17"/>
  <c r="BP151" i="17" s="1"/>
  <c r="BM151" i="17"/>
  <c r="BN151" i="17" s="1"/>
  <c r="BK151" i="17"/>
  <c r="BL151" i="17" s="1"/>
  <c r="BI151" i="17"/>
  <c r="BJ151" i="17" s="1"/>
  <c r="BG151" i="17"/>
  <c r="BH151" i="17" s="1"/>
  <c r="BE151" i="17"/>
  <c r="BF151" i="17" s="1"/>
  <c r="BC151" i="17"/>
  <c r="BD151" i="17" s="1"/>
  <c r="BA151" i="17"/>
  <c r="BB151" i="17" s="1"/>
  <c r="AY151" i="17"/>
  <c r="AZ151" i="17" s="1"/>
  <c r="AW151" i="17"/>
  <c r="AX151" i="17" s="1"/>
  <c r="AU151" i="17"/>
  <c r="AV151" i="17" s="1"/>
  <c r="AS151" i="17"/>
  <c r="AT151" i="17" s="1"/>
  <c r="AQ151" i="17"/>
  <c r="AR151" i="17" s="1"/>
  <c r="AO151" i="17"/>
  <c r="AP151" i="17" s="1"/>
  <c r="AM151" i="17"/>
  <c r="AN151" i="17" s="1"/>
  <c r="BU150" i="17"/>
  <c r="BV150" i="17" s="1"/>
  <c r="BS150" i="17"/>
  <c r="BT150" i="17" s="1"/>
  <c r="BQ150" i="17"/>
  <c r="BR150" i="17" s="1"/>
  <c r="BO150" i="17"/>
  <c r="BP150" i="17" s="1"/>
  <c r="BM150" i="17"/>
  <c r="BN150" i="17" s="1"/>
  <c r="BK150" i="17"/>
  <c r="BL150" i="17" s="1"/>
  <c r="BI150" i="17"/>
  <c r="BJ150" i="17" s="1"/>
  <c r="BG150" i="17"/>
  <c r="BH150" i="17" s="1"/>
  <c r="BE150" i="17"/>
  <c r="BF150" i="17" s="1"/>
  <c r="BC150" i="17"/>
  <c r="BD150" i="17" s="1"/>
  <c r="BA150" i="17"/>
  <c r="BB150" i="17" s="1"/>
  <c r="AY150" i="17"/>
  <c r="AZ150" i="17" s="1"/>
  <c r="AW150" i="17"/>
  <c r="AX150" i="17" s="1"/>
  <c r="AU150" i="17"/>
  <c r="AV150" i="17" s="1"/>
  <c r="AS150" i="17"/>
  <c r="AT150" i="17" s="1"/>
  <c r="AQ150" i="17"/>
  <c r="AR150" i="17" s="1"/>
  <c r="AO150" i="17"/>
  <c r="AP150" i="17" s="1"/>
  <c r="AM150" i="17"/>
  <c r="AN150" i="17" s="1"/>
  <c r="BU149" i="17"/>
  <c r="BV149" i="17" s="1"/>
  <c r="BS149" i="17"/>
  <c r="BT149" i="17" s="1"/>
  <c r="BQ149" i="17"/>
  <c r="BR149" i="17" s="1"/>
  <c r="BO149" i="17"/>
  <c r="BP149" i="17" s="1"/>
  <c r="BM149" i="17"/>
  <c r="BN149" i="17" s="1"/>
  <c r="BK149" i="17"/>
  <c r="BL149" i="17" s="1"/>
  <c r="BI149" i="17"/>
  <c r="BJ149" i="17" s="1"/>
  <c r="BG149" i="17"/>
  <c r="BH149" i="17" s="1"/>
  <c r="BE149" i="17"/>
  <c r="BF149" i="17" s="1"/>
  <c r="BC149" i="17"/>
  <c r="BD149" i="17" s="1"/>
  <c r="BA149" i="17"/>
  <c r="BB149" i="17" s="1"/>
  <c r="AY149" i="17"/>
  <c r="AZ149" i="17" s="1"/>
  <c r="AW149" i="17"/>
  <c r="AX149" i="17" s="1"/>
  <c r="AU149" i="17"/>
  <c r="AV149" i="17" s="1"/>
  <c r="AS149" i="17"/>
  <c r="AT149" i="17" s="1"/>
  <c r="AQ149" i="17"/>
  <c r="AR149" i="17" s="1"/>
  <c r="AO149" i="17"/>
  <c r="AP149" i="17" s="1"/>
  <c r="AM149" i="17"/>
  <c r="AN149" i="17" s="1"/>
  <c r="BU148" i="17"/>
  <c r="BV148" i="17" s="1"/>
  <c r="BS148" i="17"/>
  <c r="BT148" i="17" s="1"/>
  <c r="BQ148" i="17"/>
  <c r="BR148" i="17" s="1"/>
  <c r="BO148" i="17"/>
  <c r="BP148" i="17" s="1"/>
  <c r="BM148" i="17"/>
  <c r="BN148" i="17" s="1"/>
  <c r="BK148" i="17"/>
  <c r="BL148" i="17" s="1"/>
  <c r="BI148" i="17"/>
  <c r="BJ148" i="17" s="1"/>
  <c r="BG148" i="17"/>
  <c r="BH148" i="17" s="1"/>
  <c r="BE148" i="17"/>
  <c r="BF148" i="17" s="1"/>
  <c r="BC148" i="17"/>
  <c r="BD148" i="17" s="1"/>
  <c r="BA148" i="17"/>
  <c r="BB148" i="17" s="1"/>
  <c r="AY148" i="17"/>
  <c r="AZ148" i="17" s="1"/>
  <c r="AW148" i="17"/>
  <c r="AX148" i="17" s="1"/>
  <c r="AU148" i="17"/>
  <c r="AV148" i="17" s="1"/>
  <c r="AS148" i="17"/>
  <c r="AT148" i="17" s="1"/>
  <c r="AQ148" i="17"/>
  <c r="AR148" i="17" s="1"/>
  <c r="AO148" i="17"/>
  <c r="AP148" i="17" s="1"/>
  <c r="AM148" i="17"/>
  <c r="AN148" i="17" s="1"/>
  <c r="BU147" i="17"/>
  <c r="BV147" i="17" s="1"/>
  <c r="BS147" i="17"/>
  <c r="BT147" i="17" s="1"/>
  <c r="BQ147" i="17"/>
  <c r="BR147" i="17" s="1"/>
  <c r="BO147" i="17"/>
  <c r="BP147" i="17" s="1"/>
  <c r="BM147" i="17"/>
  <c r="BN147" i="17" s="1"/>
  <c r="BK147" i="17"/>
  <c r="BL147" i="17" s="1"/>
  <c r="BI147" i="17"/>
  <c r="BJ147" i="17" s="1"/>
  <c r="BG147" i="17"/>
  <c r="BH147" i="17" s="1"/>
  <c r="BE147" i="17"/>
  <c r="BF147" i="17" s="1"/>
  <c r="BC147" i="17"/>
  <c r="BD147" i="17" s="1"/>
  <c r="BA147" i="17"/>
  <c r="BB147" i="17" s="1"/>
  <c r="AY147" i="17"/>
  <c r="AZ147" i="17" s="1"/>
  <c r="AW147" i="17"/>
  <c r="AX147" i="17" s="1"/>
  <c r="AU147" i="17"/>
  <c r="AV147" i="17" s="1"/>
  <c r="AS147" i="17"/>
  <c r="AT147" i="17" s="1"/>
  <c r="AQ147" i="17"/>
  <c r="AR147" i="17" s="1"/>
  <c r="AO147" i="17"/>
  <c r="AP147" i="17" s="1"/>
  <c r="AM147" i="17"/>
  <c r="AN147" i="17" s="1"/>
  <c r="BU146" i="17"/>
  <c r="BV146" i="17" s="1"/>
  <c r="BS146" i="17"/>
  <c r="BT146" i="17" s="1"/>
  <c r="BQ146" i="17"/>
  <c r="BR146" i="17" s="1"/>
  <c r="BO146" i="17"/>
  <c r="BP146" i="17" s="1"/>
  <c r="BM146" i="17"/>
  <c r="BN146" i="17" s="1"/>
  <c r="BK146" i="17"/>
  <c r="BL146" i="17" s="1"/>
  <c r="BI146" i="17"/>
  <c r="BJ146" i="17" s="1"/>
  <c r="BG146" i="17"/>
  <c r="BH146" i="17" s="1"/>
  <c r="BE146" i="17"/>
  <c r="BF146" i="17" s="1"/>
  <c r="BC146" i="17"/>
  <c r="BD146" i="17" s="1"/>
  <c r="BA146" i="17"/>
  <c r="BB146" i="17" s="1"/>
  <c r="AY146" i="17"/>
  <c r="AZ146" i="17" s="1"/>
  <c r="AW146" i="17"/>
  <c r="AX146" i="17" s="1"/>
  <c r="AU146" i="17"/>
  <c r="AV146" i="17" s="1"/>
  <c r="AS146" i="17"/>
  <c r="AT146" i="17" s="1"/>
  <c r="AQ146" i="17"/>
  <c r="AR146" i="17" s="1"/>
  <c r="AO146" i="17"/>
  <c r="AP146" i="17" s="1"/>
  <c r="AM146" i="17"/>
  <c r="AN146" i="17" s="1"/>
  <c r="BU145" i="17"/>
  <c r="BV145" i="17" s="1"/>
  <c r="BS145" i="17"/>
  <c r="BT145" i="17" s="1"/>
  <c r="BQ145" i="17"/>
  <c r="BR145" i="17" s="1"/>
  <c r="BO145" i="17"/>
  <c r="BP145" i="17" s="1"/>
  <c r="BM145" i="17"/>
  <c r="BN145" i="17" s="1"/>
  <c r="BK145" i="17"/>
  <c r="BL145" i="17" s="1"/>
  <c r="BI145" i="17"/>
  <c r="BJ145" i="17" s="1"/>
  <c r="BG145" i="17"/>
  <c r="BH145" i="17" s="1"/>
  <c r="BE145" i="17"/>
  <c r="BF145" i="17" s="1"/>
  <c r="BC145" i="17"/>
  <c r="BD145" i="17" s="1"/>
  <c r="BA145" i="17"/>
  <c r="BB145" i="17" s="1"/>
  <c r="AY145" i="17"/>
  <c r="AZ145" i="17" s="1"/>
  <c r="AW145" i="17"/>
  <c r="AX145" i="17" s="1"/>
  <c r="AU145" i="17"/>
  <c r="AV145" i="17" s="1"/>
  <c r="AS145" i="17"/>
  <c r="AT145" i="17" s="1"/>
  <c r="AQ145" i="17"/>
  <c r="AR145" i="17" s="1"/>
  <c r="AO145" i="17"/>
  <c r="AP145" i="17" s="1"/>
  <c r="AM145" i="17"/>
  <c r="AN145" i="17" s="1"/>
  <c r="BU144" i="17"/>
  <c r="BV144" i="17" s="1"/>
  <c r="BS144" i="17"/>
  <c r="BT144" i="17" s="1"/>
  <c r="BQ144" i="17"/>
  <c r="BR144" i="17" s="1"/>
  <c r="BO144" i="17"/>
  <c r="BP144" i="17" s="1"/>
  <c r="BM144" i="17"/>
  <c r="BN144" i="17" s="1"/>
  <c r="BK144" i="17"/>
  <c r="BL144" i="17" s="1"/>
  <c r="BI144" i="17"/>
  <c r="BJ144" i="17" s="1"/>
  <c r="BG144" i="17"/>
  <c r="BH144" i="17" s="1"/>
  <c r="BE144" i="17"/>
  <c r="BF144" i="17" s="1"/>
  <c r="BC144" i="17"/>
  <c r="BD144" i="17" s="1"/>
  <c r="BA144" i="17"/>
  <c r="BB144" i="17" s="1"/>
  <c r="AY144" i="17"/>
  <c r="AZ144" i="17" s="1"/>
  <c r="AW144" i="17"/>
  <c r="AX144" i="17" s="1"/>
  <c r="AU144" i="17"/>
  <c r="AV144" i="17" s="1"/>
  <c r="AS144" i="17"/>
  <c r="AT144" i="17" s="1"/>
  <c r="AQ144" i="17"/>
  <c r="AR144" i="17" s="1"/>
  <c r="AO144" i="17"/>
  <c r="AP144" i="17" s="1"/>
  <c r="AM144" i="17"/>
  <c r="AN144" i="17" s="1"/>
  <c r="BU143" i="17"/>
  <c r="BV143" i="17" s="1"/>
  <c r="BS143" i="17"/>
  <c r="BT143" i="17" s="1"/>
  <c r="BQ143" i="17"/>
  <c r="BR143" i="17" s="1"/>
  <c r="BO143" i="17"/>
  <c r="BP143" i="17" s="1"/>
  <c r="BM143" i="17"/>
  <c r="BN143" i="17" s="1"/>
  <c r="BK143" i="17"/>
  <c r="BL143" i="17" s="1"/>
  <c r="BI143" i="17"/>
  <c r="BJ143" i="17" s="1"/>
  <c r="BG143" i="17"/>
  <c r="BH143" i="17" s="1"/>
  <c r="BE143" i="17"/>
  <c r="BF143" i="17" s="1"/>
  <c r="BC143" i="17"/>
  <c r="BD143" i="17" s="1"/>
  <c r="BA143" i="17"/>
  <c r="BB143" i="17" s="1"/>
  <c r="AY143" i="17"/>
  <c r="AZ143" i="17" s="1"/>
  <c r="AW143" i="17"/>
  <c r="AX143" i="17" s="1"/>
  <c r="AU143" i="17"/>
  <c r="AV143" i="17" s="1"/>
  <c r="AS143" i="17"/>
  <c r="AT143" i="17" s="1"/>
  <c r="AQ143" i="17"/>
  <c r="AR143" i="17" s="1"/>
  <c r="AO143" i="17"/>
  <c r="AP143" i="17" s="1"/>
  <c r="AM143" i="17"/>
  <c r="AN143" i="17" s="1"/>
  <c r="BU142" i="17"/>
  <c r="BV142" i="17" s="1"/>
  <c r="BS142" i="17"/>
  <c r="BT142" i="17" s="1"/>
  <c r="BQ142" i="17"/>
  <c r="BR142" i="17" s="1"/>
  <c r="BO142" i="17"/>
  <c r="BP142" i="17" s="1"/>
  <c r="BM142" i="17"/>
  <c r="BN142" i="17" s="1"/>
  <c r="BK142" i="17"/>
  <c r="BL142" i="17" s="1"/>
  <c r="BI142" i="17"/>
  <c r="BJ142" i="17" s="1"/>
  <c r="BG142" i="17"/>
  <c r="BH142" i="17" s="1"/>
  <c r="BE142" i="17"/>
  <c r="BF142" i="17" s="1"/>
  <c r="BC142" i="17"/>
  <c r="BD142" i="17" s="1"/>
  <c r="BA142" i="17"/>
  <c r="BB142" i="17" s="1"/>
  <c r="AY142" i="17"/>
  <c r="AZ142" i="17" s="1"/>
  <c r="AW142" i="17"/>
  <c r="AX142" i="17" s="1"/>
  <c r="AU142" i="17"/>
  <c r="AV142" i="17" s="1"/>
  <c r="AS142" i="17"/>
  <c r="AT142" i="17" s="1"/>
  <c r="AQ142" i="17"/>
  <c r="AR142" i="17" s="1"/>
  <c r="AO142" i="17"/>
  <c r="AP142" i="17" s="1"/>
  <c r="AM142" i="17"/>
  <c r="AN142" i="17" s="1"/>
  <c r="BU141" i="17"/>
  <c r="BV141" i="17" s="1"/>
  <c r="BS141" i="17"/>
  <c r="BT141" i="17" s="1"/>
  <c r="BQ141" i="17"/>
  <c r="BR141" i="17" s="1"/>
  <c r="BO141" i="17"/>
  <c r="BP141" i="17" s="1"/>
  <c r="BM141" i="17"/>
  <c r="BN141" i="17" s="1"/>
  <c r="BK141" i="17"/>
  <c r="BL141" i="17" s="1"/>
  <c r="BI141" i="17"/>
  <c r="BJ141" i="17" s="1"/>
  <c r="BG141" i="17"/>
  <c r="BH141" i="17" s="1"/>
  <c r="BE141" i="17"/>
  <c r="BF141" i="17" s="1"/>
  <c r="BC141" i="17"/>
  <c r="BD141" i="17" s="1"/>
  <c r="BA141" i="17"/>
  <c r="BB141" i="17" s="1"/>
  <c r="AY141" i="17"/>
  <c r="AZ141" i="17" s="1"/>
  <c r="AW141" i="17"/>
  <c r="AX141" i="17" s="1"/>
  <c r="AU141" i="17"/>
  <c r="AV141" i="17" s="1"/>
  <c r="AS141" i="17"/>
  <c r="AT141" i="17" s="1"/>
  <c r="AQ141" i="17"/>
  <c r="AR141" i="17" s="1"/>
  <c r="AO141" i="17"/>
  <c r="AP141" i="17" s="1"/>
  <c r="AM141" i="17"/>
  <c r="AN141" i="17" s="1"/>
  <c r="BU140" i="17"/>
  <c r="BV140" i="17" s="1"/>
  <c r="BS140" i="17"/>
  <c r="BT140" i="17" s="1"/>
  <c r="BQ140" i="17"/>
  <c r="BR140" i="17" s="1"/>
  <c r="BO140" i="17"/>
  <c r="BP140" i="17" s="1"/>
  <c r="BM140" i="17"/>
  <c r="BN140" i="17" s="1"/>
  <c r="BK140" i="17"/>
  <c r="BL140" i="17" s="1"/>
  <c r="BI140" i="17"/>
  <c r="BJ140" i="17" s="1"/>
  <c r="BG140" i="17"/>
  <c r="BH140" i="17" s="1"/>
  <c r="BE140" i="17"/>
  <c r="BF140" i="17" s="1"/>
  <c r="BC140" i="17"/>
  <c r="BD140" i="17" s="1"/>
  <c r="BA140" i="17"/>
  <c r="BB140" i="17" s="1"/>
  <c r="AY140" i="17"/>
  <c r="AZ140" i="17" s="1"/>
  <c r="AW140" i="17"/>
  <c r="AX140" i="17" s="1"/>
  <c r="AU140" i="17"/>
  <c r="AV140" i="17" s="1"/>
  <c r="AS140" i="17"/>
  <c r="AT140" i="17" s="1"/>
  <c r="AQ140" i="17"/>
  <c r="AR140" i="17" s="1"/>
  <c r="AO140" i="17"/>
  <c r="AP140" i="17" s="1"/>
  <c r="AM140" i="17"/>
  <c r="AN140" i="17" s="1"/>
  <c r="BU139" i="17"/>
  <c r="BV139" i="17" s="1"/>
  <c r="BS139" i="17"/>
  <c r="BT139" i="17" s="1"/>
  <c r="BQ139" i="17"/>
  <c r="BR139" i="17" s="1"/>
  <c r="BO139" i="17"/>
  <c r="BP139" i="17" s="1"/>
  <c r="BM139" i="17"/>
  <c r="BN139" i="17" s="1"/>
  <c r="BK139" i="17"/>
  <c r="BL139" i="17" s="1"/>
  <c r="BI139" i="17"/>
  <c r="BJ139" i="17" s="1"/>
  <c r="BG139" i="17"/>
  <c r="BH139" i="17" s="1"/>
  <c r="BE139" i="17"/>
  <c r="BF139" i="17" s="1"/>
  <c r="BC139" i="17"/>
  <c r="BD139" i="17" s="1"/>
  <c r="BA139" i="17"/>
  <c r="BB139" i="17" s="1"/>
  <c r="AY139" i="17"/>
  <c r="AZ139" i="17" s="1"/>
  <c r="AW139" i="17"/>
  <c r="AX139" i="17" s="1"/>
  <c r="AU139" i="17"/>
  <c r="AV139" i="17" s="1"/>
  <c r="AS139" i="17"/>
  <c r="AT139" i="17" s="1"/>
  <c r="AQ139" i="17"/>
  <c r="AR139" i="17" s="1"/>
  <c r="AO139" i="17"/>
  <c r="AP139" i="17" s="1"/>
  <c r="AM139" i="17"/>
  <c r="AN139" i="17" s="1"/>
  <c r="BU138" i="17"/>
  <c r="BV138" i="17" s="1"/>
  <c r="BS138" i="17"/>
  <c r="BT138" i="17" s="1"/>
  <c r="BQ138" i="17"/>
  <c r="BR138" i="17" s="1"/>
  <c r="BO138" i="17"/>
  <c r="BP138" i="17" s="1"/>
  <c r="BM138" i="17"/>
  <c r="BN138" i="17" s="1"/>
  <c r="BK138" i="17"/>
  <c r="BL138" i="17" s="1"/>
  <c r="BI138" i="17"/>
  <c r="BJ138" i="17" s="1"/>
  <c r="BG138" i="17"/>
  <c r="BH138" i="17" s="1"/>
  <c r="BE138" i="17"/>
  <c r="BF138" i="17" s="1"/>
  <c r="BC138" i="17"/>
  <c r="BD138" i="17" s="1"/>
  <c r="BA138" i="17"/>
  <c r="BB138" i="17" s="1"/>
  <c r="AY138" i="17"/>
  <c r="AZ138" i="17" s="1"/>
  <c r="AW138" i="17"/>
  <c r="AX138" i="17" s="1"/>
  <c r="AU138" i="17"/>
  <c r="AV138" i="17" s="1"/>
  <c r="AS138" i="17"/>
  <c r="AT138" i="17" s="1"/>
  <c r="AQ138" i="17"/>
  <c r="AR138" i="17" s="1"/>
  <c r="AO138" i="17"/>
  <c r="AP138" i="17" s="1"/>
  <c r="AM138" i="17"/>
  <c r="AN138" i="17" s="1"/>
  <c r="BU137" i="17"/>
  <c r="BV137" i="17" s="1"/>
  <c r="BS137" i="17"/>
  <c r="BT137" i="17" s="1"/>
  <c r="BQ137" i="17"/>
  <c r="BR137" i="17" s="1"/>
  <c r="BO137" i="17"/>
  <c r="BP137" i="17" s="1"/>
  <c r="BM137" i="17"/>
  <c r="BN137" i="17" s="1"/>
  <c r="BK137" i="17"/>
  <c r="BL137" i="17" s="1"/>
  <c r="BI137" i="17"/>
  <c r="BJ137" i="17" s="1"/>
  <c r="BG137" i="17"/>
  <c r="BH137" i="17" s="1"/>
  <c r="BE137" i="17"/>
  <c r="BF137" i="17" s="1"/>
  <c r="BC137" i="17"/>
  <c r="BD137" i="17" s="1"/>
  <c r="BA137" i="17"/>
  <c r="BB137" i="17" s="1"/>
  <c r="AY137" i="17"/>
  <c r="AZ137" i="17" s="1"/>
  <c r="AW137" i="17"/>
  <c r="AX137" i="17" s="1"/>
  <c r="AU137" i="17"/>
  <c r="AV137" i="17" s="1"/>
  <c r="AS137" i="17"/>
  <c r="AT137" i="17" s="1"/>
  <c r="AQ137" i="17"/>
  <c r="AR137" i="17" s="1"/>
  <c r="AO137" i="17"/>
  <c r="AP137" i="17" s="1"/>
  <c r="AM137" i="17"/>
  <c r="AN137" i="17" s="1"/>
  <c r="BU136" i="17"/>
  <c r="BV136" i="17" s="1"/>
  <c r="BS136" i="17"/>
  <c r="BT136" i="17" s="1"/>
  <c r="BQ136" i="17"/>
  <c r="BR136" i="17" s="1"/>
  <c r="BO136" i="17"/>
  <c r="BP136" i="17" s="1"/>
  <c r="BM136" i="17"/>
  <c r="BN136" i="17" s="1"/>
  <c r="BK136" i="17"/>
  <c r="BL136" i="17" s="1"/>
  <c r="BI136" i="17"/>
  <c r="BJ136" i="17" s="1"/>
  <c r="BG136" i="17"/>
  <c r="BH136" i="17" s="1"/>
  <c r="BE136" i="17"/>
  <c r="BF136" i="17" s="1"/>
  <c r="BC136" i="17"/>
  <c r="BD136" i="17" s="1"/>
  <c r="BA136" i="17"/>
  <c r="BB136" i="17" s="1"/>
  <c r="AY136" i="17"/>
  <c r="AZ136" i="17" s="1"/>
  <c r="AW136" i="17"/>
  <c r="AX136" i="17" s="1"/>
  <c r="AU136" i="17"/>
  <c r="AV136" i="17" s="1"/>
  <c r="AS136" i="17"/>
  <c r="AT136" i="17" s="1"/>
  <c r="AQ136" i="17"/>
  <c r="AR136" i="17" s="1"/>
  <c r="AO136" i="17"/>
  <c r="AP136" i="17" s="1"/>
  <c r="AM136" i="17"/>
  <c r="AN136" i="17" s="1"/>
  <c r="BU130" i="17"/>
  <c r="BV130" i="17" s="1"/>
  <c r="BS130" i="17"/>
  <c r="BT130" i="17" s="1"/>
  <c r="BQ130" i="17"/>
  <c r="BR130" i="17" s="1"/>
  <c r="BO130" i="17"/>
  <c r="BP130" i="17" s="1"/>
  <c r="BM130" i="17"/>
  <c r="BN130" i="17" s="1"/>
  <c r="BK130" i="17"/>
  <c r="BL130" i="17" s="1"/>
  <c r="BI130" i="17"/>
  <c r="BJ130" i="17" s="1"/>
  <c r="BG130" i="17"/>
  <c r="BH130" i="17" s="1"/>
  <c r="BE130" i="17"/>
  <c r="BF130" i="17" s="1"/>
  <c r="BC130" i="17"/>
  <c r="BD130" i="17" s="1"/>
  <c r="BA130" i="17"/>
  <c r="BB130" i="17" s="1"/>
  <c r="AY130" i="17"/>
  <c r="AZ130" i="17" s="1"/>
  <c r="AW130" i="17"/>
  <c r="AX130" i="17" s="1"/>
  <c r="AU130" i="17"/>
  <c r="AV130" i="17" s="1"/>
  <c r="AS130" i="17"/>
  <c r="AT130" i="17" s="1"/>
  <c r="AQ130" i="17"/>
  <c r="AR130" i="17" s="1"/>
  <c r="AO130" i="17"/>
  <c r="AP130" i="17" s="1"/>
  <c r="AM130" i="17"/>
  <c r="AN130" i="17" s="1"/>
  <c r="BU129" i="17"/>
  <c r="BV129" i="17" s="1"/>
  <c r="BS129" i="17"/>
  <c r="BT129" i="17" s="1"/>
  <c r="BQ129" i="17"/>
  <c r="BR129" i="17" s="1"/>
  <c r="BO129" i="17"/>
  <c r="BP129" i="17" s="1"/>
  <c r="BM129" i="17"/>
  <c r="BN129" i="17" s="1"/>
  <c r="BK129" i="17"/>
  <c r="BL129" i="17" s="1"/>
  <c r="BI129" i="17"/>
  <c r="BJ129" i="17" s="1"/>
  <c r="BG129" i="17"/>
  <c r="BH129" i="17" s="1"/>
  <c r="BE129" i="17"/>
  <c r="BF129" i="17" s="1"/>
  <c r="BC129" i="17"/>
  <c r="BD129" i="17" s="1"/>
  <c r="BA129" i="17"/>
  <c r="BB129" i="17" s="1"/>
  <c r="AY129" i="17"/>
  <c r="AZ129" i="17" s="1"/>
  <c r="AW129" i="17"/>
  <c r="AX129" i="17" s="1"/>
  <c r="AU129" i="17"/>
  <c r="AV129" i="17" s="1"/>
  <c r="AS129" i="17"/>
  <c r="AT129" i="17" s="1"/>
  <c r="AQ129" i="17"/>
  <c r="AR129" i="17" s="1"/>
  <c r="AO129" i="17"/>
  <c r="AP129" i="17" s="1"/>
  <c r="AM129" i="17"/>
  <c r="AN129" i="17" s="1"/>
  <c r="BU128" i="17"/>
  <c r="BV128" i="17" s="1"/>
  <c r="BS128" i="17"/>
  <c r="BT128" i="17" s="1"/>
  <c r="BQ128" i="17"/>
  <c r="BR128" i="17" s="1"/>
  <c r="BO128" i="17"/>
  <c r="BP128" i="17" s="1"/>
  <c r="BM128" i="17"/>
  <c r="BN128" i="17" s="1"/>
  <c r="BK128" i="17"/>
  <c r="BL128" i="17" s="1"/>
  <c r="BI128" i="17"/>
  <c r="BJ128" i="17" s="1"/>
  <c r="BG128" i="17"/>
  <c r="BH128" i="17" s="1"/>
  <c r="BE128" i="17"/>
  <c r="BF128" i="17" s="1"/>
  <c r="BC128" i="17"/>
  <c r="BD128" i="17" s="1"/>
  <c r="BA128" i="17"/>
  <c r="BB128" i="17" s="1"/>
  <c r="AY128" i="17"/>
  <c r="AZ128" i="17" s="1"/>
  <c r="AW128" i="17"/>
  <c r="AX128" i="17" s="1"/>
  <c r="AU128" i="17"/>
  <c r="AV128" i="17" s="1"/>
  <c r="AS128" i="17"/>
  <c r="AT128" i="17" s="1"/>
  <c r="AQ128" i="17"/>
  <c r="AR128" i="17" s="1"/>
  <c r="AO128" i="17"/>
  <c r="AP128" i="17" s="1"/>
  <c r="AM128" i="17"/>
  <c r="AN128" i="17" s="1"/>
  <c r="BU127" i="17"/>
  <c r="BV127" i="17" s="1"/>
  <c r="BS127" i="17"/>
  <c r="BT127" i="17" s="1"/>
  <c r="BQ127" i="17"/>
  <c r="BR127" i="17" s="1"/>
  <c r="BO127" i="17"/>
  <c r="BP127" i="17" s="1"/>
  <c r="BM127" i="17"/>
  <c r="BN127" i="17" s="1"/>
  <c r="BK127" i="17"/>
  <c r="BL127" i="17" s="1"/>
  <c r="BI127" i="17"/>
  <c r="BJ127" i="17" s="1"/>
  <c r="BG127" i="17"/>
  <c r="BH127" i="17" s="1"/>
  <c r="BE127" i="17"/>
  <c r="BF127" i="17" s="1"/>
  <c r="BC127" i="17"/>
  <c r="BD127" i="17" s="1"/>
  <c r="BA127" i="17"/>
  <c r="BB127" i="17" s="1"/>
  <c r="AY127" i="17"/>
  <c r="AZ127" i="17" s="1"/>
  <c r="AW127" i="17"/>
  <c r="AX127" i="17" s="1"/>
  <c r="AU127" i="17"/>
  <c r="AV127" i="17" s="1"/>
  <c r="AS127" i="17"/>
  <c r="AT127" i="17" s="1"/>
  <c r="AQ127" i="17"/>
  <c r="AR127" i="17" s="1"/>
  <c r="AO127" i="17"/>
  <c r="AP127" i="17" s="1"/>
  <c r="AM127" i="17"/>
  <c r="AN127" i="17" s="1"/>
  <c r="BU126" i="17"/>
  <c r="BV126" i="17" s="1"/>
  <c r="BS126" i="17"/>
  <c r="BT126" i="17" s="1"/>
  <c r="BQ126" i="17"/>
  <c r="BR126" i="17" s="1"/>
  <c r="BO126" i="17"/>
  <c r="BP126" i="17" s="1"/>
  <c r="BM126" i="17"/>
  <c r="BN126" i="17" s="1"/>
  <c r="BK126" i="17"/>
  <c r="BL126" i="17" s="1"/>
  <c r="BI126" i="17"/>
  <c r="BJ126" i="17" s="1"/>
  <c r="BG126" i="17"/>
  <c r="BH126" i="17" s="1"/>
  <c r="BE126" i="17"/>
  <c r="BF126" i="17" s="1"/>
  <c r="BC126" i="17"/>
  <c r="BD126" i="17" s="1"/>
  <c r="BA126" i="17"/>
  <c r="BB126" i="17" s="1"/>
  <c r="AY126" i="17"/>
  <c r="AZ126" i="17" s="1"/>
  <c r="AW126" i="17"/>
  <c r="AX126" i="17" s="1"/>
  <c r="AU126" i="17"/>
  <c r="AV126" i="17" s="1"/>
  <c r="AS126" i="17"/>
  <c r="AT126" i="17" s="1"/>
  <c r="AQ126" i="17"/>
  <c r="AR126" i="17" s="1"/>
  <c r="AO126" i="17"/>
  <c r="AP126" i="17" s="1"/>
  <c r="AM126" i="17"/>
  <c r="AN126" i="17" s="1"/>
  <c r="BU125" i="17"/>
  <c r="BV125" i="17" s="1"/>
  <c r="BS125" i="17"/>
  <c r="BT125" i="17" s="1"/>
  <c r="BQ125" i="17"/>
  <c r="BR125" i="17" s="1"/>
  <c r="BO125" i="17"/>
  <c r="BP125" i="17" s="1"/>
  <c r="BM125" i="17"/>
  <c r="BN125" i="17" s="1"/>
  <c r="BK125" i="17"/>
  <c r="BL125" i="17" s="1"/>
  <c r="BI125" i="17"/>
  <c r="BJ125" i="17" s="1"/>
  <c r="BG125" i="17"/>
  <c r="BH125" i="17" s="1"/>
  <c r="BE125" i="17"/>
  <c r="BF125" i="17" s="1"/>
  <c r="BC125" i="17"/>
  <c r="BD125" i="17" s="1"/>
  <c r="BA125" i="17"/>
  <c r="BB125" i="17" s="1"/>
  <c r="AY125" i="17"/>
  <c r="AZ125" i="17" s="1"/>
  <c r="AW125" i="17"/>
  <c r="AX125" i="17" s="1"/>
  <c r="AU125" i="17"/>
  <c r="AV125" i="17" s="1"/>
  <c r="AS125" i="17"/>
  <c r="AT125" i="17" s="1"/>
  <c r="AQ125" i="17"/>
  <c r="AR125" i="17" s="1"/>
  <c r="AO125" i="17"/>
  <c r="AP125" i="17" s="1"/>
  <c r="AM125" i="17"/>
  <c r="AN125" i="17" s="1"/>
  <c r="BU124" i="17"/>
  <c r="BV124" i="17" s="1"/>
  <c r="BS124" i="17"/>
  <c r="BT124" i="17" s="1"/>
  <c r="BQ124" i="17"/>
  <c r="BR124" i="17" s="1"/>
  <c r="BO124" i="17"/>
  <c r="BP124" i="17" s="1"/>
  <c r="BM124" i="17"/>
  <c r="BN124" i="17" s="1"/>
  <c r="BK124" i="17"/>
  <c r="BL124" i="17" s="1"/>
  <c r="BI124" i="17"/>
  <c r="BJ124" i="17" s="1"/>
  <c r="BG124" i="17"/>
  <c r="BH124" i="17" s="1"/>
  <c r="BE124" i="17"/>
  <c r="BF124" i="17" s="1"/>
  <c r="BC124" i="17"/>
  <c r="BD124" i="17" s="1"/>
  <c r="BA124" i="17"/>
  <c r="BB124" i="17" s="1"/>
  <c r="AY124" i="17"/>
  <c r="AZ124" i="17" s="1"/>
  <c r="AW124" i="17"/>
  <c r="AX124" i="17" s="1"/>
  <c r="AU124" i="17"/>
  <c r="AV124" i="17" s="1"/>
  <c r="AS124" i="17"/>
  <c r="AT124" i="17" s="1"/>
  <c r="AQ124" i="17"/>
  <c r="AR124" i="17" s="1"/>
  <c r="AO124" i="17"/>
  <c r="AP124" i="17" s="1"/>
  <c r="AM124" i="17"/>
  <c r="AN124" i="17" s="1"/>
  <c r="BU123" i="17"/>
  <c r="BV123" i="17" s="1"/>
  <c r="BS123" i="17"/>
  <c r="BT123" i="17" s="1"/>
  <c r="BQ123" i="17"/>
  <c r="BR123" i="17" s="1"/>
  <c r="BO123" i="17"/>
  <c r="BP123" i="17" s="1"/>
  <c r="BM123" i="17"/>
  <c r="BN123" i="17" s="1"/>
  <c r="BK123" i="17"/>
  <c r="BL123" i="17" s="1"/>
  <c r="BI123" i="17"/>
  <c r="BJ123" i="17" s="1"/>
  <c r="BG123" i="17"/>
  <c r="BH123" i="17" s="1"/>
  <c r="BE123" i="17"/>
  <c r="BF123" i="17" s="1"/>
  <c r="BC123" i="17"/>
  <c r="BD123" i="17" s="1"/>
  <c r="BA123" i="17"/>
  <c r="BB123" i="17" s="1"/>
  <c r="AY123" i="17"/>
  <c r="AZ123" i="17" s="1"/>
  <c r="AW123" i="17"/>
  <c r="AX123" i="17" s="1"/>
  <c r="AU123" i="17"/>
  <c r="AV123" i="17" s="1"/>
  <c r="AS123" i="17"/>
  <c r="AT123" i="17" s="1"/>
  <c r="AQ123" i="17"/>
  <c r="AR123" i="17" s="1"/>
  <c r="AO123" i="17"/>
  <c r="AP123" i="17" s="1"/>
  <c r="AM123" i="17"/>
  <c r="AN123" i="17" s="1"/>
  <c r="BU122" i="17"/>
  <c r="BV122" i="17" s="1"/>
  <c r="BS122" i="17"/>
  <c r="BT122" i="17" s="1"/>
  <c r="BQ122" i="17"/>
  <c r="BR122" i="17" s="1"/>
  <c r="BO122" i="17"/>
  <c r="BP122" i="17" s="1"/>
  <c r="BM122" i="17"/>
  <c r="BN122" i="17" s="1"/>
  <c r="BK122" i="17"/>
  <c r="BL122" i="17" s="1"/>
  <c r="BI122" i="17"/>
  <c r="BJ122" i="17" s="1"/>
  <c r="BG122" i="17"/>
  <c r="BH122" i="17" s="1"/>
  <c r="BE122" i="17"/>
  <c r="BF122" i="17" s="1"/>
  <c r="BC122" i="17"/>
  <c r="BD122" i="17" s="1"/>
  <c r="BA122" i="17"/>
  <c r="BB122" i="17" s="1"/>
  <c r="AY122" i="17"/>
  <c r="AZ122" i="17" s="1"/>
  <c r="AW122" i="17"/>
  <c r="AX122" i="17" s="1"/>
  <c r="AU122" i="17"/>
  <c r="AV122" i="17" s="1"/>
  <c r="AS122" i="17"/>
  <c r="AT122" i="17" s="1"/>
  <c r="AQ122" i="17"/>
  <c r="AR122" i="17" s="1"/>
  <c r="AO122" i="17"/>
  <c r="AP122" i="17" s="1"/>
  <c r="AM122" i="17"/>
  <c r="AN122" i="17" s="1"/>
  <c r="BU119" i="17"/>
  <c r="BV119" i="17" s="1"/>
  <c r="BS119" i="17"/>
  <c r="BT119" i="17" s="1"/>
  <c r="BQ119" i="17"/>
  <c r="BR119" i="17" s="1"/>
  <c r="BO119" i="17"/>
  <c r="BP119" i="17" s="1"/>
  <c r="BM119" i="17"/>
  <c r="BN119" i="17" s="1"/>
  <c r="BK119" i="17"/>
  <c r="BL119" i="17" s="1"/>
  <c r="BI119" i="17"/>
  <c r="BJ119" i="17" s="1"/>
  <c r="BG119" i="17"/>
  <c r="BH119" i="17" s="1"/>
  <c r="BE119" i="17"/>
  <c r="BF119" i="17" s="1"/>
  <c r="BC119" i="17"/>
  <c r="BD119" i="17" s="1"/>
  <c r="BA119" i="17"/>
  <c r="BB119" i="17" s="1"/>
  <c r="AY119" i="17"/>
  <c r="AZ119" i="17" s="1"/>
  <c r="AW119" i="17"/>
  <c r="AX119" i="17" s="1"/>
  <c r="AU119" i="17"/>
  <c r="AV119" i="17" s="1"/>
  <c r="AS119" i="17"/>
  <c r="AT119" i="17" s="1"/>
  <c r="AQ119" i="17"/>
  <c r="AR119" i="17" s="1"/>
  <c r="AO119" i="17"/>
  <c r="AP119" i="17" s="1"/>
  <c r="AM119" i="17"/>
  <c r="AN119" i="17" s="1"/>
  <c r="BU118" i="17"/>
  <c r="BV118" i="17" s="1"/>
  <c r="BS118" i="17"/>
  <c r="BT118" i="17" s="1"/>
  <c r="BQ118" i="17"/>
  <c r="BR118" i="17" s="1"/>
  <c r="BO118" i="17"/>
  <c r="BP118" i="17" s="1"/>
  <c r="BM118" i="17"/>
  <c r="BN118" i="17" s="1"/>
  <c r="BK118" i="17"/>
  <c r="BL118" i="17" s="1"/>
  <c r="BI118" i="17"/>
  <c r="BJ118" i="17" s="1"/>
  <c r="BG118" i="17"/>
  <c r="BH118" i="17" s="1"/>
  <c r="BE118" i="17"/>
  <c r="BF118" i="17" s="1"/>
  <c r="BC118" i="17"/>
  <c r="BD118" i="17" s="1"/>
  <c r="BA118" i="17"/>
  <c r="BB118" i="17" s="1"/>
  <c r="AY118" i="17"/>
  <c r="AZ118" i="17" s="1"/>
  <c r="AW118" i="17"/>
  <c r="AX118" i="17" s="1"/>
  <c r="AU118" i="17"/>
  <c r="AV118" i="17" s="1"/>
  <c r="AS118" i="17"/>
  <c r="AT118" i="17" s="1"/>
  <c r="AQ118" i="17"/>
  <c r="AR118" i="17" s="1"/>
  <c r="AO118" i="17"/>
  <c r="AP118" i="17" s="1"/>
  <c r="AM118" i="17"/>
  <c r="AN118" i="17" s="1"/>
  <c r="BU117" i="17"/>
  <c r="BV117" i="17" s="1"/>
  <c r="BS117" i="17"/>
  <c r="BT117" i="17" s="1"/>
  <c r="BQ117" i="17"/>
  <c r="BR117" i="17" s="1"/>
  <c r="BO117" i="17"/>
  <c r="BP117" i="17" s="1"/>
  <c r="BM117" i="17"/>
  <c r="BN117" i="17" s="1"/>
  <c r="BK117" i="17"/>
  <c r="BL117" i="17" s="1"/>
  <c r="BI117" i="17"/>
  <c r="BJ117" i="17" s="1"/>
  <c r="BG117" i="17"/>
  <c r="BH117" i="17" s="1"/>
  <c r="BE117" i="17"/>
  <c r="BF117" i="17" s="1"/>
  <c r="BC117" i="17"/>
  <c r="BD117" i="17" s="1"/>
  <c r="BA117" i="17"/>
  <c r="BB117" i="17" s="1"/>
  <c r="AY117" i="17"/>
  <c r="AZ117" i="17" s="1"/>
  <c r="AW117" i="17"/>
  <c r="AX117" i="17" s="1"/>
  <c r="AU117" i="17"/>
  <c r="AV117" i="17" s="1"/>
  <c r="AS117" i="17"/>
  <c r="AT117" i="17" s="1"/>
  <c r="AQ117" i="17"/>
  <c r="AR117" i="17" s="1"/>
  <c r="AO117" i="17"/>
  <c r="AP117" i="17" s="1"/>
  <c r="AM117" i="17"/>
  <c r="AN117" i="17" s="1"/>
  <c r="BU116" i="17"/>
  <c r="BV116" i="17" s="1"/>
  <c r="BS116" i="17"/>
  <c r="BT116" i="17" s="1"/>
  <c r="BQ116" i="17"/>
  <c r="BR116" i="17" s="1"/>
  <c r="BO116" i="17"/>
  <c r="BP116" i="17" s="1"/>
  <c r="BM116" i="17"/>
  <c r="BN116" i="17" s="1"/>
  <c r="BK116" i="17"/>
  <c r="BL116" i="17" s="1"/>
  <c r="BI116" i="17"/>
  <c r="BJ116" i="17" s="1"/>
  <c r="BG116" i="17"/>
  <c r="BH116" i="17" s="1"/>
  <c r="BE116" i="17"/>
  <c r="BF116" i="17" s="1"/>
  <c r="BC116" i="17"/>
  <c r="BD116" i="17" s="1"/>
  <c r="BA116" i="17"/>
  <c r="BB116" i="17" s="1"/>
  <c r="AY116" i="17"/>
  <c r="AZ116" i="17" s="1"/>
  <c r="AW116" i="17"/>
  <c r="AX116" i="17" s="1"/>
  <c r="AU116" i="17"/>
  <c r="AV116" i="17" s="1"/>
  <c r="AS116" i="17"/>
  <c r="AT116" i="17" s="1"/>
  <c r="AQ116" i="17"/>
  <c r="AR116" i="17" s="1"/>
  <c r="AO116" i="17"/>
  <c r="AP116" i="17" s="1"/>
  <c r="AM116" i="17"/>
  <c r="AN116" i="17" s="1"/>
  <c r="BU115" i="17"/>
  <c r="BV115" i="17" s="1"/>
  <c r="BS115" i="17"/>
  <c r="BT115" i="17" s="1"/>
  <c r="BQ115" i="17"/>
  <c r="BR115" i="17" s="1"/>
  <c r="BO115" i="17"/>
  <c r="BP115" i="17" s="1"/>
  <c r="BM115" i="17"/>
  <c r="BN115" i="17" s="1"/>
  <c r="BK115" i="17"/>
  <c r="BL115" i="17" s="1"/>
  <c r="BI115" i="17"/>
  <c r="BJ115" i="17" s="1"/>
  <c r="BG115" i="17"/>
  <c r="BH115" i="17" s="1"/>
  <c r="BE115" i="17"/>
  <c r="BF115" i="17" s="1"/>
  <c r="BC115" i="17"/>
  <c r="BD115" i="17" s="1"/>
  <c r="BA115" i="17"/>
  <c r="BB115" i="17" s="1"/>
  <c r="AY115" i="17"/>
  <c r="AZ115" i="17" s="1"/>
  <c r="AW115" i="17"/>
  <c r="AX115" i="17" s="1"/>
  <c r="AU115" i="17"/>
  <c r="AV115" i="17" s="1"/>
  <c r="AS115" i="17"/>
  <c r="AT115" i="17" s="1"/>
  <c r="AQ115" i="17"/>
  <c r="AR115" i="17" s="1"/>
  <c r="AO115" i="17"/>
  <c r="AP115" i="17" s="1"/>
  <c r="AM115" i="17"/>
  <c r="AN115" i="17" s="1"/>
  <c r="BU114" i="17"/>
  <c r="BV114" i="17" s="1"/>
  <c r="BS114" i="17"/>
  <c r="BT114" i="17" s="1"/>
  <c r="BQ114" i="17"/>
  <c r="BR114" i="17" s="1"/>
  <c r="BO114" i="17"/>
  <c r="BP114" i="17" s="1"/>
  <c r="BM114" i="17"/>
  <c r="BN114" i="17" s="1"/>
  <c r="BK114" i="17"/>
  <c r="BL114" i="17" s="1"/>
  <c r="BI114" i="17"/>
  <c r="BJ114" i="17" s="1"/>
  <c r="BG114" i="17"/>
  <c r="BH114" i="17" s="1"/>
  <c r="BE114" i="17"/>
  <c r="BF114" i="17" s="1"/>
  <c r="BC114" i="17"/>
  <c r="BD114" i="17" s="1"/>
  <c r="BA114" i="17"/>
  <c r="BB114" i="17" s="1"/>
  <c r="AY114" i="17"/>
  <c r="AZ114" i="17" s="1"/>
  <c r="AW114" i="17"/>
  <c r="AX114" i="17" s="1"/>
  <c r="AU114" i="17"/>
  <c r="AV114" i="17" s="1"/>
  <c r="AS114" i="17"/>
  <c r="AT114" i="17" s="1"/>
  <c r="AQ114" i="17"/>
  <c r="AR114" i="17" s="1"/>
  <c r="AO114" i="17"/>
  <c r="AP114" i="17" s="1"/>
  <c r="AM114" i="17"/>
  <c r="AN114" i="17" s="1"/>
  <c r="BU113" i="17"/>
  <c r="BV113" i="17" s="1"/>
  <c r="BS113" i="17"/>
  <c r="BT113" i="17" s="1"/>
  <c r="BQ113" i="17"/>
  <c r="BR113" i="17" s="1"/>
  <c r="BO113" i="17"/>
  <c r="BP113" i="17" s="1"/>
  <c r="BM113" i="17"/>
  <c r="BN113" i="17" s="1"/>
  <c r="BK113" i="17"/>
  <c r="BL113" i="17" s="1"/>
  <c r="BI113" i="17"/>
  <c r="BJ113" i="17" s="1"/>
  <c r="BG113" i="17"/>
  <c r="BH113" i="17" s="1"/>
  <c r="BE113" i="17"/>
  <c r="BF113" i="17" s="1"/>
  <c r="BC113" i="17"/>
  <c r="BD113" i="17" s="1"/>
  <c r="BA113" i="17"/>
  <c r="BB113" i="17" s="1"/>
  <c r="AY113" i="17"/>
  <c r="AZ113" i="17" s="1"/>
  <c r="AW113" i="17"/>
  <c r="AX113" i="17" s="1"/>
  <c r="AU113" i="17"/>
  <c r="AV113" i="17" s="1"/>
  <c r="AS113" i="17"/>
  <c r="AT113" i="17" s="1"/>
  <c r="AQ113" i="17"/>
  <c r="AR113" i="17" s="1"/>
  <c r="AO113" i="17"/>
  <c r="AP113" i="17" s="1"/>
  <c r="AM113" i="17"/>
  <c r="AN113" i="17" s="1"/>
  <c r="BU112" i="17"/>
  <c r="BV112" i="17" s="1"/>
  <c r="BS112" i="17"/>
  <c r="BT112" i="17" s="1"/>
  <c r="BQ112" i="17"/>
  <c r="BR112" i="17" s="1"/>
  <c r="BO112" i="17"/>
  <c r="BP112" i="17" s="1"/>
  <c r="BM112" i="17"/>
  <c r="BN112" i="17" s="1"/>
  <c r="BK112" i="17"/>
  <c r="BL112" i="17" s="1"/>
  <c r="BI112" i="17"/>
  <c r="BJ112" i="17" s="1"/>
  <c r="BG112" i="17"/>
  <c r="BH112" i="17" s="1"/>
  <c r="BE112" i="17"/>
  <c r="BF112" i="17" s="1"/>
  <c r="BC112" i="17"/>
  <c r="BD112" i="17" s="1"/>
  <c r="BA112" i="17"/>
  <c r="BB112" i="17" s="1"/>
  <c r="AY112" i="17"/>
  <c r="AZ112" i="17" s="1"/>
  <c r="AW112" i="17"/>
  <c r="AX112" i="17" s="1"/>
  <c r="AU112" i="17"/>
  <c r="AV112" i="17" s="1"/>
  <c r="AS112" i="17"/>
  <c r="AT112" i="17" s="1"/>
  <c r="AQ112" i="17"/>
  <c r="AR112" i="17" s="1"/>
  <c r="AO112" i="17"/>
  <c r="AP112" i="17" s="1"/>
  <c r="AM112" i="17"/>
  <c r="AN112" i="17" s="1"/>
  <c r="BU111" i="17"/>
  <c r="BV111" i="17" s="1"/>
  <c r="BS111" i="17"/>
  <c r="BT111" i="17" s="1"/>
  <c r="BQ111" i="17"/>
  <c r="BR111" i="17" s="1"/>
  <c r="BO111" i="17"/>
  <c r="BP111" i="17" s="1"/>
  <c r="BM111" i="17"/>
  <c r="BN111" i="17" s="1"/>
  <c r="BK111" i="17"/>
  <c r="BL111" i="17" s="1"/>
  <c r="BI111" i="17"/>
  <c r="BJ111" i="17" s="1"/>
  <c r="BG111" i="17"/>
  <c r="BH111" i="17" s="1"/>
  <c r="BE111" i="17"/>
  <c r="BF111" i="17" s="1"/>
  <c r="BC111" i="17"/>
  <c r="BD111" i="17" s="1"/>
  <c r="BA111" i="17"/>
  <c r="BB111" i="17" s="1"/>
  <c r="AY111" i="17"/>
  <c r="AZ111" i="17" s="1"/>
  <c r="AW111" i="17"/>
  <c r="AX111" i="17" s="1"/>
  <c r="AU111" i="17"/>
  <c r="AV111" i="17" s="1"/>
  <c r="AS111" i="17"/>
  <c r="AT111" i="17" s="1"/>
  <c r="AQ111" i="17"/>
  <c r="AR111" i="17" s="1"/>
  <c r="AO111" i="17"/>
  <c r="AP111" i="17" s="1"/>
  <c r="AM111" i="17"/>
  <c r="AN111" i="17" s="1"/>
  <c r="BU110" i="17"/>
  <c r="BV110" i="17" s="1"/>
  <c r="BS110" i="17"/>
  <c r="BT110" i="17" s="1"/>
  <c r="BQ110" i="17"/>
  <c r="BR110" i="17" s="1"/>
  <c r="BO110" i="17"/>
  <c r="BP110" i="17" s="1"/>
  <c r="BM110" i="17"/>
  <c r="BN110" i="17" s="1"/>
  <c r="BK110" i="17"/>
  <c r="BL110" i="17" s="1"/>
  <c r="BI110" i="17"/>
  <c r="BJ110" i="17" s="1"/>
  <c r="BG110" i="17"/>
  <c r="BH110" i="17" s="1"/>
  <c r="BE110" i="17"/>
  <c r="BF110" i="17" s="1"/>
  <c r="BC110" i="17"/>
  <c r="BD110" i="17" s="1"/>
  <c r="BA110" i="17"/>
  <c r="BB110" i="17" s="1"/>
  <c r="AY110" i="17"/>
  <c r="AZ110" i="17" s="1"/>
  <c r="AW110" i="17"/>
  <c r="AX110" i="17" s="1"/>
  <c r="AU110" i="17"/>
  <c r="AV110" i="17" s="1"/>
  <c r="AS110" i="17"/>
  <c r="AT110" i="17" s="1"/>
  <c r="AQ110" i="17"/>
  <c r="AR110" i="17" s="1"/>
  <c r="AO110" i="17"/>
  <c r="AP110" i="17" s="1"/>
  <c r="AM110" i="17"/>
  <c r="AN110" i="17" s="1"/>
  <c r="BU109" i="17"/>
  <c r="BV109" i="17" s="1"/>
  <c r="BS109" i="17"/>
  <c r="BT109" i="17" s="1"/>
  <c r="BQ109" i="17"/>
  <c r="BR109" i="17" s="1"/>
  <c r="BO109" i="17"/>
  <c r="BP109" i="17" s="1"/>
  <c r="BM109" i="17"/>
  <c r="BN109" i="17" s="1"/>
  <c r="BK109" i="17"/>
  <c r="BL109" i="17" s="1"/>
  <c r="BJ109" i="17"/>
  <c r="BI109" i="17"/>
  <c r="BG109" i="17"/>
  <c r="BH109" i="17" s="1"/>
  <c r="BE109" i="17"/>
  <c r="BF109" i="17" s="1"/>
  <c r="BC109" i="17"/>
  <c r="BD109" i="17" s="1"/>
  <c r="BA109" i="17"/>
  <c r="BB109" i="17" s="1"/>
  <c r="AY109" i="17"/>
  <c r="AZ109" i="17" s="1"/>
  <c r="AW109" i="17"/>
  <c r="AX109" i="17" s="1"/>
  <c r="AU109" i="17"/>
  <c r="AV109" i="17" s="1"/>
  <c r="AS109" i="17"/>
  <c r="AT109" i="17" s="1"/>
  <c r="AQ109" i="17"/>
  <c r="AR109" i="17" s="1"/>
  <c r="AO109" i="17"/>
  <c r="AP109" i="17" s="1"/>
  <c r="AM109" i="17"/>
  <c r="AN109" i="17" s="1"/>
  <c r="BU108" i="17"/>
  <c r="BV108" i="17" s="1"/>
  <c r="BS108" i="17"/>
  <c r="BT108" i="17" s="1"/>
  <c r="BQ108" i="17"/>
  <c r="BR108" i="17" s="1"/>
  <c r="BO108" i="17"/>
  <c r="BP108" i="17" s="1"/>
  <c r="BM108" i="17"/>
  <c r="BN108" i="17" s="1"/>
  <c r="BK108" i="17"/>
  <c r="BL108" i="17" s="1"/>
  <c r="BI108" i="17"/>
  <c r="BJ108" i="17" s="1"/>
  <c r="BG108" i="17"/>
  <c r="BH108" i="17" s="1"/>
  <c r="BE108" i="17"/>
  <c r="BF108" i="17" s="1"/>
  <c r="BC108" i="17"/>
  <c r="BD108" i="17" s="1"/>
  <c r="BA108" i="17"/>
  <c r="BB108" i="17" s="1"/>
  <c r="AY108" i="17"/>
  <c r="AZ108" i="17" s="1"/>
  <c r="AW108" i="17"/>
  <c r="AX108" i="17" s="1"/>
  <c r="AU108" i="17"/>
  <c r="AV108" i="17" s="1"/>
  <c r="AS108" i="17"/>
  <c r="AT108" i="17" s="1"/>
  <c r="AQ108" i="17"/>
  <c r="AR108" i="17" s="1"/>
  <c r="AO108" i="17"/>
  <c r="AP108" i="17" s="1"/>
  <c r="AM108" i="17"/>
  <c r="AN108" i="17" s="1"/>
  <c r="BU107" i="17"/>
  <c r="BV107" i="17" s="1"/>
  <c r="BS107" i="17"/>
  <c r="BT107" i="17" s="1"/>
  <c r="BQ107" i="17"/>
  <c r="BR107" i="17" s="1"/>
  <c r="BO107" i="17"/>
  <c r="BP107" i="17" s="1"/>
  <c r="BM107" i="17"/>
  <c r="BN107" i="17" s="1"/>
  <c r="BK107" i="17"/>
  <c r="BL107" i="17" s="1"/>
  <c r="BI107" i="17"/>
  <c r="BJ107" i="17" s="1"/>
  <c r="BG107" i="17"/>
  <c r="BH107" i="17" s="1"/>
  <c r="BE107" i="17"/>
  <c r="BF107" i="17" s="1"/>
  <c r="BC107" i="17"/>
  <c r="BD107" i="17" s="1"/>
  <c r="BA107" i="17"/>
  <c r="BB107" i="17" s="1"/>
  <c r="AY107" i="17"/>
  <c r="AZ107" i="17" s="1"/>
  <c r="AW107" i="17"/>
  <c r="AX107" i="17" s="1"/>
  <c r="AU107" i="17"/>
  <c r="AV107" i="17" s="1"/>
  <c r="AS107" i="17"/>
  <c r="AT107" i="17" s="1"/>
  <c r="AQ107" i="17"/>
  <c r="AR107" i="17" s="1"/>
  <c r="AO107" i="17"/>
  <c r="AP107" i="17" s="1"/>
  <c r="AM107" i="17"/>
  <c r="AN107" i="17" s="1"/>
  <c r="BU106" i="17"/>
  <c r="BV106" i="17" s="1"/>
  <c r="BS106" i="17"/>
  <c r="BT106" i="17" s="1"/>
  <c r="BQ106" i="17"/>
  <c r="BR106" i="17" s="1"/>
  <c r="BO106" i="17"/>
  <c r="BP106" i="17" s="1"/>
  <c r="BM106" i="17"/>
  <c r="BN106" i="17" s="1"/>
  <c r="BK106" i="17"/>
  <c r="BL106" i="17" s="1"/>
  <c r="BI106" i="17"/>
  <c r="BJ106" i="17" s="1"/>
  <c r="BG106" i="17"/>
  <c r="BH106" i="17" s="1"/>
  <c r="BE106" i="17"/>
  <c r="BF106" i="17" s="1"/>
  <c r="BC106" i="17"/>
  <c r="BD106" i="17" s="1"/>
  <c r="BA106" i="17"/>
  <c r="BB106" i="17" s="1"/>
  <c r="AY106" i="17"/>
  <c r="AZ106" i="17" s="1"/>
  <c r="AW106" i="17"/>
  <c r="AX106" i="17" s="1"/>
  <c r="AU106" i="17"/>
  <c r="AV106" i="17" s="1"/>
  <c r="AS106" i="17"/>
  <c r="AT106" i="17" s="1"/>
  <c r="AQ106" i="17"/>
  <c r="AR106" i="17" s="1"/>
  <c r="AO106" i="17"/>
  <c r="AP106" i="17" s="1"/>
  <c r="AM106" i="17"/>
  <c r="AN106" i="17" s="1"/>
  <c r="BU105" i="17"/>
  <c r="BV105" i="17" s="1"/>
  <c r="BS105" i="17"/>
  <c r="BT105" i="17" s="1"/>
  <c r="BQ105" i="17"/>
  <c r="BR105" i="17" s="1"/>
  <c r="BO105" i="17"/>
  <c r="BP105" i="17" s="1"/>
  <c r="BM105" i="17"/>
  <c r="BN105" i="17" s="1"/>
  <c r="BK105" i="17"/>
  <c r="BL105" i="17" s="1"/>
  <c r="BI105" i="17"/>
  <c r="BJ105" i="17" s="1"/>
  <c r="BG105" i="17"/>
  <c r="BH105" i="17" s="1"/>
  <c r="BE105" i="17"/>
  <c r="BF105" i="17" s="1"/>
  <c r="BC105" i="17"/>
  <c r="BD105" i="17" s="1"/>
  <c r="BA105" i="17"/>
  <c r="BB105" i="17" s="1"/>
  <c r="AY105" i="17"/>
  <c r="AZ105" i="17" s="1"/>
  <c r="AW105" i="17"/>
  <c r="AX105" i="17" s="1"/>
  <c r="AU105" i="17"/>
  <c r="AV105" i="17" s="1"/>
  <c r="AS105" i="17"/>
  <c r="AT105" i="17" s="1"/>
  <c r="AQ105" i="17"/>
  <c r="AR105" i="17" s="1"/>
  <c r="AO105" i="17"/>
  <c r="AP105" i="17" s="1"/>
  <c r="AM105" i="17"/>
  <c r="AN105" i="17" s="1"/>
  <c r="BU104" i="17"/>
  <c r="BV104" i="17" s="1"/>
  <c r="BS104" i="17"/>
  <c r="BT104" i="17" s="1"/>
  <c r="BQ104" i="17"/>
  <c r="BR104" i="17" s="1"/>
  <c r="BO104" i="17"/>
  <c r="BP104" i="17" s="1"/>
  <c r="BM104" i="17"/>
  <c r="BN104" i="17" s="1"/>
  <c r="BK104" i="17"/>
  <c r="BL104" i="17" s="1"/>
  <c r="BI104" i="17"/>
  <c r="BJ104" i="17" s="1"/>
  <c r="BG104" i="17"/>
  <c r="BH104" i="17" s="1"/>
  <c r="BE104" i="17"/>
  <c r="BF104" i="17" s="1"/>
  <c r="BC104" i="17"/>
  <c r="BD104" i="17" s="1"/>
  <c r="BA104" i="17"/>
  <c r="BB104" i="17" s="1"/>
  <c r="AY104" i="17"/>
  <c r="AZ104" i="17" s="1"/>
  <c r="AW104" i="17"/>
  <c r="AX104" i="17" s="1"/>
  <c r="AU104" i="17"/>
  <c r="AV104" i="17" s="1"/>
  <c r="AS104" i="17"/>
  <c r="AT104" i="17" s="1"/>
  <c r="AQ104" i="17"/>
  <c r="AR104" i="17" s="1"/>
  <c r="AO104" i="17"/>
  <c r="AP104" i="17" s="1"/>
  <c r="AM104" i="17"/>
  <c r="AN104" i="17" s="1"/>
  <c r="BU103" i="17"/>
  <c r="BV103" i="17" s="1"/>
  <c r="BS103" i="17"/>
  <c r="BT103" i="17" s="1"/>
  <c r="BQ103" i="17"/>
  <c r="BR103" i="17" s="1"/>
  <c r="BO103" i="17"/>
  <c r="BP103" i="17" s="1"/>
  <c r="BM103" i="17"/>
  <c r="BN103" i="17" s="1"/>
  <c r="BK103" i="17"/>
  <c r="BL103" i="17" s="1"/>
  <c r="BI103" i="17"/>
  <c r="BJ103" i="17" s="1"/>
  <c r="BG103" i="17"/>
  <c r="BH103" i="17" s="1"/>
  <c r="BE103" i="17"/>
  <c r="BF103" i="17" s="1"/>
  <c r="BC103" i="17"/>
  <c r="BD103" i="17" s="1"/>
  <c r="BA103" i="17"/>
  <c r="BB103" i="17" s="1"/>
  <c r="AY103" i="17"/>
  <c r="AZ103" i="17" s="1"/>
  <c r="AW103" i="17"/>
  <c r="AX103" i="17" s="1"/>
  <c r="AU103" i="17"/>
  <c r="AV103" i="17" s="1"/>
  <c r="AS103" i="17"/>
  <c r="AT103" i="17" s="1"/>
  <c r="AQ103" i="17"/>
  <c r="AR103" i="17" s="1"/>
  <c r="AO103" i="17"/>
  <c r="AP103" i="17" s="1"/>
  <c r="AM103" i="17"/>
  <c r="AN103" i="17" s="1"/>
  <c r="BU102" i="17"/>
  <c r="BV102" i="17" s="1"/>
  <c r="BS102" i="17"/>
  <c r="BT102" i="17" s="1"/>
  <c r="BQ102" i="17"/>
  <c r="BR102" i="17" s="1"/>
  <c r="BO102" i="17"/>
  <c r="BP102" i="17" s="1"/>
  <c r="BM102" i="17"/>
  <c r="BN102" i="17" s="1"/>
  <c r="BK102" i="17"/>
  <c r="BL102" i="17" s="1"/>
  <c r="BI102" i="17"/>
  <c r="BJ102" i="17" s="1"/>
  <c r="BG102" i="17"/>
  <c r="BH102" i="17" s="1"/>
  <c r="BE102" i="17"/>
  <c r="BF102" i="17" s="1"/>
  <c r="BC102" i="17"/>
  <c r="BD102" i="17" s="1"/>
  <c r="BA102" i="17"/>
  <c r="BB102" i="17" s="1"/>
  <c r="AY102" i="17"/>
  <c r="AZ102" i="17" s="1"/>
  <c r="AW102" i="17"/>
  <c r="AX102" i="17" s="1"/>
  <c r="AU102" i="17"/>
  <c r="AV102" i="17" s="1"/>
  <c r="AS102" i="17"/>
  <c r="AT102" i="17" s="1"/>
  <c r="AQ102" i="17"/>
  <c r="AR102" i="17" s="1"/>
  <c r="AO102" i="17"/>
  <c r="AP102" i="17" s="1"/>
  <c r="AM102" i="17"/>
  <c r="AN102" i="17" s="1"/>
  <c r="BU101" i="17"/>
  <c r="BV101" i="17" s="1"/>
  <c r="BS101" i="17"/>
  <c r="BT101" i="17" s="1"/>
  <c r="BQ101" i="17"/>
  <c r="BR101" i="17" s="1"/>
  <c r="BO101" i="17"/>
  <c r="BP101" i="17" s="1"/>
  <c r="BM101" i="17"/>
  <c r="BN101" i="17" s="1"/>
  <c r="BK101" i="17"/>
  <c r="BL101" i="17" s="1"/>
  <c r="BI101" i="17"/>
  <c r="BJ101" i="17" s="1"/>
  <c r="BG101" i="17"/>
  <c r="BH101" i="17" s="1"/>
  <c r="BE101" i="17"/>
  <c r="BF101" i="17" s="1"/>
  <c r="BC101" i="17"/>
  <c r="BD101" i="17" s="1"/>
  <c r="BA101" i="17"/>
  <c r="BB101" i="17" s="1"/>
  <c r="AY101" i="17"/>
  <c r="AZ101" i="17" s="1"/>
  <c r="AW101" i="17"/>
  <c r="AX101" i="17" s="1"/>
  <c r="AU101" i="17"/>
  <c r="AV101" i="17" s="1"/>
  <c r="AS101" i="17"/>
  <c r="AT101" i="17" s="1"/>
  <c r="AQ101" i="17"/>
  <c r="AR101" i="17" s="1"/>
  <c r="AO101" i="17"/>
  <c r="AP101" i="17" s="1"/>
  <c r="AM101" i="17"/>
  <c r="AN101" i="17" s="1"/>
  <c r="BU100" i="17"/>
  <c r="BV100" i="17" s="1"/>
  <c r="BS100" i="17"/>
  <c r="BT100" i="17" s="1"/>
  <c r="BQ100" i="17"/>
  <c r="BR100" i="17" s="1"/>
  <c r="BO100" i="17"/>
  <c r="BP100" i="17" s="1"/>
  <c r="BM100" i="17"/>
  <c r="BN100" i="17" s="1"/>
  <c r="BK100" i="17"/>
  <c r="BL100" i="17" s="1"/>
  <c r="BI100" i="17"/>
  <c r="BJ100" i="17" s="1"/>
  <c r="BG100" i="17"/>
  <c r="BH100" i="17" s="1"/>
  <c r="BE100" i="17"/>
  <c r="BF100" i="17" s="1"/>
  <c r="BC100" i="17"/>
  <c r="BD100" i="17" s="1"/>
  <c r="BA100" i="17"/>
  <c r="BB100" i="17" s="1"/>
  <c r="AY100" i="17"/>
  <c r="AZ100" i="17" s="1"/>
  <c r="AW100" i="17"/>
  <c r="AX100" i="17" s="1"/>
  <c r="AU100" i="17"/>
  <c r="AV100" i="17" s="1"/>
  <c r="AS100" i="17"/>
  <c r="AT100" i="17" s="1"/>
  <c r="AQ100" i="17"/>
  <c r="AR100" i="17" s="1"/>
  <c r="AO100" i="17"/>
  <c r="AP100" i="17" s="1"/>
  <c r="AM100" i="17"/>
  <c r="AN100" i="17" s="1"/>
  <c r="BU99" i="17"/>
  <c r="BV99" i="17" s="1"/>
  <c r="BS99" i="17"/>
  <c r="BT99" i="17" s="1"/>
  <c r="BQ99" i="17"/>
  <c r="BR99" i="17" s="1"/>
  <c r="BO99" i="17"/>
  <c r="BP99" i="17" s="1"/>
  <c r="BM99" i="17"/>
  <c r="BN99" i="17" s="1"/>
  <c r="BK99" i="17"/>
  <c r="BL99" i="17" s="1"/>
  <c r="BI99" i="17"/>
  <c r="BJ99" i="17" s="1"/>
  <c r="BG99" i="17"/>
  <c r="BH99" i="17" s="1"/>
  <c r="BE99" i="17"/>
  <c r="BF99" i="17" s="1"/>
  <c r="BC99" i="17"/>
  <c r="BD99" i="17" s="1"/>
  <c r="BA99" i="17"/>
  <c r="BB99" i="17" s="1"/>
  <c r="AY99" i="17"/>
  <c r="AZ99" i="17" s="1"/>
  <c r="AW99" i="17"/>
  <c r="AX99" i="17" s="1"/>
  <c r="AU99" i="17"/>
  <c r="AV99" i="17" s="1"/>
  <c r="AS99" i="17"/>
  <c r="AT99" i="17" s="1"/>
  <c r="AQ99" i="17"/>
  <c r="AR99" i="17" s="1"/>
  <c r="AO99" i="17"/>
  <c r="AP99" i="17" s="1"/>
  <c r="AM99" i="17"/>
  <c r="AN99" i="17" s="1"/>
  <c r="BU98" i="17"/>
  <c r="BV98" i="17" s="1"/>
  <c r="BS98" i="17"/>
  <c r="BT98" i="17" s="1"/>
  <c r="BQ98" i="17"/>
  <c r="BR98" i="17" s="1"/>
  <c r="BO98" i="17"/>
  <c r="BP98" i="17" s="1"/>
  <c r="BM98" i="17"/>
  <c r="BN98" i="17" s="1"/>
  <c r="BK98" i="17"/>
  <c r="BL98" i="17" s="1"/>
  <c r="BI98" i="17"/>
  <c r="BJ98" i="17" s="1"/>
  <c r="BG98" i="17"/>
  <c r="BH98" i="17" s="1"/>
  <c r="BE98" i="17"/>
  <c r="BF98" i="17" s="1"/>
  <c r="BC98" i="17"/>
  <c r="BD98" i="17" s="1"/>
  <c r="BA98" i="17"/>
  <c r="BB98" i="17" s="1"/>
  <c r="AY98" i="17"/>
  <c r="AZ98" i="17" s="1"/>
  <c r="AW98" i="17"/>
  <c r="AX98" i="17" s="1"/>
  <c r="AU98" i="17"/>
  <c r="AV98" i="17" s="1"/>
  <c r="AS98" i="17"/>
  <c r="AT98" i="17" s="1"/>
  <c r="AQ98" i="17"/>
  <c r="AR98" i="17" s="1"/>
  <c r="AO98" i="17"/>
  <c r="AP98" i="17" s="1"/>
  <c r="AM98" i="17"/>
  <c r="AN98" i="17" s="1"/>
  <c r="BU97" i="17"/>
  <c r="BV97" i="17" s="1"/>
  <c r="BS97" i="17"/>
  <c r="BT97" i="17" s="1"/>
  <c r="BQ97" i="17"/>
  <c r="BR97" i="17" s="1"/>
  <c r="BO97" i="17"/>
  <c r="BP97" i="17" s="1"/>
  <c r="BM97" i="17"/>
  <c r="BN97" i="17" s="1"/>
  <c r="BK97" i="17"/>
  <c r="BL97" i="17" s="1"/>
  <c r="BI97" i="17"/>
  <c r="BJ97" i="17" s="1"/>
  <c r="BG97" i="17"/>
  <c r="BH97" i="17" s="1"/>
  <c r="BE97" i="17"/>
  <c r="BF97" i="17" s="1"/>
  <c r="BC97" i="17"/>
  <c r="BD97" i="17" s="1"/>
  <c r="BA97" i="17"/>
  <c r="BB97" i="17" s="1"/>
  <c r="AY97" i="17"/>
  <c r="AZ97" i="17" s="1"/>
  <c r="AW97" i="17"/>
  <c r="AX97" i="17" s="1"/>
  <c r="AU97" i="17"/>
  <c r="AV97" i="17" s="1"/>
  <c r="AS97" i="17"/>
  <c r="AT97" i="17" s="1"/>
  <c r="AQ97" i="17"/>
  <c r="AR97" i="17" s="1"/>
  <c r="AO97" i="17"/>
  <c r="AP97" i="17" s="1"/>
  <c r="AM97" i="17"/>
  <c r="AN97" i="17" s="1"/>
  <c r="BU96" i="17"/>
  <c r="BV96" i="17" s="1"/>
  <c r="BS96" i="17"/>
  <c r="BT96" i="17" s="1"/>
  <c r="BQ96" i="17"/>
  <c r="BR96" i="17" s="1"/>
  <c r="BO96" i="17"/>
  <c r="BP96" i="17" s="1"/>
  <c r="BM96" i="17"/>
  <c r="BN96" i="17" s="1"/>
  <c r="BK96" i="17"/>
  <c r="BL96" i="17" s="1"/>
  <c r="BI96" i="17"/>
  <c r="BJ96" i="17" s="1"/>
  <c r="BG96" i="17"/>
  <c r="BH96" i="17" s="1"/>
  <c r="BE96" i="17"/>
  <c r="BF96" i="17" s="1"/>
  <c r="BC96" i="17"/>
  <c r="BD96" i="17" s="1"/>
  <c r="BA96" i="17"/>
  <c r="BB96" i="17" s="1"/>
  <c r="AY96" i="17"/>
  <c r="AZ96" i="17" s="1"/>
  <c r="AW96" i="17"/>
  <c r="AX96" i="17" s="1"/>
  <c r="AU96" i="17"/>
  <c r="AV96" i="17" s="1"/>
  <c r="AS96" i="17"/>
  <c r="AT96" i="17" s="1"/>
  <c r="AQ96" i="17"/>
  <c r="AR96" i="17" s="1"/>
  <c r="AO96" i="17"/>
  <c r="AP96" i="17" s="1"/>
  <c r="AM96" i="17"/>
  <c r="AN96" i="17" s="1"/>
  <c r="BU95" i="17"/>
  <c r="BV95" i="17" s="1"/>
  <c r="BS95" i="17"/>
  <c r="BT95" i="17" s="1"/>
  <c r="BQ95" i="17"/>
  <c r="BR95" i="17" s="1"/>
  <c r="BO95" i="17"/>
  <c r="BP95" i="17" s="1"/>
  <c r="BM95" i="17"/>
  <c r="BN95" i="17" s="1"/>
  <c r="BK95" i="17"/>
  <c r="BL95" i="17" s="1"/>
  <c r="BI95" i="17"/>
  <c r="BJ95" i="17" s="1"/>
  <c r="BG95" i="17"/>
  <c r="BH95" i="17" s="1"/>
  <c r="BE95" i="17"/>
  <c r="BF95" i="17" s="1"/>
  <c r="BC95" i="17"/>
  <c r="BD95" i="17" s="1"/>
  <c r="BA95" i="17"/>
  <c r="BB95" i="17" s="1"/>
  <c r="AY95" i="17"/>
  <c r="AZ95" i="17" s="1"/>
  <c r="AW95" i="17"/>
  <c r="AX95" i="17" s="1"/>
  <c r="AU95" i="17"/>
  <c r="AV95" i="17" s="1"/>
  <c r="AS95" i="17"/>
  <c r="AT95" i="17" s="1"/>
  <c r="AQ95" i="17"/>
  <c r="AR95" i="17" s="1"/>
  <c r="AO95" i="17"/>
  <c r="AP95" i="17" s="1"/>
  <c r="AM95" i="17"/>
  <c r="AN95" i="17" s="1"/>
  <c r="BU94" i="17"/>
  <c r="BV94" i="17" s="1"/>
  <c r="BS94" i="17"/>
  <c r="BT94" i="17" s="1"/>
  <c r="BQ94" i="17"/>
  <c r="BR94" i="17" s="1"/>
  <c r="BO94" i="17"/>
  <c r="BP94" i="17" s="1"/>
  <c r="BM94" i="17"/>
  <c r="BN94" i="17" s="1"/>
  <c r="BK94" i="17"/>
  <c r="BL94" i="17" s="1"/>
  <c r="BI94" i="17"/>
  <c r="BJ94" i="17" s="1"/>
  <c r="BG94" i="17"/>
  <c r="BH94" i="17" s="1"/>
  <c r="BE94" i="17"/>
  <c r="BF94" i="17" s="1"/>
  <c r="BC94" i="17"/>
  <c r="BD94" i="17" s="1"/>
  <c r="BA94" i="17"/>
  <c r="BB94" i="17" s="1"/>
  <c r="AY94" i="17"/>
  <c r="AZ94" i="17" s="1"/>
  <c r="AW94" i="17"/>
  <c r="AX94" i="17" s="1"/>
  <c r="AU94" i="17"/>
  <c r="AV94" i="17" s="1"/>
  <c r="AS94" i="17"/>
  <c r="AT94" i="17" s="1"/>
  <c r="AQ94" i="17"/>
  <c r="AR94" i="17" s="1"/>
  <c r="AO94" i="17"/>
  <c r="AP94" i="17" s="1"/>
  <c r="AM94" i="17"/>
  <c r="AN94" i="17" s="1"/>
  <c r="BU93" i="17"/>
  <c r="BV93" i="17" s="1"/>
  <c r="BS93" i="17"/>
  <c r="BT93" i="17" s="1"/>
  <c r="BQ93" i="17"/>
  <c r="BR93" i="17" s="1"/>
  <c r="BO93" i="17"/>
  <c r="BP93" i="17" s="1"/>
  <c r="BM93" i="17"/>
  <c r="BN93" i="17" s="1"/>
  <c r="BK93" i="17"/>
  <c r="BL93" i="17" s="1"/>
  <c r="BI93" i="17"/>
  <c r="BJ93" i="17" s="1"/>
  <c r="BG93" i="17"/>
  <c r="BH93" i="17" s="1"/>
  <c r="BE93" i="17"/>
  <c r="BF93" i="17" s="1"/>
  <c r="BC93" i="17"/>
  <c r="BD93" i="17" s="1"/>
  <c r="BA93" i="17"/>
  <c r="BB93" i="17" s="1"/>
  <c r="AY93" i="17"/>
  <c r="AZ93" i="17" s="1"/>
  <c r="AW93" i="17"/>
  <c r="AX93" i="17" s="1"/>
  <c r="AU93" i="17"/>
  <c r="AV93" i="17" s="1"/>
  <c r="AS93" i="17"/>
  <c r="AT93" i="17" s="1"/>
  <c r="AQ93" i="17"/>
  <c r="AR93" i="17" s="1"/>
  <c r="AO93" i="17"/>
  <c r="AP93" i="17" s="1"/>
  <c r="AM93" i="17"/>
  <c r="AN93" i="17" s="1"/>
  <c r="BU92" i="17"/>
  <c r="BV92" i="17" s="1"/>
  <c r="BS92" i="17"/>
  <c r="BT92" i="17" s="1"/>
  <c r="BQ92" i="17"/>
  <c r="BR92" i="17" s="1"/>
  <c r="BO92" i="17"/>
  <c r="BP92" i="17" s="1"/>
  <c r="BM92" i="17"/>
  <c r="BN92" i="17" s="1"/>
  <c r="BK92" i="17"/>
  <c r="BL92" i="17" s="1"/>
  <c r="BI92" i="17"/>
  <c r="BJ92" i="17" s="1"/>
  <c r="BG92" i="17"/>
  <c r="BH92" i="17" s="1"/>
  <c r="BE92" i="17"/>
  <c r="BF92" i="17" s="1"/>
  <c r="BC92" i="17"/>
  <c r="BD92" i="17" s="1"/>
  <c r="BA92" i="17"/>
  <c r="BB92" i="17" s="1"/>
  <c r="AY92" i="17"/>
  <c r="AZ92" i="17" s="1"/>
  <c r="AW92" i="17"/>
  <c r="AX92" i="17" s="1"/>
  <c r="AU92" i="17"/>
  <c r="AV92" i="17" s="1"/>
  <c r="AS92" i="17"/>
  <c r="AT92" i="17" s="1"/>
  <c r="AQ92" i="17"/>
  <c r="AR92" i="17" s="1"/>
  <c r="AO92" i="17"/>
  <c r="AP92" i="17" s="1"/>
  <c r="AM92" i="17"/>
  <c r="AN92" i="17" s="1"/>
  <c r="BU91" i="17"/>
  <c r="BV91" i="17" s="1"/>
  <c r="BS91" i="17"/>
  <c r="BT91" i="17" s="1"/>
  <c r="BQ91" i="17"/>
  <c r="BR91" i="17" s="1"/>
  <c r="BO91" i="17"/>
  <c r="BP91" i="17" s="1"/>
  <c r="BM91" i="17"/>
  <c r="BN91" i="17" s="1"/>
  <c r="BK91" i="17"/>
  <c r="BL91" i="17" s="1"/>
  <c r="BI91" i="17"/>
  <c r="BJ91" i="17" s="1"/>
  <c r="BG91" i="17"/>
  <c r="BH91" i="17" s="1"/>
  <c r="BE91" i="17"/>
  <c r="BF91" i="17" s="1"/>
  <c r="BC91" i="17"/>
  <c r="BD91" i="17" s="1"/>
  <c r="BA91" i="17"/>
  <c r="BB91" i="17" s="1"/>
  <c r="AY91" i="17"/>
  <c r="AZ91" i="17" s="1"/>
  <c r="AW91" i="17"/>
  <c r="AX91" i="17" s="1"/>
  <c r="AU91" i="17"/>
  <c r="AV91" i="17" s="1"/>
  <c r="AS91" i="17"/>
  <c r="AT91" i="17" s="1"/>
  <c r="AQ91" i="17"/>
  <c r="AR91" i="17" s="1"/>
  <c r="AO91" i="17"/>
  <c r="AP91" i="17" s="1"/>
  <c r="AM91" i="17"/>
  <c r="AN91" i="17" s="1"/>
  <c r="BU90" i="17"/>
  <c r="BV90" i="17" s="1"/>
  <c r="BS90" i="17"/>
  <c r="BT90" i="17" s="1"/>
  <c r="BQ90" i="17"/>
  <c r="BR90" i="17" s="1"/>
  <c r="BO90" i="17"/>
  <c r="BP90" i="17" s="1"/>
  <c r="BM90" i="17"/>
  <c r="BN90" i="17" s="1"/>
  <c r="BK90" i="17"/>
  <c r="BL90" i="17" s="1"/>
  <c r="BI90" i="17"/>
  <c r="BJ90" i="17" s="1"/>
  <c r="BG90" i="17"/>
  <c r="BH90" i="17" s="1"/>
  <c r="BE90" i="17"/>
  <c r="BF90" i="17" s="1"/>
  <c r="BC90" i="17"/>
  <c r="BD90" i="17" s="1"/>
  <c r="BA90" i="17"/>
  <c r="BB90" i="17" s="1"/>
  <c r="AY90" i="17"/>
  <c r="AZ90" i="17" s="1"/>
  <c r="AW90" i="17"/>
  <c r="AX90" i="17" s="1"/>
  <c r="AU90" i="17"/>
  <c r="AV90" i="17" s="1"/>
  <c r="AS90" i="17"/>
  <c r="AT90" i="17" s="1"/>
  <c r="AQ90" i="17"/>
  <c r="AR90" i="17" s="1"/>
  <c r="AO90" i="17"/>
  <c r="AP90" i="17" s="1"/>
  <c r="AM90" i="17"/>
  <c r="AN90" i="17" s="1"/>
  <c r="BU89" i="17"/>
  <c r="BV89" i="17" s="1"/>
  <c r="BS89" i="17"/>
  <c r="BT89" i="17" s="1"/>
  <c r="BQ89" i="17"/>
  <c r="BR89" i="17" s="1"/>
  <c r="BO89" i="17"/>
  <c r="BP89" i="17" s="1"/>
  <c r="BM89" i="17"/>
  <c r="BN89" i="17" s="1"/>
  <c r="BK89" i="17"/>
  <c r="BL89" i="17" s="1"/>
  <c r="BI89" i="17"/>
  <c r="BJ89" i="17" s="1"/>
  <c r="BG89" i="17"/>
  <c r="BH89" i="17" s="1"/>
  <c r="BE89" i="17"/>
  <c r="BF89" i="17" s="1"/>
  <c r="BC89" i="17"/>
  <c r="BD89" i="17" s="1"/>
  <c r="BA89" i="17"/>
  <c r="BB89" i="17" s="1"/>
  <c r="AY89" i="17"/>
  <c r="AZ89" i="17" s="1"/>
  <c r="AW89" i="17"/>
  <c r="AX89" i="17" s="1"/>
  <c r="AU89" i="17"/>
  <c r="AV89" i="17" s="1"/>
  <c r="AS89" i="17"/>
  <c r="AT89" i="17" s="1"/>
  <c r="AQ89" i="17"/>
  <c r="AR89" i="17" s="1"/>
  <c r="AO89" i="17"/>
  <c r="AP89" i="17" s="1"/>
  <c r="AM89" i="17"/>
  <c r="AN89" i="17" s="1"/>
  <c r="BU88" i="17"/>
  <c r="BV88" i="17" s="1"/>
  <c r="BS88" i="17"/>
  <c r="BT88" i="17" s="1"/>
  <c r="BQ88" i="17"/>
  <c r="BR88" i="17" s="1"/>
  <c r="BO88" i="17"/>
  <c r="BP88" i="17" s="1"/>
  <c r="BM88" i="17"/>
  <c r="BN88" i="17" s="1"/>
  <c r="BK88" i="17"/>
  <c r="BL88" i="17" s="1"/>
  <c r="BI88" i="17"/>
  <c r="BJ88" i="17" s="1"/>
  <c r="BG88" i="17"/>
  <c r="BH88" i="17" s="1"/>
  <c r="BE88" i="17"/>
  <c r="BF88" i="17" s="1"/>
  <c r="BC88" i="17"/>
  <c r="BD88" i="17" s="1"/>
  <c r="BA88" i="17"/>
  <c r="BB88" i="17" s="1"/>
  <c r="AY88" i="17"/>
  <c r="AZ88" i="17" s="1"/>
  <c r="AW88" i="17"/>
  <c r="AX88" i="17" s="1"/>
  <c r="AU88" i="17"/>
  <c r="AV88" i="17" s="1"/>
  <c r="AS88" i="17"/>
  <c r="AT88" i="17" s="1"/>
  <c r="AQ88" i="17"/>
  <c r="AR88" i="17" s="1"/>
  <c r="AO88" i="17"/>
  <c r="AP88" i="17" s="1"/>
  <c r="AM88" i="17"/>
  <c r="AN88" i="17" s="1"/>
  <c r="BU87" i="17"/>
  <c r="BV87" i="17" s="1"/>
  <c r="BS87" i="17"/>
  <c r="BT87" i="17" s="1"/>
  <c r="BQ87" i="17"/>
  <c r="BR87" i="17" s="1"/>
  <c r="BO87" i="17"/>
  <c r="BP87" i="17" s="1"/>
  <c r="BM87" i="17"/>
  <c r="BN87" i="17" s="1"/>
  <c r="BK87" i="17"/>
  <c r="BL87" i="17" s="1"/>
  <c r="BI87" i="17"/>
  <c r="BJ87" i="17" s="1"/>
  <c r="BG87" i="17"/>
  <c r="BH87" i="17" s="1"/>
  <c r="BE87" i="17"/>
  <c r="BF87" i="17" s="1"/>
  <c r="BC87" i="17"/>
  <c r="BD87" i="17" s="1"/>
  <c r="BA87" i="17"/>
  <c r="BB87" i="17" s="1"/>
  <c r="AY87" i="17"/>
  <c r="AZ87" i="17" s="1"/>
  <c r="AW87" i="17"/>
  <c r="AX87" i="17" s="1"/>
  <c r="AU87" i="17"/>
  <c r="AV87" i="17" s="1"/>
  <c r="AS87" i="17"/>
  <c r="AT87" i="17" s="1"/>
  <c r="AQ87" i="17"/>
  <c r="AR87" i="17" s="1"/>
  <c r="AO87" i="17"/>
  <c r="AP87" i="17" s="1"/>
  <c r="AM87" i="17"/>
  <c r="AN87" i="17" s="1"/>
  <c r="BU86" i="17"/>
  <c r="BV86" i="17" s="1"/>
  <c r="BS86" i="17"/>
  <c r="BT86" i="17" s="1"/>
  <c r="BQ86" i="17"/>
  <c r="BR86" i="17" s="1"/>
  <c r="BO86" i="17"/>
  <c r="BP86" i="17" s="1"/>
  <c r="BM86" i="17"/>
  <c r="BN86" i="17" s="1"/>
  <c r="BK86" i="17"/>
  <c r="BL86" i="17" s="1"/>
  <c r="BI86" i="17"/>
  <c r="BJ86" i="17" s="1"/>
  <c r="BG86" i="17"/>
  <c r="BH86" i="17" s="1"/>
  <c r="BE86" i="17"/>
  <c r="BF86" i="17" s="1"/>
  <c r="BC86" i="17"/>
  <c r="BD86" i="17" s="1"/>
  <c r="BA86" i="17"/>
  <c r="BB86" i="17" s="1"/>
  <c r="AY86" i="17"/>
  <c r="AZ86" i="17" s="1"/>
  <c r="AW86" i="17"/>
  <c r="AX86" i="17" s="1"/>
  <c r="AU86" i="17"/>
  <c r="AV86" i="17" s="1"/>
  <c r="AS86" i="17"/>
  <c r="AT86" i="17" s="1"/>
  <c r="AQ86" i="17"/>
  <c r="AR86" i="17" s="1"/>
  <c r="AO86" i="17"/>
  <c r="AP86" i="17" s="1"/>
  <c r="AM86" i="17"/>
  <c r="AN86" i="17" s="1"/>
  <c r="BU85" i="17"/>
  <c r="BV85" i="17" s="1"/>
  <c r="BS85" i="17"/>
  <c r="BT85" i="17" s="1"/>
  <c r="BQ85" i="17"/>
  <c r="BR85" i="17" s="1"/>
  <c r="BO85" i="17"/>
  <c r="BP85" i="17" s="1"/>
  <c r="BM85" i="17"/>
  <c r="BN85" i="17" s="1"/>
  <c r="BK85" i="17"/>
  <c r="BL85" i="17" s="1"/>
  <c r="BI85" i="17"/>
  <c r="BJ85" i="17" s="1"/>
  <c r="BG85" i="17"/>
  <c r="BH85" i="17" s="1"/>
  <c r="BE85" i="17"/>
  <c r="BF85" i="17" s="1"/>
  <c r="BC85" i="17"/>
  <c r="BD85" i="17" s="1"/>
  <c r="BA85" i="17"/>
  <c r="BB85" i="17" s="1"/>
  <c r="AY85" i="17"/>
  <c r="AZ85" i="17" s="1"/>
  <c r="AW85" i="17"/>
  <c r="AX85" i="17" s="1"/>
  <c r="AU85" i="17"/>
  <c r="AV85" i="17" s="1"/>
  <c r="AS85" i="17"/>
  <c r="AT85" i="17" s="1"/>
  <c r="AQ85" i="17"/>
  <c r="AR85" i="17" s="1"/>
  <c r="AO85" i="17"/>
  <c r="AP85" i="17" s="1"/>
  <c r="AM85" i="17"/>
  <c r="AN85" i="17" s="1"/>
  <c r="BU84" i="17"/>
  <c r="BV84" i="17" s="1"/>
  <c r="BS84" i="17"/>
  <c r="BT84" i="17" s="1"/>
  <c r="BQ84" i="17"/>
  <c r="BR84" i="17" s="1"/>
  <c r="BO84" i="17"/>
  <c r="BP84" i="17" s="1"/>
  <c r="BM84" i="17"/>
  <c r="BN84" i="17" s="1"/>
  <c r="BK84" i="17"/>
  <c r="BL84" i="17" s="1"/>
  <c r="BI84" i="17"/>
  <c r="BJ84" i="17" s="1"/>
  <c r="BG84" i="17"/>
  <c r="BH84" i="17" s="1"/>
  <c r="BE84" i="17"/>
  <c r="BF84" i="17" s="1"/>
  <c r="BC84" i="17"/>
  <c r="BD84" i="17" s="1"/>
  <c r="BA84" i="17"/>
  <c r="BB84" i="17" s="1"/>
  <c r="AY84" i="17"/>
  <c r="AZ84" i="17" s="1"/>
  <c r="AW84" i="17"/>
  <c r="AX84" i="17" s="1"/>
  <c r="AU84" i="17"/>
  <c r="AV84" i="17" s="1"/>
  <c r="AS84" i="17"/>
  <c r="AT84" i="17" s="1"/>
  <c r="AQ84" i="17"/>
  <c r="AR84" i="17" s="1"/>
  <c r="AO84" i="17"/>
  <c r="AP84" i="17" s="1"/>
  <c r="AM84" i="17"/>
  <c r="AN84" i="17" s="1"/>
  <c r="BU83" i="17"/>
  <c r="BV83" i="17" s="1"/>
  <c r="BS83" i="17"/>
  <c r="BT83" i="17" s="1"/>
  <c r="BQ83" i="17"/>
  <c r="BR83" i="17" s="1"/>
  <c r="BO83" i="17"/>
  <c r="BP83" i="17" s="1"/>
  <c r="BM83" i="17"/>
  <c r="BN83" i="17" s="1"/>
  <c r="BK83" i="17"/>
  <c r="BL83" i="17" s="1"/>
  <c r="BI83" i="17"/>
  <c r="BJ83" i="17" s="1"/>
  <c r="BG83" i="17"/>
  <c r="BH83" i="17" s="1"/>
  <c r="BE83" i="17"/>
  <c r="BF83" i="17" s="1"/>
  <c r="BC83" i="17"/>
  <c r="BD83" i="17" s="1"/>
  <c r="BA83" i="17"/>
  <c r="BB83" i="17" s="1"/>
  <c r="AY83" i="17"/>
  <c r="AZ83" i="17" s="1"/>
  <c r="AW83" i="17"/>
  <c r="AX83" i="17" s="1"/>
  <c r="AU83" i="17"/>
  <c r="AV83" i="17" s="1"/>
  <c r="AS83" i="17"/>
  <c r="AT83" i="17" s="1"/>
  <c r="AQ83" i="17"/>
  <c r="AR83" i="17" s="1"/>
  <c r="AO83" i="17"/>
  <c r="AP83" i="17" s="1"/>
  <c r="AM83" i="17"/>
  <c r="AN83" i="17" s="1"/>
  <c r="BU82" i="17"/>
  <c r="BV82" i="17" s="1"/>
  <c r="BS82" i="17"/>
  <c r="BT82" i="17" s="1"/>
  <c r="BQ82" i="17"/>
  <c r="BR82" i="17" s="1"/>
  <c r="BO82" i="17"/>
  <c r="BP82" i="17" s="1"/>
  <c r="BM82" i="17"/>
  <c r="BN82" i="17" s="1"/>
  <c r="BK82" i="17"/>
  <c r="BL82" i="17" s="1"/>
  <c r="BI82" i="17"/>
  <c r="BJ82" i="17" s="1"/>
  <c r="BG82" i="17"/>
  <c r="BH82" i="17" s="1"/>
  <c r="BE82" i="17"/>
  <c r="BF82" i="17" s="1"/>
  <c r="BC82" i="17"/>
  <c r="BD82" i="17" s="1"/>
  <c r="BA82" i="17"/>
  <c r="BB82" i="17" s="1"/>
  <c r="AY82" i="17"/>
  <c r="AZ82" i="17" s="1"/>
  <c r="AW82" i="17"/>
  <c r="AX82" i="17" s="1"/>
  <c r="AU82" i="17"/>
  <c r="AV82" i="17" s="1"/>
  <c r="AS82" i="17"/>
  <c r="AT82" i="17" s="1"/>
  <c r="AQ82" i="17"/>
  <c r="AR82" i="17" s="1"/>
  <c r="AO82" i="17"/>
  <c r="AP82" i="17" s="1"/>
  <c r="AM82" i="17"/>
  <c r="AN82" i="17" s="1"/>
  <c r="BU81" i="17"/>
  <c r="BV81" i="17" s="1"/>
  <c r="BS81" i="17"/>
  <c r="BT81" i="17" s="1"/>
  <c r="BQ81" i="17"/>
  <c r="BR81" i="17" s="1"/>
  <c r="BO81" i="17"/>
  <c r="BP81" i="17" s="1"/>
  <c r="BM81" i="17"/>
  <c r="BN81" i="17" s="1"/>
  <c r="BK81" i="17"/>
  <c r="BL81" i="17" s="1"/>
  <c r="BI81" i="17"/>
  <c r="BJ81" i="17" s="1"/>
  <c r="BG81" i="17"/>
  <c r="BH81" i="17" s="1"/>
  <c r="BE81" i="17"/>
  <c r="BF81" i="17" s="1"/>
  <c r="BC81" i="17"/>
  <c r="BD81" i="17" s="1"/>
  <c r="BA81" i="17"/>
  <c r="BB81" i="17" s="1"/>
  <c r="AY81" i="17"/>
  <c r="AZ81" i="17" s="1"/>
  <c r="AW81" i="17"/>
  <c r="AX81" i="17" s="1"/>
  <c r="AU81" i="17"/>
  <c r="AV81" i="17" s="1"/>
  <c r="AS81" i="17"/>
  <c r="AT81" i="17" s="1"/>
  <c r="AQ81" i="17"/>
  <c r="AR81" i="17" s="1"/>
  <c r="AO81" i="17"/>
  <c r="AP81" i="17" s="1"/>
  <c r="AM81" i="17"/>
  <c r="AN81" i="17" s="1"/>
  <c r="BU80" i="17"/>
  <c r="BV80" i="17" s="1"/>
  <c r="BS80" i="17"/>
  <c r="BT80" i="17" s="1"/>
  <c r="BQ80" i="17"/>
  <c r="BR80" i="17" s="1"/>
  <c r="BO80" i="17"/>
  <c r="BP80" i="17" s="1"/>
  <c r="BM80" i="17"/>
  <c r="BN80" i="17" s="1"/>
  <c r="BK80" i="17"/>
  <c r="BL80" i="17" s="1"/>
  <c r="BI80" i="17"/>
  <c r="BJ80" i="17" s="1"/>
  <c r="BG80" i="17"/>
  <c r="BH80" i="17" s="1"/>
  <c r="BE80" i="17"/>
  <c r="BF80" i="17" s="1"/>
  <c r="BC80" i="17"/>
  <c r="BD80" i="17" s="1"/>
  <c r="BA80" i="17"/>
  <c r="BB80" i="17" s="1"/>
  <c r="AY80" i="17"/>
  <c r="AZ80" i="17" s="1"/>
  <c r="AW80" i="17"/>
  <c r="AX80" i="17" s="1"/>
  <c r="AU80" i="17"/>
  <c r="AV80" i="17" s="1"/>
  <c r="AS80" i="17"/>
  <c r="AT80" i="17" s="1"/>
  <c r="AQ80" i="17"/>
  <c r="AR80" i="17" s="1"/>
  <c r="AO80" i="17"/>
  <c r="AP80" i="17" s="1"/>
  <c r="AM80" i="17"/>
  <c r="AN80" i="17" s="1"/>
  <c r="BU79" i="17"/>
  <c r="BV79" i="17" s="1"/>
  <c r="BS79" i="17"/>
  <c r="BT79" i="17" s="1"/>
  <c r="BQ79" i="17"/>
  <c r="BR79" i="17" s="1"/>
  <c r="BO79" i="17"/>
  <c r="BP79" i="17" s="1"/>
  <c r="BM79" i="17"/>
  <c r="BN79" i="17" s="1"/>
  <c r="BK79" i="17"/>
  <c r="BL79" i="17" s="1"/>
  <c r="BI79" i="17"/>
  <c r="BJ79" i="17" s="1"/>
  <c r="BG79" i="17"/>
  <c r="BH79" i="17" s="1"/>
  <c r="BE79" i="17"/>
  <c r="BF79" i="17" s="1"/>
  <c r="BC79" i="17"/>
  <c r="BD79" i="17" s="1"/>
  <c r="BA79" i="17"/>
  <c r="BB79" i="17" s="1"/>
  <c r="AY79" i="17"/>
  <c r="AZ79" i="17" s="1"/>
  <c r="AW79" i="17"/>
  <c r="AX79" i="17" s="1"/>
  <c r="AU79" i="17"/>
  <c r="AV79" i="17" s="1"/>
  <c r="AS79" i="17"/>
  <c r="AT79" i="17" s="1"/>
  <c r="AQ79" i="17"/>
  <c r="AR79" i="17" s="1"/>
  <c r="AO79" i="17"/>
  <c r="AP79" i="17" s="1"/>
  <c r="AM79" i="17"/>
  <c r="AN79" i="17" s="1"/>
  <c r="BU78" i="17"/>
  <c r="BV78" i="17" s="1"/>
  <c r="BS78" i="17"/>
  <c r="BT78" i="17" s="1"/>
  <c r="BQ78" i="17"/>
  <c r="BR78" i="17" s="1"/>
  <c r="BO78" i="17"/>
  <c r="BP78" i="17" s="1"/>
  <c r="BM78" i="17"/>
  <c r="BN78" i="17" s="1"/>
  <c r="BK78" i="17"/>
  <c r="BL78" i="17" s="1"/>
  <c r="BI78" i="17"/>
  <c r="BJ78" i="17" s="1"/>
  <c r="BG78" i="17"/>
  <c r="BH78" i="17" s="1"/>
  <c r="BE78" i="17"/>
  <c r="BF78" i="17" s="1"/>
  <c r="BC78" i="17"/>
  <c r="BD78" i="17" s="1"/>
  <c r="BA78" i="17"/>
  <c r="BB78" i="17" s="1"/>
  <c r="AY78" i="17"/>
  <c r="AZ78" i="17" s="1"/>
  <c r="AW78" i="17"/>
  <c r="AX78" i="17" s="1"/>
  <c r="AU78" i="17"/>
  <c r="AV78" i="17" s="1"/>
  <c r="AS78" i="17"/>
  <c r="AT78" i="17" s="1"/>
  <c r="AQ78" i="17"/>
  <c r="AR78" i="17" s="1"/>
  <c r="AO78" i="17"/>
  <c r="AP78" i="17" s="1"/>
  <c r="AM78" i="17"/>
  <c r="AN78" i="17" s="1"/>
  <c r="BU77" i="17"/>
  <c r="BV77" i="17" s="1"/>
  <c r="BS77" i="17"/>
  <c r="BT77" i="17" s="1"/>
  <c r="BQ77" i="17"/>
  <c r="BR77" i="17" s="1"/>
  <c r="BO77" i="17"/>
  <c r="BP77" i="17" s="1"/>
  <c r="BM77" i="17"/>
  <c r="BN77" i="17" s="1"/>
  <c r="BK77" i="17"/>
  <c r="BL77" i="17" s="1"/>
  <c r="BI77" i="17"/>
  <c r="BJ77" i="17" s="1"/>
  <c r="BG77" i="17"/>
  <c r="BH77" i="17" s="1"/>
  <c r="BE77" i="17"/>
  <c r="BF77" i="17" s="1"/>
  <c r="BC77" i="17"/>
  <c r="BD77" i="17" s="1"/>
  <c r="BA77" i="17"/>
  <c r="BB77" i="17" s="1"/>
  <c r="AY77" i="17"/>
  <c r="AZ77" i="17" s="1"/>
  <c r="AW77" i="17"/>
  <c r="AX77" i="17" s="1"/>
  <c r="AU77" i="17"/>
  <c r="AV77" i="17" s="1"/>
  <c r="AS77" i="17"/>
  <c r="AT77" i="17" s="1"/>
  <c r="AQ77" i="17"/>
  <c r="AR77" i="17" s="1"/>
  <c r="AO77" i="17"/>
  <c r="AP77" i="17" s="1"/>
  <c r="AM77" i="17"/>
  <c r="AN77" i="17" s="1"/>
  <c r="BU76" i="17"/>
  <c r="BV76" i="17" s="1"/>
  <c r="BS76" i="17"/>
  <c r="BT76" i="17" s="1"/>
  <c r="BQ76" i="17"/>
  <c r="BR76" i="17" s="1"/>
  <c r="BO76" i="17"/>
  <c r="BP76" i="17" s="1"/>
  <c r="BM76" i="17"/>
  <c r="BN76" i="17" s="1"/>
  <c r="BK76" i="17"/>
  <c r="BL76" i="17" s="1"/>
  <c r="BI76" i="17"/>
  <c r="BJ76" i="17" s="1"/>
  <c r="BG76" i="17"/>
  <c r="BH76" i="17" s="1"/>
  <c r="BE76" i="17"/>
  <c r="BF76" i="17" s="1"/>
  <c r="BC76" i="17"/>
  <c r="BD76" i="17" s="1"/>
  <c r="BA76" i="17"/>
  <c r="BB76" i="17" s="1"/>
  <c r="AY76" i="17"/>
  <c r="AZ76" i="17" s="1"/>
  <c r="AW76" i="17"/>
  <c r="AX76" i="17" s="1"/>
  <c r="AU76" i="17"/>
  <c r="AV76" i="17" s="1"/>
  <c r="AS76" i="17"/>
  <c r="AT76" i="17" s="1"/>
  <c r="AQ76" i="17"/>
  <c r="AR76" i="17" s="1"/>
  <c r="AO76" i="17"/>
  <c r="AP76" i="17" s="1"/>
  <c r="AM76" i="17"/>
  <c r="AN76" i="17" s="1"/>
  <c r="BU75" i="17"/>
  <c r="BV75" i="17" s="1"/>
  <c r="BS75" i="17"/>
  <c r="BT75" i="17" s="1"/>
  <c r="BQ75" i="17"/>
  <c r="BR75" i="17" s="1"/>
  <c r="BO75" i="17"/>
  <c r="BP75" i="17" s="1"/>
  <c r="BM75" i="17"/>
  <c r="BN75" i="17" s="1"/>
  <c r="BK75" i="17"/>
  <c r="BL75" i="17" s="1"/>
  <c r="BI75" i="17"/>
  <c r="BJ75" i="17" s="1"/>
  <c r="BG75" i="17"/>
  <c r="BH75" i="17" s="1"/>
  <c r="BE75" i="17"/>
  <c r="BF75" i="17" s="1"/>
  <c r="BC75" i="17"/>
  <c r="BD75" i="17" s="1"/>
  <c r="BA75" i="17"/>
  <c r="BB75" i="17" s="1"/>
  <c r="AY75" i="17"/>
  <c r="AZ75" i="17" s="1"/>
  <c r="AW75" i="17"/>
  <c r="AX75" i="17" s="1"/>
  <c r="AU75" i="17"/>
  <c r="AV75" i="17" s="1"/>
  <c r="AS75" i="17"/>
  <c r="AT75" i="17" s="1"/>
  <c r="AQ75" i="17"/>
  <c r="AR75" i="17" s="1"/>
  <c r="AO75" i="17"/>
  <c r="AP75" i="17" s="1"/>
  <c r="AM75" i="17"/>
  <c r="AN75" i="17" s="1"/>
  <c r="BU74" i="17"/>
  <c r="BV74" i="17" s="1"/>
  <c r="BS74" i="17"/>
  <c r="BT74" i="17" s="1"/>
  <c r="BQ74" i="17"/>
  <c r="BR74" i="17" s="1"/>
  <c r="BO74" i="17"/>
  <c r="BP74" i="17" s="1"/>
  <c r="BM74" i="17"/>
  <c r="BN74" i="17" s="1"/>
  <c r="BK74" i="17"/>
  <c r="BL74" i="17" s="1"/>
  <c r="BI74" i="17"/>
  <c r="BJ74" i="17" s="1"/>
  <c r="BG74" i="17"/>
  <c r="BH74" i="17" s="1"/>
  <c r="BE74" i="17"/>
  <c r="BF74" i="17" s="1"/>
  <c r="BC74" i="17"/>
  <c r="BD74" i="17" s="1"/>
  <c r="BA74" i="17"/>
  <c r="BB74" i="17" s="1"/>
  <c r="AY74" i="17"/>
  <c r="AZ74" i="17" s="1"/>
  <c r="AW74" i="17"/>
  <c r="AX74" i="17" s="1"/>
  <c r="AU74" i="17"/>
  <c r="AV74" i="17" s="1"/>
  <c r="AS74" i="17"/>
  <c r="AT74" i="17" s="1"/>
  <c r="AQ74" i="17"/>
  <c r="AR74" i="17" s="1"/>
  <c r="AO74" i="17"/>
  <c r="AP74" i="17" s="1"/>
  <c r="AM74" i="17"/>
  <c r="AN74" i="17" s="1"/>
  <c r="BU73" i="17"/>
  <c r="BV73" i="17" s="1"/>
  <c r="BS73" i="17"/>
  <c r="BT73" i="17" s="1"/>
  <c r="BQ73" i="17"/>
  <c r="BR73" i="17" s="1"/>
  <c r="BO73" i="17"/>
  <c r="BP73" i="17" s="1"/>
  <c r="BM73" i="17"/>
  <c r="BN73" i="17" s="1"/>
  <c r="BK73" i="17"/>
  <c r="BL73" i="17" s="1"/>
  <c r="BI73" i="17"/>
  <c r="BJ73" i="17" s="1"/>
  <c r="BG73" i="17"/>
  <c r="BH73" i="17" s="1"/>
  <c r="BE73" i="17"/>
  <c r="BF73" i="17" s="1"/>
  <c r="BC73" i="17"/>
  <c r="BD73" i="17" s="1"/>
  <c r="BA73" i="17"/>
  <c r="BB73" i="17" s="1"/>
  <c r="AY73" i="17"/>
  <c r="AZ73" i="17" s="1"/>
  <c r="AW73" i="17"/>
  <c r="AX73" i="17" s="1"/>
  <c r="AU73" i="17"/>
  <c r="AV73" i="17" s="1"/>
  <c r="AS73" i="17"/>
  <c r="AT73" i="17" s="1"/>
  <c r="AQ73" i="17"/>
  <c r="AR73" i="17" s="1"/>
  <c r="AO73" i="17"/>
  <c r="AP73" i="17" s="1"/>
  <c r="AM73" i="17"/>
  <c r="AN73" i="17" s="1"/>
  <c r="BU72" i="17"/>
  <c r="BV72" i="17" s="1"/>
  <c r="BS72" i="17"/>
  <c r="BT72" i="17" s="1"/>
  <c r="BQ72" i="17"/>
  <c r="BR72" i="17" s="1"/>
  <c r="BO72" i="17"/>
  <c r="BP72" i="17" s="1"/>
  <c r="BM72" i="17"/>
  <c r="BN72" i="17" s="1"/>
  <c r="BK72" i="17"/>
  <c r="BL72" i="17" s="1"/>
  <c r="BI72" i="17"/>
  <c r="BJ72" i="17" s="1"/>
  <c r="BG72" i="17"/>
  <c r="BH72" i="17" s="1"/>
  <c r="BE72" i="17"/>
  <c r="BF72" i="17" s="1"/>
  <c r="BC72" i="17"/>
  <c r="BD72" i="17" s="1"/>
  <c r="BA72" i="17"/>
  <c r="BB72" i="17" s="1"/>
  <c r="AY72" i="17"/>
  <c r="AZ72" i="17" s="1"/>
  <c r="AW72" i="17"/>
  <c r="AX72" i="17" s="1"/>
  <c r="AU72" i="17"/>
  <c r="AV72" i="17" s="1"/>
  <c r="AS72" i="17"/>
  <c r="AT72" i="17" s="1"/>
  <c r="AQ72" i="17"/>
  <c r="AR72" i="17" s="1"/>
  <c r="AO72" i="17"/>
  <c r="AP72" i="17" s="1"/>
  <c r="AM72" i="17"/>
  <c r="AN72" i="17" s="1"/>
  <c r="BU71" i="17"/>
  <c r="BV71" i="17" s="1"/>
  <c r="BS71" i="17"/>
  <c r="BT71" i="17" s="1"/>
  <c r="BQ71" i="17"/>
  <c r="BR71" i="17" s="1"/>
  <c r="BO71" i="17"/>
  <c r="BP71" i="17" s="1"/>
  <c r="BM71" i="17"/>
  <c r="BN71" i="17" s="1"/>
  <c r="BK71" i="17"/>
  <c r="BL71" i="17" s="1"/>
  <c r="BI71" i="17"/>
  <c r="BJ71" i="17" s="1"/>
  <c r="BG71" i="17"/>
  <c r="BH71" i="17" s="1"/>
  <c r="BE71" i="17"/>
  <c r="BF71" i="17" s="1"/>
  <c r="BC71" i="17"/>
  <c r="BD71" i="17" s="1"/>
  <c r="BA71" i="17"/>
  <c r="BB71" i="17" s="1"/>
  <c r="AY71" i="17"/>
  <c r="AZ71" i="17" s="1"/>
  <c r="AW71" i="17"/>
  <c r="AX71" i="17" s="1"/>
  <c r="AU71" i="17"/>
  <c r="AV71" i="17" s="1"/>
  <c r="AS71" i="17"/>
  <c r="AT71" i="17" s="1"/>
  <c r="AQ71" i="17"/>
  <c r="AR71" i="17" s="1"/>
  <c r="AO71" i="17"/>
  <c r="AP71" i="17" s="1"/>
  <c r="AM71" i="17"/>
  <c r="AN71" i="17" s="1"/>
  <c r="BU70" i="17"/>
  <c r="BV70" i="17" s="1"/>
  <c r="BS70" i="17"/>
  <c r="BT70" i="17" s="1"/>
  <c r="BQ70" i="17"/>
  <c r="BR70" i="17" s="1"/>
  <c r="BO70" i="17"/>
  <c r="BP70" i="17" s="1"/>
  <c r="BM70" i="17"/>
  <c r="BN70" i="17" s="1"/>
  <c r="BK70" i="17"/>
  <c r="BL70" i="17" s="1"/>
  <c r="BI70" i="17"/>
  <c r="BJ70" i="17" s="1"/>
  <c r="BG70" i="17"/>
  <c r="BH70" i="17" s="1"/>
  <c r="BE70" i="17"/>
  <c r="BF70" i="17" s="1"/>
  <c r="BC70" i="17"/>
  <c r="BD70" i="17" s="1"/>
  <c r="BA70" i="17"/>
  <c r="BB70" i="17" s="1"/>
  <c r="AY70" i="17"/>
  <c r="AZ70" i="17" s="1"/>
  <c r="AW70" i="17"/>
  <c r="AX70" i="17" s="1"/>
  <c r="AU70" i="17"/>
  <c r="AV70" i="17" s="1"/>
  <c r="AS70" i="17"/>
  <c r="AT70" i="17" s="1"/>
  <c r="AQ70" i="17"/>
  <c r="AR70" i="17" s="1"/>
  <c r="AO70" i="17"/>
  <c r="AP70" i="17" s="1"/>
  <c r="AM70" i="17"/>
  <c r="AN70" i="17" s="1"/>
  <c r="BU69" i="17"/>
  <c r="BV69" i="17" s="1"/>
  <c r="BS69" i="17"/>
  <c r="BT69" i="17" s="1"/>
  <c r="BQ69" i="17"/>
  <c r="BR69" i="17" s="1"/>
  <c r="BO69" i="17"/>
  <c r="BP69" i="17" s="1"/>
  <c r="BM69" i="17"/>
  <c r="BN69" i="17" s="1"/>
  <c r="BK69" i="17"/>
  <c r="BL69" i="17" s="1"/>
  <c r="BI69" i="17"/>
  <c r="BJ69" i="17" s="1"/>
  <c r="BG69" i="17"/>
  <c r="BH69" i="17" s="1"/>
  <c r="BE69" i="17"/>
  <c r="BF69" i="17" s="1"/>
  <c r="BC69" i="17"/>
  <c r="BD69" i="17" s="1"/>
  <c r="BA69" i="17"/>
  <c r="BB69" i="17" s="1"/>
  <c r="AY69" i="17"/>
  <c r="AZ69" i="17" s="1"/>
  <c r="AW69" i="17"/>
  <c r="AX69" i="17" s="1"/>
  <c r="AU69" i="17"/>
  <c r="AV69" i="17" s="1"/>
  <c r="AS69" i="17"/>
  <c r="AT69" i="17" s="1"/>
  <c r="AQ69" i="17"/>
  <c r="AR69" i="17" s="1"/>
  <c r="AO69" i="17"/>
  <c r="AP69" i="17" s="1"/>
  <c r="AM69" i="17"/>
  <c r="AN69" i="17" s="1"/>
  <c r="BU68" i="17"/>
  <c r="BV68" i="17" s="1"/>
  <c r="BS68" i="17"/>
  <c r="BT68" i="17" s="1"/>
  <c r="BQ68" i="17"/>
  <c r="BR68" i="17" s="1"/>
  <c r="BO68" i="17"/>
  <c r="BP68" i="17" s="1"/>
  <c r="BM68" i="17"/>
  <c r="BN68" i="17" s="1"/>
  <c r="BK68" i="17"/>
  <c r="BL68" i="17" s="1"/>
  <c r="BI68" i="17"/>
  <c r="BJ68" i="17" s="1"/>
  <c r="BG68" i="17"/>
  <c r="BH68" i="17" s="1"/>
  <c r="BE68" i="17"/>
  <c r="BF68" i="17" s="1"/>
  <c r="BC68" i="17"/>
  <c r="BD68" i="17" s="1"/>
  <c r="BA68" i="17"/>
  <c r="BB68" i="17" s="1"/>
  <c r="AY68" i="17"/>
  <c r="AZ68" i="17" s="1"/>
  <c r="AW68" i="17"/>
  <c r="AX68" i="17" s="1"/>
  <c r="AU68" i="17"/>
  <c r="AV68" i="17" s="1"/>
  <c r="AS68" i="17"/>
  <c r="AT68" i="17" s="1"/>
  <c r="AQ68" i="17"/>
  <c r="AR68" i="17" s="1"/>
  <c r="AO68" i="17"/>
  <c r="AP68" i="17" s="1"/>
  <c r="AM68" i="17"/>
  <c r="AN68" i="17" s="1"/>
  <c r="BU67" i="17"/>
  <c r="BV67" i="17" s="1"/>
  <c r="BS67" i="17"/>
  <c r="BT67" i="17" s="1"/>
  <c r="BQ67" i="17"/>
  <c r="BR67" i="17" s="1"/>
  <c r="BO67" i="17"/>
  <c r="BP67" i="17" s="1"/>
  <c r="BM67" i="17"/>
  <c r="BN67" i="17" s="1"/>
  <c r="BK67" i="17"/>
  <c r="BL67" i="17" s="1"/>
  <c r="BI67" i="17"/>
  <c r="BJ67" i="17" s="1"/>
  <c r="BG67" i="17"/>
  <c r="BH67" i="17" s="1"/>
  <c r="BE67" i="17"/>
  <c r="BF67" i="17" s="1"/>
  <c r="BC67" i="17"/>
  <c r="BD67" i="17" s="1"/>
  <c r="BA67" i="17"/>
  <c r="BB67" i="17" s="1"/>
  <c r="AY67" i="17"/>
  <c r="AZ67" i="17" s="1"/>
  <c r="AW67" i="17"/>
  <c r="AX67" i="17" s="1"/>
  <c r="AU67" i="17"/>
  <c r="AV67" i="17" s="1"/>
  <c r="AS67" i="17"/>
  <c r="AT67" i="17" s="1"/>
  <c r="AQ67" i="17"/>
  <c r="AR67" i="17" s="1"/>
  <c r="AO67" i="17"/>
  <c r="AP67" i="17" s="1"/>
  <c r="AM67" i="17"/>
  <c r="AN67" i="17" s="1"/>
  <c r="BU66" i="17"/>
  <c r="BV66" i="17" s="1"/>
  <c r="BS66" i="17"/>
  <c r="BT66" i="17" s="1"/>
  <c r="BQ66" i="17"/>
  <c r="BR66" i="17" s="1"/>
  <c r="BO66" i="17"/>
  <c r="BP66" i="17" s="1"/>
  <c r="BM66" i="17"/>
  <c r="BN66" i="17" s="1"/>
  <c r="BK66" i="17"/>
  <c r="BL66" i="17" s="1"/>
  <c r="BI66" i="17"/>
  <c r="BJ66" i="17" s="1"/>
  <c r="BG66" i="17"/>
  <c r="BH66" i="17" s="1"/>
  <c r="BE66" i="17"/>
  <c r="BF66" i="17" s="1"/>
  <c r="BC66" i="17"/>
  <c r="BD66" i="17" s="1"/>
  <c r="BA66" i="17"/>
  <c r="BB66" i="17" s="1"/>
  <c r="AY66" i="17"/>
  <c r="AZ66" i="17" s="1"/>
  <c r="AW66" i="17"/>
  <c r="AX66" i="17" s="1"/>
  <c r="AU66" i="17"/>
  <c r="AV66" i="17" s="1"/>
  <c r="AS66" i="17"/>
  <c r="AT66" i="17" s="1"/>
  <c r="AQ66" i="17"/>
  <c r="AR66" i="17" s="1"/>
  <c r="AO66" i="17"/>
  <c r="AP66" i="17" s="1"/>
  <c r="AM66" i="17"/>
  <c r="AN66" i="17" s="1"/>
  <c r="BU65" i="17"/>
  <c r="BV65" i="17" s="1"/>
  <c r="BS65" i="17"/>
  <c r="BT65" i="17" s="1"/>
  <c r="BQ65" i="17"/>
  <c r="BR65" i="17" s="1"/>
  <c r="BO65" i="17"/>
  <c r="BP65" i="17" s="1"/>
  <c r="BM65" i="17"/>
  <c r="BN65" i="17" s="1"/>
  <c r="BK65" i="17"/>
  <c r="BL65" i="17" s="1"/>
  <c r="BI65" i="17"/>
  <c r="BJ65" i="17" s="1"/>
  <c r="BG65" i="17"/>
  <c r="BH65" i="17" s="1"/>
  <c r="BE65" i="17"/>
  <c r="BF65" i="17" s="1"/>
  <c r="BC65" i="17"/>
  <c r="BD65" i="17" s="1"/>
  <c r="BA65" i="17"/>
  <c r="BB65" i="17" s="1"/>
  <c r="AY65" i="17"/>
  <c r="AZ65" i="17" s="1"/>
  <c r="AW65" i="17"/>
  <c r="AX65" i="17" s="1"/>
  <c r="AU65" i="17"/>
  <c r="AV65" i="17" s="1"/>
  <c r="AS65" i="17"/>
  <c r="AT65" i="17" s="1"/>
  <c r="AQ65" i="17"/>
  <c r="AR65" i="17" s="1"/>
  <c r="AO65" i="17"/>
  <c r="AP65" i="17" s="1"/>
  <c r="AM65" i="17"/>
  <c r="AN65" i="17" s="1"/>
  <c r="BU64" i="17"/>
  <c r="BV64" i="17" s="1"/>
  <c r="BS64" i="17"/>
  <c r="BT64" i="17" s="1"/>
  <c r="BQ64" i="17"/>
  <c r="BR64" i="17" s="1"/>
  <c r="BO64" i="17"/>
  <c r="BP64" i="17" s="1"/>
  <c r="BM64" i="17"/>
  <c r="BN64" i="17" s="1"/>
  <c r="BK64" i="17"/>
  <c r="BL64" i="17" s="1"/>
  <c r="BI64" i="17"/>
  <c r="BJ64" i="17" s="1"/>
  <c r="BG64" i="17"/>
  <c r="BH64" i="17" s="1"/>
  <c r="BE64" i="17"/>
  <c r="BF64" i="17" s="1"/>
  <c r="BC64" i="17"/>
  <c r="BD64" i="17" s="1"/>
  <c r="BA64" i="17"/>
  <c r="BB64" i="17" s="1"/>
  <c r="AY64" i="17"/>
  <c r="AZ64" i="17" s="1"/>
  <c r="AW64" i="17"/>
  <c r="AX64" i="17" s="1"/>
  <c r="AU64" i="17"/>
  <c r="AV64" i="17" s="1"/>
  <c r="AS64" i="17"/>
  <c r="AT64" i="17" s="1"/>
  <c r="AQ64" i="17"/>
  <c r="AR64" i="17" s="1"/>
  <c r="AO64" i="17"/>
  <c r="AP64" i="17" s="1"/>
  <c r="AM64" i="17"/>
  <c r="AN64" i="17" s="1"/>
  <c r="BU63" i="17"/>
  <c r="BV63" i="17" s="1"/>
  <c r="BS63" i="17"/>
  <c r="BT63" i="17" s="1"/>
  <c r="BQ63" i="17"/>
  <c r="BR63" i="17" s="1"/>
  <c r="BO63" i="17"/>
  <c r="BP63" i="17" s="1"/>
  <c r="BM63" i="17"/>
  <c r="BN63" i="17" s="1"/>
  <c r="BK63" i="17"/>
  <c r="BL63" i="17" s="1"/>
  <c r="BI63" i="17"/>
  <c r="BJ63" i="17" s="1"/>
  <c r="BG63" i="17"/>
  <c r="BH63" i="17" s="1"/>
  <c r="BE63" i="17"/>
  <c r="BF63" i="17" s="1"/>
  <c r="BC63" i="17"/>
  <c r="BD63" i="17" s="1"/>
  <c r="BA63" i="17"/>
  <c r="BB63" i="17" s="1"/>
  <c r="AY63" i="17"/>
  <c r="AZ63" i="17" s="1"/>
  <c r="AW63" i="17"/>
  <c r="AX63" i="17" s="1"/>
  <c r="AU63" i="17"/>
  <c r="AV63" i="17" s="1"/>
  <c r="AS63" i="17"/>
  <c r="AT63" i="17" s="1"/>
  <c r="AQ63" i="17"/>
  <c r="AR63" i="17" s="1"/>
  <c r="AO63" i="17"/>
  <c r="AP63" i="17" s="1"/>
  <c r="AM63" i="17"/>
  <c r="AN63" i="17" s="1"/>
  <c r="BU62" i="17"/>
  <c r="BV62" i="17" s="1"/>
  <c r="BS62" i="17"/>
  <c r="BT62" i="17" s="1"/>
  <c r="BQ62" i="17"/>
  <c r="BR62" i="17" s="1"/>
  <c r="BO62" i="17"/>
  <c r="BP62" i="17" s="1"/>
  <c r="BM62" i="17"/>
  <c r="BN62" i="17" s="1"/>
  <c r="BK62" i="17"/>
  <c r="BL62" i="17" s="1"/>
  <c r="BI62" i="17"/>
  <c r="BJ62" i="17" s="1"/>
  <c r="BG62" i="17"/>
  <c r="BH62" i="17" s="1"/>
  <c r="BE62" i="17"/>
  <c r="BF62" i="17" s="1"/>
  <c r="BC62" i="17"/>
  <c r="BD62" i="17" s="1"/>
  <c r="BA62" i="17"/>
  <c r="BB62" i="17" s="1"/>
  <c r="AY62" i="17"/>
  <c r="AZ62" i="17" s="1"/>
  <c r="AW62" i="17"/>
  <c r="AX62" i="17" s="1"/>
  <c r="AU62" i="17"/>
  <c r="AV62" i="17" s="1"/>
  <c r="AS62" i="17"/>
  <c r="AT62" i="17" s="1"/>
  <c r="AQ62" i="17"/>
  <c r="AR62" i="17" s="1"/>
  <c r="AO62" i="17"/>
  <c r="AP62" i="17" s="1"/>
  <c r="AM62" i="17"/>
  <c r="AN62" i="17" s="1"/>
  <c r="BU61" i="17"/>
  <c r="BV61" i="17" s="1"/>
  <c r="BS61" i="17"/>
  <c r="BT61" i="17" s="1"/>
  <c r="BQ61" i="17"/>
  <c r="BR61" i="17" s="1"/>
  <c r="BO61" i="17"/>
  <c r="BP61" i="17" s="1"/>
  <c r="BM61" i="17"/>
  <c r="BN61" i="17" s="1"/>
  <c r="BK61" i="17"/>
  <c r="BL61" i="17" s="1"/>
  <c r="BI61" i="17"/>
  <c r="BJ61" i="17" s="1"/>
  <c r="BG61" i="17"/>
  <c r="BH61" i="17" s="1"/>
  <c r="BE61" i="17"/>
  <c r="BF61" i="17" s="1"/>
  <c r="BC61" i="17"/>
  <c r="BD61" i="17" s="1"/>
  <c r="BA61" i="17"/>
  <c r="BB61" i="17" s="1"/>
  <c r="AY61" i="17"/>
  <c r="AZ61" i="17" s="1"/>
  <c r="AW61" i="17"/>
  <c r="AX61" i="17" s="1"/>
  <c r="AU61" i="17"/>
  <c r="AV61" i="17" s="1"/>
  <c r="AS61" i="17"/>
  <c r="AT61" i="17" s="1"/>
  <c r="AQ61" i="17"/>
  <c r="AR61" i="17" s="1"/>
  <c r="AO61" i="17"/>
  <c r="AP61" i="17" s="1"/>
  <c r="AM61" i="17"/>
  <c r="AN61" i="17" s="1"/>
  <c r="BU60" i="17"/>
  <c r="BV60" i="17" s="1"/>
  <c r="BS60" i="17"/>
  <c r="BT60" i="17" s="1"/>
  <c r="BQ60" i="17"/>
  <c r="BR60" i="17" s="1"/>
  <c r="BO60" i="17"/>
  <c r="BP60" i="17" s="1"/>
  <c r="BM60" i="17"/>
  <c r="BN60" i="17" s="1"/>
  <c r="BK60" i="17"/>
  <c r="BL60" i="17" s="1"/>
  <c r="BI60" i="17"/>
  <c r="BJ60" i="17" s="1"/>
  <c r="BG60" i="17"/>
  <c r="BH60" i="17" s="1"/>
  <c r="BE60" i="17"/>
  <c r="BF60" i="17" s="1"/>
  <c r="BC60" i="17"/>
  <c r="BD60" i="17" s="1"/>
  <c r="BA60" i="17"/>
  <c r="BB60" i="17" s="1"/>
  <c r="AY60" i="17"/>
  <c r="AZ60" i="17" s="1"/>
  <c r="AW60" i="17"/>
  <c r="AX60" i="17" s="1"/>
  <c r="AU60" i="17"/>
  <c r="AV60" i="17" s="1"/>
  <c r="AS60" i="17"/>
  <c r="AT60" i="17" s="1"/>
  <c r="AQ60" i="17"/>
  <c r="AR60" i="17" s="1"/>
  <c r="AO60" i="17"/>
  <c r="AP60" i="17" s="1"/>
  <c r="AM60" i="17"/>
  <c r="AN60" i="17" s="1"/>
  <c r="BU59" i="17"/>
  <c r="BV59" i="17" s="1"/>
  <c r="BS59" i="17"/>
  <c r="BT59" i="17" s="1"/>
  <c r="BQ59" i="17"/>
  <c r="BR59" i="17" s="1"/>
  <c r="BO59" i="17"/>
  <c r="BP59" i="17" s="1"/>
  <c r="BM59" i="17"/>
  <c r="BN59" i="17" s="1"/>
  <c r="BK59" i="17"/>
  <c r="BL59" i="17" s="1"/>
  <c r="BI59" i="17"/>
  <c r="BJ59" i="17" s="1"/>
  <c r="BG59" i="17"/>
  <c r="BH59" i="17" s="1"/>
  <c r="BE59" i="17"/>
  <c r="BF59" i="17" s="1"/>
  <c r="BC59" i="17"/>
  <c r="BD59" i="17" s="1"/>
  <c r="BA59" i="17"/>
  <c r="BB59" i="17" s="1"/>
  <c r="AY59" i="17"/>
  <c r="AZ59" i="17" s="1"/>
  <c r="AW59" i="17"/>
  <c r="AX59" i="17" s="1"/>
  <c r="AU59" i="17"/>
  <c r="AV59" i="17" s="1"/>
  <c r="AS59" i="17"/>
  <c r="AT59" i="17" s="1"/>
  <c r="AQ59" i="17"/>
  <c r="AR59" i="17" s="1"/>
  <c r="AO59" i="17"/>
  <c r="AP59" i="17" s="1"/>
  <c r="AM59" i="17"/>
  <c r="AN59" i="17" s="1"/>
  <c r="BU58" i="17"/>
  <c r="BV58" i="17" s="1"/>
  <c r="BS58" i="17"/>
  <c r="BT58" i="17" s="1"/>
  <c r="BR58" i="17"/>
  <c r="BQ58" i="17"/>
  <c r="BO58" i="17"/>
  <c r="BP58" i="17" s="1"/>
  <c r="BM58" i="17"/>
  <c r="BN58" i="17" s="1"/>
  <c r="BK58" i="17"/>
  <c r="BL58" i="17" s="1"/>
  <c r="BI58" i="17"/>
  <c r="BJ58" i="17" s="1"/>
  <c r="BG58" i="17"/>
  <c r="BH58" i="17" s="1"/>
  <c r="BE58" i="17"/>
  <c r="BF58" i="17" s="1"/>
  <c r="BC58" i="17"/>
  <c r="BD58" i="17" s="1"/>
  <c r="BA58" i="17"/>
  <c r="BB58" i="17" s="1"/>
  <c r="AY58" i="17"/>
  <c r="AZ58" i="17" s="1"/>
  <c r="AW58" i="17"/>
  <c r="AX58" i="17" s="1"/>
  <c r="AU58" i="17"/>
  <c r="AV58" i="17" s="1"/>
  <c r="AS58" i="17"/>
  <c r="AT58" i="17" s="1"/>
  <c r="AQ58" i="17"/>
  <c r="AR58" i="17" s="1"/>
  <c r="AO58" i="17"/>
  <c r="AP58" i="17" s="1"/>
  <c r="AM58" i="17"/>
  <c r="AN58" i="17" s="1"/>
  <c r="BU57" i="17"/>
  <c r="BV57" i="17" s="1"/>
  <c r="BS57" i="17"/>
  <c r="BT57" i="17" s="1"/>
  <c r="BQ57" i="17"/>
  <c r="BR57" i="17" s="1"/>
  <c r="BO57" i="17"/>
  <c r="BP57" i="17" s="1"/>
  <c r="BM57" i="17"/>
  <c r="BN57" i="17" s="1"/>
  <c r="BK57" i="17"/>
  <c r="BL57" i="17" s="1"/>
  <c r="BI57" i="17"/>
  <c r="BJ57" i="17" s="1"/>
  <c r="BG57" i="17"/>
  <c r="BH57" i="17" s="1"/>
  <c r="BE57" i="17"/>
  <c r="BF57" i="17" s="1"/>
  <c r="BC57" i="17"/>
  <c r="BD57" i="17" s="1"/>
  <c r="BA57" i="17"/>
  <c r="BB57" i="17" s="1"/>
  <c r="AY57" i="17"/>
  <c r="AZ57" i="17" s="1"/>
  <c r="AW57" i="17"/>
  <c r="AX57" i="17" s="1"/>
  <c r="AU57" i="17"/>
  <c r="AV57" i="17" s="1"/>
  <c r="AS57" i="17"/>
  <c r="AT57" i="17" s="1"/>
  <c r="AQ57" i="17"/>
  <c r="AR57" i="17" s="1"/>
  <c r="AO57" i="17"/>
  <c r="AP57" i="17" s="1"/>
  <c r="AM57" i="17"/>
  <c r="AN57" i="17" s="1"/>
  <c r="BU56" i="17"/>
  <c r="BV56" i="17" s="1"/>
  <c r="BS56" i="17"/>
  <c r="BT56" i="17" s="1"/>
  <c r="BQ56" i="17"/>
  <c r="BR56" i="17" s="1"/>
  <c r="BO56" i="17"/>
  <c r="BP56" i="17" s="1"/>
  <c r="BM56" i="17"/>
  <c r="BN56" i="17" s="1"/>
  <c r="BK56" i="17"/>
  <c r="BL56" i="17" s="1"/>
  <c r="BI56" i="17"/>
  <c r="BJ56" i="17" s="1"/>
  <c r="BG56" i="17"/>
  <c r="BH56" i="17" s="1"/>
  <c r="BE56" i="17"/>
  <c r="BF56" i="17" s="1"/>
  <c r="BC56" i="17"/>
  <c r="BD56" i="17" s="1"/>
  <c r="BA56" i="17"/>
  <c r="BB56" i="17" s="1"/>
  <c r="AY56" i="17"/>
  <c r="AZ56" i="17" s="1"/>
  <c r="AW56" i="17"/>
  <c r="AX56" i="17" s="1"/>
  <c r="AU56" i="17"/>
  <c r="AV56" i="17" s="1"/>
  <c r="AS56" i="17"/>
  <c r="AT56" i="17" s="1"/>
  <c r="AQ56" i="17"/>
  <c r="AR56" i="17" s="1"/>
  <c r="AO56" i="17"/>
  <c r="AP56" i="17" s="1"/>
  <c r="AM56" i="17"/>
  <c r="AN56" i="17" s="1"/>
  <c r="BU55" i="17"/>
  <c r="BV55" i="17" s="1"/>
  <c r="BS55" i="17"/>
  <c r="BT55" i="17" s="1"/>
  <c r="BQ55" i="17"/>
  <c r="BR55" i="17" s="1"/>
  <c r="BO55" i="17"/>
  <c r="BP55" i="17" s="1"/>
  <c r="BM55" i="17"/>
  <c r="BN55" i="17" s="1"/>
  <c r="BK55" i="17"/>
  <c r="BL55" i="17" s="1"/>
  <c r="BI55" i="17"/>
  <c r="BJ55" i="17" s="1"/>
  <c r="BG55" i="17"/>
  <c r="BH55" i="17" s="1"/>
  <c r="BE55" i="17"/>
  <c r="BF55" i="17" s="1"/>
  <c r="BC55" i="17"/>
  <c r="BD55" i="17" s="1"/>
  <c r="BA55" i="17"/>
  <c r="BB55" i="17" s="1"/>
  <c r="AY55" i="17"/>
  <c r="AZ55" i="17" s="1"/>
  <c r="AW55" i="17"/>
  <c r="AX55" i="17" s="1"/>
  <c r="AU55" i="17"/>
  <c r="AV55" i="17" s="1"/>
  <c r="AS55" i="17"/>
  <c r="AT55" i="17" s="1"/>
  <c r="AQ55" i="17"/>
  <c r="AR55" i="17" s="1"/>
  <c r="AO55" i="17"/>
  <c r="AP55" i="17" s="1"/>
  <c r="AM55" i="17"/>
  <c r="AN55" i="17" s="1"/>
  <c r="BU54" i="17"/>
  <c r="BV54" i="17" s="1"/>
  <c r="BS54" i="17"/>
  <c r="BT54" i="17" s="1"/>
  <c r="BQ54" i="17"/>
  <c r="BR54" i="17" s="1"/>
  <c r="BO54" i="17"/>
  <c r="BP54" i="17" s="1"/>
  <c r="BM54" i="17"/>
  <c r="BN54" i="17" s="1"/>
  <c r="BK54" i="17"/>
  <c r="BL54" i="17" s="1"/>
  <c r="BI54" i="17"/>
  <c r="BJ54" i="17" s="1"/>
  <c r="BG54" i="17"/>
  <c r="BH54" i="17" s="1"/>
  <c r="BE54" i="17"/>
  <c r="BF54" i="17" s="1"/>
  <c r="BC54" i="17"/>
  <c r="BD54" i="17" s="1"/>
  <c r="BA54" i="17"/>
  <c r="BB54" i="17" s="1"/>
  <c r="AY54" i="17"/>
  <c r="AZ54" i="17" s="1"/>
  <c r="AW54" i="17"/>
  <c r="AX54" i="17" s="1"/>
  <c r="AU54" i="17"/>
  <c r="AV54" i="17" s="1"/>
  <c r="AS54" i="17"/>
  <c r="AT54" i="17" s="1"/>
  <c r="AQ54" i="17"/>
  <c r="AR54" i="17" s="1"/>
  <c r="AO54" i="17"/>
  <c r="AP54" i="17" s="1"/>
  <c r="AM54" i="17"/>
  <c r="AN54" i="17" s="1"/>
  <c r="BU53" i="17"/>
  <c r="BV53" i="17" s="1"/>
  <c r="BS53" i="17"/>
  <c r="BT53" i="17" s="1"/>
  <c r="BQ53" i="17"/>
  <c r="BR53" i="17" s="1"/>
  <c r="BO53" i="17"/>
  <c r="BP53" i="17" s="1"/>
  <c r="BM53" i="17"/>
  <c r="BN53" i="17" s="1"/>
  <c r="BK53" i="17"/>
  <c r="BL53" i="17" s="1"/>
  <c r="BI53" i="17"/>
  <c r="BJ53" i="17" s="1"/>
  <c r="BG53" i="17"/>
  <c r="BH53" i="17" s="1"/>
  <c r="BE53" i="17"/>
  <c r="BF53" i="17" s="1"/>
  <c r="BC53" i="17"/>
  <c r="BD53" i="17" s="1"/>
  <c r="BA53" i="17"/>
  <c r="BB53" i="17" s="1"/>
  <c r="AY53" i="17"/>
  <c r="AZ53" i="17" s="1"/>
  <c r="AW53" i="17"/>
  <c r="AX53" i="17" s="1"/>
  <c r="AU53" i="17"/>
  <c r="AV53" i="17" s="1"/>
  <c r="AS53" i="17"/>
  <c r="AT53" i="17" s="1"/>
  <c r="AQ53" i="17"/>
  <c r="AR53" i="17" s="1"/>
  <c r="AO53" i="17"/>
  <c r="AP53" i="17" s="1"/>
  <c r="AM53" i="17"/>
  <c r="AN53" i="17" s="1"/>
  <c r="BU52" i="17"/>
  <c r="BV52" i="17" s="1"/>
  <c r="BS52" i="17"/>
  <c r="BT52" i="17" s="1"/>
  <c r="BQ52" i="17"/>
  <c r="BR52" i="17" s="1"/>
  <c r="BO52" i="17"/>
  <c r="BP52" i="17" s="1"/>
  <c r="BM52" i="17"/>
  <c r="BN52" i="17" s="1"/>
  <c r="BK52" i="17"/>
  <c r="BL52" i="17" s="1"/>
  <c r="BI52" i="17"/>
  <c r="BJ52" i="17" s="1"/>
  <c r="BG52" i="17"/>
  <c r="BH52" i="17" s="1"/>
  <c r="BE52" i="17"/>
  <c r="BF52" i="17" s="1"/>
  <c r="BC52" i="17"/>
  <c r="BD52" i="17" s="1"/>
  <c r="BA52" i="17"/>
  <c r="BB52" i="17" s="1"/>
  <c r="AY52" i="17"/>
  <c r="AZ52" i="17" s="1"/>
  <c r="AW52" i="17"/>
  <c r="AX52" i="17" s="1"/>
  <c r="AU52" i="17"/>
  <c r="AV52" i="17" s="1"/>
  <c r="AS52" i="17"/>
  <c r="AT52" i="17" s="1"/>
  <c r="AQ52" i="17"/>
  <c r="AR52" i="17" s="1"/>
  <c r="AO52" i="17"/>
  <c r="AP52" i="17" s="1"/>
  <c r="AM52" i="17"/>
  <c r="AN52" i="17" s="1"/>
  <c r="BU51" i="17"/>
  <c r="BV51" i="17" s="1"/>
  <c r="BS51" i="17"/>
  <c r="BT51" i="17" s="1"/>
  <c r="BQ51" i="17"/>
  <c r="BR51" i="17" s="1"/>
  <c r="BO51" i="17"/>
  <c r="BP51" i="17" s="1"/>
  <c r="BM51" i="17"/>
  <c r="BN51" i="17" s="1"/>
  <c r="BK51" i="17"/>
  <c r="BL51" i="17" s="1"/>
  <c r="BI51" i="17"/>
  <c r="BJ51" i="17" s="1"/>
  <c r="BG51" i="17"/>
  <c r="BH51" i="17" s="1"/>
  <c r="BE51" i="17"/>
  <c r="BF51" i="17" s="1"/>
  <c r="BC51" i="17"/>
  <c r="BD51" i="17" s="1"/>
  <c r="BA51" i="17"/>
  <c r="BB51" i="17" s="1"/>
  <c r="AY51" i="17"/>
  <c r="AZ51" i="17" s="1"/>
  <c r="AW51" i="17"/>
  <c r="AX51" i="17" s="1"/>
  <c r="AU51" i="17"/>
  <c r="AV51" i="17" s="1"/>
  <c r="AS51" i="17"/>
  <c r="AT51" i="17" s="1"/>
  <c r="AQ51" i="17"/>
  <c r="AR51" i="17" s="1"/>
  <c r="AO51" i="17"/>
  <c r="AP51" i="17" s="1"/>
  <c r="AM51" i="17"/>
  <c r="AN51" i="17" s="1"/>
  <c r="BU50" i="17"/>
  <c r="BV50" i="17" s="1"/>
  <c r="BS50" i="17"/>
  <c r="BT50" i="17" s="1"/>
  <c r="BQ50" i="17"/>
  <c r="BR50" i="17" s="1"/>
  <c r="BO50" i="17"/>
  <c r="BP50" i="17" s="1"/>
  <c r="BM50" i="17"/>
  <c r="BN50" i="17" s="1"/>
  <c r="BK50" i="17"/>
  <c r="BL50" i="17" s="1"/>
  <c r="BI50" i="17"/>
  <c r="BJ50" i="17" s="1"/>
  <c r="BG50" i="17"/>
  <c r="BH50" i="17" s="1"/>
  <c r="BE50" i="17"/>
  <c r="BF50" i="17" s="1"/>
  <c r="BC50" i="17"/>
  <c r="BD50" i="17" s="1"/>
  <c r="BA50" i="17"/>
  <c r="BB50" i="17" s="1"/>
  <c r="AY50" i="17"/>
  <c r="AZ50" i="17" s="1"/>
  <c r="AW50" i="17"/>
  <c r="AX50" i="17" s="1"/>
  <c r="AU50" i="17"/>
  <c r="AV50" i="17" s="1"/>
  <c r="AS50" i="17"/>
  <c r="AT50" i="17" s="1"/>
  <c r="AQ50" i="17"/>
  <c r="AR50" i="17" s="1"/>
  <c r="AO50" i="17"/>
  <c r="AP50" i="17" s="1"/>
  <c r="AM50" i="17"/>
  <c r="AN50" i="17" s="1"/>
  <c r="BU49" i="17"/>
  <c r="BV49" i="17" s="1"/>
  <c r="BS49" i="17"/>
  <c r="BT49" i="17" s="1"/>
  <c r="BQ49" i="17"/>
  <c r="BR49" i="17" s="1"/>
  <c r="BO49" i="17"/>
  <c r="BP49" i="17" s="1"/>
  <c r="BM49" i="17"/>
  <c r="BN49" i="17" s="1"/>
  <c r="BK49" i="17"/>
  <c r="BL49" i="17" s="1"/>
  <c r="BI49" i="17"/>
  <c r="BJ49" i="17" s="1"/>
  <c r="BG49" i="17"/>
  <c r="BH49" i="17" s="1"/>
  <c r="BE49" i="17"/>
  <c r="BF49" i="17" s="1"/>
  <c r="BC49" i="17"/>
  <c r="BD49" i="17" s="1"/>
  <c r="BA49" i="17"/>
  <c r="BB49" i="17" s="1"/>
  <c r="AY49" i="17"/>
  <c r="AZ49" i="17" s="1"/>
  <c r="AW49" i="17"/>
  <c r="AX49" i="17" s="1"/>
  <c r="AU49" i="17"/>
  <c r="AV49" i="17" s="1"/>
  <c r="AS49" i="17"/>
  <c r="AT49" i="17" s="1"/>
  <c r="AQ49" i="17"/>
  <c r="AR49" i="17" s="1"/>
  <c r="AO49" i="17"/>
  <c r="AP49" i="17" s="1"/>
  <c r="AM49" i="17"/>
  <c r="AN49" i="17" s="1"/>
  <c r="BU48" i="17"/>
  <c r="BV48" i="17" s="1"/>
  <c r="BS48" i="17"/>
  <c r="BT48" i="17" s="1"/>
  <c r="BQ48" i="17"/>
  <c r="BR48" i="17" s="1"/>
  <c r="BO48" i="17"/>
  <c r="BP48" i="17" s="1"/>
  <c r="BM48" i="17"/>
  <c r="BN48" i="17" s="1"/>
  <c r="BK48" i="17"/>
  <c r="BL48" i="17" s="1"/>
  <c r="BI48" i="17"/>
  <c r="BJ48" i="17" s="1"/>
  <c r="BG48" i="17"/>
  <c r="BH48" i="17" s="1"/>
  <c r="BE48" i="17"/>
  <c r="BF48" i="17" s="1"/>
  <c r="BC48" i="17"/>
  <c r="BD48" i="17" s="1"/>
  <c r="BA48" i="17"/>
  <c r="BB48" i="17" s="1"/>
  <c r="AY48" i="17"/>
  <c r="AZ48" i="17" s="1"/>
  <c r="AW48" i="17"/>
  <c r="AX48" i="17" s="1"/>
  <c r="AU48" i="17"/>
  <c r="AV48" i="17" s="1"/>
  <c r="AS48" i="17"/>
  <c r="AT48" i="17" s="1"/>
  <c r="AQ48" i="17"/>
  <c r="AR48" i="17" s="1"/>
  <c r="AO48" i="17"/>
  <c r="AP48" i="17" s="1"/>
  <c r="AM48" i="17"/>
  <c r="AN48" i="17" s="1"/>
  <c r="BU47" i="17"/>
  <c r="BV47" i="17" s="1"/>
  <c r="BS47" i="17"/>
  <c r="BT47" i="17" s="1"/>
  <c r="BQ47" i="17"/>
  <c r="BR47" i="17" s="1"/>
  <c r="BO47" i="17"/>
  <c r="BP47" i="17" s="1"/>
  <c r="BM47" i="17"/>
  <c r="BN47" i="17" s="1"/>
  <c r="BK47" i="17"/>
  <c r="BL47" i="17" s="1"/>
  <c r="BI47" i="17"/>
  <c r="BJ47" i="17" s="1"/>
  <c r="BG47" i="17"/>
  <c r="BH47" i="17" s="1"/>
  <c r="BE47" i="17"/>
  <c r="BF47" i="17" s="1"/>
  <c r="BC47" i="17"/>
  <c r="BD47" i="17" s="1"/>
  <c r="BA47" i="17"/>
  <c r="BB47" i="17" s="1"/>
  <c r="AY47" i="17"/>
  <c r="AZ47" i="17" s="1"/>
  <c r="AW47" i="17"/>
  <c r="AX47" i="17" s="1"/>
  <c r="AU47" i="17"/>
  <c r="AV47" i="17" s="1"/>
  <c r="AS47" i="17"/>
  <c r="AT47" i="17" s="1"/>
  <c r="AQ47" i="17"/>
  <c r="AR47" i="17" s="1"/>
  <c r="AO47" i="17"/>
  <c r="AP47" i="17" s="1"/>
  <c r="AM47" i="17"/>
  <c r="AN47" i="17" s="1"/>
  <c r="BU46" i="17"/>
  <c r="BV46" i="17" s="1"/>
  <c r="BS46" i="17"/>
  <c r="BT46" i="17" s="1"/>
  <c r="BQ46" i="17"/>
  <c r="BR46" i="17" s="1"/>
  <c r="BO46" i="17"/>
  <c r="BP46" i="17" s="1"/>
  <c r="BM46" i="17"/>
  <c r="BN46" i="17" s="1"/>
  <c r="BK46" i="17"/>
  <c r="BL46" i="17" s="1"/>
  <c r="BI46" i="17"/>
  <c r="BJ46" i="17" s="1"/>
  <c r="BG46" i="17"/>
  <c r="BH46" i="17" s="1"/>
  <c r="BE46" i="17"/>
  <c r="BF46" i="17" s="1"/>
  <c r="BC46" i="17"/>
  <c r="BD46" i="17" s="1"/>
  <c r="BA46" i="17"/>
  <c r="BB46" i="17" s="1"/>
  <c r="AY46" i="17"/>
  <c r="AZ46" i="17" s="1"/>
  <c r="AW46" i="17"/>
  <c r="AX46" i="17" s="1"/>
  <c r="AU46" i="17"/>
  <c r="AV46" i="17" s="1"/>
  <c r="AS46" i="17"/>
  <c r="AT46" i="17" s="1"/>
  <c r="AQ46" i="17"/>
  <c r="AR46" i="17" s="1"/>
  <c r="AO46" i="17"/>
  <c r="AP46" i="17" s="1"/>
  <c r="AM46" i="17"/>
  <c r="AN46" i="17" s="1"/>
  <c r="BU45" i="17"/>
  <c r="BV45" i="17" s="1"/>
  <c r="BS45" i="17"/>
  <c r="BT45" i="17" s="1"/>
  <c r="BQ45" i="17"/>
  <c r="BR45" i="17" s="1"/>
  <c r="BO45" i="17"/>
  <c r="BP45" i="17" s="1"/>
  <c r="BM45" i="17"/>
  <c r="BN45" i="17" s="1"/>
  <c r="BK45" i="17"/>
  <c r="BL45" i="17" s="1"/>
  <c r="BI45" i="17"/>
  <c r="BJ45" i="17" s="1"/>
  <c r="BG45" i="17"/>
  <c r="BH45" i="17" s="1"/>
  <c r="BE45" i="17"/>
  <c r="BF45" i="17" s="1"/>
  <c r="BC45" i="17"/>
  <c r="BD45" i="17" s="1"/>
  <c r="BA45" i="17"/>
  <c r="BB45" i="17" s="1"/>
  <c r="AY45" i="17"/>
  <c r="AZ45" i="17" s="1"/>
  <c r="AW45" i="17"/>
  <c r="AX45" i="17" s="1"/>
  <c r="AU45" i="17"/>
  <c r="AV45" i="17" s="1"/>
  <c r="AS45" i="17"/>
  <c r="AT45" i="17" s="1"/>
  <c r="AQ45" i="17"/>
  <c r="AR45" i="17" s="1"/>
  <c r="AO45" i="17"/>
  <c r="AP45" i="17" s="1"/>
  <c r="AM45" i="17"/>
  <c r="AN45" i="17" s="1"/>
  <c r="BU44" i="17"/>
  <c r="BV44" i="17" s="1"/>
  <c r="BS44" i="17"/>
  <c r="BT44" i="17" s="1"/>
  <c r="BQ44" i="17"/>
  <c r="BR44" i="17" s="1"/>
  <c r="BO44" i="17"/>
  <c r="BP44" i="17" s="1"/>
  <c r="BM44" i="17"/>
  <c r="BN44" i="17" s="1"/>
  <c r="BK44" i="17"/>
  <c r="BL44" i="17" s="1"/>
  <c r="BI44" i="17"/>
  <c r="BJ44" i="17" s="1"/>
  <c r="BG44" i="17"/>
  <c r="BH44" i="17" s="1"/>
  <c r="BE44" i="17"/>
  <c r="BF44" i="17" s="1"/>
  <c r="BC44" i="17"/>
  <c r="BD44" i="17" s="1"/>
  <c r="BA44" i="17"/>
  <c r="BB44" i="17" s="1"/>
  <c r="AY44" i="17"/>
  <c r="AZ44" i="17" s="1"/>
  <c r="AW44" i="17"/>
  <c r="AX44" i="17" s="1"/>
  <c r="AU44" i="17"/>
  <c r="AV44" i="17" s="1"/>
  <c r="AS44" i="17"/>
  <c r="AT44" i="17" s="1"/>
  <c r="AQ44" i="17"/>
  <c r="AR44" i="17" s="1"/>
  <c r="AO44" i="17"/>
  <c r="AP44" i="17" s="1"/>
  <c r="AM44" i="17"/>
  <c r="AN44" i="17" s="1"/>
  <c r="BU43" i="17"/>
  <c r="BV43" i="17" s="1"/>
  <c r="BS43" i="17"/>
  <c r="BT43" i="17" s="1"/>
  <c r="BQ43" i="17"/>
  <c r="BR43" i="17" s="1"/>
  <c r="BO43" i="17"/>
  <c r="BP43" i="17" s="1"/>
  <c r="BM43" i="17"/>
  <c r="BN43" i="17" s="1"/>
  <c r="BK43" i="17"/>
  <c r="BL43" i="17" s="1"/>
  <c r="BI43" i="17"/>
  <c r="BJ43" i="17" s="1"/>
  <c r="BG43" i="17"/>
  <c r="BH43" i="17" s="1"/>
  <c r="BE43" i="17"/>
  <c r="BF43" i="17" s="1"/>
  <c r="BC43" i="17"/>
  <c r="BD43" i="17" s="1"/>
  <c r="BA43" i="17"/>
  <c r="BB43" i="17" s="1"/>
  <c r="AY43" i="17"/>
  <c r="AZ43" i="17" s="1"/>
  <c r="AW43" i="17"/>
  <c r="AX43" i="17" s="1"/>
  <c r="AU43" i="17"/>
  <c r="AV43" i="17" s="1"/>
  <c r="AS43" i="17"/>
  <c r="AT43" i="17" s="1"/>
  <c r="AQ43" i="17"/>
  <c r="AR43" i="17" s="1"/>
  <c r="AO43" i="17"/>
  <c r="AP43" i="17" s="1"/>
  <c r="AM43" i="17"/>
  <c r="AN43" i="17" s="1"/>
  <c r="BU42" i="17"/>
  <c r="BV42" i="17" s="1"/>
  <c r="BS42" i="17"/>
  <c r="BT42" i="17" s="1"/>
  <c r="BQ42" i="17"/>
  <c r="BR42" i="17" s="1"/>
  <c r="BO42" i="17"/>
  <c r="BP42" i="17" s="1"/>
  <c r="BM42" i="17"/>
  <c r="BN42" i="17" s="1"/>
  <c r="BK42" i="17"/>
  <c r="BL42" i="17" s="1"/>
  <c r="BI42" i="17"/>
  <c r="BJ42" i="17" s="1"/>
  <c r="BG42" i="17"/>
  <c r="BH42" i="17" s="1"/>
  <c r="BE42" i="17"/>
  <c r="BF42" i="17" s="1"/>
  <c r="BC42" i="17"/>
  <c r="BD42" i="17" s="1"/>
  <c r="BA42" i="17"/>
  <c r="BB42" i="17" s="1"/>
  <c r="AY42" i="17"/>
  <c r="AZ42" i="17" s="1"/>
  <c r="AW42" i="17"/>
  <c r="AX42" i="17" s="1"/>
  <c r="AU42" i="17"/>
  <c r="AV42" i="17" s="1"/>
  <c r="AS42" i="17"/>
  <c r="AT42" i="17" s="1"/>
  <c r="AQ42" i="17"/>
  <c r="AR42" i="17" s="1"/>
  <c r="AO42" i="17"/>
  <c r="AP42" i="17" s="1"/>
  <c r="AM42" i="17"/>
  <c r="AN42" i="17" s="1"/>
  <c r="BU41" i="17"/>
  <c r="BV41" i="17" s="1"/>
  <c r="BS41" i="17"/>
  <c r="BT41" i="17" s="1"/>
  <c r="BQ41" i="17"/>
  <c r="BR41" i="17" s="1"/>
  <c r="BO41" i="17"/>
  <c r="BP41" i="17" s="1"/>
  <c r="BM41" i="17"/>
  <c r="BN41" i="17" s="1"/>
  <c r="BK41" i="17"/>
  <c r="BL41" i="17" s="1"/>
  <c r="BI41" i="17"/>
  <c r="BJ41" i="17" s="1"/>
  <c r="BG41" i="17"/>
  <c r="BH41" i="17" s="1"/>
  <c r="BE41" i="17"/>
  <c r="BF41" i="17" s="1"/>
  <c r="BC41" i="17"/>
  <c r="BD41" i="17" s="1"/>
  <c r="BA41" i="17"/>
  <c r="BB41" i="17" s="1"/>
  <c r="AY41" i="17"/>
  <c r="AZ41" i="17" s="1"/>
  <c r="AW41" i="17"/>
  <c r="AX41" i="17" s="1"/>
  <c r="AU41" i="17"/>
  <c r="AV41" i="17" s="1"/>
  <c r="AS41" i="17"/>
  <c r="AT41" i="17" s="1"/>
  <c r="AQ41" i="17"/>
  <c r="AR41" i="17" s="1"/>
  <c r="AO41" i="17"/>
  <c r="AP41" i="17" s="1"/>
  <c r="AM41" i="17"/>
  <c r="AN41" i="17" s="1"/>
  <c r="BU40" i="17"/>
  <c r="BV40" i="17" s="1"/>
  <c r="BS40" i="17"/>
  <c r="BT40" i="17" s="1"/>
  <c r="BQ40" i="17"/>
  <c r="BR40" i="17" s="1"/>
  <c r="BO40" i="17"/>
  <c r="BP40" i="17" s="1"/>
  <c r="BM40" i="17"/>
  <c r="BN40" i="17" s="1"/>
  <c r="BK40" i="17"/>
  <c r="BL40" i="17" s="1"/>
  <c r="BI40" i="17"/>
  <c r="BJ40" i="17" s="1"/>
  <c r="BG40" i="17"/>
  <c r="BH40" i="17" s="1"/>
  <c r="BE40" i="17"/>
  <c r="BF40" i="17" s="1"/>
  <c r="BC40" i="17"/>
  <c r="BD40" i="17" s="1"/>
  <c r="BA40" i="17"/>
  <c r="BB40" i="17" s="1"/>
  <c r="AY40" i="17"/>
  <c r="AZ40" i="17" s="1"/>
  <c r="AW40" i="17"/>
  <c r="AX40" i="17" s="1"/>
  <c r="AU40" i="17"/>
  <c r="AV40" i="17" s="1"/>
  <c r="AS40" i="17"/>
  <c r="AT40" i="17" s="1"/>
  <c r="AQ40" i="17"/>
  <c r="AR40" i="17" s="1"/>
  <c r="AO40" i="17"/>
  <c r="AP40" i="17" s="1"/>
  <c r="AM40" i="17"/>
  <c r="AN40" i="17" s="1"/>
  <c r="BU39" i="17"/>
  <c r="BV39" i="17" s="1"/>
  <c r="BS39" i="17"/>
  <c r="BT39" i="17" s="1"/>
  <c r="BQ39" i="17"/>
  <c r="BR39" i="17" s="1"/>
  <c r="BO39" i="17"/>
  <c r="BP39" i="17" s="1"/>
  <c r="BM39" i="17"/>
  <c r="BN39" i="17" s="1"/>
  <c r="BK39" i="17"/>
  <c r="BL39" i="17" s="1"/>
  <c r="BI39" i="17"/>
  <c r="BJ39" i="17" s="1"/>
  <c r="BG39" i="17"/>
  <c r="BH39" i="17" s="1"/>
  <c r="BE39" i="17"/>
  <c r="BF39" i="17" s="1"/>
  <c r="BC39" i="17"/>
  <c r="BD39" i="17" s="1"/>
  <c r="BA39" i="17"/>
  <c r="BB39" i="17" s="1"/>
  <c r="AY39" i="17"/>
  <c r="AZ39" i="17" s="1"/>
  <c r="AW39" i="17"/>
  <c r="AX39" i="17" s="1"/>
  <c r="AU39" i="17"/>
  <c r="AV39" i="17" s="1"/>
  <c r="AS39" i="17"/>
  <c r="AT39" i="17" s="1"/>
  <c r="AQ39" i="17"/>
  <c r="AR39" i="17" s="1"/>
  <c r="AO39" i="17"/>
  <c r="AP39" i="17" s="1"/>
  <c r="AM39" i="17"/>
  <c r="AN39" i="17" s="1"/>
  <c r="BU38" i="17"/>
  <c r="BV38" i="17" s="1"/>
  <c r="BS38" i="17"/>
  <c r="BT38" i="17" s="1"/>
  <c r="BQ38" i="17"/>
  <c r="BR38" i="17" s="1"/>
  <c r="BO38" i="17"/>
  <c r="BP38" i="17" s="1"/>
  <c r="BM38" i="17"/>
  <c r="BN38" i="17" s="1"/>
  <c r="BK38" i="17"/>
  <c r="BL38" i="17" s="1"/>
  <c r="BI38" i="17"/>
  <c r="BJ38" i="17" s="1"/>
  <c r="BG38" i="17"/>
  <c r="BH38" i="17" s="1"/>
  <c r="BE38" i="17"/>
  <c r="BF38" i="17" s="1"/>
  <c r="BC38" i="17"/>
  <c r="BD38" i="17" s="1"/>
  <c r="BA38" i="17"/>
  <c r="BB38" i="17" s="1"/>
  <c r="AY38" i="17"/>
  <c r="AZ38" i="17" s="1"/>
  <c r="AW38" i="17"/>
  <c r="AX38" i="17" s="1"/>
  <c r="AU38" i="17"/>
  <c r="AV38" i="17" s="1"/>
  <c r="AS38" i="17"/>
  <c r="AT38" i="17" s="1"/>
  <c r="AQ38" i="17"/>
  <c r="AR38" i="17" s="1"/>
  <c r="AO38" i="17"/>
  <c r="AP38" i="17" s="1"/>
  <c r="AM38" i="17"/>
  <c r="AN38" i="17" s="1"/>
  <c r="BU37" i="17"/>
  <c r="BV37" i="17" s="1"/>
  <c r="BS37" i="17"/>
  <c r="BT37" i="17" s="1"/>
  <c r="BQ37" i="17"/>
  <c r="BR37" i="17" s="1"/>
  <c r="BO37" i="17"/>
  <c r="BP37" i="17" s="1"/>
  <c r="BM37" i="17"/>
  <c r="BN37" i="17" s="1"/>
  <c r="BK37" i="17"/>
  <c r="BL37" i="17" s="1"/>
  <c r="BI37" i="17"/>
  <c r="BJ37" i="17" s="1"/>
  <c r="BG37" i="17"/>
  <c r="BH37" i="17" s="1"/>
  <c r="BE37" i="17"/>
  <c r="BF37" i="17" s="1"/>
  <c r="BC37" i="17"/>
  <c r="BD37" i="17" s="1"/>
  <c r="BA37" i="17"/>
  <c r="BB37" i="17" s="1"/>
  <c r="AY37" i="17"/>
  <c r="AZ37" i="17" s="1"/>
  <c r="AW37" i="17"/>
  <c r="AX37" i="17" s="1"/>
  <c r="AU37" i="17"/>
  <c r="AV37" i="17" s="1"/>
  <c r="AS37" i="17"/>
  <c r="AT37" i="17" s="1"/>
  <c r="AQ37" i="17"/>
  <c r="AR37" i="17" s="1"/>
  <c r="AO37" i="17"/>
  <c r="AP37" i="17" s="1"/>
  <c r="AM37" i="17"/>
  <c r="AN37" i="17" s="1"/>
  <c r="BU36" i="17"/>
  <c r="BV36" i="17" s="1"/>
  <c r="BS36" i="17"/>
  <c r="BT36" i="17" s="1"/>
  <c r="BQ36" i="17"/>
  <c r="BR36" i="17" s="1"/>
  <c r="BO36" i="17"/>
  <c r="BP36" i="17" s="1"/>
  <c r="BM36" i="17"/>
  <c r="BN36" i="17" s="1"/>
  <c r="BK36" i="17"/>
  <c r="BL36" i="17" s="1"/>
  <c r="BI36" i="17"/>
  <c r="BJ36" i="17" s="1"/>
  <c r="BG36" i="17"/>
  <c r="BH36" i="17" s="1"/>
  <c r="BE36" i="17"/>
  <c r="BF36" i="17" s="1"/>
  <c r="BC36" i="17"/>
  <c r="BD36" i="17" s="1"/>
  <c r="BA36" i="17"/>
  <c r="BB36" i="17" s="1"/>
  <c r="AY36" i="17"/>
  <c r="AZ36" i="17" s="1"/>
  <c r="AW36" i="17"/>
  <c r="AX36" i="17" s="1"/>
  <c r="AU36" i="17"/>
  <c r="AV36" i="17" s="1"/>
  <c r="AS36" i="17"/>
  <c r="AT36" i="17" s="1"/>
  <c r="AQ36" i="17"/>
  <c r="AR36" i="17" s="1"/>
  <c r="AO36" i="17"/>
  <c r="AP36" i="17" s="1"/>
  <c r="AM36" i="17"/>
  <c r="AN36" i="17" s="1"/>
  <c r="BU35" i="17"/>
  <c r="BV35" i="17" s="1"/>
  <c r="BS35" i="17"/>
  <c r="BT35" i="17" s="1"/>
  <c r="BQ35" i="17"/>
  <c r="BR35" i="17" s="1"/>
  <c r="BO35" i="17"/>
  <c r="BP35" i="17" s="1"/>
  <c r="BM35" i="17"/>
  <c r="BN35" i="17" s="1"/>
  <c r="BK35" i="17"/>
  <c r="BL35" i="17" s="1"/>
  <c r="BI35" i="17"/>
  <c r="BJ35" i="17" s="1"/>
  <c r="BG35" i="17"/>
  <c r="BH35" i="17" s="1"/>
  <c r="BE35" i="17"/>
  <c r="BF35" i="17" s="1"/>
  <c r="BC35" i="17"/>
  <c r="BD35" i="17" s="1"/>
  <c r="BA35" i="17"/>
  <c r="BB35" i="17" s="1"/>
  <c r="AY35" i="17"/>
  <c r="AZ35" i="17" s="1"/>
  <c r="AW35" i="17"/>
  <c r="AX35" i="17" s="1"/>
  <c r="AU35" i="17"/>
  <c r="AV35" i="17" s="1"/>
  <c r="AS35" i="17"/>
  <c r="AT35" i="17" s="1"/>
  <c r="AQ35" i="17"/>
  <c r="AR35" i="17" s="1"/>
  <c r="AO35" i="17"/>
  <c r="AP35" i="17" s="1"/>
  <c r="AM35" i="17"/>
  <c r="AN35" i="17" s="1"/>
  <c r="BU34" i="17"/>
  <c r="BV34" i="17" s="1"/>
  <c r="BS34" i="17"/>
  <c r="BT34" i="17" s="1"/>
  <c r="BQ34" i="17"/>
  <c r="BR34" i="17" s="1"/>
  <c r="BO34" i="17"/>
  <c r="BP34" i="17" s="1"/>
  <c r="BM34" i="17"/>
  <c r="BN34" i="17" s="1"/>
  <c r="BK34" i="17"/>
  <c r="BL34" i="17" s="1"/>
  <c r="BI34" i="17"/>
  <c r="BJ34" i="17" s="1"/>
  <c r="BG34" i="17"/>
  <c r="BH34" i="17" s="1"/>
  <c r="BE34" i="17"/>
  <c r="BF34" i="17" s="1"/>
  <c r="BC34" i="17"/>
  <c r="BD34" i="17" s="1"/>
  <c r="BA34" i="17"/>
  <c r="BB34" i="17" s="1"/>
  <c r="AY34" i="17"/>
  <c r="AZ34" i="17" s="1"/>
  <c r="AW34" i="17"/>
  <c r="AX34" i="17" s="1"/>
  <c r="AU34" i="17"/>
  <c r="AV34" i="17" s="1"/>
  <c r="AS34" i="17"/>
  <c r="AT34" i="17" s="1"/>
  <c r="AQ34" i="17"/>
  <c r="AR34" i="17" s="1"/>
  <c r="AO34" i="17"/>
  <c r="AP34" i="17" s="1"/>
  <c r="AM34" i="17"/>
  <c r="AN34" i="17" s="1"/>
  <c r="BU33" i="17"/>
  <c r="BV33" i="17" s="1"/>
  <c r="BS33" i="17"/>
  <c r="BT33" i="17" s="1"/>
  <c r="BQ33" i="17"/>
  <c r="BR33" i="17" s="1"/>
  <c r="BO33" i="17"/>
  <c r="BP33" i="17" s="1"/>
  <c r="BM33" i="17"/>
  <c r="BN33" i="17" s="1"/>
  <c r="BK33" i="17"/>
  <c r="BL33" i="17" s="1"/>
  <c r="BI33" i="17"/>
  <c r="BJ33" i="17" s="1"/>
  <c r="BG33" i="17"/>
  <c r="BH33" i="17" s="1"/>
  <c r="BE33" i="17"/>
  <c r="BF33" i="17" s="1"/>
  <c r="BC33" i="17"/>
  <c r="BD33" i="17" s="1"/>
  <c r="BA33" i="17"/>
  <c r="BB33" i="17" s="1"/>
  <c r="AY33" i="17"/>
  <c r="AZ33" i="17" s="1"/>
  <c r="AW33" i="17"/>
  <c r="AX33" i="17" s="1"/>
  <c r="AU33" i="17"/>
  <c r="AV33" i="17" s="1"/>
  <c r="AS33" i="17"/>
  <c r="AT33" i="17" s="1"/>
  <c r="AQ33" i="17"/>
  <c r="AR33" i="17" s="1"/>
  <c r="AO33" i="17"/>
  <c r="AP33" i="17" s="1"/>
  <c r="AM33" i="17"/>
  <c r="AN33" i="17" s="1"/>
  <c r="BU32" i="17"/>
  <c r="BV32" i="17" s="1"/>
  <c r="BS32" i="17"/>
  <c r="BT32" i="17" s="1"/>
  <c r="BQ32" i="17"/>
  <c r="BR32" i="17" s="1"/>
  <c r="BO32" i="17"/>
  <c r="BP32" i="17" s="1"/>
  <c r="BM32" i="17"/>
  <c r="BN32" i="17" s="1"/>
  <c r="BK32" i="17"/>
  <c r="BL32" i="17" s="1"/>
  <c r="BI32" i="17"/>
  <c r="BJ32" i="17" s="1"/>
  <c r="BG32" i="17"/>
  <c r="BH32" i="17" s="1"/>
  <c r="BE32" i="17"/>
  <c r="BF32" i="17" s="1"/>
  <c r="BC32" i="17"/>
  <c r="BD32" i="17" s="1"/>
  <c r="BA32" i="17"/>
  <c r="BB32" i="17" s="1"/>
  <c r="AY32" i="17"/>
  <c r="AZ32" i="17" s="1"/>
  <c r="AW32" i="17"/>
  <c r="AX32" i="17" s="1"/>
  <c r="AU32" i="17"/>
  <c r="AV32" i="17" s="1"/>
  <c r="AS32" i="17"/>
  <c r="AT32" i="17" s="1"/>
  <c r="AQ32" i="17"/>
  <c r="AR32" i="17" s="1"/>
  <c r="AO32" i="17"/>
  <c r="AP32" i="17" s="1"/>
  <c r="AM32" i="17"/>
  <c r="AN32" i="17" s="1"/>
  <c r="BU31" i="17"/>
  <c r="BV31" i="17" s="1"/>
  <c r="BS31" i="17"/>
  <c r="BT31" i="17" s="1"/>
  <c r="BQ31" i="17"/>
  <c r="BR31" i="17" s="1"/>
  <c r="BO31" i="17"/>
  <c r="BP31" i="17" s="1"/>
  <c r="BM31" i="17"/>
  <c r="BN31" i="17" s="1"/>
  <c r="BK31" i="17"/>
  <c r="BL31" i="17" s="1"/>
  <c r="BI31" i="17"/>
  <c r="BJ31" i="17" s="1"/>
  <c r="BG31" i="17"/>
  <c r="BH31" i="17" s="1"/>
  <c r="BE31" i="17"/>
  <c r="BF31" i="17" s="1"/>
  <c r="BC31" i="17"/>
  <c r="BD31" i="17" s="1"/>
  <c r="BA31" i="17"/>
  <c r="BB31" i="17" s="1"/>
  <c r="AY31" i="17"/>
  <c r="AZ31" i="17" s="1"/>
  <c r="AW31" i="17"/>
  <c r="AX31" i="17" s="1"/>
  <c r="AU31" i="17"/>
  <c r="AV31" i="17" s="1"/>
  <c r="AS31" i="17"/>
  <c r="AT31" i="17" s="1"/>
  <c r="AQ31" i="17"/>
  <c r="AR31" i="17" s="1"/>
  <c r="AO31" i="17"/>
  <c r="AP31" i="17" s="1"/>
  <c r="AM31" i="17"/>
  <c r="AN31" i="17" s="1"/>
  <c r="BU30" i="17"/>
  <c r="BV30" i="17" s="1"/>
  <c r="BS30" i="17"/>
  <c r="BT30" i="17" s="1"/>
  <c r="BQ30" i="17"/>
  <c r="BR30" i="17" s="1"/>
  <c r="BO30" i="17"/>
  <c r="BP30" i="17" s="1"/>
  <c r="BM30" i="17"/>
  <c r="BN30" i="17" s="1"/>
  <c r="BK30" i="17"/>
  <c r="BL30" i="17" s="1"/>
  <c r="BI30" i="17"/>
  <c r="BJ30" i="17" s="1"/>
  <c r="BG30" i="17"/>
  <c r="BH30" i="17" s="1"/>
  <c r="BE30" i="17"/>
  <c r="BF30" i="17" s="1"/>
  <c r="BC30" i="17"/>
  <c r="BD30" i="17" s="1"/>
  <c r="BA30" i="17"/>
  <c r="BB30" i="17" s="1"/>
  <c r="AY30" i="17"/>
  <c r="AZ30" i="17" s="1"/>
  <c r="AW30" i="17"/>
  <c r="AX30" i="17" s="1"/>
  <c r="AU30" i="17"/>
  <c r="AV30" i="17" s="1"/>
  <c r="AS30" i="17"/>
  <c r="AT30" i="17" s="1"/>
  <c r="AQ30" i="17"/>
  <c r="AR30" i="17" s="1"/>
  <c r="AO30" i="17"/>
  <c r="AP30" i="17" s="1"/>
  <c r="AM30" i="17"/>
  <c r="AN30" i="17" s="1"/>
  <c r="BU29" i="17"/>
  <c r="BV29" i="17" s="1"/>
  <c r="BS29" i="17"/>
  <c r="BT29" i="17" s="1"/>
  <c r="BQ29" i="17"/>
  <c r="BR29" i="17" s="1"/>
  <c r="BO29" i="17"/>
  <c r="BP29" i="17" s="1"/>
  <c r="BM29" i="17"/>
  <c r="BN29" i="17" s="1"/>
  <c r="BK29" i="17"/>
  <c r="BL29" i="17" s="1"/>
  <c r="BI29" i="17"/>
  <c r="BJ29" i="17" s="1"/>
  <c r="BG29" i="17"/>
  <c r="BH29" i="17" s="1"/>
  <c r="BE29" i="17"/>
  <c r="BF29" i="17" s="1"/>
  <c r="BC29" i="17"/>
  <c r="BD29" i="17" s="1"/>
  <c r="BA29" i="17"/>
  <c r="BB29" i="17" s="1"/>
  <c r="AY29" i="17"/>
  <c r="AZ29" i="17" s="1"/>
  <c r="AW29" i="17"/>
  <c r="AX29" i="17" s="1"/>
  <c r="AU29" i="17"/>
  <c r="AV29" i="17" s="1"/>
  <c r="AS29" i="17"/>
  <c r="AT29" i="17" s="1"/>
  <c r="AQ29" i="17"/>
  <c r="AR29" i="17" s="1"/>
  <c r="AO29" i="17"/>
  <c r="AP29" i="17" s="1"/>
  <c r="AM29" i="17"/>
  <c r="AN29" i="17" s="1"/>
  <c r="BU28" i="17"/>
  <c r="BV28" i="17" s="1"/>
  <c r="BS28" i="17"/>
  <c r="BT28" i="17" s="1"/>
  <c r="BQ28" i="17"/>
  <c r="BR28" i="17" s="1"/>
  <c r="BO28" i="17"/>
  <c r="BP28" i="17" s="1"/>
  <c r="BM28" i="17"/>
  <c r="BN28" i="17" s="1"/>
  <c r="BK28" i="17"/>
  <c r="BL28" i="17" s="1"/>
  <c r="BI28" i="17"/>
  <c r="BJ28" i="17" s="1"/>
  <c r="BG28" i="17"/>
  <c r="BH28" i="17" s="1"/>
  <c r="BE28" i="17"/>
  <c r="BF28" i="17" s="1"/>
  <c r="BC28" i="17"/>
  <c r="BD28" i="17" s="1"/>
  <c r="BA28" i="17"/>
  <c r="BB28" i="17" s="1"/>
  <c r="AY28" i="17"/>
  <c r="AZ28" i="17" s="1"/>
  <c r="AW28" i="17"/>
  <c r="AX28" i="17" s="1"/>
  <c r="AU28" i="17"/>
  <c r="AV28" i="17" s="1"/>
  <c r="AS28" i="17"/>
  <c r="AT28" i="17" s="1"/>
  <c r="AQ28" i="17"/>
  <c r="AR28" i="17" s="1"/>
  <c r="AO28" i="17"/>
  <c r="AP28" i="17" s="1"/>
  <c r="AM28" i="17"/>
  <c r="AN28" i="17" s="1"/>
  <c r="BU27" i="17"/>
  <c r="BV27" i="17" s="1"/>
  <c r="BS27" i="17"/>
  <c r="BT27" i="17" s="1"/>
  <c r="BQ27" i="17"/>
  <c r="BR27" i="17" s="1"/>
  <c r="BO27" i="17"/>
  <c r="BP27" i="17" s="1"/>
  <c r="BM27" i="17"/>
  <c r="BN27" i="17" s="1"/>
  <c r="BK27" i="17"/>
  <c r="BL27" i="17" s="1"/>
  <c r="BI27" i="17"/>
  <c r="BJ27" i="17" s="1"/>
  <c r="BG27" i="17"/>
  <c r="BH27" i="17" s="1"/>
  <c r="BE27" i="17"/>
  <c r="BF27" i="17" s="1"/>
  <c r="BC27" i="17"/>
  <c r="BD27" i="17" s="1"/>
  <c r="BA27" i="17"/>
  <c r="BB27" i="17" s="1"/>
  <c r="AY27" i="17"/>
  <c r="AZ27" i="17" s="1"/>
  <c r="AW27" i="17"/>
  <c r="AX27" i="17" s="1"/>
  <c r="AU27" i="17"/>
  <c r="AV27" i="17" s="1"/>
  <c r="AS27" i="17"/>
  <c r="AT27" i="17" s="1"/>
  <c r="AQ27" i="17"/>
  <c r="AR27" i="17" s="1"/>
  <c r="AO27" i="17"/>
  <c r="AP27" i="17" s="1"/>
  <c r="AM27" i="17"/>
  <c r="AN27" i="17" s="1"/>
  <c r="BU26" i="17"/>
  <c r="BV26" i="17" s="1"/>
  <c r="BS26" i="17"/>
  <c r="BT26" i="17" s="1"/>
  <c r="BQ26" i="17"/>
  <c r="BR26" i="17" s="1"/>
  <c r="BO26" i="17"/>
  <c r="BP26" i="17" s="1"/>
  <c r="BM26" i="17"/>
  <c r="BN26" i="17" s="1"/>
  <c r="BK26" i="17"/>
  <c r="BL26" i="17" s="1"/>
  <c r="BI26" i="17"/>
  <c r="BJ26" i="17" s="1"/>
  <c r="BG26" i="17"/>
  <c r="BH26" i="17" s="1"/>
  <c r="BE26" i="17"/>
  <c r="BF26" i="17" s="1"/>
  <c r="BC26" i="17"/>
  <c r="BD26" i="17" s="1"/>
  <c r="BA26" i="17"/>
  <c r="BB26" i="17" s="1"/>
  <c r="AY26" i="17"/>
  <c r="AZ26" i="17" s="1"/>
  <c r="AW26" i="17"/>
  <c r="AX26" i="17" s="1"/>
  <c r="AU26" i="17"/>
  <c r="AV26" i="17" s="1"/>
  <c r="AS26" i="17"/>
  <c r="AT26" i="17" s="1"/>
  <c r="AQ26" i="17"/>
  <c r="AR26" i="17" s="1"/>
  <c r="AO26" i="17"/>
  <c r="AP26" i="17" s="1"/>
  <c r="AM26" i="17"/>
  <c r="AN26" i="17" s="1"/>
  <c r="BU25" i="17"/>
  <c r="BV25" i="17" s="1"/>
  <c r="BS25" i="17"/>
  <c r="BT25" i="17" s="1"/>
  <c r="BQ25" i="17"/>
  <c r="BR25" i="17" s="1"/>
  <c r="BO25" i="17"/>
  <c r="BP25" i="17" s="1"/>
  <c r="BM25" i="17"/>
  <c r="BN25" i="17" s="1"/>
  <c r="BK25" i="17"/>
  <c r="BL25" i="17" s="1"/>
  <c r="BI25" i="17"/>
  <c r="BJ25" i="17" s="1"/>
  <c r="BG25" i="17"/>
  <c r="BH25" i="17" s="1"/>
  <c r="BE25" i="17"/>
  <c r="BF25" i="17" s="1"/>
  <c r="BC25" i="17"/>
  <c r="BD25" i="17" s="1"/>
  <c r="BA25" i="17"/>
  <c r="BB25" i="17" s="1"/>
  <c r="AY25" i="17"/>
  <c r="AZ25" i="17" s="1"/>
  <c r="AW25" i="17"/>
  <c r="AX25" i="17" s="1"/>
  <c r="AU25" i="17"/>
  <c r="AV25" i="17" s="1"/>
  <c r="AS25" i="17"/>
  <c r="AT25" i="17" s="1"/>
  <c r="AQ25" i="17"/>
  <c r="AR25" i="17" s="1"/>
  <c r="AO25" i="17"/>
  <c r="AP25" i="17" s="1"/>
  <c r="AM25" i="17"/>
  <c r="AN25" i="17" s="1"/>
  <c r="BU24" i="17"/>
  <c r="BV24" i="17" s="1"/>
  <c r="BS24" i="17"/>
  <c r="BT24" i="17" s="1"/>
  <c r="BQ24" i="17"/>
  <c r="BR24" i="17" s="1"/>
  <c r="BO24" i="17"/>
  <c r="BP24" i="17" s="1"/>
  <c r="BM24" i="17"/>
  <c r="BN24" i="17" s="1"/>
  <c r="BK24" i="17"/>
  <c r="BL24" i="17" s="1"/>
  <c r="BI24" i="17"/>
  <c r="BJ24" i="17" s="1"/>
  <c r="BG24" i="17"/>
  <c r="BH24" i="17" s="1"/>
  <c r="BE24" i="17"/>
  <c r="BF24" i="17" s="1"/>
  <c r="BC24" i="17"/>
  <c r="BD24" i="17" s="1"/>
  <c r="BA24" i="17"/>
  <c r="BB24" i="17" s="1"/>
  <c r="AY24" i="17"/>
  <c r="AZ24" i="17" s="1"/>
  <c r="AW24" i="17"/>
  <c r="AX24" i="17" s="1"/>
  <c r="AU24" i="17"/>
  <c r="AV24" i="17" s="1"/>
  <c r="AS24" i="17"/>
  <c r="AT24" i="17" s="1"/>
  <c r="AQ24" i="17"/>
  <c r="AR24" i="17" s="1"/>
  <c r="AO24" i="17"/>
  <c r="AP24" i="17" s="1"/>
  <c r="AM24" i="17"/>
  <c r="AN24" i="17" s="1"/>
  <c r="BU23" i="17"/>
  <c r="BV23" i="17" s="1"/>
  <c r="BS23" i="17"/>
  <c r="BT23" i="17" s="1"/>
  <c r="BQ23" i="17"/>
  <c r="BR23" i="17" s="1"/>
  <c r="BO23" i="17"/>
  <c r="BP23" i="17" s="1"/>
  <c r="BM23" i="17"/>
  <c r="BN23" i="17" s="1"/>
  <c r="BK23" i="17"/>
  <c r="BL23" i="17" s="1"/>
  <c r="BI23" i="17"/>
  <c r="BJ23" i="17" s="1"/>
  <c r="BG23" i="17"/>
  <c r="BH23" i="17" s="1"/>
  <c r="BE23" i="17"/>
  <c r="BF23" i="17" s="1"/>
  <c r="BC23" i="17"/>
  <c r="BD23" i="17" s="1"/>
  <c r="BA23" i="17"/>
  <c r="BB23" i="17" s="1"/>
  <c r="AY23" i="17"/>
  <c r="AZ23" i="17" s="1"/>
  <c r="AW23" i="17"/>
  <c r="AX23" i="17" s="1"/>
  <c r="AU23" i="17"/>
  <c r="AV23" i="17" s="1"/>
  <c r="AS23" i="17"/>
  <c r="AT23" i="17" s="1"/>
  <c r="AQ23" i="17"/>
  <c r="AR23" i="17" s="1"/>
  <c r="AO23" i="17"/>
  <c r="AP23" i="17" s="1"/>
  <c r="AM23" i="17"/>
  <c r="AN23" i="17" s="1"/>
  <c r="BU22" i="17"/>
  <c r="BV22" i="17" s="1"/>
  <c r="BS22" i="17"/>
  <c r="BT22" i="17" s="1"/>
  <c r="BQ22" i="17"/>
  <c r="BR22" i="17" s="1"/>
  <c r="BO22" i="17"/>
  <c r="BP22" i="17" s="1"/>
  <c r="BM22" i="17"/>
  <c r="BN22" i="17" s="1"/>
  <c r="BK22" i="17"/>
  <c r="BL22" i="17" s="1"/>
  <c r="BI22" i="17"/>
  <c r="BJ22" i="17" s="1"/>
  <c r="BG22" i="17"/>
  <c r="BH22" i="17" s="1"/>
  <c r="BE22" i="17"/>
  <c r="BF22" i="17" s="1"/>
  <c r="BC22" i="17"/>
  <c r="BD22" i="17" s="1"/>
  <c r="BA22" i="17"/>
  <c r="BB22" i="17" s="1"/>
  <c r="AY22" i="17"/>
  <c r="AZ22" i="17" s="1"/>
  <c r="AW22" i="17"/>
  <c r="AX22" i="17" s="1"/>
  <c r="AU22" i="17"/>
  <c r="AV22" i="17" s="1"/>
  <c r="AS22" i="17"/>
  <c r="AT22" i="17" s="1"/>
  <c r="AQ22" i="17"/>
  <c r="AR22" i="17" s="1"/>
  <c r="AO22" i="17"/>
  <c r="AP22" i="17" s="1"/>
  <c r="AM22" i="17"/>
  <c r="AN22" i="17" s="1"/>
  <c r="BU21" i="17"/>
  <c r="BV21" i="17" s="1"/>
  <c r="BS21" i="17"/>
  <c r="BT21" i="17" s="1"/>
  <c r="BQ21" i="17"/>
  <c r="BR21" i="17" s="1"/>
  <c r="BO21" i="17"/>
  <c r="BP21" i="17" s="1"/>
  <c r="BM21" i="17"/>
  <c r="BN21" i="17" s="1"/>
  <c r="BK21" i="17"/>
  <c r="BL21" i="17" s="1"/>
  <c r="BI21" i="17"/>
  <c r="BJ21" i="17" s="1"/>
  <c r="BG21" i="17"/>
  <c r="BH21" i="17" s="1"/>
  <c r="BE21" i="17"/>
  <c r="BF21" i="17" s="1"/>
  <c r="BC21" i="17"/>
  <c r="BD21" i="17" s="1"/>
  <c r="BA21" i="17"/>
  <c r="BB21" i="17" s="1"/>
  <c r="AY21" i="17"/>
  <c r="AZ21" i="17" s="1"/>
  <c r="AW21" i="17"/>
  <c r="AX21" i="17" s="1"/>
  <c r="AU21" i="17"/>
  <c r="AV21" i="17" s="1"/>
  <c r="AS21" i="17"/>
  <c r="AT21" i="17" s="1"/>
  <c r="AQ21" i="17"/>
  <c r="AR21" i="17" s="1"/>
  <c r="AO21" i="17"/>
  <c r="AP21" i="17" s="1"/>
  <c r="AM21" i="17"/>
  <c r="AN21" i="17" s="1"/>
  <c r="BU20" i="17"/>
  <c r="BV20" i="17" s="1"/>
  <c r="BS20" i="17"/>
  <c r="BT20" i="17" s="1"/>
  <c r="BQ20" i="17"/>
  <c r="BR20" i="17" s="1"/>
  <c r="BO20" i="17"/>
  <c r="BP20" i="17" s="1"/>
  <c r="BM20" i="17"/>
  <c r="BN20" i="17" s="1"/>
  <c r="BK20" i="17"/>
  <c r="BL20" i="17" s="1"/>
  <c r="BI20" i="17"/>
  <c r="BJ20" i="17" s="1"/>
  <c r="BG20" i="17"/>
  <c r="BH20" i="17" s="1"/>
  <c r="BE20" i="17"/>
  <c r="BF20" i="17" s="1"/>
  <c r="BC20" i="17"/>
  <c r="BD20" i="17" s="1"/>
  <c r="BA20" i="17"/>
  <c r="BB20" i="17" s="1"/>
  <c r="AY20" i="17"/>
  <c r="AZ20" i="17" s="1"/>
  <c r="AW20" i="17"/>
  <c r="AX20" i="17" s="1"/>
  <c r="AU20" i="17"/>
  <c r="AV20" i="17" s="1"/>
  <c r="AS20" i="17"/>
  <c r="AT20" i="17" s="1"/>
  <c r="AQ20" i="17"/>
  <c r="AR20" i="17" s="1"/>
  <c r="AO20" i="17"/>
  <c r="AP20" i="17" s="1"/>
  <c r="AM20" i="17"/>
  <c r="AN20" i="17" s="1"/>
  <c r="BU19" i="17"/>
  <c r="BV19" i="17" s="1"/>
  <c r="BS19" i="17"/>
  <c r="BT19" i="17" s="1"/>
  <c r="BQ19" i="17"/>
  <c r="BR19" i="17" s="1"/>
  <c r="BO19" i="17"/>
  <c r="BP19" i="17" s="1"/>
  <c r="BM19" i="17"/>
  <c r="BN19" i="17" s="1"/>
  <c r="BK19" i="17"/>
  <c r="BL19" i="17" s="1"/>
  <c r="BI19" i="17"/>
  <c r="BJ19" i="17" s="1"/>
  <c r="BG19" i="17"/>
  <c r="BH19" i="17" s="1"/>
  <c r="BE19" i="17"/>
  <c r="BF19" i="17" s="1"/>
  <c r="BC19" i="17"/>
  <c r="BD19" i="17" s="1"/>
  <c r="BA19" i="17"/>
  <c r="BB19" i="17" s="1"/>
  <c r="AY19" i="17"/>
  <c r="AZ19" i="17" s="1"/>
  <c r="AW19" i="17"/>
  <c r="AX19" i="17" s="1"/>
  <c r="AU19" i="17"/>
  <c r="AV19" i="17" s="1"/>
  <c r="AS19" i="17"/>
  <c r="AT19" i="17" s="1"/>
  <c r="AQ19" i="17"/>
  <c r="AR19" i="17" s="1"/>
  <c r="AO19" i="17"/>
  <c r="AP19" i="17" s="1"/>
  <c r="AM19" i="17"/>
  <c r="AN19" i="17" s="1"/>
  <c r="BU18" i="17"/>
  <c r="BV18" i="17" s="1"/>
  <c r="BS18" i="17"/>
  <c r="BT18" i="17" s="1"/>
  <c r="BQ18" i="17"/>
  <c r="BR18" i="17" s="1"/>
  <c r="BO18" i="17"/>
  <c r="BP18" i="17" s="1"/>
  <c r="BM18" i="17"/>
  <c r="BN18" i="17" s="1"/>
  <c r="BK18" i="17"/>
  <c r="BL18" i="17" s="1"/>
  <c r="BI18" i="17"/>
  <c r="BJ18" i="17" s="1"/>
  <c r="BG18" i="17"/>
  <c r="BH18" i="17" s="1"/>
  <c r="BE18" i="17"/>
  <c r="BF18" i="17" s="1"/>
  <c r="BC18" i="17"/>
  <c r="BD18" i="17" s="1"/>
  <c r="BA18" i="17"/>
  <c r="BB18" i="17" s="1"/>
  <c r="AY18" i="17"/>
  <c r="AZ18" i="17" s="1"/>
  <c r="AW18" i="17"/>
  <c r="AX18" i="17" s="1"/>
  <c r="AU18" i="17"/>
  <c r="AV18" i="17" s="1"/>
  <c r="AS18" i="17"/>
  <c r="AT18" i="17" s="1"/>
  <c r="AQ18" i="17"/>
  <c r="AR18" i="17" s="1"/>
  <c r="AO18" i="17"/>
  <c r="AP18" i="17" s="1"/>
  <c r="AM18" i="17"/>
  <c r="AN18" i="17" s="1"/>
  <c r="BU17" i="17"/>
  <c r="BV17" i="17" s="1"/>
  <c r="BS17" i="17"/>
  <c r="BT17" i="17" s="1"/>
  <c r="BQ17" i="17"/>
  <c r="BR17" i="17" s="1"/>
  <c r="BO17" i="17"/>
  <c r="BP17" i="17" s="1"/>
  <c r="BM17" i="17"/>
  <c r="BN17" i="17" s="1"/>
  <c r="BK17" i="17"/>
  <c r="BL17" i="17" s="1"/>
  <c r="BI17" i="17"/>
  <c r="BJ17" i="17" s="1"/>
  <c r="BG17" i="17"/>
  <c r="BH17" i="17" s="1"/>
  <c r="BE17" i="17"/>
  <c r="BF17" i="17" s="1"/>
  <c r="BC17" i="17"/>
  <c r="BD17" i="17" s="1"/>
  <c r="BA17" i="17"/>
  <c r="BB17" i="17" s="1"/>
  <c r="AY17" i="17"/>
  <c r="AZ17" i="17" s="1"/>
  <c r="AW17" i="17"/>
  <c r="AX17" i="17" s="1"/>
  <c r="AU17" i="17"/>
  <c r="AV17" i="17" s="1"/>
  <c r="AS17" i="17"/>
  <c r="AT17" i="17" s="1"/>
  <c r="AQ17" i="17"/>
  <c r="AR17" i="17" s="1"/>
  <c r="AO17" i="17"/>
  <c r="AP17" i="17" s="1"/>
  <c r="AM17" i="17"/>
  <c r="AN17" i="17" s="1"/>
  <c r="BU16" i="17"/>
  <c r="BV16" i="17" s="1"/>
  <c r="BS16" i="17"/>
  <c r="BT16" i="17" s="1"/>
  <c r="BQ16" i="17"/>
  <c r="BR16" i="17" s="1"/>
  <c r="BO16" i="17"/>
  <c r="BP16" i="17" s="1"/>
  <c r="BM16" i="17"/>
  <c r="BN16" i="17" s="1"/>
  <c r="BK16" i="17"/>
  <c r="BL16" i="17" s="1"/>
  <c r="BI16" i="17"/>
  <c r="BJ16" i="17" s="1"/>
  <c r="BG16" i="17"/>
  <c r="BH16" i="17" s="1"/>
  <c r="BE16" i="17"/>
  <c r="BF16" i="17" s="1"/>
  <c r="BC16" i="17"/>
  <c r="BD16" i="17" s="1"/>
  <c r="BA16" i="17"/>
  <c r="BB16" i="17" s="1"/>
  <c r="AY16" i="17"/>
  <c r="AZ16" i="17" s="1"/>
  <c r="AW16" i="17"/>
  <c r="AX16" i="17" s="1"/>
  <c r="AU16" i="17"/>
  <c r="AV16" i="17" s="1"/>
  <c r="AS16" i="17"/>
  <c r="AT16" i="17" s="1"/>
  <c r="AQ16" i="17"/>
  <c r="AR16" i="17" s="1"/>
  <c r="AO16" i="17"/>
  <c r="AP16" i="17" s="1"/>
  <c r="AM16" i="17"/>
  <c r="AN16" i="17" s="1"/>
  <c r="BU15" i="17"/>
  <c r="BV15" i="17" s="1"/>
  <c r="BS15" i="17"/>
  <c r="BT15" i="17" s="1"/>
  <c r="BQ15" i="17"/>
  <c r="BR15" i="17" s="1"/>
  <c r="BO15" i="17"/>
  <c r="BP15" i="17" s="1"/>
  <c r="BM15" i="17"/>
  <c r="BN15" i="17" s="1"/>
  <c r="BK15" i="17"/>
  <c r="BL15" i="17" s="1"/>
  <c r="BI15" i="17"/>
  <c r="BJ15" i="17" s="1"/>
  <c r="BG15" i="17"/>
  <c r="BH15" i="17" s="1"/>
  <c r="BE15" i="17"/>
  <c r="BF15" i="17" s="1"/>
  <c r="BC15" i="17"/>
  <c r="BD15" i="17" s="1"/>
  <c r="BA15" i="17"/>
  <c r="BB15" i="17" s="1"/>
  <c r="AY15" i="17"/>
  <c r="AZ15" i="17" s="1"/>
  <c r="AW15" i="17"/>
  <c r="AX15" i="17" s="1"/>
  <c r="AU15" i="17"/>
  <c r="AV15" i="17" s="1"/>
  <c r="AS15" i="17"/>
  <c r="AT15" i="17" s="1"/>
  <c r="AQ15" i="17"/>
  <c r="AR15" i="17" s="1"/>
  <c r="AO15" i="17"/>
  <c r="AP15" i="17" s="1"/>
  <c r="AM15" i="17"/>
  <c r="AN15" i="17" s="1"/>
  <c r="BU14" i="17"/>
  <c r="BV14" i="17" s="1"/>
  <c r="BS14" i="17"/>
  <c r="BT14" i="17" s="1"/>
  <c r="BQ14" i="17"/>
  <c r="BR14" i="17" s="1"/>
  <c r="BO14" i="17"/>
  <c r="BP14" i="17" s="1"/>
  <c r="BM14" i="17"/>
  <c r="BN14" i="17" s="1"/>
  <c r="BK14" i="17"/>
  <c r="BL14" i="17" s="1"/>
  <c r="BI14" i="17"/>
  <c r="BJ14" i="17" s="1"/>
  <c r="BG14" i="17"/>
  <c r="BH14" i="17" s="1"/>
  <c r="BE14" i="17"/>
  <c r="BF14" i="17" s="1"/>
  <c r="BC14" i="17"/>
  <c r="BD14" i="17" s="1"/>
  <c r="BA14" i="17"/>
  <c r="BB14" i="17" s="1"/>
  <c r="AY14" i="17"/>
  <c r="AZ14" i="17" s="1"/>
  <c r="AW14" i="17"/>
  <c r="AX14" i="17" s="1"/>
  <c r="AU14" i="17"/>
  <c r="AV14" i="17" s="1"/>
  <c r="AS14" i="17"/>
  <c r="AT14" i="17" s="1"/>
  <c r="AQ14" i="17"/>
  <c r="AR14" i="17" s="1"/>
  <c r="AO14" i="17"/>
  <c r="AP14" i="17" s="1"/>
  <c r="AM14" i="17"/>
  <c r="AN14" i="17" s="1"/>
  <c r="BU13" i="17"/>
  <c r="BV13" i="17" s="1"/>
  <c r="BS13" i="17"/>
  <c r="BT13" i="17" s="1"/>
  <c r="BQ13" i="17"/>
  <c r="BR13" i="17" s="1"/>
  <c r="BO13" i="17"/>
  <c r="BP13" i="17" s="1"/>
  <c r="BM13" i="17"/>
  <c r="BN13" i="17" s="1"/>
  <c r="BK13" i="17"/>
  <c r="BL13" i="17" s="1"/>
  <c r="BI13" i="17"/>
  <c r="BJ13" i="17" s="1"/>
  <c r="BG13" i="17"/>
  <c r="BH13" i="17" s="1"/>
  <c r="BE13" i="17"/>
  <c r="BF13" i="17" s="1"/>
  <c r="BC13" i="17"/>
  <c r="BD13" i="17" s="1"/>
  <c r="BA13" i="17"/>
  <c r="BB13" i="17" s="1"/>
  <c r="AY13" i="17"/>
  <c r="AZ13" i="17" s="1"/>
  <c r="AW13" i="17"/>
  <c r="AX13" i="17" s="1"/>
  <c r="AU13" i="17"/>
  <c r="AV13" i="17" s="1"/>
  <c r="AS13" i="17"/>
  <c r="AT13" i="17" s="1"/>
  <c r="AQ13" i="17"/>
  <c r="AR13" i="17" s="1"/>
  <c r="AO13" i="17"/>
  <c r="AP13" i="17" s="1"/>
  <c r="AM13" i="17"/>
  <c r="AN13" i="17" s="1"/>
  <c r="BU12" i="17"/>
  <c r="BV12" i="17" s="1"/>
  <c r="BS12" i="17"/>
  <c r="BT12" i="17" s="1"/>
  <c r="BQ12" i="17"/>
  <c r="BR12" i="17" s="1"/>
  <c r="BO12" i="17"/>
  <c r="BP12" i="17" s="1"/>
  <c r="BM12" i="17"/>
  <c r="BN12" i="17" s="1"/>
  <c r="BK12" i="17"/>
  <c r="BL12" i="17" s="1"/>
  <c r="BI12" i="17"/>
  <c r="BJ12" i="17" s="1"/>
  <c r="BG12" i="17"/>
  <c r="BH12" i="17" s="1"/>
  <c r="BE12" i="17"/>
  <c r="BF12" i="17" s="1"/>
  <c r="BC12" i="17"/>
  <c r="BD12" i="17" s="1"/>
  <c r="BA12" i="17"/>
  <c r="BB12" i="17" s="1"/>
  <c r="AY12" i="17"/>
  <c r="AZ12" i="17" s="1"/>
  <c r="AW12" i="17"/>
  <c r="AX12" i="17" s="1"/>
  <c r="AU12" i="17"/>
  <c r="AV12" i="17" s="1"/>
  <c r="AT12" i="17"/>
  <c r="AS12" i="17"/>
  <c r="AQ12" i="17"/>
  <c r="AR12" i="17" s="1"/>
  <c r="AO12" i="17"/>
  <c r="AP12" i="17" s="1"/>
  <c r="AM12" i="17"/>
  <c r="AN12" i="17" s="1"/>
  <c r="BU11" i="17"/>
  <c r="BV11" i="17" s="1"/>
  <c r="BS11" i="17"/>
  <c r="BT11" i="17" s="1"/>
  <c r="BQ11" i="17"/>
  <c r="BR11" i="17" s="1"/>
  <c r="BO11" i="17"/>
  <c r="BP11" i="17" s="1"/>
  <c r="BM11" i="17"/>
  <c r="BN11" i="17" s="1"/>
  <c r="BK11" i="17"/>
  <c r="BL11" i="17" s="1"/>
  <c r="BI11" i="17"/>
  <c r="BJ11" i="17" s="1"/>
  <c r="BG11" i="17"/>
  <c r="BH11" i="17" s="1"/>
  <c r="BE11" i="17"/>
  <c r="BF11" i="17" s="1"/>
  <c r="BC11" i="17"/>
  <c r="BD11" i="17" s="1"/>
  <c r="BA11" i="17"/>
  <c r="BB11" i="17" s="1"/>
  <c r="AY11" i="17"/>
  <c r="AZ11" i="17" s="1"/>
  <c r="AW11" i="17"/>
  <c r="AX11" i="17" s="1"/>
  <c r="AU11" i="17"/>
  <c r="AV11" i="17" s="1"/>
  <c r="AS11" i="17"/>
  <c r="AT11" i="17" s="1"/>
  <c r="AQ11" i="17"/>
  <c r="AR11" i="17" s="1"/>
  <c r="AO11" i="17"/>
  <c r="AP11" i="17" s="1"/>
  <c r="AM11" i="17"/>
  <c r="AN11" i="17" s="1"/>
  <c r="BU10" i="17"/>
  <c r="BV10" i="17" s="1"/>
  <c r="BS10" i="17"/>
  <c r="BT10" i="17" s="1"/>
  <c r="BQ10" i="17"/>
  <c r="BR10" i="17" s="1"/>
  <c r="BO10" i="17"/>
  <c r="BP10" i="17" s="1"/>
  <c r="BM10" i="17"/>
  <c r="BN10" i="17" s="1"/>
  <c r="BK10" i="17"/>
  <c r="BL10" i="17" s="1"/>
  <c r="BI10" i="17"/>
  <c r="BJ10" i="17" s="1"/>
  <c r="BG10" i="17"/>
  <c r="BH10" i="17" s="1"/>
  <c r="BE10" i="17"/>
  <c r="BF10" i="17" s="1"/>
  <c r="BC10" i="17"/>
  <c r="BD10" i="17" s="1"/>
  <c r="BA10" i="17"/>
  <c r="BB10" i="17" s="1"/>
  <c r="AY10" i="17"/>
  <c r="AZ10" i="17" s="1"/>
  <c r="AW10" i="17"/>
  <c r="AX10" i="17" s="1"/>
  <c r="AU10" i="17"/>
  <c r="AV10" i="17" s="1"/>
  <c r="AS10" i="17"/>
  <c r="AT10" i="17" s="1"/>
  <c r="AQ10" i="17"/>
  <c r="AR10" i="17" s="1"/>
  <c r="AO10" i="17"/>
  <c r="AP10" i="17" s="1"/>
  <c r="AM10" i="17"/>
  <c r="AN10" i="17" s="1"/>
  <c r="BU9" i="17"/>
  <c r="BV9" i="17" s="1"/>
  <c r="BS9" i="17"/>
  <c r="BT9" i="17" s="1"/>
  <c r="BQ9" i="17"/>
  <c r="BR9" i="17" s="1"/>
  <c r="BO9" i="17"/>
  <c r="BP9" i="17" s="1"/>
  <c r="BM9" i="17"/>
  <c r="BN9" i="17" s="1"/>
  <c r="BK9" i="17"/>
  <c r="BL9" i="17" s="1"/>
  <c r="BI9" i="17"/>
  <c r="BJ9" i="17" s="1"/>
  <c r="BG9" i="17"/>
  <c r="BH9" i="17" s="1"/>
  <c r="BE9" i="17"/>
  <c r="BF9" i="17" s="1"/>
  <c r="BC9" i="17"/>
  <c r="BD9" i="17" s="1"/>
  <c r="BA9" i="17"/>
  <c r="BB9" i="17" s="1"/>
  <c r="AY9" i="17"/>
  <c r="AZ9" i="17" s="1"/>
  <c r="AW9" i="17"/>
  <c r="AX9" i="17" s="1"/>
  <c r="AU9" i="17"/>
  <c r="AV9" i="17" s="1"/>
  <c r="AS9" i="17"/>
  <c r="AT9" i="17" s="1"/>
  <c r="AQ9" i="17"/>
  <c r="AR9" i="17" s="1"/>
  <c r="AO9" i="17"/>
  <c r="AP9" i="17" s="1"/>
  <c r="AM9" i="17"/>
  <c r="AN9" i="17" s="1"/>
  <c r="BU8" i="17"/>
  <c r="BS8" i="17"/>
  <c r="BQ8" i="17"/>
  <c r="BR8" i="17" s="1"/>
  <c r="BO8" i="17"/>
  <c r="BM8" i="17"/>
  <c r="BK8" i="17"/>
  <c r="BI8" i="17"/>
  <c r="BJ8" i="17" s="1"/>
  <c r="BG8" i="17"/>
  <c r="BE8" i="17"/>
  <c r="BC8" i="17"/>
  <c r="BA8" i="17"/>
  <c r="BB8" i="17" s="1"/>
  <c r="AY8" i="17"/>
  <c r="AW8" i="17"/>
  <c r="AU8" i="17"/>
  <c r="AS8" i="17"/>
  <c r="AT8" i="17" s="1"/>
  <c r="AQ8" i="17"/>
  <c r="AO8" i="17"/>
  <c r="AM8" i="17"/>
  <c r="DA7" i="16"/>
  <c r="DA8" i="16"/>
  <c r="DA9" i="16"/>
  <c r="DA10" i="16"/>
  <c r="DA11" i="16"/>
  <c r="DA12" i="16"/>
  <c r="DA13" i="16"/>
  <c r="DA14" i="16"/>
  <c r="DA15" i="16"/>
  <c r="DA16" i="16"/>
  <c r="DA17" i="16"/>
  <c r="DA18" i="16"/>
  <c r="DA19" i="16"/>
  <c r="DA20" i="16"/>
  <c r="DA21" i="16"/>
  <c r="DA22" i="16"/>
  <c r="DA23" i="16"/>
  <c r="DA24" i="16"/>
  <c r="DA25" i="16"/>
  <c r="DA26" i="16"/>
  <c r="DA27" i="16"/>
  <c r="DA28" i="16"/>
  <c r="DA29" i="16"/>
  <c r="DA30" i="16"/>
  <c r="DA31" i="16"/>
  <c r="DA32" i="16"/>
  <c r="DA33" i="16"/>
  <c r="DA34" i="16"/>
  <c r="DA35" i="16"/>
  <c r="DA36" i="16"/>
  <c r="DA40" i="16"/>
  <c r="DA41" i="16"/>
  <c r="DA42" i="16"/>
  <c r="DA43" i="16"/>
  <c r="DA44" i="16"/>
  <c r="DA45" i="16"/>
  <c r="DA46" i="16"/>
  <c r="DA47" i="16"/>
  <c r="DA48" i="16"/>
  <c r="DA49" i="16"/>
  <c r="DA50" i="16"/>
  <c r="DA51" i="16"/>
  <c r="DA52" i="16"/>
  <c r="DA53" i="16"/>
  <c r="DA54" i="16"/>
  <c r="DA55" i="16"/>
  <c r="DA56" i="16"/>
  <c r="DA57" i="16"/>
  <c r="DA58" i="16"/>
  <c r="DA59" i="16"/>
  <c r="DA60" i="16"/>
  <c r="DA61" i="16"/>
  <c r="DA62" i="16"/>
  <c r="DA63" i="16"/>
  <c r="DA64" i="16"/>
  <c r="DA65" i="16"/>
  <c r="DA66" i="16"/>
  <c r="DA67" i="16"/>
  <c r="DA68" i="16"/>
  <c r="DA69" i="16"/>
  <c r="DA70" i="16"/>
  <c r="DA71" i="16"/>
  <c r="DA72" i="16"/>
  <c r="DA73" i="16"/>
  <c r="DA74" i="16"/>
  <c r="DA75" i="16"/>
  <c r="DA76" i="16"/>
  <c r="DA77" i="16"/>
  <c r="DA78" i="16"/>
  <c r="DA79" i="16"/>
  <c r="DA80" i="16"/>
  <c r="DA81" i="16"/>
  <c r="DA82" i="16"/>
  <c r="DA83" i="16"/>
  <c r="DA84" i="16"/>
  <c r="DA85" i="16"/>
  <c r="DA86" i="16"/>
  <c r="DA87" i="16"/>
  <c r="DA88" i="16"/>
  <c r="DA89" i="16"/>
  <c r="DA90" i="16"/>
  <c r="DA91" i="16"/>
  <c r="DA92" i="16"/>
  <c r="DA93" i="16"/>
  <c r="DA94" i="16"/>
  <c r="DA95" i="16"/>
  <c r="DA96" i="16"/>
  <c r="DA97" i="16"/>
  <c r="DA98" i="16"/>
  <c r="DA99" i="16"/>
  <c r="DA100" i="16"/>
  <c r="DA101" i="16"/>
  <c r="DA102" i="16"/>
  <c r="DA103" i="16"/>
  <c r="DA104" i="16"/>
  <c r="DA105" i="16"/>
  <c r="DA106" i="16"/>
  <c r="DA107" i="16"/>
  <c r="DA108" i="16"/>
  <c r="DA109" i="16"/>
  <c r="DA110" i="16"/>
  <c r="DA111" i="16"/>
  <c r="DA112" i="16"/>
  <c r="DA113" i="16"/>
  <c r="DA114" i="16"/>
  <c r="DA115" i="16"/>
  <c r="DA116" i="16"/>
  <c r="DA117" i="16"/>
  <c r="DA118" i="16"/>
  <c r="DA119" i="16"/>
  <c r="DA120" i="16"/>
  <c r="DA121" i="16"/>
  <c r="DA122" i="16"/>
  <c r="DA123" i="16"/>
  <c r="DA124" i="16"/>
  <c r="DA125" i="16"/>
  <c r="DA126" i="16"/>
  <c r="DA127" i="16"/>
  <c r="DA128" i="16"/>
  <c r="DA129" i="16"/>
  <c r="DA133" i="16"/>
  <c r="DA134" i="16"/>
  <c r="DA135" i="16"/>
  <c r="DA136" i="16"/>
  <c r="DA137" i="16"/>
  <c r="DA138" i="16"/>
  <c r="DA139" i="16"/>
  <c r="DA140" i="16"/>
  <c r="DA141" i="16"/>
  <c r="DA142" i="16"/>
  <c r="DA143" i="16"/>
  <c r="DA144" i="16"/>
  <c r="DA145" i="16"/>
  <c r="DA146" i="16"/>
  <c r="DA147" i="16"/>
  <c r="DA148" i="16"/>
  <c r="DA149" i="16"/>
  <c r="DA150" i="16"/>
  <c r="DA151" i="16"/>
  <c r="DA152" i="16"/>
  <c r="DA154" i="16"/>
  <c r="DA155" i="16"/>
  <c r="DA156" i="16"/>
  <c r="DA158" i="16"/>
  <c r="DA159" i="16"/>
  <c r="DA160" i="16"/>
  <c r="DA161" i="16"/>
  <c r="DA162" i="16"/>
  <c r="DA163" i="16"/>
  <c r="DA164" i="16"/>
  <c r="DA165" i="16"/>
  <c r="DA166" i="16"/>
  <c r="DA167" i="16"/>
  <c r="DA168" i="16"/>
  <c r="DA6" i="16"/>
  <c r="CZ7" i="16"/>
  <c r="CZ8" i="16"/>
  <c r="CZ9" i="16"/>
  <c r="CZ10" i="16"/>
  <c r="CZ11" i="16"/>
  <c r="CZ12" i="16"/>
  <c r="CZ13" i="16"/>
  <c r="CZ14" i="16"/>
  <c r="CZ15" i="16"/>
  <c r="CZ16" i="16"/>
  <c r="CZ17" i="16"/>
  <c r="CZ18" i="16"/>
  <c r="CZ19" i="16"/>
  <c r="CZ20" i="16"/>
  <c r="CZ21" i="16"/>
  <c r="CZ22" i="16"/>
  <c r="CZ23" i="16"/>
  <c r="CZ24" i="16"/>
  <c r="CZ25" i="16"/>
  <c r="CZ26" i="16"/>
  <c r="CZ27" i="16"/>
  <c r="CZ28" i="16"/>
  <c r="CZ29" i="16"/>
  <c r="CZ30" i="16"/>
  <c r="CZ31" i="16"/>
  <c r="CZ32" i="16"/>
  <c r="CZ33" i="16"/>
  <c r="CZ34" i="16"/>
  <c r="CZ35" i="16"/>
  <c r="CZ36" i="16"/>
  <c r="CZ40" i="16"/>
  <c r="CZ41" i="16"/>
  <c r="CZ42" i="16"/>
  <c r="CZ43" i="16"/>
  <c r="CZ44" i="16"/>
  <c r="CZ45" i="16"/>
  <c r="CZ46" i="16"/>
  <c r="CZ47" i="16"/>
  <c r="CZ48" i="16"/>
  <c r="CZ49" i="16"/>
  <c r="CZ50" i="16"/>
  <c r="CZ51" i="16"/>
  <c r="CZ52" i="16"/>
  <c r="CZ53" i="16"/>
  <c r="CZ54" i="16"/>
  <c r="CZ55" i="16"/>
  <c r="CZ56" i="16"/>
  <c r="CZ57" i="16"/>
  <c r="CZ58" i="16"/>
  <c r="CZ59" i="16"/>
  <c r="CZ60" i="16"/>
  <c r="CZ61" i="16"/>
  <c r="CZ62" i="16"/>
  <c r="CZ63" i="16"/>
  <c r="CZ64" i="16"/>
  <c r="CZ65" i="16"/>
  <c r="CZ66" i="16"/>
  <c r="CZ67" i="16"/>
  <c r="CZ68" i="16"/>
  <c r="CZ69" i="16"/>
  <c r="CZ70" i="16"/>
  <c r="CZ71" i="16"/>
  <c r="CZ72" i="16"/>
  <c r="CZ73" i="16"/>
  <c r="CZ74" i="16"/>
  <c r="CZ75" i="16"/>
  <c r="CZ76" i="16"/>
  <c r="CZ77" i="16"/>
  <c r="CZ78" i="16"/>
  <c r="CZ79" i="16"/>
  <c r="CZ80" i="16"/>
  <c r="CZ81" i="16"/>
  <c r="CZ82" i="16"/>
  <c r="CZ83" i="16"/>
  <c r="CZ84" i="16"/>
  <c r="CZ85" i="16"/>
  <c r="CZ86" i="16"/>
  <c r="CZ87" i="16"/>
  <c r="CZ88" i="16"/>
  <c r="CZ89" i="16"/>
  <c r="CZ90" i="16"/>
  <c r="CZ91" i="16"/>
  <c r="CZ92" i="16"/>
  <c r="CZ93" i="16"/>
  <c r="CZ94" i="16"/>
  <c r="CZ95" i="16"/>
  <c r="CZ96" i="16"/>
  <c r="CZ97" i="16"/>
  <c r="CZ98" i="16"/>
  <c r="CZ99" i="16"/>
  <c r="CZ100" i="16"/>
  <c r="CZ101" i="16"/>
  <c r="CZ102" i="16"/>
  <c r="CZ103" i="16"/>
  <c r="CZ104" i="16"/>
  <c r="CZ105" i="16"/>
  <c r="CZ106" i="16"/>
  <c r="CZ107" i="16"/>
  <c r="CZ108" i="16"/>
  <c r="CZ109" i="16"/>
  <c r="CZ110" i="16"/>
  <c r="CZ111" i="16"/>
  <c r="CZ112" i="16"/>
  <c r="CZ113" i="16"/>
  <c r="CZ114" i="16"/>
  <c r="CZ115" i="16"/>
  <c r="CZ116" i="16"/>
  <c r="CZ117" i="16"/>
  <c r="CZ118" i="16"/>
  <c r="CZ119" i="16"/>
  <c r="CZ120" i="16"/>
  <c r="CZ121" i="16"/>
  <c r="CZ122" i="16"/>
  <c r="CZ123" i="16"/>
  <c r="CZ124" i="16"/>
  <c r="CZ125" i="16"/>
  <c r="CZ126" i="16"/>
  <c r="CZ127" i="16"/>
  <c r="CZ128" i="16"/>
  <c r="CZ129" i="16"/>
  <c r="CZ133" i="16"/>
  <c r="CZ134" i="16"/>
  <c r="CZ135" i="16"/>
  <c r="CZ136" i="16"/>
  <c r="CZ137" i="16"/>
  <c r="CZ138" i="16"/>
  <c r="CZ139" i="16"/>
  <c r="CZ140" i="16"/>
  <c r="CZ141" i="16"/>
  <c r="CZ142" i="16"/>
  <c r="CZ143" i="16"/>
  <c r="CZ144" i="16"/>
  <c r="CZ145" i="16"/>
  <c r="CZ146" i="16"/>
  <c r="CZ147" i="16"/>
  <c r="CZ148" i="16"/>
  <c r="CZ149" i="16"/>
  <c r="CZ150" i="16"/>
  <c r="CZ151" i="16"/>
  <c r="CZ152" i="16"/>
  <c r="CZ154" i="16"/>
  <c r="CZ155" i="16"/>
  <c r="CZ156" i="16"/>
  <c r="CZ158" i="16"/>
  <c r="CZ159" i="16"/>
  <c r="CZ160" i="16"/>
  <c r="CZ161" i="16"/>
  <c r="CZ162" i="16"/>
  <c r="CZ163" i="16"/>
  <c r="CZ164" i="16"/>
  <c r="CZ165" i="16"/>
  <c r="CZ166" i="16"/>
  <c r="CZ167" i="16"/>
  <c r="CZ168" i="16"/>
  <c r="CZ6" i="16"/>
  <c r="CX6" i="16"/>
  <c r="CX7" i="16"/>
  <c r="CX8" i="16"/>
  <c r="CX9" i="16"/>
  <c r="CX10" i="16"/>
  <c r="CX11" i="16"/>
  <c r="CX12" i="16"/>
  <c r="CX13" i="16"/>
  <c r="CX14" i="16"/>
  <c r="CX15" i="16"/>
  <c r="CX16" i="16"/>
  <c r="CX17" i="16"/>
  <c r="CX18" i="16"/>
  <c r="CX19" i="16"/>
  <c r="CX20" i="16"/>
  <c r="CX21" i="16"/>
  <c r="CX22" i="16"/>
  <c r="CX23" i="16"/>
  <c r="CX24" i="16"/>
  <c r="CX25" i="16"/>
  <c r="CX26" i="16"/>
  <c r="CX27" i="16"/>
  <c r="CX28" i="16"/>
  <c r="CX29" i="16"/>
  <c r="CX30" i="16"/>
  <c r="CX31" i="16"/>
  <c r="CX32" i="16"/>
  <c r="CX33" i="16"/>
  <c r="CX34" i="16"/>
  <c r="CX35" i="16"/>
  <c r="CX36" i="16"/>
  <c r="CX40" i="16"/>
  <c r="CX41" i="16"/>
  <c r="CX42" i="16"/>
  <c r="CX43" i="16"/>
  <c r="CX44" i="16"/>
  <c r="CX45" i="16"/>
  <c r="CX46" i="16"/>
  <c r="CX47" i="16"/>
  <c r="CX48" i="16"/>
  <c r="CX49" i="16"/>
  <c r="CX50" i="16"/>
  <c r="CX51" i="16"/>
  <c r="CX52" i="16"/>
  <c r="CX53" i="16"/>
  <c r="CX54" i="16"/>
  <c r="CX55" i="16"/>
  <c r="CX56" i="16"/>
  <c r="CX57" i="16"/>
  <c r="CX58" i="16"/>
  <c r="CX59" i="16"/>
  <c r="CX60" i="16"/>
  <c r="CX61" i="16"/>
  <c r="CX62" i="16"/>
  <c r="CX63" i="16"/>
  <c r="CX64" i="16"/>
  <c r="CX65" i="16"/>
  <c r="CX66" i="16"/>
  <c r="CX67" i="16"/>
  <c r="CX68" i="16"/>
  <c r="CX69" i="16"/>
  <c r="CX70" i="16"/>
  <c r="CX71" i="16"/>
  <c r="CX72" i="16"/>
  <c r="CX73" i="16"/>
  <c r="CX74" i="16"/>
  <c r="CX75" i="16"/>
  <c r="CX76" i="16"/>
  <c r="CX77" i="16"/>
  <c r="CX78" i="16"/>
  <c r="CX79" i="16"/>
  <c r="CX80" i="16"/>
  <c r="CX81" i="16"/>
  <c r="CX82" i="16"/>
  <c r="CX83" i="16"/>
  <c r="CX84" i="16"/>
  <c r="CX85" i="16"/>
  <c r="CX86" i="16"/>
  <c r="CX87" i="16"/>
  <c r="CX88" i="16"/>
  <c r="CX89" i="16"/>
  <c r="CX90" i="16"/>
  <c r="CX91" i="16"/>
  <c r="CX92" i="16"/>
  <c r="CX93" i="16"/>
  <c r="CX94" i="16"/>
  <c r="CX95" i="16"/>
  <c r="CX96" i="16"/>
  <c r="CX97" i="16"/>
  <c r="CX98" i="16"/>
  <c r="CX99" i="16"/>
  <c r="CX100" i="16"/>
  <c r="CX101" i="16"/>
  <c r="CX102" i="16"/>
  <c r="CX103" i="16"/>
  <c r="CX104" i="16"/>
  <c r="CX105" i="16"/>
  <c r="CX106" i="16"/>
  <c r="CX116" i="16"/>
  <c r="CX117" i="16"/>
  <c r="CX118" i="16"/>
  <c r="CX119" i="16"/>
  <c r="CX120" i="16"/>
  <c r="CX121" i="16"/>
  <c r="CX122" i="16"/>
  <c r="CX123" i="16"/>
  <c r="CX125" i="16"/>
  <c r="CX127" i="16"/>
  <c r="CX128" i="16"/>
  <c r="CX129" i="16"/>
  <c r="CX133" i="16"/>
  <c r="CX134" i="16"/>
  <c r="CX135" i="16"/>
  <c r="CX136" i="16"/>
  <c r="CX137" i="16"/>
  <c r="CX138" i="16"/>
  <c r="CX139" i="16"/>
  <c r="CX141" i="16"/>
  <c r="CX142" i="16"/>
  <c r="CX143" i="16"/>
  <c r="CX144" i="16"/>
  <c r="CX145" i="16"/>
  <c r="CX147" i="16"/>
  <c r="CX148" i="16"/>
  <c r="CX149" i="16"/>
  <c r="CX150" i="16"/>
  <c r="CX151" i="16"/>
  <c r="CX152" i="16"/>
  <c r="CX153" i="16"/>
  <c r="CX154" i="16"/>
  <c r="CX155" i="16"/>
  <c r="CX156" i="16"/>
  <c r="CX157" i="16"/>
  <c r="CX158" i="16"/>
  <c r="CX159" i="16"/>
  <c r="CX160" i="16"/>
  <c r="CX161" i="16"/>
  <c r="CX163" i="16"/>
  <c r="CX164" i="16"/>
  <c r="CX165" i="16"/>
  <c r="CX166" i="16"/>
  <c r="CX167" i="16"/>
  <c r="CY7" i="16"/>
  <c r="CY8" i="16"/>
  <c r="CY9" i="16"/>
  <c r="CY10" i="16"/>
  <c r="CY11" i="16"/>
  <c r="CY12" i="16"/>
  <c r="CY13" i="16"/>
  <c r="CY14" i="16"/>
  <c r="CY15" i="16"/>
  <c r="CY16" i="16"/>
  <c r="CY17" i="16"/>
  <c r="CY18" i="16"/>
  <c r="CY19" i="16"/>
  <c r="CY20" i="16"/>
  <c r="CY21" i="16"/>
  <c r="CY22" i="16"/>
  <c r="CY23" i="16"/>
  <c r="CY24" i="16"/>
  <c r="CY25" i="16"/>
  <c r="CY26" i="16"/>
  <c r="CY27" i="16"/>
  <c r="CY28" i="16"/>
  <c r="CY29" i="16"/>
  <c r="CY30" i="16"/>
  <c r="CY31" i="16"/>
  <c r="CY32" i="16"/>
  <c r="CY33" i="16"/>
  <c r="CY34" i="16"/>
  <c r="CY35" i="16"/>
  <c r="CY36" i="16"/>
  <c r="CY40" i="16"/>
  <c r="CY41" i="16"/>
  <c r="CY42" i="16"/>
  <c r="CY43" i="16"/>
  <c r="CY44" i="16"/>
  <c r="CY45" i="16"/>
  <c r="CY46" i="16"/>
  <c r="CY47" i="16"/>
  <c r="CY48" i="16"/>
  <c r="CY49" i="16"/>
  <c r="CY50" i="16"/>
  <c r="CY51" i="16"/>
  <c r="CY52" i="16"/>
  <c r="CY53" i="16"/>
  <c r="CY54" i="16"/>
  <c r="CY55" i="16"/>
  <c r="CY56" i="16"/>
  <c r="CY57" i="16"/>
  <c r="CY58" i="16"/>
  <c r="CY59" i="16"/>
  <c r="CY60" i="16"/>
  <c r="CY61" i="16"/>
  <c r="CY62" i="16"/>
  <c r="CY63" i="16"/>
  <c r="CY64" i="16"/>
  <c r="CY65" i="16"/>
  <c r="CY66" i="16"/>
  <c r="CY67" i="16"/>
  <c r="CY68" i="16"/>
  <c r="CY69" i="16"/>
  <c r="CY70" i="16"/>
  <c r="CY71" i="16"/>
  <c r="CY72" i="16"/>
  <c r="CY73" i="16"/>
  <c r="CY74" i="16"/>
  <c r="CY75" i="16"/>
  <c r="CY76" i="16"/>
  <c r="CY77" i="16"/>
  <c r="CY78" i="16"/>
  <c r="CY79" i="16"/>
  <c r="CY80" i="16"/>
  <c r="CY81" i="16"/>
  <c r="CY82" i="16"/>
  <c r="CY83" i="16"/>
  <c r="CY84" i="16"/>
  <c r="CY85" i="16"/>
  <c r="CY86" i="16"/>
  <c r="CY87" i="16"/>
  <c r="CY88" i="16"/>
  <c r="CY89" i="16"/>
  <c r="CY90" i="16"/>
  <c r="CY91" i="16"/>
  <c r="CY92" i="16"/>
  <c r="CY93" i="16"/>
  <c r="CY94" i="16"/>
  <c r="CY95" i="16"/>
  <c r="CY96" i="16"/>
  <c r="CY97" i="16"/>
  <c r="CY98" i="16"/>
  <c r="CY99" i="16"/>
  <c r="CY100" i="16"/>
  <c r="CY101" i="16"/>
  <c r="CY102" i="16"/>
  <c r="CY103" i="16"/>
  <c r="CY104" i="16"/>
  <c r="CY105" i="16"/>
  <c r="CY106" i="16"/>
  <c r="CY107" i="16"/>
  <c r="CY108" i="16"/>
  <c r="CY109" i="16"/>
  <c r="CY110" i="16"/>
  <c r="CY111" i="16"/>
  <c r="CY112" i="16"/>
  <c r="CY113" i="16"/>
  <c r="CY114" i="16"/>
  <c r="CY115" i="16"/>
  <c r="CY116" i="16"/>
  <c r="CY117" i="16"/>
  <c r="CY118" i="16"/>
  <c r="CY119" i="16"/>
  <c r="CY120" i="16"/>
  <c r="CY121" i="16"/>
  <c r="CY122" i="16"/>
  <c r="CY123" i="16"/>
  <c r="CY124" i="16"/>
  <c r="CY125" i="16"/>
  <c r="CY126" i="16"/>
  <c r="CY127" i="16"/>
  <c r="CY128" i="16"/>
  <c r="CY129" i="16"/>
  <c r="CY133" i="16"/>
  <c r="CY134" i="16"/>
  <c r="CY135" i="16"/>
  <c r="CY136" i="16"/>
  <c r="CY137" i="16"/>
  <c r="CY138" i="16"/>
  <c r="CY139" i="16"/>
  <c r="CY140" i="16"/>
  <c r="CY141" i="16"/>
  <c r="CY142" i="16"/>
  <c r="CY143" i="16"/>
  <c r="CY144" i="16"/>
  <c r="CY145" i="16"/>
  <c r="CY146" i="16"/>
  <c r="CY147" i="16"/>
  <c r="CY148" i="16"/>
  <c r="CY149" i="16"/>
  <c r="CY150" i="16"/>
  <c r="CY151" i="16"/>
  <c r="CY152" i="16"/>
  <c r="CY154" i="16"/>
  <c r="CY155" i="16"/>
  <c r="CY156" i="16"/>
  <c r="CY158" i="16"/>
  <c r="CY159" i="16"/>
  <c r="CY160" i="16"/>
  <c r="CY161" i="16"/>
  <c r="CY162" i="16"/>
  <c r="CY163" i="16"/>
  <c r="CY164" i="16"/>
  <c r="CY165" i="16"/>
  <c r="CY166" i="16"/>
  <c r="CY167" i="16"/>
  <c r="CY168" i="16"/>
  <c r="CY6" i="16"/>
  <c r="CW7" i="16"/>
  <c r="CW8" i="16"/>
  <c r="CW9" i="16"/>
  <c r="CW10" i="16"/>
  <c r="CW11" i="16"/>
  <c r="CW12" i="16"/>
  <c r="CW13" i="16"/>
  <c r="CW14" i="16"/>
  <c r="CW15" i="16"/>
  <c r="CW16" i="16"/>
  <c r="CW17" i="16"/>
  <c r="CW18" i="16"/>
  <c r="CW19" i="16"/>
  <c r="CW20" i="16"/>
  <c r="CW21" i="16"/>
  <c r="CW22" i="16"/>
  <c r="CW23" i="16"/>
  <c r="CW24" i="16"/>
  <c r="CW25" i="16"/>
  <c r="CW26" i="16"/>
  <c r="CW27" i="16"/>
  <c r="CW28" i="16"/>
  <c r="CW29" i="16"/>
  <c r="CW30" i="16"/>
  <c r="CW31" i="16"/>
  <c r="CW32" i="16"/>
  <c r="CW33" i="16"/>
  <c r="CW34" i="16"/>
  <c r="CW35" i="16"/>
  <c r="CW36" i="16"/>
  <c r="CW40" i="16"/>
  <c r="CW41" i="16"/>
  <c r="CW42" i="16"/>
  <c r="CW43" i="16"/>
  <c r="CW44" i="16"/>
  <c r="CW45" i="16"/>
  <c r="CW46" i="16"/>
  <c r="CW47" i="16"/>
  <c r="CW48" i="16"/>
  <c r="CW49" i="16"/>
  <c r="CW50" i="16"/>
  <c r="CW51" i="16"/>
  <c r="CW52" i="16"/>
  <c r="CW53" i="16"/>
  <c r="CW54" i="16"/>
  <c r="CW55" i="16"/>
  <c r="CW56" i="16"/>
  <c r="CW57" i="16"/>
  <c r="CW58" i="16"/>
  <c r="CW59" i="16"/>
  <c r="CW60" i="16"/>
  <c r="CW61" i="16"/>
  <c r="CW62" i="16"/>
  <c r="CW63" i="16"/>
  <c r="CW64" i="16"/>
  <c r="CW65" i="16"/>
  <c r="CW66" i="16"/>
  <c r="CW67" i="16"/>
  <c r="CW68" i="16"/>
  <c r="CW69" i="16"/>
  <c r="CW70" i="16"/>
  <c r="CW71" i="16"/>
  <c r="CW72" i="16"/>
  <c r="CW73" i="16"/>
  <c r="CW74" i="16"/>
  <c r="CW75" i="16"/>
  <c r="CW76" i="16"/>
  <c r="CW77" i="16"/>
  <c r="CW78" i="16"/>
  <c r="CW79" i="16"/>
  <c r="CW80" i="16"/>
  <c r="CW81" i="16"/>
  <c r="CW82" i="16"/>
  <c r="CW83" i="16"/>
  <c r="CW84" i="16"/>
  <c r="CW85" i="16"/>
  <c r="CW86" i="16"/>
  <c r="CW87" i="16"/>
  <c r="CW88" i="16"/>
  <c r="CW89" i="16"/>
  <c r="CW90" i="16"/>
  <c r="CW91" i="16"/>
  <c r="CW92" i="16"/>
  <c r="CW93" i="16"/>
  <c r="CW94" i="16"/>
  <c r="CW95" i="16"/>
  <c r="CW96" i="16"/>
  <c r="CW97" i="16"/>
  <c r="CW98" i="16"/>
  <c r="CW99" i="16"/>
  <c r="CW100" i="16"/>
  <c r="CW101" i="16"/>
  <c r="CW102" i="16"/>
  <c r="CW103" i="16"/>
  <c r="CW104" i="16"/>
  <c r="CW105" i="16"/>
  <c r="CW106" i="16"/>
  <c r="CW107" i="16"/>
  <c r="CW108" i="16"/>
  <c r="CW109" i="16"/>
  <c r="CW110" i="16"/>
  <c r="CW111" i="16"/>
  <c r="CW112" i="16"/>
  <c r="CW113" i="16"/>
  <c r="CW114" i="16"/>
  <c r="CW115" i="16"/>
  <c r="CW116" i="16"/>
  <c r="CW117" i="16"/>
  <c r="CW118" i="16"/>
  <c r="CW119" i="16"/>
  <c r="CW120" i="16"/>
  <c r="CW121" i="16"/>
  <c r="CW122" i="16"/>
  <c r="CW123" i="16"/>
  <c r="CW124" i="16"/>
  <c r="CW125" i="16"/>
  <c r="CW126" i="16"/>
  <c r="CW127" i="16"/>
  <c r="CW128" i="16"/>
  <c r="CW129" i="16"/>
  <c r="CW133" i="16"/>
  <c r="CW134" i="16"/>
  <c r="CW135" i="16"/>
  <c r="CW136" i="16"/>
  <c r="CW137" i="16"/>
  <c r="CW138" i="16"/>
  <c r="CW139" i="16"/>
  <c r="CW140" i="16"/>
  <c r="CW141" i="16"/>
  <c r="CW142" i="16"/>
  <c r="CW143" i="16"/>
  <c r="CW144" i="16"/>
  <c r="CW145" i="16"/>
  <c r="CW146" i="16"/>
  <c r="CW147" i="16"/>
  <c r="CW148" i="16"/>
  <c r="CW149" i="16"/>
  <c r="CW150" i="16"/>
  <c r="CW151" i="16"/>
  <c r="CW152" i="16"/>
  <c r="CW154" i="16"/>
  <c r="CW155" i="16"/>
  <c r="CW156" i="16"/>
  <c r="CW158" i="16"/>
  <c r="CW159" i="16"/>
  <c r="CW160" i="16"/>
  <c r="CW161" i="16"/>
  <c r="CW162" i="16"/>
  <c r="CW163" i="16"/>
  <c r="CW164" i="16"/>
  <c r="CW165" i="16"/>
  <c r="CW166" i="16"/>
  <c r="CW167" i="16"/>
  <c r="CW168" i="16"/>
  <c r="CW6" i="16"/>
  <c r="CV7" i="16"/>
  <c r="CV8" i="16"/>
  <c r="CV9" i="16"/>
  <c r="CV10" i="16"/>
  <c r="CV11" i="16"/>
  <c r="CV12" i="16"/>
  <c r="CV13" i="16"/>
  <c r="CV14" i="16"/>
  <c r="CV15" i="16"/>
  <c r="CV16" i="16"/>
  <c r="CV17" i="16"/>
  <c r="CV18" i="16"/>
  <c r="CV19" i="16"/>
  <c r="CV20" i="16"/>
  <c r="CV21" i="16"/>
  <c r="CV22" i="16"/>
  <c r="CV23" i="16"/>
  <c r="CV24" i="16"/>
  <c r="CV25" i="16"/>
  <c r="CV26" i="16"/>
  <c r="CV27" i="16"/>
  <c r="CV28" i="16"/>
  <c r="CV29" i="16"/>
  <c r="CV30" i="16"/>
  <c r="CV31" i="16"/>
  <c r="CV32" i="16"/>
  <c r="CV33" i="16"/>
  <c r="CV34" i="16"/>
  <c r="CV35" i="16"/>
  <c r="CV36" i="16"/>
  <c r="CV40" i="16"/>
  <c r="CV41" i="16"/>
  <c r="CV42" i="16"/>
  <c r="CV43" i="16"/>
  <c r="CV44" i="16"/>
  <c r="CV45" i="16"/>
  <c r="CV46" i="16"/>
  <c r="CV47" i="16"/>
  <c r="CV48" i="16"/>
  <c r="CV49" i="16"/>
  <c r="CV50" i="16"/>
  <c r="CV51" i="16"/>
  <c r="CV52" i="16"/>
  <c r="CV53" i="16"/>
  <c r="CV54" i="16"/>
  <c r="CV55" i="16"/>
  <c r="CV56" i="16"/>
  <c r="CV57" i="16"/>
  <c r="CV58" i="16"/>
  <c r="CV59" i="16"/>
  <c r="CV60" i="16"/>
  <c r="CV61" i="16"/>
  <c r="CV62" i="16"/>
  <c r="CV63" i="16"/>
  <c r="CV64" i="16"/>
  <c r="CV65" i="16"/>
  <c r="CV66" i="16"/>
  <c r="CV67" i="16"/>
  <c r="CV68" i="16"/>
  <c r="CV69" i="16"/>
  <c r="CV70" i="16"/>
  <c r="CV71" i="16"/>
  <c r="CV72" i="16"/>
  <c r="CV73" i="16"/>
  <c r="CV74" i="16"/>
  <c r="CV75" i="16"/>
  <c r="CV76" i="16"/>
  <c r="CV77" i="16"/>
  <c r="CV78" i="16"/>
  <c r="CV79" i="16"/>
  <c r="CV80" i="16"/>
  <c r="CV81" i="16"/>
  <c r="CV82" i="16"/>
  <c r="CV83" i="16"/>
  <c r="CV84" i="16"/>
  <c r="CV85" i="16"/>
  <c r="CV86" i="16"/>
  <c r="CV87" i="16"/>
  <c r="CV88" i="16"/>
  <c r="CV89" i="16"/>
  <c r="CV90" i="16"/>
  <c r="CV91" i="16"/>
  <c r="CV92" i="16"/>
  <c r="CV93" i="16"/>
  <c r="CV94" i="16"/>
  <c r="CV95" i="16"/>
  <c r="CV96" i="16"/>
  <c r="CV97" i="16"/>
  <c r="CV98" i="16"/>
  <c r="CV99" i="16"/>
  <c r="CV100" i="16"/>
  <c r="CV101" i="16"/>
  <c r="CV102" i="16"/>
  <c r="CV103" i="16"/>
  <c r="CV104" i="16"/>
  <c r="CV105" i="16"/>
  <c r="CV106" i="16"/>
  <c r="CV107" i="16"/>
  <c r="CV108" i="16"/>
  <c r="CV109" i="16"/>
  <c r="CV110" i="16"/>
  <c r="CV111" i="16"/>
  <c r="CV112" i="16"/>
  <c r="CV113" i="16"/>
  <c r="CV114" i="16"/>
  <c r="CV115" i="16"/>
  <c r="CV116" i="16"/>
  <c r="CV117" i="16"/>
  <c r="CV118" i="16"/>
  <c r="CV119" i="16"/>
  <c r="CV120" i="16"/>
  <c r="CV121" i="16"/>
  <c r="CV122" i="16"/>
  <c r="CV123" i="16"/>
  <c r="CV124" i="16"/>
  <c r="CV125" i="16"/>
  <c r="CV126" i="16"/>
  <c r="CV127" i="16"/>
  <c r="CV128" i="16"/>
  <c r="CV129" i="16"/>
  <c r="CV133" i="16"/>
  <c r="CV134" i="16"/>
  <c r="CV135" i="16"/>
  <c r="CV136" i="16"/>
  <c r="CV137" i="16"/>
  <c r="CV138" i="16"/>
  <c r="CV139" i="16"/>
  <c r="CV140" i="16"/>
  <c r="CV141" i="16"/>
  <c r="CV142" i="16"/>
  <c r="CV143" i="16"/>
  <c r="CV144" i="16"/>
  <c r="CV145" i="16"/>
  <c r="CV146" i="16"/>
  <c r="CV147" i="16"/>
  <c r="CV148" i="16"/>
  <c r="CV149" i="16"/>
  <c r="CV150" i="16"/>
  <c r="CV151" i="16"/>
  <c r="CV152" i="16"/>
  <c r="CV154" i="16"/>
  <c r="CV155" i="16"/>
  <c r="CV156" i="16"/>
  <c r="CV158" i="16"/>
  <c r="CV159" i="16"/>
  <c r="CV160" i="16"/>
  <c r="CV161" i="16"/>
  <c r="CV162" i="16"/>
  <c r="CV163" i="16"/>
  <c r="CV164" i="16"/>
  <c r="CV165" i="16"/>
  <c r="CV166" i="16"/>
  <c r="CV167" i="16"/>
  <c r="CV168" i="16"/>
  <c r="CV6" i="16"/>
  <c r="CU7" i="16"/>
  <c r="CU8" i="16"/>
  <c r="CU9" i="16"/>
  <c r="CU10" i="16"/>
  <c r="CU11" i="16"/>
  <c r="CU12" i="16"/>
  <c r="CU13" i="16"/>
  <c r="CU14" i="16"/>
  <c r="CU15" i="16"/>
  <c r="CU16" i="16"/>
  <c r="CU17" i="16"/>
  <c r="CU18" i="16"/>
  <c r="CU19" i="16"/>
  <c r="CU20" i="16"/>
  <c r="CU21" i="16"/>
  <c r="CU22" i="16"/>
  <c r="CU23" i="16"/>
  <c r="CU24" i="16"/>
  <c r="CU25" i="16"/>
  <c r="CU26" i="16"/>
  <c r="CU27" i="16"/>
  <c r="CU28" i="16"/>
  <c r="CU29" i="16"/>
  <c r="CU30" i="16"/>
  <c r="CU31" i="16"/>
  <c r="CU32" i="16"/>
  <c r="CU33" i="16"/>
  <c r="CU34" i="16"/>
  <c r="CU35" i="16"/>
  <c r="CU36" i="16"/>
  <c r="CU40" i="16"/>
  <c r="CU41" i="16"/>
  <c r="CU42" i="16"/>
  <c r="CU43" i="16"/>
  <c r="CU44" i="16"/>
  <c r="CU45" i="16"/>
  <c r="CU46" i="16"/>
  <c r="CU47" i="16"/>
  <c r="CU48" i="16"/>
  <c r="CU49" i="16"/>
  <c r="CU50" i="16"/>
  <c r="CU51" i="16"/>
  <c r="CU52" i="16"/>
  <c r="CU53" i="16"/>
  <c r="CU54" i="16"/>
  <c r="CU55" i="16"/>
  <c r="CU56" i="16"/>
  <c r="CU57" i="16"/>
  <c r="CU58" i="16"/>
  <c r="CU59" i="16"/>
  <c r="CU60" i="16"/>
  <c r="CU61" i="16"/>
  <c r="CU62" i="16"/>
  <c r="CU63" i="16"/>
  <c r="CU64" i="16"/>
  <c r="CU65" i="16"/>
  <c r="CU66" i="16"/>
  <c r="CU67" i="16"/>
  <c r="CU68" i="16"/>
  <c r="CU69" i="16"/>
  <c r="CU70" i="16"/>
  <c r="CU71" i="16"/>
  <c r="CU72" i="16"/>
  <c r="CU73" i="16"/>
  <c r="CU74" i="16"/>
  <c r="CU75" i="16"/>
  <c r="CU76" i="16"/>
  <c r="CU77" i="16"/>
  <c r="CU78" i="16"/>
  <c r="CU79" i="16"/>
  <c r="CU80" i="16"/>
  <c r="CU81" i="16"/>
  <c r="CU82" i="16"/>
  <c r="CU83" i="16"/>
  <c r="CU84" i="16"/>
  <c r="CU85" i="16"/>
  <c r="CU86" i="16"/>
  <c r="CU87" i="16"/>
  <c r="CU88" i="16"/>
  <c r="CU89" i="16"/>
  <c r="CU90" i="16"/>
  <c r="CU91" i="16"/>
  <c r="CU92" i="16"/>
  <c r="CU93" i="16"/>
  <c r="CU94" i="16"/>
  <c r="CU95" i="16"/>
  <c r="CU96" i="16"/>
  <c r="CU97" i="16"/>
  <c r="CU98" i="16"/>
  <c r="CU99" i="16"/>
  <c r="CU100" i="16"/>
  <c r="CU101" i="16"/>
  <c r="CU102" i="16"/>
  <c r="CU103" i="16"/>
  <c r="CU104" i="16"/>
  <c r="CU105" i="16"/>
  <c r="CU106" i="16"/>
  <c r="CU107" i="16"/>
  <c r="CU108" i="16"/>
  <c r="CU109" i="16"/>
  <c r="CU110" i="16"/>
  <c r="CU111" i="16"/>
  <c r="CU112" i="16"/>
  <c r="CU113" i="16"/>
  <c r="CU114" i="16"/>
  <c r="CU115" i="16"/>
  <c r="CU116" i="16"/>
  <c r="CU117" i="16"/>
  <c r="CU118" i="16"/>
  <c r="CU119" i="16"/>
  <c r="CU120" i="16"/>
  <c r="CU121" i="16"/>
  <c r="CU122" i="16"/>
  <c r="CU123" i="16"/>
  <c r="CU124" i="16"/>
  <c r="CU125" i="16"/>
  <c r="CU126" i="16"/>
  <c r="CU127" i="16"/>
  <c r="CU128" i="16"/>
  <c r="CU129" i="16"/>
  <c r="CU133" i="16"/>
  <c r="CU134" i="16"/>
  <c r="CU135" i="16"/>
  <c r="CU136" i="16"/>
  <c r="CU137" i="16"/>
  <c r="CU138" i="16"/>
  <c r="CU139" i="16"/>
  <c r="CU140" i="16"/>
  <c r="CU141" i="16"/>
  <c r="CU142" i="16"/>
  <c r="CU143" i="16"/>
  <c r="CU144" i="16"/>
  <c r="CU145" i="16"/>
  <c r="CU146" i="16"/>
  <c r="CU147" i="16"/>
  <c r="CU148" i="16"/>
  <c r="CU149" i="16"/>
  <c r="CU150" i="16"/>
  <c r="CU151" i="16"/>
  <c r="CU152" i="16"/>
  <c r="CU154" i="16"/>
  <c r="CU155" i="16"/>
  <c r="CU156" i="16"/>
  <c r="CU158" i="16"/>
  <c r="CU159" i="16"/>
  <c r="CU160" i="16"/>
  <c r="CU161" i="16"/>
  <c r="CU162" i="16"/>
  <c r="CU163" i="16"/>
  <c r="CU164" i="16"/>
  <c r="CU165" i="16"/>
  <c r="CU166" i="16"/>
  <c r="CU167" i="16"/>
  <c r="CU168" i="16"/>
  <c r="CU6" i="16"/>
  <c r="CT7" i="16"/>
  <c r="CT8" i="16"/>
  <c r="CT9" i="16"/>
  <c r="CT10" i="16"/>
  <c r="CT11" i="16"/>
  <c r="CT12" i="16"/>
  <c r="CT13" i="16"/>
  <c r="CT14" i="16"/>
  <c r="CT15" i="16"/>
  <c r="CT16" i="16"/>
  <c r="CT17" i="16"/>
  <c r="CT18" i="16"/>
  <c r="CT19" i="16"/>
  <c r="CT20" i="16"/>
  <c r="CT21" i="16"/>
  <c r="CT22" i="16"/>
  <c r="CT23" i="16"/>
  <c r="CT24" i="16"/>
  <c r="CT25" i="16"/>
  <c r="CT26" i="16"/>
  <c r="CT27" i="16"/>
  <c r="CT28" i="16"/>
  <c r="CT29" i="16"/>
  <c r="CT30" i="16"/>
  <c r="CT31" i="16"/>
  <c r="CT32" i="16"/>
  <c r="CT33" i="16"/>
  <c r="CT34" i="16"/>
  <c r="CT35" i="16"/>
  <c r="CT36" i="16"/>
  <c r="CT40" i="16"/>
  <c r="CT41" i="16"/>
  <c r="CT42" i="16"/>
  <c r="CT43" i="16"/>
  <c r="CT44" i="16"/>
  <c r="CT45" i="16"/>
  <c r="CT46" i="16"/>
  <c r="CT47" i="16"/>
  <c r="CT48" i="16"/>
  <c r="CT49" i="16"/>
  <c r="CT50" i="16"/>
  <c r="CT51" i="16"/>
  <c r="CT52" i="16"/>
  <c r="CT53" i="16"/>
  <c r="CT54" i="16"/>
  <c r="CT55" i="16"/>
  <c r="CT56" i="16"/>
  <c r="CT57" i="16"/>
  <c r="CT58" i="16"/>
  <c r="CT59" i="16"/>
  <c r="CT60" i="16"/>
  <c r="CT61" i="16"/>
  <c r="CT62" i="16"/>
  <c r="CT63" i="16"/>
  <c r="CT64" i="16"/>
  <c r="CT65" i="16"/>
  <c r="CT66" i="16"/>
  <c r="CT67" i="16"/>
  <c r="CT68" i="16"/>
  <c r="CT69" i="16"/>
  <c r="CT70" i="16"/>
  <c r="CT71" i="16"/>
  <c r="CT72" i="16"/>
  <c r="CT73" i="16"/>
  <c r="CT74" i="16"/>
  <c r="CT75" i="16"/>
  <c r="CT76" i="16"/>
  <c r="CT77" i="16"/>
  <c r="CT78" i="16"/>
  <c r="CT79" i="16"/>
  <c r="CT80" i="16"/>
  <c r="CT81" i="16"/>
  <c r="CT82" i="16"/>
  <c r="CT83" i="16"/>
  <c r="CT84" i="16"/>
  <c r="CT85" i="16"/>
  <c r="CT86" i="16"/>
  <c r="CT87" i="16"/>
  <c r="CT88" i="16"/>
  <c r="CT89" i="16"/>
  <c r="CT90" i="16"/>
  <c r="CT91" i="16"/>
  <c r="CT92" i="16"/>
  <c r="CT93" i="16"/>
  <c r="CT94" i="16"/>
  <c r="CT95" i="16"/>
  <c r="CT96" i="16"/>
  <c r="CT97" i="16"/>
  <c r="CT98" i="16"/>
  <c r="CT99" i="16"/>
  <c r="CT100" i="16"/>
  <c r="CT101" i="16"/>
  <c r="CT102" i="16"/>
  <c r="CT103" i="16"/>
  <c r="CT104" i="16"/>
  <c r="CT105" i="16"/>
  <c r="CT106" i="16"/>
  <c r="CT107" i="16"/>
  <c r="CT108" i="16"/>
  <c r="CT109" i="16"/>
  <c r="CT110" i="16"/>
  <c r="CT111" i="16"/>
  <c r="CT112" i="16"/>
  <c r="CT113" i="16"/>
  <c r="CT114" i="16"/>
  <c r="CT115" i="16"/>
  <c r="CT116" i="16"/>
  <c r="CT117" i="16"/>
  <c r="CT118" i="16"/>
  <c r="CT119" i="16"/>
  <c r="CT120" i="16"/>
  <c r="CT121" i="16"/>
  <c r="CT122" i="16"/>
  <c r="CT123" i="16"/>
  <c r="CT124" i="16"/>
  <c r="CT125" i="16"/>
  <c r="CT126" i="16"/>
  <c r="CT127" i="16"/>
  <c r="CT128" i="16"/>
  <c r="CT129" i="16"/>
  <c r="CT133" i="16"/>
  <c r="CT134" i="16"/>
  <c r="CT135" i="16"/>
  <c r="CT136" i="16"/>
  <c r="CT137" i="16"/>
  <c r="CT138" i="16"/>
  <c r="CT139" i="16"/>
  <c r="CT140" i="16"/>
  <c r="CT141" i="16"/>
  <c r="CT142" i="16"/>
  <c r="CT143" i="16"/>
  <c r="CT144" i="16"/>
  <c r="CT145" i="16"/>
  <c r="CT146" i="16"/>
  <c r="CT147" i="16"/>
  <c r="CT148" i="16"/>
  <c r="CT149" i="16"/>
  <c r="CT150" i="16"/>
  <c r="CT151" i="16"/>
  <c r="CT152" i="16"/>
  <c r="CT154" i="16"/>
  <c r="CT155" i="16"/>
  <c r="CT156" i="16"/>
  <c r="CT158" i="16"/>
  <c r="CT159" i="16"/>
  <c r="CT160" i="16"/>
  <c r="CT161" i="16"/>
  <c r="CT162" i="16"/>
  <c r="CT163" i="16"/>
  <c r="CT164" i="16"/>
  <c r="CT165" i="16"/>
  <c r="CT166" i="16"/>
  <c r="CT167" i="16"/>
  <c r="CT168" i="16"/>
  <c r="CT6" i="16"/>
  <c r="CS7" i="16"/>
  <c r="CS8" i="16"/>
  <c r="CS9" i="16"/>
  <c r="CS10" i="16"/>
  <c r="CS11" i="16"/>
  <c r="CS12" i="16"/>
  <c r="CS13" i="16"/>
  <c r="CS14" i="16"/>
  <c r="CS15" i="16"/>
  <c r="CS16" i="16"/>
  <c r="CS17" i="16"/>
  <c r="CS18" i="16"/>
  <c r="CS19" i="16"/>
  <c r="CS20" i="16"/>
  <c r="CS21" i="16"/>
  <c r="CS22" i="16"/>
  <c r="CS23" i="16"/>
  <c r="CS24" i="16"/>
  <c r="CS25" i="16"/>
  <c r="CS26" i="16"/>
  <c r="CS27" i="16"/>
  <c r="CS28" i="16"/>
  <c r="CS29" i="16"/>
  <c r="CS30" i="16"/>
  <c r="CS31" i="16"/>
  <c r="CS32" i="16"/>
  <c r="CS33" i="16"/>
  <c r="CS34" i="16"/>
  <c r="CS35" i="16"/>
  <c r="CS36" i="16"/>
  <c r="CS40" i="16"/>
  <c r="CS41" i="16"/>
  <c r="CS42" i="16"/>
  <c r="CS43" i="16"/>
  <c r="CS44" i="16"/>
  <c r="CS45" i="16"/>
  <c r="CS46" i="16"/>
  <c r="CS47" i="16"/>
  <c r="CS48" i="16"/>
  <c r="CS49" i="16"/>
  <c r="CS50" i="16"/>
  <c r="CS51" i="16"/>
  <c r="CS52" i="16"/>
  <c r="CS53" i="16"/>
  <c r="CS54" i="16"/>
  <c r="CS55" i="16"/>
  <c r="CS56" i="16"/>
  <c r="CS57" i="16"/>
  <c r="CS58" i="16"/>
  <c r="CS59" i="16"/>
  <c r="CS60" i="16"/>
  <c r="CS61" i="16"/>
  <c r="CS62" i="16"/>
  <c r="CS63" i="16"/>
  <c r="CS64" i="16"/>
  <c r="CS65" i="16"/>
  <c r="CS66" i="16"/>
  <c r="CS67" i="16"/>
  <c r="CS68" i="16"/>
  <c r="CS69" i="16"/>
  <c r="CS70" i="16"/>
  <c r="CS71" i="16"/>
  <c r="CS72" i="16"/>
  <c r="CS73" i="16"/>
  <c r="CS74" i="16"/>
  <c r="CS75" i="16"/>
  <c r="CS76" i="16"/>
  <c r="CS77" i="16"/>
  <c r="CS78" i="16"/>
  <c r="CS79" i="16"/>
  <c r="CS80" i="16"/>
  <c r="CS81" i="16"/>
  <c r="CS82" i="16"/>
  <c r="CS83" i="16"/>
  <c r="CS84" i="16"/>
  <c r="CS85" i="16"/>
  <c r="CS86" i="16"/>
  <c r="CS87" i="16"/>
  <c r="CS88" i="16"/>
  <c r="CS89" i="16"/>
  <c r="CS90" i="16"/>
  <c r="CS91" i="16"/>
  <c r="CS92" i="16"/>
  <c r="CS93" i="16"/>
  <c r="CS94" i="16"/>
  <c r="CS95" i="16"/>
  <c r="CS96" i="16"/>
  <c r="CS97" i="16"/>
  <c r="CS98" i="16"/>
  <c r="CS99" i="16"/>
  <c r="CS100" i="16"/>
  <c r="CS101" i="16"/>
  <c r="CS102" i="16"/>
  <c r="CS103" i="16"/>
  <c r="CS104" i="16"/>
  <c r="CS105" i="16"/>
  <c r="CS106" i="16"/>
  <c r="CS107" i="16"/>
  <c r="CS108" i="16"/>
  <c r="CS109" i="16"/>
  <c r="CS110" i="16"/>
  <c r="CS111" i="16"/>
  <c r="CS112" i="16"/>
  <c r="CS113" i="16"/>
  <c r="CS114" i="16"/>
  <c r="CS115" i="16"/>
  <c r="CS116" i="16"/>
  <c r="CS117" i="16"/>
  <c r="CS118" i="16"/>
  <c r="CS119" i="16"/>
  <c r="CS120" i="16"/>
  <c r="CS121" i="16"/>
  <c r="CS122" i="16"/>
  <c r="CS123" i="16"/>
  <c r="CS124" i="16"/>
  <c r="CS125" i="16"/>
  <c r="CS126" i="16"/>
  <c r="CS127" i="16"/>
  <c r="CS128" i="16"/>
  <c r="CS129" i="16"/>
  <c r="CS133" i="16"/>
  <c r="CS134" i="16"/>
  <c r="CS135" i="16"/>
  <c r="CS136" i="16"/>
  <c r="CS137" i="16"/>
  <c r="CS138" i="16"/>
  <c r="CS139" i="16"/>
  <c r="CS140" i="16"/>
  <c r="CS141" i="16"/>
  <c r="CS142" i="16"/>
  <c r="CS143" i="16"/>
  <c r="CS144" i="16"/>
  <c r="CS145" i="16"/>
  <c r="CS146" i="16"/>
  <c r="CS147" i="16"/>
  <c r="CS148" i="16"/>
  <c r="CS149" i="16"/>
  <c r="CS150" i="16"/>
  <c r="CS151" i="16"/>
  <c r="CS152" i="16"/>
  <c r="CS154" i="16"/>
  <c r="CS155" i="16"/>
  <c r="CS156" i="16"/>
  <c r="CS158" i="16"/>
  <c r="CS159" i="16"/>
  <c r="CS160" i="16"/>
  <c r="CS161" i="16"/>
  <c r="CS162" i="16"/>
  <c r="CS163" i="16"/>
  <c r="CS164" i="16"/>
  <c r="CS165" i="16"/>
  <c r="CS166" i="16"/>
  <c r="CS167" i="16"/>
  <c r="CS168" i="16"/>
  <c r="CS6" i="16"/>
  <c r="CR7" i="16"/>
  <c r="CR8" i="16"/>
  <c r="CR9" i="16"/>
  <c r="CR10" i="16"/>
  <c r="CR11" i="16"/>
  <c r="CR12" i="16"/>
  <c r="CR13" i="16"/>
  <c r="CR14" i="16"/>
  <c r="CR15" i="16"/>
  <c r="CR16" i="16"/>
  <c r="CR17" i="16"/>
  <c r="CR18" i="16"/>
  <c r="CR19" i="16"/>
  <c r="CR20" i="16"/>
  <c r="CR21" i="16"/>
  <c r="CR22" i="16"/>
  <c r="CR23" i="16"/>
  <c r="CR24" i="16"/>
  <c r="CR25" i="16"/>
  <c r="CR26" i="16"/>
  <c r="CR27" i="16"/>
  <c r="CR28" i="16"/>
  <c r="CR29" i="16"/>
  <c r="CR30" i="16"/>
  <c r="CR31" i="16"/>
  <c r="CR32" i="16"/>
  <c r="CR33" i="16"/>
  <c r="CR34" i="16"/>
  <c r="CR35" i="16"/>
  <c r="CR36" i="16"/>
  <c r="CR40" i="16"/>
  <c r="CR41" i="16"/>
  <c r="CR42" i="16"/>
  <c r="CR43" i="16"/>
  <c r="CR44" i="16"/>
  <c r="CR45" i="16"/>
  <c r="CR46" i="16"/>
  <c r="CR47" i="16"/>
  <c r="CR48" i="16"/>
  <c r="CR49" i="16"/>
  <c r="CR50" i="16"/>
  <c r="CR51" i="16"/>
  <c r="CR52" i="16"/>
  <c r="CR53" i="16"/>
  <c r="CR54" i="16"/>
  <c r="CR55" i="16"/>
  <c r="CR56" i="16"/>
  <c r="CR57" i="16"/>
  <c r="CR58" i="16"/>
  <c r="CR59" i="16"/>
  <c r="CR60" i="16"/>
  <c r="CR61" i="16"/>
  <c r="CR62" i="16"/>
  <c r="CR63" i="16"/>
  <c r="CR64" i="16"/>
  <c r="CR65" i="16"/>
  <c r="CR66" i="16"/>
  <c r="CR67" i="16"/>
  <c r="CR68" i="16"/>
  <c r="CR69" i="16"/>
  <c r="CR70" i="16"/>
  <c r="CR71" i="16"/>
  <c r="CR72" i="16"/>
  <c r="CR73" i="16"/>
  <c r="CR74" i="16"/>
  <c r="CR75" i="16"/>
  <c r="CR76" i="16"/>
  <c r="CR77" i="16"/>
  <c r="CR78" i="16"/>
  <c r="CR79" i="16"/>
  <c r="CR80" i="16"/>
  <c r="CR81" i="16"/>
  <c r="CR82" i="16"/>
  <c r="CR83" i="16"/>
  <c r="CR84" i="16"/>
  <c r="CR85" i="16"/>
  <c r="CR86" i="16"/>
  <c r="CR87" i="16"/>
  <c r="CR88" i="16"/>
  <c r="CR89" i="16"/>
  <c r="CR90" i="16"/>
  <c r="CR91" i="16"/>
  <c r="CR92" i="16"/>
  <c r="CR93" i="16"/>
  <c r="CR94" i="16"/>
  <c r="CR95" i="16"/>
  <c r="CR96" i="16"/>
  <c r="CR97" i="16"/>
  <c r="CR98" i="16"/>
  <c r="CR99" i="16"/>
  <c r="CR100" i="16"/>
  <c r="CR101" i="16"/>
  <c r="CR102" i="16"/>
  <c r="CR103" i="16"/>
  <c r="CR104" i="16"/>
  <c r="CR105" i="16"/>
  <c r="CR106" i="16"/>
  <c r="CR116" i="16"/>
  <c r="CR117" i="16"/>
  <c r="CR118" i="16"/>
  <c r="CR119" i="16"/>
  <c r="CR120" i="16"/>
  <c r="CR121" i="16"/>
  <c r="CR122" i="16"/>
  <c r="CR123" i="16"/>
  <c r="CR125" i="16"/>
  <c r="CR127" i="16"/>
  <c r="CR128" i="16"/>
  <c r="CR129" i="16"/>
  <c r="CR133" i="16"/>
  <c r="CR134" i="16"/>
  <c r="CR135" i="16"/>
  <c r="CR136" i="16"/>
  <c r="CR137" i="16"/>
  <c r="CR138" i="16"/>
  <c r="CR139" i="16"/>
  <c r="CR141" i="16"/>
  <c r="CR142" i="16"/>
  <c r="CR143" i="16"/>
  <c r="CR144" i="16"/>
  <c r="CR145" i="16"/>
  <c r="CR147" i="16"/>
  <c r="CR148" i="16"/>
  <c r="CR149" i="16"/>
  <c r="CR150" i="16"/>
  <c r="CR151" i="16"/>
  <c r="CR152" i="16"/>
  <c r="CR154" i="16"/>
  <c r="CR155" i="16"/>
  <c r="CR156" i="16"/>
  <c r="CR158" i="16"/>
  <c r="CR159" i="16"/>
  <c r="CR160" i="16"/>
  <c r="CR161" i="16"/>
  <c r="CR163" i="16"/>
  <c r="CR164" i="16"/>
  <c r="CR165" i="16"/>
  <c r="CR166" i="16"/>
  <c r="CR167" i="16"/>
  <c r="CR6" i="16"/>
  <c r="CQ7" i="16"/>
  <c r="CQ8" i="16"/>
  <c r="CQ9" i="16"/>
  <c r="CQ10" i="16"/>
  <c r="CQ11" i="16"/>
  <c r="CQ12" i="16"/>
  <c r="CQ13" i="16"/>
  <c r="CQ14" i="16"/>
  <c r="CQ15" i="16"/>
  <c r="CQ16" i="16"/>
  <c r="CQ17" i="16"/>
  <c r="CQ18" i="16"/>
  <c r="CQ19" i="16"/>
  <c r="CQ20" i="16"/>
  <c r="CQ21" i="16"/>
  <c r="CQ22" i="16"/>
  <c r="CQ23" i="16"/>
  <c r="CQ24" i="16"/>
  <c r="CQ25" i="16"/>
  <c r="CQ26" i="16"/>
  <c r="CQ27" i="16"/>
  <c r="CQ28" i="16"/>
  <c r="CQ29" i="16"/>
  <c r="CQ30" i="16"/>
  <c r="CQ31" i="16"/>
  <c r="CQ32" i="16"/>
  <c r="CQ33" i="16"/>
  <c r="CQ34" i="16"/>
  <c r="CQ35" i="16"/>
  <c r="CQ36" i="16"/>
  <c r="CQ40" i="16"/>
  <c r="CQ41" i="16"/>
  <c r="CQ42" i="16"/>
  <c r="CQ43" i="16"/>
  <c r="CQ44" i="16"/>
  <c r="CQ45" i="16"/>
  <c r="CQ46" i="16"/>
  <c r="CQ47" i="16"/>
  <c r="CQ48" i="16"/>
  <c r="CQ49" i="16"/>
  <c r="CQ50" i="16"/>
  <c r="CQ51" i="16"/>
  <c r="CQ52" i="16"/>
  <c r="CQ53" i="16"/>
  <c r="CQ54" i="16"/>
  <c r="CQ55" i="16"/>
  <c r="CQ56" i="16"/>
  <c r="CQ57" i="16"/>
  <c r="CQ58" i="16"/>
  <c r="CQ59" i="16"/>
  <c r="CQ60" i="16"/>
  <c r="CQ61" i="16"/>
  <c r="CQ62" i="16"/>
  <c r="CQ63" i="16"/>
  <c r="CQ64" i="16"/>
  <c r="CQ65" i="16"/>
  <c r="CQ66" i="16"/>
  <c r="CQ67" i="16"/>
  <c r="CQ68" i="16"/>
  <c r="CQ69" i="16"/>
  <c r="CQ70" i="16"/>
  <c r="CQ71" i="16"/>
  <c r="CQ72" i="16"/>
  <c r="CQ73" i="16"/>
  <c r="CQ74" i="16"/>
  <c r="CQ75" i="16"/>
  <c r="CQ76" i="16"/>
  <c r="CQ77" i="16"/>
  <c r="CQ78" i="16"/>
  <c r="CQ79" i="16"/>
  <c r="CQ80" i="16"/>
  <c r="CQ81" i="16"/>
  <c r="CQ82" i="16"/>
  <c r="CQ83" i="16"/>
  <c r="CQ84" i="16"/>
  <c r="CQ85" i="16"/>
  <c r="CQ86" i="16"/>
  <c r="CQ87" i="16"/>
  <c r="CQ88" i="16"/>
  <c r="CQ89" i="16"/>
  <c r="CQ90" i="16"/>
  <c r="CQ91" i="16"/>
  <c r="CQ92" i="16"/>
  <c r="CQ93" i="16"/>
  <c r="CQ94" i="16"/>
  <c r="CQ95" i="16"/>
  <c r="CQ96" i="16"/>
  <c r="CQ97" i="16"/>
  <c r="CQ98" i="16"/>
  <c r="CQ99" i="16"/>
  <c r="CQ100" i="16"/>
  <c r="CQ101" i="16"/>
  <c r="CQ102" i="16"/>
  <c r="CQ103" i="16"/>
  <c r="CQ104" i="16"/>
  <c r="CQ105" i="16"/>
  <c r="CQ106" i="16"/>
  <c r="CQ107" i="16"/>
  <c r="CQ108" i="16"/>
  <c r="CQ109" i="16"/>
  <c r="CQ110" i="16"/>
  <c r="CQ111" i="16"/>
  <c r="CQ112" i="16"/>
  <c r="CQ113" i="16"/>
  <c r="CQ114" i="16"/>
  <c r="CQ115" i="16"/>
  <c r="CQ116" i="16"/>
  <c r="CQ117" i="16"/>
  <c r="CQ118" i="16"/>
  <c r="CQ119" i="16"/>
  <c r="CQ120" i="16"/>
  <c r="CQ121" i="16"/>
  <c r="CQ122" i="16"/>
  <c r="CQ123" i="16"/>
  <c r="CQ124" i="16"/>
  <c r="CQ125" i="16"/>
  <c r="CQ126" i="16"/>
  <c r="CQ127" i="16"/>
  <c r="CQ128" i="16"/>
  <c r="CQ129" i="16"/>
  <c r="CQ133" i="16"/>
  <c r="CQ134" i="16"/>
  <c r="CQ135" i="16"/>
  <c r="CQ136" i="16"/>
  <c r="CQ137" i="16"/>
  <c r="CQ138" i="16"/>
  <c r="CQ139" i="16"/>
  <c r="CQ140" i="16"/>
  <c r="CQ141" i="16"/>
  <c r="CQ142" i="16"/>
  <c r="CQ143" i="16"/>
  <c r="CQ144" i="16"/>
  <c r="CQ145" i="16"/>
  <c r="CQ146" i="16"/>
  <c r="CQ147" i="16"/>
  <c r="CQ148" i="16"/>
  <c r="CQ149" i="16"/>
  <c r="CQ150" i="16"/>
  <c r="CQ151" i="16"/>
  <c r="CQ152" i="16"/>
  <c r="CQ154" i="16"/>
  <c r="CQ155" i="16"/>
  <c r="CQ156" i="16"/>
  <c r="CQ158" i="16"/>
  <c r="CQ159" i="16"/>
  <c r="CQ160" i="16"/>
  <c r="CQ161" i="16"/>
  <c r="CQ162" i="16"/>
  <c r="CQ163" i="16"/>
  <c r="CQ164" i="16"/>
  <c r="CQ165" i="16"/>
  <c r="CQ166" i="16"/>
  <c r="CQ167" i="16"/>
  <c r="CQ168" i="16"/>
  <c r="CQ6" i="16"/>
  <c r="CP133" i="16"/>
  <c r="CP134" i="16"/>
  <c r="CP135" i="16"/>
  <c r="CP136" i="16"/>
  <c r="CP137" i="16"/>
  <c r="CP138" i="16"/>
  <c r="CP139" i="16"/>
  <c r="CP140" i="16"/>
  <c r="CP141" i="16"/>
  <c r="CP142" i="16"/>
  <c r="CP143" i="16"/>
  <c r="CP144" i="16"/>
  <c r="CP145" i="16"/>
  <c r="CP146" i="16"/>
  <c r="CP147" i="16"/>
  <c r="CP148" i="16"/>
  <c r="CP149" i="16"/>
  <c r="CP150" i="16"/>
  <c r="CP151" i="16"/>
  <c r="CP152" i="16"/>
  <c r="CP154" i="16"/>
  <c r="CP155" i="16"/>
  <c r="CP156" i="16"/>
  <c r="CP158" i="16"/>
  <c r="CP159" i="16"/>
  <c r="CP160" i="16"/>
  <c r="CP161" i="16"/>
  <c r="CP162" i="16"/>
  <c r="CP163" i="16"/>
  <c r="CP164" i="16"/>
  <c r="CP165" i="16"/>
  <c r="CP166" i="16"/>
  <c r="CP167" i="16"/>
  <c r="CP168" i="16"/>
  <c r="CP7" i="16"/>
  <c r="CP8" i="16"/>
  <c r="CP9" i="16"/>
  <c r="CP10" i="16"/>
  <c r="CP11" i="16"/>
  <c r="CP12" i="16"/>
  <c r="CP13" i="16"/>
  <c r="CP14" i="16"/>
  <c r="CP15" i="16"/>
  <c r="CP16" i="16"/>
  <c r="CP17" i="16"/>
  <c r="CP18" i="16"/>
  <c r="CP19" i="16"/>
  <c r="CP20" i="16"/>
  <c r="CP21" i="16"/>
  <c r="CP22" i="16"/>
  <c r="CP23" i="16"/>
  <c r="CP24" i="16"/>
  <c r="CP25" i="16"/>
  <c r="CP26" i="16"/>
  <c r="CP27" i="16"/>
  <c r="CP28" i="16"/>
  <c r="CP29" i="16"/>
  <c r="CP30" i="16"/>
  <c r="CP31" i="16"/>
  <c r="CP32" i="16"/>
  <c r="CP33" i="16"/>
  <c r="CP34" i="16"/>
  <c r="CP35" i="16"/>
  <c r="CP36" i="16"/>
  <c r="CP40" i="16"/>
  <c r="CP41" i="16"/>
  <c r="CP42" i="16"/>
  <c r="CP43" i="16"/>
  <c r="CP44" i="16"/>
  <c r="CP45" i="16"/>
  <c r="CP46" i="16"/>
  <c r="CP47" i="16"/>
  <c r="CP48" i="16"/>
  <c r="CP49" i="16"/>
  <c r="CP50" i="16"/>
  <c r="CP51" i="16"/>
  <c r="CP52" i="16"/>
  <c r="CP53" i="16"/>
  <c r="CP54" i="16"/>
  <c r="CP55" i="16"/>
  <c r="CP56" i="16"/>
  <c r="CP57" i="16"/>
  <c r="CP58" i="16"/>
  <c r="CP59" i="16"/>
  <c r="CP60" i="16"/>
  <c r="CP61" i="16"/>
  <c r="CP62" i="16"/>
  <c r="CP63" i="16"/>
  <c r="CP64" i="16"/>
  <c r="CP65" i="16"/>
  <c r="CP66" i="16"/>
  <c r="CP67" i="16"/>
  <c r="CP68" i="16"/>
  <c r="CP69" i="16"/>
  <c r="CP70" i="16"/>
  <c r="CP71" i="16"/>
  <c r="CP72" i="16"/>
  <c r="CP73" i="16"/>
  <c r="CP74" i="16"/>
  <c r="CP75" i="16"/>
  <c r="CP76" i="16"/>
  <c r="CP77" i="16"/>
  <c r="CP78" i="16"/>
  <c r="CP79" i="16"/>
  <c r="CP80" i="16"/>
  <c r="CP81" i="16"/>
  <c r="CP82" i="16"/>
  <c r="CP83" i="16"/>
  <c r="CP84" i="16"/>
  <c r="CP85" i="16"/>
  <c r="CP86" i="16"/>
  <c r="CP87" i="16"/>
  <c r="CP88" i="16"/>
  <c r="CP89" i="16"/>
  <c r="CP90" i="16"/>
  <c r="CP91" i="16"/>
  <c r="CP92" i="16"/>
  <c r="CP93" i="16"/>
  <c r="CP94" i="16"/>
  <c r="CP95" i="16"/>
  <c r="CP96" i="16"/>
  <c r="CP97" i="16"/>
  <c r="CP98" i="16"/>
  <c r="CP99" i="16"/>
  <c r="CP100" i="16"/>
  <c r="CP101" i="16"/>
  <c r="CP102" i="16"/>
  <c r="CP103" i="16"/>
  <c r="CP104" i="16"/>
  <c r="CP105" i="16"/>
  <c r="CP106" i="16"/>
  <c r="CP107" i="16"/>
  <c r="CP108" i="16"/>
  <c r="CP109" i="16"/>
  <c r="CP110" i="16"/>
  <c r="CP111" i="16"/>
  <c r="CP112" i="16"/>
  <c r="CP113" i="16"/>
  <c r="CP114" i="16"/>
  <c r="CP115" i="16"/>
  <c r="CP116" i="16"/>
  <c r="CP117" i="16"/>
  <c r="CP118" i="16"/>
  <c r="CP119" i="16"/>
  <c r="CP120" i="16"/>
  <c r="CP121" i="16"/>
  <c r="CP122" i="16"/>
  <c r="CP123" i="16"/>
  <c r="CP124" i="16"/>
  <c r="CP125" i="16"/>
  <c r="CP126" i="16"/>
  <c r="CP127" i="16"/>
  <c r="CP128" i="16"/>
  <c r="CP129" i="16"/>
  <c r="CP6" i="16"/>
  <c r="AQ298" i="17" l="1"/>
  <c r="AR298" i="17" s="1"/>
  <c r="BE298" i="17"/>
  <c r="BF298" i="17" s="1"/>
  <c r="AU298" i="17"/>
  <c r="AV298" i="17" s="1"/>
  <c r="BG298" i="17"/>
  <c r="BH298" i="17" s="1"/>
  <c r="AO298" i="17"/>
  <c r="AP298" i="17" s="1"/>
  <c r="AW298" i="17"/>
  <c r="AX298" i="17" s="1"/>
  <c r="AO120" i="17"/>
  <c r="AP120" i="17" s="1"/>
  <c r="BU120" i="17"/>
  <c r="BV120" i="17" s="1"/>
  <c r="BE120" i="17"/>
  <c r="BF120" i="17" s="1"/>
  <c r="AV263" i="17"/>
  <c r="AM298" i="17"/>
  <c r="AN298" i="17" s="1"/>
  <c r="AR263" i="17"/>
  <c r="BC298" i="17"/>
  <c r="BD298" i="17" s="1"/>
  <c r="BH263" i="17"/>
  <c r="AY298" i="17"/>
  <c r="AZ298" i="17" s="1"/>
  <c r="AS298" i="17"/>
  <c r="AT298" i="17" s="1"/>
  <c r="BA298" i="17"/>
  <c r="BB298" i="17" s="1"/>
  <c r="BI298" i="17"/>
  <c r="BJ298" i="17" s="1"/>
  <c r="AP263" i="17"/>
  <c r="AT263" i="17"/>
  <c r="AX263" i="17"/>
  <c r="BB263" i="17"/>
  <c r="BF263" i="17"/>
  <c r="BJ263" i="17"/>
  <c r="AM248" i="17"/>
  <c r="AN248" i="17" s="1"/>
  <c r="AQ248" i="17"/>
  <c r="AR248" i="17" s="1"/>
  <c r="AU248" i="17"/>
  <c r="AV248" i="17" s="1"/>
  <c r="AY248" i="17"/>
  <c r="AZ248" i="17" s="1"/>
  <c r="BC248" i="17"/>
  <c r="BD248" i="17" s="1"/>
  <c r="BG248" i="17"/>
  <c r="BH248" i="17" s="1"/>
  <c r="BK248" i="17"/>
  <c r="BL248" i="17" s="1"/>
  <c r="BO248" i="17"/>
  <c r="BP248" i="17" s="1"/>
  <c r="BS248" i="17"/>
  <c r="BT248" i="17" s="1"/>
  <c r="AO248" i="17"/>
  <c r="AP248" i="17" s="1"/>
  <c r="AS248" i="17"/>
  <c r="AT248" i="17" s="1"/>
  <c r="AW248" i="17"/>
  <c r="AX248" i="17" s="1"/>
  <c r="BA248" i="17"/>
  <c r="BB248" i="17" s="1"/>
  <c r="BE248" i="17"/>
  <c r="BF248" i="17" s="1"/>
  <c r="BI248" i="17"/>
  <c r="BJ248" i="17" s="1"/>
  <c r="BM248" i="17"/>
  <c r="BN248" i="17" s="1"/>
  <c r="BQ248" i="17"/>
  <c r="BR248" i="17" s="1"/>
  <c r="BU248" i="17"/>
  <c r="BV248" i="17" s="1"/>
  <c r="AP8" i="17"/>
  <c r="BA120" i="17"/>
  <c r="BB120" i="17" s="1"/>
  <c r="BF8" i="17"/>
  <c r="BQ120" i="17"/>
  <c r="BR120" i="17" s="1"/>
  <c r="BV8" i="17"/>
  <c r="AW120" i="17"/>
  <c r="AX120" i="17" s="1"/>
  <c r="BM120" i="17"/>
  <c r="BN120" i="17" s="1"/>
  <c r="AS120" i="17"/>
  <c r="AT120" i="17" s="1"/>
  <c r="AX8" i="17"/>
  <c r="BI120" i="17"/>
  <c r="BJ120" i="17" s="1"/>
  <c r="BN8" i="17"/>
  <c r="AM120" i="17"/>
  <c r="AN120" i="17" s="1"/>
  <c r="AQ120" i="17"/>
  <c r="AR120" i="17" s="1"/>
  <c r="AU120" i="17"/>
  <c r="AV120" i="17" s="1"/>
  <c r="AY120" i="17"/>
  <c r="AZ120" i="17" s="1"/>
  <c r="BC120" i="17"/>
  <c r="BD120" i="17" s="1"/>
  <c r="BG120" i="17"/>
  <c r="BH120" i="17" s="1"/>
  <c r="BK120" i="17"/>
  <c r="BL120" i="17" s="1"/>
  <c r="BO120" i="17"/>
  <c r="BP120" i="17" s="1"/>
  <c r="BS120" i="17"/>
  <c r="BT120" i="17" s="1"/>
  <c r="AN8" i="17"/>
  <c r="AR8" i="17"/>
  <c r="AV8" i="17"/>
  <c r="AZ8" i="17"/>
  <c r="BD8" i="17"/>
  <c r="BH8" i="17"/>
  <c r="BL8" i="17"/>
  <c r="BP8" i="17"/>
  <c r="BT8" i="17"/>
  <c r="BY58" i="8"/>
  <c r="BZ58" i="8"/>
  <c r="CA58" i="8"/>
  <c r="CB58" i="8"/>
  <c r="CC58" i="8"/>
  <c r="CD58" i="8"/>
  <c r="CE58" i="8"/>
  <c r="CF58" i="8"/>
  <c r="CG58" i="8"/>
  <c r="CH58" i="8"/>
  <c r="CI58" i="8"/>
  <c r="CJ58" i="8"/>
  <c r="CK58" i="8"/>
  <c r="CL58" i="8"/>
  <c r="CM58" i="8"/>
  <c r="CN58" i="8"/>
  <c r="CO58" i="8"/>
  <c r="CP58" i="8"/>
  <c r="CQ58" i="8"/>
  <c r="CR58" i="8"/>
  <c r="CS58" i="8"/>
  <c r="CT58" i="8"/>
  <c r="CU58" i="8"/>
  <c r="CV58" i="8"/>
  <c r="CW58" i="8"/>
  <c r="CX58" i="8"/>
  <c r="CY58" i="8"/>
  <c r="CZ58" i="8"/>
  <c r="DA58" i="8"/>
  <c r="DB58" i="8"/>
  <c r="DC58" i="8"/>
  <c r="DD58" i="8"/>
  <c r="DE58" i="8"/>
  <c r="DF58" i="8"/>
  <c r="DG58" i="8"/>
  <c r="DH58" i="8"/>
  <c r="DI58" i="8"/>
  <c r="DJ58" i="8"/>
  <c r="DK58" i="8"/>
  <c r="DL58" i="8"/>
  <c r="DM58" i="8"/>
  <c r="DN58" i="8"/>
  <c r="DO58" i="8"/>
  <c r="DP58" i="8"/>
  <c r="DQ58" i="8"/>
  <c r="DR58" i="8"/>
  <c r="DS58" i="8"/>
  <c r="DT58" i="8"/>
  <c r="DU58" i="8"/>
  <c r="DV58" i="8"/>
  <c r="DW58" i="8"/>
  <c r="DX58" i="8"/>
  <c r="DY58" i="8"/>
  <c r="DZ58" i="8"/>
  <c r="EA58" i="8"/>
  <c r="EB58" i="8"/>
  <c r="BX58" i="8"/>
  <c r="BY56" i="8"/>
  <c r="BY57" i="8" s="1"/>
  <c r="BZ56" i="8"/>
  <c r="BZ57" i="8" s="1"/>
  <c r="CA56" i="8"/>
  <c r="CA57" i="8" s="1"/>
  <c r="CB56" i="8"/>
  <c r="CB57" i="8" s="1"/>
  <c r="CC56" i="8"/>
  <c r="CC57" i="8" s="1"/>
  <c r="CD56" i="8"/>
  <c r="CD57" i="8" s="1"/>
  <c r="CE56" i="8"/>
  <c r="CF56" i="8"/>
  <c r="CF57" i="8" s="1"/>
  <c r="CG56" i="8"/>
  <c r="CG57" i="8" s="1"/>
  <c r="CH56" i="8"/>
  <c r="CH57" i="8" s="1"/>
  <c r="CI56" i="8"/>
  <c r="CI57" i="8" s="1"/>
  <c r="CJ56" i="8"/>
  <c r="CJ57" i="8" s="1"/>
  <c r="CK56" i="8"/>
  <c r="CK57" i="8" s="1"/>
  <c r="CL56" i="8"/>
  <c r="CL57" i="8" s="1"/>
  <c r="CM56" i="8"/>
  <c r="CM57" i="8" s="1"/>
  <c r="CN56" i="8"/>
  <c r="CN57" i="8" s="1"/>
  <c r="CO56" i="8"/>
  <c r="CO57" i="8" s="1"/>
  <c r="CP56" i="8"/>
  <c r="CP57" i="8" s="1"/>
  <c r="CQ56" i="8"/>
  <c r="CQ57" i="8" s="1"/>
  <c r="CR56" i="8"/>
  <c r="CR57" i="8" s="1"/>
  <c r="CS56" i="8"/>
  <c r="CS57" i="8" s="1"/>
  <c r="CT56" i="8"/>
  <c r="CT57" i="8" s="1"/>
  <c r="CU56" i="8"/>
  <c r="CU57" i="8" s="1"/>
  <c r="CV56" i="8"/>
  <c r="CV57" i="8" s="1"/>
  <c r="CW56" i="8"/>
  <c r="CW57" i="8" s="1"/>
  <c r="CX56" i="8"/>
  <c r="CX57" i="8" s="1"/>
  <c r="CY56" i="8"/>
  <c r="CY57" i="8" s="1"/>
  <c r="CZ56" i="8"/>
  <c r="CZ57" i="8" s="1"/>
  <c r="DA56" i="8"/>
  <c r="DA57" i="8" s="1"/>
  <c r="DB56" i="8"/>
  <c r="DB57" i="8" s="1"/>
  <c r="DC56" i="8"/>
  <c r="DC57" i="8" s="1"/>
  <c r="DD56" i="8"/>
  <c r="DD57" i="8" s="1"/>
  <c r="DE56" i="8"/>
  <c r="DE57" i="8" s="1"/>
  <c r="DF56" i="8"/>
  <c r="DF57" i="8" s="1"/>
  <c r="DG56" i="8"/>
  <c r="DG57" i="8" s="1"/>
  <c r="DH56" i="8"/>
  <c r="DH57" i="8" s="1"/>
  <c r="DI56" i="8"/>
  <c r="DI57" i="8" s="1"/>
  <c r="DJ56" i="8"/>
  <c r="DJ57" i="8" s="1"/>
  <c r="DK56" i="8"/>
  <c r="DK57" i="8" s="1"/>
  <c r="DL56" i="8"/>
  <c r="DL57" i="8" s="1"/>
  <c r="DM56" i="8"/>
  <c r="DM57" i="8" s="1"/>
  <c r="DN56" i="8"/>
  <c r="DN57" i="8" s="1"/>
  <c r="DO56" i="8"/>
  <c r="DO57" i="8" s="1"/>
  <c r="DP56" i="8"/>
  <c r="DP57" i="8" s="1"/>
  <c r="DQ56" i="8"/>
  <c r="DQ57" i="8" s="1"/>
  <c r="DR56" i="8"/>
  <c r="DR57" i="8" s="1"/>
  <c r="DS56" i="8"/>
  <c r="DS57" i="8" s="1"/>
  <c r="DT56" i="8"/>
  <c r="DT57" i="8" s="1"/>
  <c r="DU56" i="8"/>
  <c r="DU57" i="8" s="1"/>
  <c r="DV56" i="8"/>
  <c r="DW56" i="8"/>
  <c r="DW57" i="8" s="1"/>
  <c r="DX56" i="8"/>
  <c r="DX57" i="8" s="1"/>
  <c r="DY56" i="8"/>
  <c r="DY57" i="8" s="1"/>
  <c r="DZ56" i="8"/>
  <c r="DZ57" i="8" s="1"/>
  <c r="EA56" i="8"/>
  <c r="EA57" i="8" s="1"/>
  <c r="EB56" i="8"/>
  <c r="EB57" i="8" s="1"/>
  <c r="BX56" i="8"/>
  <c r="BX57" i="8" s="1"/>
  <c r="CF59" i="8" l="1"/>
  <c r="CB59" i="8"/>
  <c r="EB59" i="8"/>
  <c r="DX59" i="8"/>
  <c r="DT59" i="8"/>
  <c r="DP59" i="8"/>
  <c r="DL59" i="8"/>
  <c r="DH59" i="8"/>
  <c r="DD59" i="8"/>
  <c r="CZ59" i="8"/>
  <c r="CV59" i="8"/>
  <c r="CR59" i="8"/>
  <c r="CN59" i="8"/>
  <c r="CJ59" i="8"/>
  <c r="EA59" i="8"/>
  <c r="DW59" i="8"/>
  <c r="DS59" i="8"/>
  <c r="DO59" i="8"/>
  <c r="DK59" i="8"/>
  <c r="DG59" i="8"/>
  <c r="DC59" i="8"/>
  <c r="CY59" i="8"/>
  <c r="CU59" i="8"/>
  <c r="CQ59" i="8"/>
  <c r="CM59" i="8"/>
  <c r="CI59" i="8"/>
  <c r="CE59" i="8"/>
  <c r="CA59" i="8"/>
  <c r="DZ59" i="8"/>
  <c r="DV59" i="8"/>
  <c r="DR59" i="8"/>
  <c r="DN59" i="8"/>
  <c r="DJ59" i="8"/>
  <c r="DF59" i="8"/>
  <c r="DB59" i="8"/>
  <c r="CX59" i="8"/>
  <c r="CT59" i="8"/>
  <c r="CP59" i="8"/>
  <c r="CL59" i="8"/>
  <c r="CH59" i="8"/>
  <c r="CD59" i="8"/>
  <c r="BZ59" i="8"/>
  <c r="DY59" i="8"/>
  <c r="DU59" i="8"/>
  <c r="DQ59" i="8"/>
  <c r="DM59" i="8"/>
  <c r="DI59" i="8"/>
  <c r="DE59" i="8"/>
  <c r="DA59" i="8"/>
  <c r="CW59" i="8"/>
  <c r="CS59" i="8"/>
  <c r="CO59" i="8"/>
  <c r="CK59" i="8"/>
  <c r="CG59" i="8"/>
  <c r="CC59" i="8"/>
  <c r="BY59" i="8"/>
  <c r="BM175" i="2"/>
  <c r="BL175" i="2"/>
  <c r="BK175" i="2"/>
  <c r="BJ175" i="2"/>
  <c r="BI175" i="2"/>
  <c r="BH175" i="2"/>
  <c r="BG175" i="2"/>
  <c r="BF175" i="2"/>
  <c r="BE175" i="2"/>
  <c r="BD175" i="2"/>
  <c r="BC175" i="2"/>
  <c r="BB175" i="2"/>
  <c r="BA175" i="2"/>
  <c r="AZ175" i="2"/>
  <c r="AY175" i="2"/>
  <c r="AX175" i="2"/>
  <c r="AW175" i="2"/>
  <c r="AV175" i="2"/>
  <c r="AU175" i="2"/>
  <c r="AT175" i="2"/>
  <c r="AS175" i="2"/>
  <c r="AR175" i="2"/>
  <c r="AQ175" i="2"/>
  <c r="AP175" i="2"/>
  <c r="AO175" i="2"/>
  <c r="AN175" i="2"/>
  <c r="AM175" i="2"/>
  <c r="AL175" i="2"/>
  <c r="AK175" i="2"/>
  <c r="AJ175" i="2"/>
  <c r="AI175" i="2"/>
  <c r="AH175" i="2"/>
  <c r="AG175" i="2"/>
  <c r="AF175" i="2"/>
  <c r="AE175" i="2"/>
  <c r="AD175" i="2"/>
  <c r="AC175" i="2"/>
  <c r="AB175" i="2"/>
  <c r="AA175" i="2"/>
  <c r="Z175" i="2"/>
  <c r="Y175" i="2"/>
  <c r="X175" i="2"/>
  <c r="W175" i="2"/>
  <c r="V175" i="2"/>
  <c r="U175" i="2"/>
  <c r="T175" i="2"/>
  <c r="S175" i="2"/>
  <c r="R175" i="2"/>
  <c r="Q175" i="2"/>
  <c r="BM173" i="2"/>
  <c r="BM174" i="2" s="1"/>
  <c r="BL173" i="2"/>
  <c r="BL174" i="2" s="1"/>
  <c r="BK173" i="2"/>
  <c r="BK174" i="2" s="1"/>
  <c r="BJ173" i="2"/>
  <c r="BJ174" i="2" s="1"/>
  <c r="BI173" i="2"/>
  <c r="BI174" i="2" s="1"/>
  <c r="BH173" i="2"/>
  <c r="BH174" i="2" s="1"/>
  <c r="BG173" i="2"/>
  <c r="BG174" i="2" s="1"/>
  <c r="BF173" i="2"/>
  <c r="BF174" i="2" s="1"/>
  <c r="BE173" i="2"/>
  <c r="BE174" i="2" s="1"/>
  <c r="BD173" i="2"/>
  <c r="BD174" i="2" s="1"/>
  <c r="BC173" i="2"/>
  <c r="BC174" i="2" s="1"/>
  <c r="BB173" i="2"/>
  <c r="BB174" i="2" s="1"/>
  <c r="BA173" i="2"/>
  <c r="BA174" i="2" s="1"/>
  <c r="AZ173" i="2"/>
  <c r="AZ174" i="2" s="1"/>
  <c r="AY173" i="2"/>
  <c r="AY174" i="2" s="1"/>
  <c r="AX173" i="2"/>
  <c r="AX174" i="2" s="1"/>
  <c r="AW173" i="2"/>
  <c r="AW174" i="2" s="1"/>
  <c r="AV173" i="2"/>
  <c r="AV174" i="2" s="1"/>
  <c r="AU173" i="2"/>
  <c r="AU174" i="2" s="1"/>
  <c r="AT173" i="2"/>
  <c r="AT174" i="2" s="1"/>
  <c r="AS173" i="2"/>
  <c r="AS174" i="2" s="1"/>
  <c r="AR173" i="2"/>
  <c r="AR174" i="2" s="1"/>
  <c r="AQ173" i="2"/>
  <c r="AQ174" i="2" s="1"/>
  <c r="AP173" i="2"/>
  <c r="AP174" i="2" s="1"/>
  <c r="AO173" i="2"/>
  <c r="AO174" i="2" s="1"/>
  <c r="AN173" i="2"/>
  <c r="AN174" i="2" s="1"/>
  <c r="AM173" i="2"/>
  <c r="AM174" i="2" s="1"/>
  <c r="AL173" i="2"/>
  <c r="AL174" i="2" s="1"/>
  <c r="AK173" i="2"/>
  <c r="AK174" i="2" s="1"/>
  <c r="AJ173" i="2"/>
  <c r="AJ174" i="2" s="1"/>
  <c r="AI173" i="2"/>
  <c r="AI174" i="2" s="1"/>
  <c r="AH173" i="2"/>
  <c r="AH174" i="2" s="1"/>
  <c r="AG173" i="2"/>
  <c r="AG174" i="2" s="1"/>
  <c r="AF173" i="2"/>
  <c r="AF174" i="2" s="1"/>
  <c r="AE173" i="2"/>
  <c r="AE174" i="2" s="1"/>
  <c r="AD173" i="2"/>
  <c r="AD174" i="2" s="1"/>
  <c r="AC173" i="2"/>
  <c r="AC174" i="2" s="1"/>
  <c r="AB173" i="2"/>
  <c r="AB174" i="2" s="1"/>
  <c r="AA173" i="2"/>
  <c r="AA174" i="2" s="1"/>
  <c r="Z173" i="2"/>
  <c r="Z174" i="2" s="1"/>
  <c r="Y173" i="2"/>
  <c r="Y174" i="2" s="1"/>
  <c r="X173" i="2"/>
  <c r="X174" i="2" s="1"/>
  <c r="W173" i="2"/>
  <c r="W174" i="2" s="1"/>
  <c r="V173" i="2"/>
  <c r="V174" i="2" s="1"/>
  <c r="U173" i="2"/>
  <c r="U174" i="2" s="1"/>
  <c r="T173" i="2"/>
  <c r="T174" i="2" s="1"/>
  <c r="S173" i="2"/>
  <c r="S174" i="2" s="1"/>
  <c r="R173" i="2"/>
  <c r="R174" i="2" s="1"/>
  <c r="Q173" i="2"/>
  <c r="Q174" i="2" s="1"/>
  <c r="BS166" i="2"/>
  <c r="BR166" i="2"/>
  <c r="BQ166" i="2"/>
  <c r="BP166" i="2"/>
  <c r="BO166" i="2"/>
  <c r="BN166" i="2"/>
  <c r="BM166" i="2"/>
  <c r="BL166" i="2"/>
  <c r="BK166" i="2"/>
  <c r="BJ166" i="2"/>
  <c r="BI166" i="2"/>
  <c r="BH166" i="2"/>
  <c r="BG166" i="2"/>
  <c r="BF166" i="2"/>
  <c r="BE166" i="2"/>
  <c r="BD166" i="2"/>
  <c r="BC166" i="2"/>
  <c r="BB166" i="2"/>
  <c r="BA166" i="2"/>
  <c r="AZ166" i="2"/>
  <c r="AY166" i="2"/>
  <c r="AX166" i="2"/>
  <c r="AW166" i="2"/>
  <c r="AV166" i="2"/>
  <c r="AU166" i="2"/>
  <c r="AT166" i="2"/>
  <c r="AS166" i="2"/>
  <c r="AR166" i="2"/>
  <c r="AQ166" i="2"/>
  <c r="AP166" i="2"/>
  <c r="AO166" i="2"/>
  <c r="AN166" i="2"/>
  <c r="AM166" i="2"/>
  <c r="AL166" i="2"/>
  <c r="AK166" i="2"/>
  <c r="AJ166" i="2"/>
  <c r="AI166" i="2"/>
  <c r="AH166" i="2"/>
  <c r="AG166" i="2"/>
  <c r="AF166" i="2"/>
  <c r="AE166" i="2"/>
  <c r="AD166" i="2"/>
  <c r="AC166" i="2"/>
  <c r="AB166" i="2"/>
  <c r="AA166" i="2"/>
  <c r="Z166" i="2"/>
  <c r="Y166" i="2"/>
  <c r="X166" i="2"/>
  <c r="W166" i="2"/>
  <c r="V166" i="2"/>
  <c r="U166" i="2"/>
  <c r="T166" i="2"/>
  <c r="S166" i="2"/>
  <c r="R166" i="2"/>
  <c r="Q166" i="2"/>
  <c r="BS164" i="2"/>
  <c r="BS165" i="2" s="1"/>
  <c r="BR164" i="2"/>
  <c r="BR165" i="2" s="1"/>
  <c r="BQ164" i="2"/>
  <c r="BQ165" i="2" s="1"/>
  <c r="BP164" i="2"/>
  <c r="BO164" i="2"/>
  <c r="BO165" i="2" s="1"/>
  <c r="BN164" i="2"/>
  <c r="BN165" i="2" s="1"/>
  <c r="BM164" i="2"/>
  <c r="BM165" i="2" s="1"/>
  <c r="BL164" i="2"/>
  <c r="BL165" i="2" s="1"/>
  <c r="BK164" i="2"/>
  <c r="BK165" i="2" s="1"/>
  <c r="BJ164" i="2"/>
  <c r="BJ165" i="2" s="1"/>
  <c r="BI164" i="2"/>
  <c r="BI165" i="2" s="1"/>
  <c r="BH164" i="2"/>
  <c r="BH165" i="2" s="1"/>
  <c r="BG164" i="2"/>
  <c r="BG165" i="2" s="1"/>
  <c r="BF164" i="2"/>
  <c r="BF165" i="2" s="1"/>
  <c r="BE164" i="2"/>
  <c r="BE165" i="2" s="1"/>
  <c r="BD164" i="2"/>
  <c r="BD165" i="2" s="1"/>
  <c r="BC164" i="2"/>
  <c r="BC165" i="2" s="1"/>
  <c r="BB164" i="2"/>
  <c r="BB165" i="2" s="1"/>
  <c r="BA164" i="2"/>
  <c r="BA165" i="2" s="1"/>
  <c r="AZ164" i="2"/>
  <c r="AZ165" i="2" s="1"/>
  <c r="AY164" i="2"/>
  <c r="AY165" i="2" s="1"/>
  <c r="AX164" i="2"/>
  <c r="AX165" i="2" s="1"/>
  <c r="AW164" i="2"/>
  <c r="AW165" i="2" s="1"/>
  <c r="AV164" i="2"/>
  <c r="AV165" i="2" s="1"/>
  <c r="AU164" i="2"/>
  <c r="AU165" i="2" s="1"/>
  <c r="AT164" i="2"/>
  <c r="AT165" i="2" s="1"/>
  <c r="AS164" i="2"/>
  <c r="AS165" i="2" s="1"/>
  <c r="AR164" i="2"/>
  <c r="AR165" i="2" s="1"/>
  <c r="AQ164" i="2"/>
  <c r="AQ165" i="2" s="1"/>
  <c r="AP164" i="2"/>
  <c r="AP165" i="2" s="1"/>
  <c r="AO164" i="2"/>
  <c r="AO165" i="2" s="1"/>
  <c r="AN164" i="2"/>
  <c r="AN165" i="2" s="1"/>
  <c r="AM164" i="2"/>
  <c r="AM165" i="2" s="1"/>
  <c r="AL164" i="2"/>
  <c r="AL165" i="2" s="1"/>
  <c r="AK164" i="2"/>
  <c r="AK165" i="2" s="1"/>
  <c r="AJ164" i="2"/>
  <c r="AJ165" i="2" s="1"/>
  <c r="AI164" i="2"/>
  <c r="AI165" i="2" s="1"/>
  <c r="AH164" i="2"/>
  <c r="AH165" i="2" s="1"/>
  <c r="AG164" i="2"/>
  <c r="AG165" i="2" s="1"/>
  <c r="AF164" i="2"/>
  <c r="AF165" i="2" s="1"/>
  <c r="AE164" i="2"/>
  <c r="AE165" i="2" s="1"/>
  <c r="AD164" i="2"/>
  <c r="AD165" i="2" s="1"/>
  <c r="AC164" i="2"/>
  <c r="AC165" i="2" s="1"/>
  <c r="AB164" i="2"/>
  <c r="AB165" i="2" s="1"/>
  <c r="AA164" i="2"/>
  <c r="AA165" i="2" s="1"/>
  <c r="Z164" i="2"/>
  <c r="Z165" i="2" s="1"/>
  <c r="Y164" i="2"/>
  <c r="Y165" i="2" s="1"/>
  <c r="X164" i="2"/>
  <c r="X165" i="2" s="1"/>
  <c r="W164" i="2"/>
  <c r="W165" i="2" s="1"/>
  <c r="V164" i="2"/>
  <c r="V165" i="2" s="1"/>
  <c r="U164" i="2"/>
  <c r="U165" i="2" s="1"/>
  <c r="T164" i="2"/>
  <c r="T165" i="2" s="1"/>
  <c r="S164" i="2"/>
  <c r="S165" i="2" s="1"/>
  <c r="R164" i="2"/>
  <c r="R165" i="2" s="1"/>
  <c r="Q164" i="2"/>
  <c r="Q165" i="2" s="1"/>
  <c r="BS152" i="2"/>
  <c r="BR152" i="2"/>
  <c r="BQ152" i="2"/>
  <c r="BP152" i="2"/>
  <c r="BO152" i="2"/>
  <c r="BN152" i="2"/>
  <c r="BM152" i="2"/>
  <c r="BL152" i="2"/>
  <c r="BK152" i="2"/>
  <c r="BJ152" i="2"/>
  <c r="BI152" i="2"/>
  <c r="BH152" i="2"/>
  <c r="BG152" i="2"/>
  <c r="BF152" i="2"/>
  <c r="BE152" i="2"/>
  <c r="BD152" i="2"/>
  <c r="BC152" i="2"/>
  <c r="BB152" i="2"/>
  <c r="BA152" i="2"/>
  <c r="AZ152" i="2"/>
  <c r="AY152" i="2"/>
  <c r="AX152" i="2"/>
  <c r="AW152" i="2"/>
  <c r="AV152" i="2"/>
  <c r="AU152" i="2"/>
  <c r="AT152" i="2"/>
  <c r="AS152" i="2"/>
  <c r="AR152" i="2"/>
  <c r="AQ152" i="2"/>
  <c r="AP152" i="2"/>
  <c r="AO152" i="2"/>
  <c r="AN152" i="2"/>
  <c r="AM152" i="2"/>
  <c r="AL152" i="2"/>
  <c r="AK152" i="2"/>
  <c r="AJ152" i="2"/>
  <c r="AI152" i="2"/>
  <c r="AH152" i="2"/>
  <c r="AG152" i="2"/>
  <c r="AF152" i="2"/>
  <c r="AE152" i="2"/>
  <c r="AD152" i="2"/>
  <c r="AC152" i="2"/>
  <c r="AB152" i="2"/>
  <c r="AA152" i="2"/>
  <c r="Z152" i="2"/>
  <c r="Y152" i="2"/>
  <c r="X152" i="2"/>
  <c r="W152" i="2"/>
  <c r="V152" i="2"/>
  <c r="U152" i="2"/>
  <c r="T152" i="2"/>
  <c r="S152" i="2"/>
  <c r="R152" i="2"/>
  <c r="Q152" i="2"/>
  <c r="BS150" i="2"/>
  <c r="BS151" i="2" s="1"/>
  <c r="BR150" i="2"/>
  <c r="BR151" i="2" s="1"/>
  <c r="BQ150" i="2"/>
  <c r="BQ151" i="2" s="1"/>
  <c r="BP150" i="2"/>
  <c r="BP151" i="2" s="1"/>
  <c r="BO150" i="2"/>
  <c r="BO151" i="2" s="1"/>
  <c r="BN150" i="2"/>
  <c r="BN151" i="2" s="1"/>
  <c r="BM150" i="2"/>
  <c r="BM151" i="2" s="1"/>
  <c r="BL150" i="2"/>
  <c r="BL151" i="2" s="1"/>
  <c r="BK150" i="2"/>
  <c r="BK151" i="2" s="1"/>
  <c r="BJ150" i="2"/>
  <c r="BJ151" i="2" s="1"/>
  <c r="BI150" i="2"/>
  <c r="BI151" i="2" s="1"/>
  <c r="BH150" i="2"/>
  <c r="BH151" i="2" s="1"/>
  <c r="BG150" i="2"/>
  <c r="BG151" i="2" s="1"/>
  <c r="BF150" i="2"/>
  <c r="BF151" i="2" s="1"/>
  <c r="BE150" i="2"/>
  <c r="BE151" i="2" s="1"/>
  <c r="BD150" i="2"/>
  <c r="BD151" i="2" s="1"/>
  <c r="BC150" i="2"/>
  <c r="BC151" i="2" s="1"/>
  <c r="BB150" i="2"/>
  <c r="BB151" i="2" s="1"/>
  <c r="BA150" i="2"/>
  <c r="BA151" i="2" s="1"/>
  <c r="AZ150" i="2"/>
  <c r="AZ151" i="2" s="1"/>
  <c r="AY150" i="2"/>
  <c r="AY151" i="2" s="1"/>
  <c r="AX150" i="2"/>
  <c r="AX151" i="2" s="1"/>
  <c r="AW150" i="2"/>
  <c r="AW151" i="2" s="1"/>
  <c r="AV150" i="2"/>
  <c r="AV151" i="2" s="1"/>
  <c r="AU150" i="2"/>
  <c r="AU151" i="2" s="1"/>
  <c r="AT150" i="2"/>
  <c r="AT151" i="2" s="1"/>
  <c r="AS150" i="2"/>
  <c r="AS151" i="2" s="1"/>
  <c r="AR150" i="2"/>
  <c r="AR151" i="2" s="1"/>
  <c r="AQ150" i="2"/>
  <c r="AQ151" i="2" s="1"/>
  <c r="AP150" i="2"/>
  <c r="AP151" i="2" s="1"/>
  <c r="AO150" i="2"/>
  <c r="AO151" i="2" s="1"/>
  <c r="AN150" i="2"/>
  <c r="AN151" i="2" s="1"/>
  <c r="AM150" i="2"/>
  <c r="AM151" i="2" s="1"/>
  <c r="AL150" i="2"/>
  <c r="AL151" i="2" s="1"/>
  <c r="AK150" i="2"/>
  <c r="AK151" i="2" s="1"/>
  <c r="AJ150" i="2"/>
  <c r="AJ151" i="2" s="1"/>
  <c r="AI150" i="2"/>
  <c r="AI151" i="2" s="1"/>
  <c r="AH150" i="2"/>
  <c r="AH151" i="2" s="1"/>
  <c r="AG150" i="2"/>
  <c r="AG151" i="2" s="1"/>
  <c r="AF150" i="2"/>
  <c r="AF151" i="2" s="1"/>
  <c r="AE150" i="2"/>
  <c r="AE151" i="2" s="1"/>
  <c r="AD150" i="2"/>
  <c r="AD151" i="2" s="1"/>
  <c r="AC150" i="2"/>
  <c r="AC151" i="2" s="1"/>
  <c r="AB150" i="2"/>
  <c r="AB151" i="2" s="1"/>
  <c r="AA150" i="2"/>
  <c r="AA151" i="2" s="1"/>
  <c r="Z150" i="2"/>
  <c r="Z151" i="2" s="1"/>
  <c r="Y150" i="2"/>
  <c r="Y151" i="2" s="1"/>
  <c r="X150" i="2"/>
  <c r="X151" i="2" s="1"/>
  <c r="W150" i="2"/>
  <c r="W151" i="2" s="1"/>
  <c r="V150" i="2"/>
  <c r="V151" i="2" s="1"/>
  <c r="U150" i="2"/>
  <c r="U151" i="2" s="1"/>
  <c r="T150" i="2"/>
  <c r="T151" i="2" s="1"/>
  <c r="S150" i="2"/>
  <c r="S151" i="2" s="1"/>
  <c r="R150" i="2"/>
  <c r="R151" i="2" s="1"/>
  <c r="Q150" i="2"/>
  <c r="Q151" i="2" s="1"/>
  <c r="BS139" i="2"/>
  <c r="BR139" i="2"/>
  <c r="BQ139" i="2"/>
  <c r="BP139" i="2"/>
  <c r="BO139" i="2"/>
  <c r="BN139" i="2"/>
  <c r="BM139" i="2"/>
  <c r="BL139" i="2"/>
  <c r="BK139" i="2"/>
  <c r="BJ139" i="2"/>
  <c r="BI139" i="2"/>
  <c r="BH139" i="2"/>
  <c r="BG139" i="2"/>
  <c r="BF139" i="2"/>
  <c r="BE139" i="2"/>
  <c r="BD139" i="2"/>
  <c r="BC139" i="2"/>
  <c r="BB139" i="2"/>
  <c r="BA139" i="2"/>
  <c r="AZ139" i="2"/>
  <c r="AY139" i="2"/>
  <c r="AX139" i="2"/>
  <c r="AW139" i="2"/>
  <c r="AV139" i="2"/>
  <c r="AU139" i="2"/>
  <c r="AT139" i="2"/>
  <c r="AS139" i="2"/>
  <c r="AR139" i="2"/>
  <c r="AQ139" i="2"/>
  <c r="AP139" i="2"/>
  <c r="AO139" i="2"/>
  <c r="AN139" i="2"/>
  <c r="AM139" i="2"/>
  <c r="AL139" i="2"/>
  <c r="AK139" i="2"/>
  <c r="AJ139" i="2"/>
  <c r="AI139" i="2"/>
  <c r="AH139" i="2"/>
  <c r="AG139" i="2"/>
  <c r="AF139" i="2"/>
  <c r="AE139" i="2"/>
  <c r="AD139" i="2"/>
  <c r="AC139" i="2"/>
  <c r="AB139" i="2"/>
  <c r="AA139" i="2"/>
  <c r="Z139" i="2"/>
  <c r="Y139" i="2"/>
  <c r="X139" i="2"/>
  <c r="W139" i="2"/>
  <c r="V139" i="2"/>
  <c r="U139" i="2"/>
  <c r="T139" i="2"/>
  <c r="S139" i="2"/>
  <c r="R139" i="2"/>
  <c r="Q139" i="2"/>
  <c r="BS137" i="2"/>
  <c r="BS138" i="2" s="1"/>
  <c r="BR137" i="2"/>
  <c r="BR138" i="2" s="1"/>
  <c r="BQ137" i="2"/>
  <c r="BQ138" i="2" s="1"/>
  <c r="BP137" i="2"/>
  <c r="BP138" i="2" s="1"/>
  <c r="BO137" i="2"/>
  <c r="BO138" i="2" s="1"/>
  <c r="BN137" i="2"/>
  <c r="BN138" i="2" s="1"/>
  <c r="BM137" i="2"/>
  <c r="BM138" i="2" s="1"/>
  <c r="BL137" i="2"/>
  <c r="BK137" i="2"/>
  <c r="BK138" i="2" s="1"/>
  <c r="BJ137" i="2"/>
  <c r="BJ138" i="2" s="1"/>
  <c r="BI137" i="2"/>
  <c r="BI138" i="2" s="1"/>
  <c r="BH137" i="2"/>
  <c r="BH138" i="2" s="1"/>
  <c r="BG137" i="2"/>
  <c r="BG138" i="2" s="1"/>
  <c r="BF137" i="2"/>
  <c r="BF138" i="2" s="1"/>
  <c r="BE137" i="2"/>
  <c r="BE138" i="2" s="1"/>
  <c r="BD137" i="2"/>
  <c r="BD138" i="2" s="1"/>
  <c r="BC137" i="2"/>
  <c r="BC138" i="2" s="1"/>
  <c r="BB137" i="2"/>
  <c r="BB138" i="2" s="1"/>
  <c r="BA137" i="2"/>
  <c r="BA138" i="2" s="1"/>
  <c r="AZ137" i="2"/>
  <c r="AZ138" i="2" s="1"/>
  <c r="AY137" i="2"/>
  <c r="AY138" i="2" s="1"/>
  <c r="AX137" i="2"/>
  <c r="AX138" i="2" s="1"/>
  <c r="AW137" i="2"/>
  <c r="AW138" i="2" s="1"/>
  <c r="AV137" i="2"/>
  <c r="AV138" i="2" s="1"/>
  <c r="AU137" i="2"/>
  <c r="AU138" i="2" s="1"/>
  <c r="AT137" i="2"/>
  <c r="AT138" i="2" s="1"/>
  <c r="AS137" i="2"/>
  <c r="AS138" i="2" s="1"/>
  <c r="AR137" i="2"/>
  <c r="AR138" i="2" s="1"/>
  <c r="AQ137" i="2"/>
  <c r="AQ138" i="2" s="1"/>
  <c r="AP137" i="2"/>
  <c r="AP138" i="2" s="1"/>
  <c r="AO137" i="2"/>
  <c r="AO138" i="2" s="1"/>
  <c r="AN137" i="2"/>
  <c r="AN138" i="2" s="1"/>
  <c r="AM137" i="2"/>
  <c r="AM138" i="2" s="1"/>
  <c r="AL137" i="2"/>
  <c r="AL138" i="2" s="1"/>
  <c r="AK137" i="2"/>
  <c r="AK138" i="2" s="1"/>
  <c r="AJ137" i="2"/>
  <c r="AJ138" i="2" s="1"/>
  <c r="AI137" i="2"/>
  <c r="AI138" i="2" s="1"/>
  <c r="AH137" i="2"/>
  <c r="AH138" i="2" s="1"/>
  <c r="AG137" i="2"/>
  <c r="AG138" i="2" s="1"/>
  <c r="AF137" i="2"/>
  <c r="AF138" i="2" s="1"/>
  <c r="AE137" i="2"/>
  <c r="AE138" i="2" s="1"/>
  <c r="AD137" i="2"/>
  <c r="AD138" i="2" s="1"/>
  <c r="AC137" i="2"/>
  <c r="AC138" i="2" s="1"/>
  <c r="AB137" i="2"/>
  <c r="AB138" i="2" s="1"/>
  <c r="AA137" i="2"/>
  <c r="AA138" i="2" s="1"/>
  <c r="Z137" i="2"/>
  <c r="Z138" i="2" s="1"/>
  <c r="Y137" i="2"/>
  <c r="Y138" i="2" s="1"/>
  <c r="X137" i="2"/>
  <c r="X138" i="2" s="1"/>
  <c r="W137" i="2"/>
  <c r="W138" i="2" s="1"/>
  <c r="V137" i="2"/>
  <c r="V138" i="2" s="1"/>
  <c r="U137" i="2"/>
  <c r="U138" i="2" s="1"/>
  <c r="T137" i="2"/>
  <c r="T138" i="2" s="1"/>
  <c r="S137" i="2"/>
  <c r="S138" i="2" s="1"/>
  <c r="R137" i="2"/>
  <c r="R138" i="2" s="1"/>
  <c r="Q137" i="2"/>
  <c r="Q138" i="2" s="1"/>
  <c r="BM90" i="4"/>
  <c r="BL90" i="4"/>
  <c r="BK90" i="4"/>
  <c r="BJ90" i="4"/>
  <c r="BI90" i="4"/>
  <c r="BH90" i="4"/>
  <c r="BG90" i="4"/>
  <c r="BF90" i="4"/>
  <c r="BE90" i="4"/>
  <c r="BD90" i="4"/>
  <c r="BC90" i="4"/>
  <c r="BB90" i="4"/>
  <c r="BA90" i="4"/>
  <c r="AZ90" i="4"/>
  <c r="AY90" i="4"/>
  <c r="AX90" i="4"/>
  <c r="AW90" i="4"/>
  <c r="AV90" i="4"/>
  <c r="AU90" i="4"/>
  <c r="AT90" i="4"/>
  <c r="AS90" i="4"/>
  <c r="AR90" i="4"/>
  <c r="AQ90" i="4"/>
  <c r="AP90" i="4"/>
  <c r="AO90" i="4"/>
  <c r="AN90" i="4"/>
  <c r="AM90" i="4"/>
  <c r="AL90" i="4"/>
  <c r="AK90" i="4"/>
  <c r="AJ90" i="4"/>
  <c r="AI90" i="4"/>
  <c r="AH90" i="4"/>
  <c r="AG90" i="4"/>
  <c r="AF90" i="4"/>
  <c r="AE90" i="4"/>
  <c r="AD90" i="4"/>
  <c r="AC90" i="4"/>
  <c r="AB90" i="4"/>
  <c r="AA90" i="4"/>
  <c r="Z90" i="4"/>
  <c r="Y90" i="4"/>
  <c r="X90" i="4"/>
  <c r="W90" i="4"/>
  <c r="V90" i="4"/>
  <c r="U90" i="4"/>
  <c r="T90" i="4"/>
  <c r="S90" i="4"/>
  <c r="R90" i="4"/>
  <c r="Q90" i="4"/>
  <c r="BM88" i="4"/>
  <c r="BM89" i="4" s="1"/>
  <c r="BL88" i="4"/>
  <c r="BL89" i="4" s="1"/>
  <c r="BK88" i="4"/>
  <c r="BK89" i="4" s="1"/>
  <c r="BJ88" i="4"/>
  <c r="BJ89" i="4" s="1"/>
  <c r="BI88" i="4"/>
  <c r="BI89" i="4" s="1"/>
  <c r="BH88" i="4"/>
  <c r="BH89" i="4" s="1"/>
  <c r="BG88" i="4"/>
  <c r="BG89" i="4" s="1"/>
  <c r="BF88" i="4"/>
  <c r="BF89" i="4" s="1"/>
  <c r="BE88" i="4"/>
  <c r="BE89" i="4" s="1"/>
  <c r="BD88" i="4"/>
  <c r="BD89" i="4" s="1"/>
  <c r="BC88" i="4"/>
  <c r="BC89" i="4" s="1"/>
  <c r="BB88" i="4"/>
  <c r="BB89" i="4" s="1"/>
  <c r="BA88" i="4"/>
  <c r="BA89" i="4" s="1"/>
  <c r="AZ88" i="4"/>
  <c r="AZ89" i="4" s="1"/>
  <c r="AY88" i="4"/>
  <c r="AY89" i="4" s="1"/>
  <c r="AX88" i="4"/>
  <c r="AX89" i="4" s="1"/>
  <c r="AW88" i="4"/>
  <c r="AW89" i="4" s="1"/>
  <c r="AV88" i="4"/>
  <c r="AV89" i="4" s="1"/>
  <c r="AU88" i="4"/>
  <c r="AU89" i="4" s="1"/>
  <c r="AT88" i="4"/>
  <c r="AT89" i="4" s="1"/>
  <c r="AS88" i="4"/>
  <c r="AS89" i="4" s="1"/>
  <c r="AR88" i="4"/>
  <c r="AR89" i="4" s="1"/>
  <c r="AQ88" i="4"/>
  <c r="AQ89" i="4" s="1"/>
  <c r="AP88" i="4"/>
  <c r="AP89" i="4" s="1"/>
  <c r="AO88" i="4"/>
  <c r="AO89" i="4" s="1"/>
  <c r="AN88" i="4"/>
  <c r="AN89" i="4" s="1"/>
  <c r="AM88" i="4"/>
  <c r="AM89" i="4" s="1"/>
  <c r="AL88" i="4"/>
  <c r="AL89" i="4" s="1"/>
  <c r="AK88" i="4"/>
  <c r="AK89" i="4" s="1"/>
  <c r="AJ88" i="4"/>
  <c r="AJ89" i="4" s="1"/>
  <c r="AI88" i="4"/>
  <c r="AI89" i="4" s="1"/>
  <c r="AH88" i="4"/>
  <c r="AH89" i="4" s="1"/>
  <c r="AG88" i="4"/>
  <c r="AG89" i="4" s="1"/>
  <c r="AF88" i="4"/>
  <c r="AF89" i="4" s="1"/>
  <c r="AE88" i="4"/>
  <c r="AE89" i="4" s="1"/>
  <c r="AD88" i="4"/>
  <c r="AD89" i="4" s="1"/>
  <c r="AC88" i="4"/>
  <c r="AC89" i="4" s="1"/>
  <c r="AB88" i="4"/>
  <c r="AB89" i="4" s="1"/>
  <c r="AA88" i="4"/>
  <c r="AA89" i="4" s="1"/>
  <c r="Z88" i="4"/>
  <c r="Z89" i="4" s="1"/>
  <c r="Y88" i="4"/>
  <c r="Y89" i="4" s="1"/>
  <c r="X88" i="4"/>
  <c r="X89" i="4" s="1"/>
  <c r="W88" i="4"/>
  <c r="W89" i="4" s="1"/>
  <c r="V88" i="4"/>
  <c r="V89" i="4" s="1"/>
  <c r="U88" i="4"/>
  <c r="U89" i="4" s="1"/>
  <c r="T88" i="4"/>
  <c r="T89" i="4" s="1"/>
  <c r="S88" i="4"/>
  <c r="S89" i="4" s="1"/>
  <c r="R88" i="4"/>
  <c r="R89" i="4" s="1"/>
  <c r="Q88" i="4"/>
  <c r="Q89" i="4" s="1"/>
  <c r="BS81" i="4"/>
  <c r="BR81" i="4"/>
  <c r="BQ81" i="4"/>
  <c r="BP81" i="4"/>
  <c r="BO81" i="4"/>
  <c r="BN81" i="4"/>
  <c r="BM81" i="4"/>
  <c r="BL81" i="4"/>
  <c r="BK81" i="4"/>
  <c r="BJ81" i="4"/>
  <c r="BI81" i="4"/>
  <c r="BH81" i="4"/>
  <c r="BG81" i="4"/>
  <c r="BF81" i="4"/>
  <c r="BE81" i="4"/>
  <c r="BD81" i="4"/>
  <c r="BC81" i="4"/>
  <c r="BB81" i="4"/>
  <c r="BA81" i="4"/>
  <c r="AZ81" i="4"/>
  <c r="AY81" i="4"/>
  <c r="AX81" i="4"/>
  <c r="AW81" i="4"/>
  <c r="AV81" i="4"/>
  <c r="AU81" i="4"/>
  <c r="AT81" i="4"/>
  <c r="AS81" i="4"/>
  <c r="AR81" i="4"/>
  <c r="AQ81" i="4"/>
  <c r="AP81" i="4"/>
  <c r="AO81" i="4"/>
  <c r="AN81" i="4"/>
  <c r="AM81" i="4"/>
  <c r="AL81" i="4"/>
  <c r="AK81" i="4"/>
  <c r="AJ81" i="4"/>
  <c r="AI81" i="4"/>
  <c r="AH81" i="4"/>
  <c r="AG81" i="4"/>
  <c r="AF81" i="4"/>
  <c r="AE81" i="4"/>
  <c r="AD81" i="4"/>
  <c r="AC81" i="4"/>
  <c r="AB81" i="4"/>
  <c r="AA81" i="4"/>
  <c r="Z81" i="4"/>
  <c r="Y81" i="4"/>
  <c r="X81" i="4"/>
  <c r="W81" i="4"/>
  <c r="V81" i="4"/>
  <c r="U81" i="4"/>
  <c r="T81" i="4"/>
  <c r="S81" i="4"/>
  <c r="R81" i="4"/>
  <c r="Q81" i="4"/>
  <c r="BS79" i="4"/>
  <c r="BS80" i="4" s="1"/>
  <c r="BR79" i="4"/>
  <c r="BR80" i="4" s="1"/>
  <c r="BQ79" i="4"/>
  <c r="BQ80" i="4" s="1"/>
  <c r="BP79" i="4"/>
  <c r="BP80" i="4" s="1"/>
  <c r="BO79" i="4"/>
  <c r="BO80" i="4" s="1"/>
  <c r="BN79" i="4"/>
  <c r="BN80" i="4" s="1"/>
  <c r="BM79" i="4"/>
  <c r="BM80" i="4" s="1"/>
  <c r="BL79" i="4"/>
  <c r="BL80" i="4" s="1"/>
  <c r="BK79" i="4"/>
  <c r="BK80" i="4" s="1"/>
  <c r="BJ79" i="4"/>
  <c r="BJ80" i="4" s="1"/>
  <c r="BI79" i="4"/>
  <c r="BI80" i="4" s="1"/>
  <c r="BH79" i="4"/>
  <c r="BH80" i="4" s="1"/>
  <c r="BG79" i="4"/>
  <c r="BG80" i="4" s="1"/>
  <c r="BF79" i="4"/>
  <c r="BF80" i="4" s="1"/>
  <c r="BE79" i="4"/>
  <c r="BE80" i="4" s="1"/>
  <c r="BD79" i="4"/>
  <c r="BD80" i="4" s="1"/>
  <c r="BC79" i="4"/>
  <c r="BC80" i="4" s="1"/>
  <c r="BB79" i="4"/>
  <c r="BB80" i="4" s="1"/>
  <c r="BA79" i="4"/>
  <c r="BA80" i="4" s="1"/>
  <c r="AZ79" i="4"/>
  <c r="AZ80" i="4" s="1"/>
  <c r="AY79" i="4"/>
  <c r="AY80" i="4" s="1"/>
  <c r="AX79" i="4"/>
  <c r="AX80" i="4" s="1"/>
  <c r="AW79" i="4"/>
  <c r="AW80" i="4" s="1"/>
  <c r="AV79" i="4"/>
  <c r="AV80" i="4" s="1"/>
  <c r="AU79" i="4"/>
  <c r="AU80" i="4" s="1"/>
  <c r="AT79" i="4"/>
  <c r="AT80" i="4" s="1"/>
  <c r="AS79" i="4"/>
  <c r="AS80" i="4" s="1"/>
  <c r="AR79" i="4"/>
  <c r="AR80" i="4" s="1"/>
  <c r="AQ79" i="4"/>
  <c r="AQ80" i="4" s="1"/>
  <c r="AP79" i="4"/>
  <c r="AP80" i="4" s="1"/>
  <c r="AO79" i="4"/>
  <c r="AO80" i="4" s="1"/>
  <c r="AN79" i="4"/>
  <c r="AN80" i="4" s="1"/>
  <c r="AM79" i="4"/>
  <c r="AM80" i="4" s="1"/>
  <c r="AL79" i="4"/>
  <c r="AL80" i="4" s="1"/>
  <c r="AK79" i="4"/>
  <c r="AK80" i="4" s="1"/>
  <c r="AJ79" i="4"/>
  <c r="AJ80" i="4" s="1"/>
  <c r="AI79" i="4"/>
  <c r="AI80" i="4" s="1"/>
  <c r="AH79" i="4"/>
  <c r="AH80" i="4" s="1"/>
  <c r="AG79" i="4"/>
  <c r="AG80" i="4" s="1"/>
  <c r="AF79" i="4"/>
  <c r="AF80" i="4" s="1"/>
  <c r="AE79" i="4"/>
  <c r="AE80" i="4" s="1"/>
  <c r="AD79" i="4"/>
  <c r="AD80" i="4" s="1"/>
  <c r="AC79" i="4"/>
  <c r="AC80" i="4" s="1"/>
  <c r="AB79" i="4"/>
  <c r="AB80" i="4" s="1"/>
  <c r="AA79" i="4"/>
  <c r="AA80" i="4" s="1"/>
  <c r="Z79" i="4"/>
  <c r="Z80" i="4" s="1"/>
  <c r="Y79" i="4"/>
  <c r="Y80" i="4" s="1"/>
  <c r="X79" i="4"/>
  <c r="X80" i="4" s="1"/>
  <c r="W79" i="4"/>
  <c r="W80" i="4" s="1"/>
  <c r="V79" i="4"/>
  <c r="V80" i="4" s="1"/>
  <c r="U79" i="4"/>
  <c r="U80" i="4" s="1"/>
  <c r="T79" i="4"/>
  <c r="T80" i="4" s="1"/>
  <c r="S79" i="4"/>
  <c r="S80" i="4" s="1"/>
  <c r="R79" i="4"/>
  <c r="R80" i="4" s="1"/>
  <c r="Q79" i="4"/>
  <c r="Q80" i="4" s="1"/>
  <c r="BS67" i="4"/>
  <c r="BR67" i="4"/>
  <c r="BQ67" i="4"/>
  <c r="BP67" i="4"/>
  <c r="BO67" i="4"/>
  <c r="BN67" i="4"/>
  <c r="BM67" i="4"/>
  <c r="BL67" i="4"/>
  <c r="BK67" i="4"/>
  <c r="BJ67" i="4"/>
  <c r="BI67" i="4"/>
  <c r="BH67" i="4"/>
  <c r="BG67" i="4"/>
  <c r="BF67" i="4"/>
  <c r="BE67" i="4"/>
  <c r="BD67" i="4"/>
  <c r="BC67" i="4"/>
  <c r="BB67" i="4"/>
  <c r="BA67" i="4"/>
  <c r="AZ67" i="4"/>
  <c r="AY67" i="4"/>
  <c r="AX67" i="4"/>
  <c r="AW67" i="4"/>
  <c r="AV67" i="4"/>
  <c r="AU67" i="4"/>
  <c r="AT67" i="4"/>
  <c r="AS67" i="4"/>
  <c r="AR67" i="4"/>
  <c r="AQ67" i="4"/>
  <c r="AP67" i="4"/>
  <c r="AO67" i="4"/>
  <c r="AN67" i="4"/>
  <c r="AM67" i="4"/>
  <c r="AL67" i="4"/>
  <c r="AK67" i="4"/>
  <c r="AJ67" i="4"/>
  <c r="AI67" i="4"/>
  <c r="AH67" i="4"/>
  <c r="AG67" i="4"/>
  <c r="AF67" i="4"/>
  <c r="AE67" i="4"/>
  <c r="AD67" i="4"/>
  <c r="AC67" i="4"/>
  <c r="AB67" i="4"/>
  <c r="AA67" i="4"/>
  <c r="Z67" i="4"/>
  <c r="Y67" i="4"/>
  <c r="X67" i="4"/>
  <c r="W67" i="4"/>
  <c r="V67" i="4"/>
  <c r="U67" i="4"/>
  <c r="T67" i="4"/>
  <c r="S67" i="4"/>
  <c r="R67" i="4"/>
  <c r="Q67" i="4"/>
  <c r="BS65" i="4"/>
  <c r="BS66" i="4" s="1"/>
  <c r="BR65" i="4"/>
  <c r="BR66" i="4" s="1"/>
  <c r="BQ65" i="4"/>
  <c r="BQ66" i="4" s="1"/>
  <c r="BP65" i="4"/>
  <c r="BP66" i="4" s="1"/>
  <c r="BO65" i="4"/>
  <c r="BO66" i="4" s="1"/>
  <c r="BN65" i="4"/>
  <c r="BN66" i="4" s="1"/>
  <c r="BM65" i="4"/>
  <c r="BM66" i="4" s="1"/>
  <c r="BL65" i="4"/>
  <c r="BL66" i="4" s="1"/>
  <c r="BK65" i="4"/>
  <c r="BK66" i="4" s="1"/>
  <c r="BJ65" i="4"/>
  <c r="BJ66" i="4" s="1"/>
  <c r="BI65" i="4"/>
  <c r="BI66" i="4" s="1"/>
  <c r="BH65" i="4"/>
  <c r="BH66" i="4" s="1"/>
  <c r="BG65" i="4"/>
  <c r="BG66" i="4" s="1"/>
  <c r="BF65" i="4"/>
  <c r="BF66" i="4" s="1"/>
  <c r="BE65" i="4"/>
  <c r="BE66" i="4" s="1"/>
  <c r="BD65" i="4"/>
  <c r="BD66" i="4" s="1"/>
  <c r="BC65" i="4"/>
  <c r="BC66" i="4" s="1"/>
  <c r="BB65" i="4"/>
  <c r="BB66" i="4" s="1"/>
  <c r="BA65" i="4"/>
  <c r="BA66" i="4" s="1"/>
  <c r="AZ65" i="4"/>
  <c r="AZ66" i="4" s="1"/>
  <c r="AY65" i="4"/>
  <c r="AY66" i="4" s="1"/>
  <c r="AX65" i="4"/>
  <c r="AX66" i="4" s="1"/>
  <c r="AW65" i="4"/>
  <c r="AW66" i="4" s="1"/>
  <c r="AV65" i="4"/>
  <c r="AV66" i="4" s="1"/>
  <c r="AU65" i="4"/>
  <c r="AU66" i="4" s="1"/>
  <c r="AT65" i="4"/>
  <c r="AT66" i="4" s="1"/>
  <c r="AS65" i="4"/>
  <c r="AS66" i="4" s="1"/>
  <c r="AR65" i="4"/>
  <c r="AR66" i="4" s="1"/>
  <c r="AQ65" i="4"/>
  <c r="AQ66" i="4" s="1"/>
  <c r="AP65" i="4"/>
  <c r="AP66" i="4" s="1"/>
  <c r="AO65" i="4"/>
  <c r="AO66" i="4" s="1"/>
  <c r="AN65" i="4"/>
  <c r="AN66" i="4" s="1"/>
  <c r="AM65" i="4"/>
  <c r="AM66" i="4" s="1"/>
  <c r="AL65" i="4"/>
  <c r="AL66" i="4" s="1"/>
  <c r="AK65" i="4"/>
  <c r="AK66" i="4" s="1"/>
  <c r="AJ65" i="4"/>
  <c r="AJ66" i="4" s="1"/>
  <c r="AI65" i="4"/>
  <c r="AI66" i="4" s="1"/>
  <c r="AH65" i="4"/>
  <c r="AH66" i="4" s="1"/>
  <c r="AG65" i="4"/>
  <c r="AG66" i="4" s="1"/>
  <c r="AF65" i="4"/>
  <c r="AF66" i="4" s="1"/>
  <c r="AE65" i="4"/>
  <c r="AE66" i="4" s="1"/>
  <c r="AD65" i="4"/>
  <c r="AD66" i="4" s="1"/>
  <c r="AC65" i="4"/>
  <c r="AC66" i="4" s="1"/>
  <c r="AB65" i="4"/>
  <c r="AB66" i="4" s="1"/>
  <c r="AA65" i="4"/>
  <c r="AA66" i="4" s="1"/>
  <c r="Z65" i="4"/>
  <c r="Z66" i="4" s="1"/>
  <c r="Y65" i="4"/>
  <c r="Y66" i="4" s="1"/>
  <c r="X65" i="4"/>
  <c r="X66" i="4" s="1"/>
  <c r="W65" i="4"/>
  <c r="W66" i="4" s="1"/>
  <c r="V65" i="4"/>
  <c r="V66" i="4" s="1"/>
  <c r="U65" i="4"/>
  <c r="U66" i="4" s="1"/>
  <c r="T65" i="4"/>
  <c r="T66" i="4" s="1"/>
  <c r="S65" i="4"/>
  <c r="S66" i="4" s="1"/>
  <c r="R65" i="4"/>
  <c r="R66" i="4" s="1"/>
  <c r="Q65" i="4"/>
  <c r="Q66" i="4" s="1"/>
  <c r="BS54" i="4"/>
  <c r="BR54" i="4"/>
  <c r="BQ54" i="4"/>
  <c r="BP54" i="4"/>
  <c r="BO54" i="4"/>
  <c r="BN54" i="4"/>
  <c r="BM54" i="4"/>
  <c r="BL54" i="4"/>
  <c r="BK54" i="4"/>
  <c r="BJ54" i="4"/>
  <c r="BI54" i="4"/>
  <c r="BH54" i="4"/>
  <c r="BG54" i="4"/>
  <c r="BF54" i="4"/>
  <c r="BE54" i="4"/>
  <c r="BD54" i="4"/>
  <c r="BC54" i="4"/>
  <c r="BB54" i="4"/>
  <c r="BA54" i="4"/>
  <c r="AZ54" i="4"/>
  <c r="AY54" i="4"/>
  <c r="AX54" i="4"/>
  <c r="AW54" i="4"/>
  <c r="AV54" i="4"/>
  <c r="AU54" i="4"/>
  <c r="AT54" i="4"/>
  <c r="AS54" i="4"/>
  <c r="AR54" i="4"/>
  <c r="AQ54" i="4"/>
  <c r="AP54" i="4"/>
  <c r="AO54" i="4"/>
  <c r="AN54" i="4"/>
  <c r="AM54" i="4"/>
  <c r="AL54" i="4"/>
  <c r="AK54" i="4"/>
  <c r="AJ54" i="4"/>
  <c r="AI54" i="4"/>
  <c r="AH54" i="4"/>
  <c r="AG54" i="4"/>
  <c r="AF54" i="4"/>
  <c r="AE54" i="4"/>
  <c r="AD54" i="4"/>
  <c r="AC54" i="4"/>
  <c r="AB54" i="4"/>
  <c r="AA54" i="4"/>
  <c r="Z54" i="4"/>
  <c r="Y54" i="4"/>
  <c r="X54" i="4"/>
  <c r="W54" i="4"/>
  <c r="V54" i="4"/>
  <c r="U54" i="4"/>
  <c r="T54" i="4"/>
  <c r="S54" i="4"/>
  <c r="R54" i="4"/>
  <c r="Q54" i="4"/>
  <c r="BS52" i="4"/>
  <c r="BS53" i="4" s="1"/>
  <c r="BR52" i="4"/>
  <c r="BR53" i="4" s="1"/>
  <c r="BQ52" i="4"/>
  <c r="BQ53" i="4" s="1"/>
  <c r="BP52" i="4"/>
  <c r="BP53" i="4" s="1"/>
  <c r="BO52" i="4"/>
  <c r="BO53" i="4" s="1"/>
  <c r="BN52" i="4"/>
  <c r="BN53" i="4" s="1"/>
  <c r="BM52" i="4"/>
  <c r="BM53" i="4" s="1"/>
  <c r="BL52" i="4"/>
  <c r="BL53" i="4" s="1"/>
  <c r="BK52" i="4"/>
  <c r="BK53" i="4" s="1"/>
  <c r="BJ52" i="4"/>
  <c r="BJ53" i="4" s="1"/>
  <c r="BI52" i="4"/>
  <c r="BI53" i="4" s="1"/>
  <c r="BH52" i="4"/>
  <c r="BH53" i="4" s="1"/>
  <c r="BG52" i="4"/>
  <c r="BG53" i="4" s="1"/>
  <c r="BF52" i="4"/>
  <c r="BE52" i="4"/>
  <c r="BE53" i="4" s="1"/>
  <c r="BD52" i="4"/>
  <c r="BD53" i="4" s="1"/>
  <c r="BC52" i="4"/>
  <c r="BC53" i="4" s="1"/>
  <c r="BB52" i="4"/>
  <c r="BB53" i="4" s="1"/>
  <c r="BA52" i="4"/>
  <c r="BA53" i="4" s="1"/>
  <c r="AZ52" i="4"/>
  <c r="AZ53" i="4" s="1"/>
  <c r="AY52" i="4"/>
  <c r="AY53" i="4" s="1"/>
  <c r="AX52" i="4"/>
  <c r="AX53" i="4" s="1"/>
  <c r="AW52" i="4"/>
  <c r="AW53" i="4" s="1"/>
  <c r="AV52" i="4"/>
  <c r="AV53" i="4" s="1"/>
  <c r="AU52" i="4"/>
  <c r="AU53" i="4" s="1"/>
  <c r="AT52" i="4"/>
  <c r="AT53" i="4" s="1"/>
  <c r="AS52" i="4"/>
  <c r="AS53" i="4" s="1"/>
  <c r="AR52" i="4"/>
  <c r="AR53" i="4" s="1"/>
  <c r="AQ52" i="4"/>
  <c r="AQ53" i="4" s="1"/>
  <c r="AP52" i="4"/>
  <c r="AP53" i="4" s="1"/>
  <c r="AO52" i="4"/>
  <c r="AO53" i="4" s="1"/>
  <c r="AN52" i="4"/>
  <c r="AN53" i="4" s="1"/>
  <c r="AM52" i="4"/>
  <c r="AM53" i="4" s="1"/>
  <c r="AL52" i="4"/>
  <c r="AL53" i="4" s="1"/>
  <c r="AK52" i="4"/>
  <c r="AK53" i="4" s="1"/>
  <c r="AJ52" i="4"/>
  <c r="AJ53" i="4" s="1"/>
  <c r="AI52" i="4"/>
  <c r="AI53" i="4" s="1"/>
  <c r="AH52" i="4"/>
  <c r="AH53" i="4" s="1"/>
  <c r="AG52" i="4"/>
  <c r="AG53" i="4" s="1"/>
  <c r="AF52" i="4"/>
  <c r="AF53" i="4" s="1"/>
  <c r="AE52" i="4"/>
  <c r="AE53" i="4" s="1"/>
  <c r="AD52" i="4"/>
  <c r="AD53" i="4" s="1"/>
  <c r="AC52" i="4"/>
  <c r="AC53" i="4" s="1"/>
  <c r="AB52" i="4"/>
  <c r="AB53" i="4" s="1"/>
  <c r="AA52" i="4"/>
  <c r="AA53" i="4" s="1"/>
  <c r="Z52" i="4"/>
  <c r="Z53" i="4" s="1"/>
  <c r="Y52" i="4"/>
  <c r="Y53" i="4" s="1"/>
  <c r="X52" i="4"/>
  <c r="X53" i="4" s="1"/>
  <c r="W52" i="4"/>
  <c r="W53" i="4" s="1"/>
  <c r="V52" i="4"/>
  <c r="V53" i="4" s="1"/>
  <c r="U52" i="4"/>
  <c r="U53" i="4" s="1"/>
  <c r="T52" i="4"/>
  <c r="T53" i="4" s="1"/>
  <c r="S52" i="4"/>
  <c r="S53" i="4" s="1"/>
  <c r="R52" i="4"/>
  <c r="R53" i="4" s="1"/>
  <c r="Q52" i="4"/>
  <c r="Q53" i="4" s="1"/>
  <c r="AG153" i="2" l="1"/>
  <c r="V55" i="4"/>
  <c r="AL55" i="4"/>
  <c r="BB55" i="4"/>
  <c r="X153" i="2"/>
  <c r="AF153" i="2"/>
  <c r="AN153" i="2"/>
  <c r="AV153" i="2"/>
  <c r="BD153" i="2"/>
  <c r="BL153" i="2"/>
  <c r="S167" i="2"/>
  <c r="W167" i="2"/>
  <c r="AA167" i="2"/>
  <c r="AE167" i="2"/>
  <c r="AI167" i="2"/>
  <c r="AM167" i="2"/>
  <c r="AQ167" i="2"/>
  <c r="AU167" i="2"/>
  <c r="AY167" i="2"/>
  <c r="BC167" i="2"/>
  <c r="BG167" i="2"/>
  <c r="BK167" i="2"/>
  <c r="BO167" i="2"/>
  <c r="BS167" i="2"/>
  <c r="AM140" i="2"/>
  <c r="AB68" i="4"/>
  <c r="AR68" i="4"/>
  <c r="AW153" i="2"/>
  <c r="BM153" i="2"/>
  <c r="BS82" i="4"/>
  <c r="W140" i="2"/>
  <c r="AN82" i="4"/>
  <c r="BC140" i="2"/>
  <c r="Q140" i="2"/>
  <c r="Y140" i="2"/>
  <c r="AG140" i="2"/>
  <c r="AO140" i="2"/>
  <c r="AW140" i="2"/>
  <c r="BE140" i="2"/>
  <c r="BM140" i="2"/>
  <c r="BF55" i="4"/>
  <c r="R68" i="4"/>
  <c r="U140" i="2"/>
  <c r="AC140" i="2"/>
  <c r="AK140" i="2"/>
  <c r="AS140" i="2"/>
  <c r="BA140" i="2"/>
  <c r="BQ140" i="2"/>
  <c r="X82" i="4"/>
  <c r="BL140" i="2"/>
  <c r="S140" i="2"/>
  <c r="AA140" i="2"/>
  <c r="AE140" i="2"/>
  <c r="AI140" i="2"/>
  <c r="AQ140" i="2"/>
  <c r="AU140" i="2"/>
  <c r="AY140" i="2"/>
  <c r="R176" i="2"/>
  <c r="Z176" i="2"/>
  <c r="AH176" i="2"/>
  <c r="AP176" i="2"/>
  <c r="AX176" i="2"/>
  <c r="BF176" i="2"/>
  <c r="R55" i="4"/>
  <c r="Z55" i="4"/>
  <c r="AD55" i="4"/>
  <c r="AH55" i="4"/>
  <c r="AP55" i="4"/>
  <c r="AT55" i="4"/>
  <c r="AX55" i="4"/>
  <c r="V68" i="4"/>
  <c r="Z68" i="4"/>
  <c r="AD68" i="4"/>
  <c r="AH68" i="4"/>
  <c r="AL68" i="4"/>
  <c r="AP68" i="4"/>
  <c r="AT68" i="4"/>
  <c r="AX68" i="4"/>
  <c r="BB68" i="4"/>
  <c r="BF68" i="4"/>
  <c r="BJ68" i="4"/>
  <c r="BN68" i="4"/>
  <c r="BR68" i="4"/>
  <c r="BH68" i="4"/>
  <c r="BD82" i="4"/>
  <c r="BP165" i="2"/>
  <c r="BP167" i="2"/>
  <c r="AB55" i="4"/>
  <c r="BH55" i="4"/>
  <c r="T68" i="4"/>
  <c r="X68" i="4"/>
  <c r="AF68" i="4"/>
  <c r="AJ68" i="4"/>
  <c r="AN68" i="4"/>
  <c r="AV68" i="4"/>
  <c r="AZ68" i="4"/>
  <c r="BD68" i="4"/>
  <c r="BL68" i="4"/>
  <c r="BP68" i="4"/>
  <c r="BL167" i="2"/>
  <c r="T91" i="4"/>
  <c r="X91" i="4"/>
  <c r="AB91" i="4"/>
  <c r="AF91" i="4"/>
  <c r="AJ91" i="4"/>
  <c r="AN91" i="4"/>
  <c r="AR91" i="4"/>
  <c r="AV91" i="4"/>
  <c r="AZ91" i="4"/>
  <c r="BD91" i="4"/>
  <c r="BH91" i="4"/>
  <c r="BL91" i="4"/>
  <c r="BI140" i="2"/>
  <c r="R140" i="2"/>
  <c r="V140" i="2"/>
  <c r="Z140" i="2"/>
  <c r="AD140" i="2"/>
  <c r="AH140" i="2"/>
  <c r="AL140" i="2"/>
  <c r="AP140" i="2"/>
  <c r="AT140" i="2"/>
  <c r="AX140" i="2"/>
  <c r="BB140" i="2"/>
  <c r="BF140" i="2"/>
  <c r="BJ140" i="2"/>
  <c r="BN140" i="2"/>
  <c r="BR140" i="2"/>
  <c r="S153" i="2"/>
  <c r="W153" i="2"/>
  <c r="AA153" i="2"/>
  <c r="AE153" i="2"/>
  <c r="AI153" i="2"/>
  <c r="AM153" i="2"/>
  <c r="AQ153" i="2"/>
  <c r="AU153" i="2"/>
  <c r="AY153" i="2"/>
  <c r="BC153" i="2"/>
  <c r="BG153" i="2"/>
  <c r="BK153" i="2"/>
  <c r="BO153" i="2"/>
  <c r="BS153" i="2"/>
  <c r="T167" i="2"/>
  <c r="X167" i="2"/>
  <c r="AB167" i="2"/>
  <c r="AF167" i="2"/>
  <c r="AJ167" i="2"/>
  <c r="AN167" i="2"/>
  <c r="AR167" i="2"/>
  <c r="AV167" i="2"/>
  <c r="AZ167" i="2"/>
  <c r="BD167" i="2"/>
  <c r="BH167" i="2"/>
  <c r="T176" i="2"/>
  <c r="X176" i="2"/>
  <c r="AB176" i="2"/>
  <c r="AF176" i="2"/>
  <c r="AJ176" i="2"/>
  <c r="AN176" i="2"/>
  <c r="AR176" i="2"/>
  <c r="AV176" i="2"/>
  <c r="AZ176" i="2"/>
  <c r="BD176" i="2"/>
  <c r="BH176" i="2"/>
  <c r="BL176" i="2"/>
  <c r="T153" i="2"/>
  <c r="AB153" i="2"/>
  <c r="AJ153" i="2"/>
  <c r="AR153" i="2"/>
  <c r="AZ153" i="2"/>
  <c r="BH153" i="2"/>
  <c r="BP153" i="2"/>
  <c r="AO153" i="2"/>
  <c r="BE153" i="2"/>
  <c r="T82" i="4"/>
  <c r="AB82" i="4"/>
  <c r="AF82" i="4"/>
  <c r="AJ82" i="4"/>
  <c r="AR82" i="4"/>
  <c r="AV82" i="4"/>
  <c r="AZ82" i="4"/>
  <c r="BH82" i="4"/>
  <c r="BL82" i="4"/>
  <c r="BP82" i="4"/>
  <c r="R91" i="4"/>
  <c r="V91" i="4"/>
  <c r="Z91" i="4"/>
  <c r="AD91" i="4"/>
  <c r="AH91" i="4"/>
  <c r="AL91" i="4"/>
  <c r="AP91" i="4"/>
  <c r="AT91" i="4"/>
  <c r="AX91" i="4"/>
  <c r="BB91" i="4"/>
  <c r="BF91" i="4"/>
  <c r="BJ91" i="4"/>
  <c r="R167" i="2"/>
  <c r="V167" i="2"/>
  <c r="Z167" i="2"/>
  <c r="AD167" i="2"/>
  <c r="AH167" i="2"/>
  <c r="AL167" i="2"/>
  <c r="AP167" i="2"/>
  <c r="AT167" i="2"/>
  <c r="AX167" i="2"/>
  <c r="BB167" i="2"/>
  <c r="BF167" i="2"/>
  <c r="BJ167" i="2"/>
  <c r="BN167" i="2"/>
  <c r="BR167" i="2"/>
  <c r="S176" i="2"/>
  <c r="W176" i="2"/>
  <c r="AA176" i="2"/>
  <c r="AE176" i="2"/>
  <c r="AI176" i="2"/>
  <c r="AM176" i="2"/>
  <c r="AQ176" i="2"/>
  <c r="AU176" i="2"/>
  <c r="AY176" i="2"/>
  <c r="BC176" i="2"/>
  <c r="BG176" i="2"/>
  <c r="BK176" i="2"/>
  <c r="AC167" i="2"/>
  <c r="BI167" i="2"/>
  <c r="BG140" i="2"/>
  <c r="BK140" i="2"/>
  <c r="BO140" i="2"/>
  <c r="BS140" i="2"/>
  <c r="T140" i="2"/>
  <c r="X140" i="2"/>
  <c r="AB140" i="2"/>
  <c r="AF140" i="2"/>
  <c r="AJ140" i="2"/>
  <c r="AN140" i="2"/>
  <c r="AR140" i="2"/>
  <c r="AV140" i="2"/>
  <c r="AZ140" i="2"/>
  <c r="BD140" i="2"/>
  <c r="BP140" i="2"/>
  <c r="Q153" i="2"/>
  <c r="Y153" i="2"/>
  <c r="AS167" i="2"/>
  <c r="BQ167" i="2"/>
  <c r="Q167" i="2"/>
  <c r="Y167" i="2"/>
  <c r="AG167" i="2"/>
  <c r="AO167" i="2"/>
  <c r="AW167" i="2"/>
  <c r="BE167" i="2"/>
  <c r="BM167" i="2"/>
  <c r="V176" i="2"/>
  <c r="AD176" i="2"/>
  <c r="AL176" i="2"/>
  <c r="AT176" i="2"/>
  <c r="BB176" i="2"/>
  <c r="BJ176" i="2"/>
  <c r="BH140" i="2"/>
  <c r="U167" i="2"/>
  <c r="AK167" i="2"/>
  <c r="BA167" i="2"/>
  <c r="BL138" i="2"/>
  <c r="R153" i="2"/>
  <c r="V153" i="2"/>
  <c r="Z153" i="2"/>
  <c r="AD153" i="2"/>
  <c r="AH153" i="2"/>
  <c r="AL153" i="2"/>
  <c r="AP153" i="2"/>
  <c r="AT153" i="2"/>
  <c r="AX153" i="2"/>
  <c r="BB153" i="2"/>
  <c r="BF153" i="2"/>
  <c r="BJ153" i="2"/>
  <c r="BN153" i="2"/>
  <c r="BR153" i="2"/>
  <c r="U153" i="2"/>
  <c r="AC153" i="2"/>
  <c r="AK153" i="2"/>
  <c r="AS153" i="2"/>
  <c r="BA153" i="2"/>
  <c r="BI153" i="2"/>
  <c r="BQ153" i="2"/>
  <c r="Q176" i="2"/>
  <c r="U176" i="2"/>
  <c r="Y176" i="2"/>
  <c r="AC176" i="2"/>
  <c r="AG176" i="2"/>
  <c r="AK176" i="2"/>
  <c r="AO176" i="2"/>
  <c r="AS176" i="2"/>
  <c r="AW176" i="2"/>
  <c r="BA176" i="2"/>
  <c r="BE176" i="2"/>
  <c r="BI176" i="2"/>
  <c r="BM176" i="2"/>
  <c r="U55" i="4"/>
  <c r="AG55" i="4"/>
  <c r="AS55" i="4"/>
  <c r="BE55" i="4"/>
  <c r="S55" i="4"/>
  <c r="W55" i="4"/>
  <c r="AA55" i="4"/>
  <c r="AE55" i="4"/>
  <c r="AI55" i="4"/>
  <c r="AM55" i="4"/>
  <c r="AQ55" i="4"/>
  <c r="AU55" i="4"/>
  <c r="AY55" i="4"/>
  <c r="BC55" i="4"/>
  <c r="S82" i="4"/>
  <c r="W82" i="4"/>
  <c r="AA82" i="4"/>
  <c r="AE82" i="4"/>
  <c r="AI82" i="4"/>
  <c r="AM82" i="4"/>
  <c r="AQ82" i="4"/>
  <c r="AU82" i="4"/>
  <c r="AY82" i="4"/>
  <c r="BC82" i="4"/>
  <c r="BG82" i="4"/>
  <c r="BK82" i="4"/>
  <c r="BO82" i="4"/>
  <c r="Q55" i="4"/>
  <c r="AK55" i="4"/>
  <c r="BA55" i="4"/>
  <c r="BQ55" i="4"/>
  <c r="T55" i="4"/>
  <c r="X55" i="4"/>
  <c r="AF55" i="4"/>
  <c r="AJ55" i="4"/>
  <c r="AN55" i="4"/>
  <c r="AR55" i="4"/>
  <c r="AV55" i="4"/>
  <c r="AZ55" i="4"/>
  <c r="BD55" i="4"/>
  <c r="BL55" i="4"/>
  <c r="BP55" i="4"/>
  <c r="S91" i="4"/>
  <c r="W91" i="4"/>
  <c r="AA91" i="4"/>
  <c r="AE91" i="4"/>
  <c r="AI91" i="4"/>
  <c r="AM91" i="4"/>
  <c r="AQ91" i="4"/>
  <c r="AU91" i="4"/>
  <c r="AY91" i="4"/>
  <c r="BC91" i="4"/>
  <c r="BG91" i="4"/>
  <c r="BK91" i="4"/>
  <c r="Y55" i="4"/>
  <c r="AO55" i="4"/>
  <c r="BI55" i="4"/>
  <c r="AC55" i="4"/>
  <c r="AW55" i="4"/>
  <c r="BM55" i="4"/>
  <c r="BJ55" i="4"/>
  <c r="S68" i="4"/>
  <c r="W68" i="4"/>
  <c r="AA68" i="4"/>
  <c r="AE68" i="4"/>
  <c r="AI68" i="4"/>
  <c r="AM68" i="4"/>
  <c r="AQ68" i="4"/>
  <c r="AU68" i="4"/>
  <c r="AY68" i="4"/>
  <c r="BC68" i="4"/>
  <c r="BG68" i="4"/>
  <c r="BK68" i="4"/>
  <c r="BO68" i="4"/>
  <c r="BS68" i="4"/>
  <c r="R82" i="4"/>
  <c r="V82" i="4"/>
  <c r="Z82" i="4"/>
  <c r="AD82" i="4"/>
  <c r="AH82" i="4"/>
  <c r="AL82" i="4"/>
  <c r="AP82" i="4"/>
  <c r="AT82" i="4"/>
  <c r="AX82" i="4"/>
  <c r="BB82" i="4"/>
  <c r="BF82" i="4"/>
  <c r="BJ82" i="4"/>
  <c r="BN82" i="4"/>
  <c r="BR82" i="4"/>
  <c r="Q91" i="4"/>
  <c r="U91" i="4"/>
  <c r="Y91" i="4"/>
  <c r="AC91" i="4"/>
  <c r="AG91" i="4"/>
  <c r="AK91" i="4"/>
  <c r="AO91" i="4"/>
  <c r="AS91" i="4"/>
  <c r="AW91" i="4"/>
  <c r="BA91" i="4"/>
  <c r="BE91" i="4"/>
  <c r="BI91" i="4"/>
  <c r="BM91" i="4"/>
  <c r="BN55" i="4"/>
  <c r="BR55" i="4"/>
  <c r="Q68" i="4"/>
  <c r="U68" i="4"/>
  <c r="Y68" i="4"/>
  <c r="AC68" i="4"/>
  <c r="AG68" i="4"/>
  <c r="AK68" i="4"/>
  <c r="AO68" i="4"/>
  <c r="AS68" i="4"/>
  <c r="AW68" i="4"/>
  <c r="BA68" i="4"/>
  <c r="BE68" i="4"/>
  <c r="BI68" i="4"/>
  <c r="BM68" i="4"/>
  <c r="BQ68" i="4"/>
  <c r="BF53" i="4"/>
  <c r="BG55" i="4"/>
  <c r="BK55" i="4"/>
  <c r="BO55" i="4"/>
  <c r="BS55" i="4"/>
  <c r="Q82" i="4"/>
  <c r="U82" i="4"/>
  <c r="Y82" i="4"/>
  <c r="AC82" i="4"/>
  <c r="AG82" i="4"/>
  <c r="AK82" i="4"/>
  <c r="AO82" i="4"/>
  <c r="AS82" i="4"/>
  <c r="AW82" i="4"/>
  <c r="BA82" i="4"/>
  <c r="BE82" i="4"/>
  <c r="BI82" i="4"/>
  <c r="BM82" i="4"/>
  <c r="BQ82" i="4"/>
  <c r="BU41" i="8" l="1"/>
  <c r="BL41" i="8"/>
  <c r="BG41" i="8"/>
  <c r="BF41" i="8"/>
  <c r="AT41" i="8"/>
  <c r="AP41" i="8"/>
  <c r="AV41" i="8" s="1"/>
  <c r="AO41" i="8"/>
  <c r="AU41" i="8" s="1"/>
  <c r="Y41" i="8"/>
  <c r="Z41" i="8" s="1"/>
  <c r="BU40" i="8"/>
  <c r="BL40" i="8"/>
  <c r="BG40" i="8"/>
  <c r="BF40" i="8"/>
  <c r="AT40" i="8"/>
  <c r="AP40" i="8"/>
  <c r="AV40" i="8" s="1"/>
  <c r="AO40" i="8"/>
  <c r="AU40" i="8" s="1"/>
  <c r="Y40" i="8"/>
  <c r="Z40" i="8" s="1"/>
  <c r="BU39" i="8"/>
  <c r="BL39" i="8"/>
  <c r="BG39" i="8"/>
  <c r="BF39" i="8"/>
  <c r="AT39" i="8"/>
  <c r="AP39" i="8"/>
  <c r="AV39" i="8" s="1"/>
  <c r="AO39" i="8"/>
  <c r="AU39" i="8" s="1"/>
  <c r="Y39" i="8"/>
  <c r="Z39" i="8" s="1"/>
  <c r="BU38" i="8"/>
  <c r="BL38" i="8"/>
  <c r="BG38" i="8"/>
  <c r="BF38" i="8"/>
  <c r="AT38" i="8"/>
  <c r="AP38" i="8"/>
  <c r="AV38" i="8" s="1"/>
  <c r="AO38" i="8"/>
  <c r="AU38" i="8" s="1"/>
  <c r="Y38" i="8"/>
  <c r="Z38" i="8" s="1"/>
  <c r="BU37" i="8"/>
  <c r="BL37" i="8"/>
  <c r="BG37" i="8"/>
  <c r="BF37" i="8"/>
  <c r="AT37" i="8"/>
  <c r="AP37" i="8"/>
  <c r="AV37" i="8" s="1"/>
  <c r="AO37" i="8"/>
  <c r="AU37" i="8" s="1"/>
  <c r="Y37" i="8"/>
  <c r="Z37" i="8" s="1"/>
  <c r="BU36" i="8"/>
  <c r="BL36" i="8"/>
  <c r="BG36" i="8"/>
  <c r="BF36" i="8"/>
  <c r="AT36" i="8"/>
  <c r="AP36" i="8"/>
  <c r="AV36" i="8" s="1"/>
  <c r="AO36" i="8"/>
  <c r="AU36" i="8" s="1"/>
  <c r="Y36" i="8"/>
  <c r="Z36" i="8" s="1"/>
  <c r="BU35" i="8"/>
  <c r="BL35" i="8"/>
  <c r="BG35" i="8"/>
  <c r="BF35" i="8"/>
  <c r="AT35" i="8"/>
  <c r="AP35" i="8"/>
  <c r="AV35" i="8" s="1"/>
  <c r="AO35" i="8"/>
  <c r="AU35" i="8" s="1"/>
  <c r="Y35" i="8"/>
  <c r="Z35" i="8" s="1"/>
  <c r="BU34" i="8"/>
  <c r="BL34" i="8"/>
  <c r="BG34" i="8"/>
  <c r="BF34" i="8"/>
  <c r="AT34" i="8"/>
  <c r="AP34" i="8"/>
  <c r="AV34" i="8" s="1"/>
  <c r="AO34" i="8"/>
  <c r="AU34" i="8" s="1"/>
  <c r="Y34" i="8"/>
  <c r="Z34" i="8" s="1"/>
  <c r="BU33" i="8"/>
  <c r="BL33" i="8"/>
  <c r="BG33" i="8"/>
  <c r="BF33" i="8"/>
  <c r="AT33" i="8"/>
  <c r="AP33" i="8"/>
  <c r="AV33" i="8" s="1"/>
  <c r="AO33" i="8"/>
  <c r="AU33" i="8" s="1"/>
  <c r="Y33" i="8"/>
  <c r="Z33" i="8" s="1"/>
  <c r="BU32" i="8"/>
  <c r="BL32" i="8"/>
  <c r="BG32" i="8"/>
  <c r="BF32" i="8"/>
  <c r="AT32" i="8"/>
  <c r="AP32" i="8"/>
  <c r="AV32" i="8" s="1"/>
  <c r="AO32" i="8"/>
  <c r="AU32" i="8" s="1"/>
  <c r="Y32" i="8"/>
  <c r="Z32" i="8" s="1"/>
  <c r="BU31" i="8"/>
  <c r="BL31" i="8"/>
  <c r="BG31" i="8"/>
  <c r="BF31" i="8"/>
  <c r="AT31" i="8"/>
  <c r="AP31" i="8"/>
  <c r="AV31" i="8" s="1"/>
  <c r="AO31" i="8"/>
  <c r="AU31" i="8" s="1"/>
  <c r="Y31" i="8"/>
  <c r="Z31" i="8" s="1"/>
  <c r="BU30" i="8"/>
  <c r="BL30" i="8"/>
  <c r="BG30" i="8"/>
  <c r="BF30" i="8"/>
  <c r="AT30" i="8"/>
  <c r="AP30" i="8"/>
  <c r="AV30" i="8" s="1"/>
  <c r="AO30" i="8"/>
  <c r="AU30" i="8" s="1"/>
  <c r="Y30" i="8"/>
  <c r="Z30" i="8" s="1"/>
  <c r="BU29" i="8"/>
  <c r="BL29" i="8"/>
  <c r="BG29" i="8"/>
  <c r="BF29" i="8"/>
  <c r="AT29" i="8"/>
  <c r="AP29" i="8"/>
  <c r="AV29" i="8" s="1"/>
  <c r="AO29" i="8"/>
  <c r="AU29" i="8" s="1"/>
  <c r="Y29" i="8"/>
  <c r="Z29" i="8" s="1"/>
  <c r="BU28" i="8"/>
  <c r="BL28" i="8"/>
  <c r="BG28" i="8"/>
  <c r="BF28" i="8"/>
  <c r="AT28" i="8"/>
  <c r="AP28" i="8"/>
  <c r="AV28" i="8" s="1"/>
  <c r="AO28" i="8"/>
  <c r="AU28" i="8" s="1"/>
  <c r="Y28" i="8"/>
  <c r="Z28" i="8" s="1"/>
  <c r="BU27" i="8"/>
  <c r="BL27" i="8"/>
  <c r="BG27" i="8"/>
  <c r="BF27" i="8"/>
  <c r="AP27" i="8"/>
  <c r="AO27" i="8"/>
  <c r="Y27" i="8"/>
  <c r="Z27" i="8" s="1"/>
  <c r="BU26" i="8"/>
  <c r="BL26" i="8"/>
  <c r="BG26" i="8"/>
  <c r="BF26" i="8"/>
  <c r="AT26" i="8"/>
  <c r="AP26" i="8"/>
  <c r="AV26" i="8" s="1"/>
  <c r="AO26" i="8"/>
  <c r="AU26" i="8" s="1"/>
  <c r="Y26" i="8"/>
  <c r="Z26" i="8" s="1"/>
  <c r="BU25" i="8"/>
  <c r="BL25" i="8"/>
  <c r="BG25" i="8"/>
  <c r="BF25" i="8"/>
  <c r="AT25" i="8"/>
  <c r="AP25" i="8"/>
  <c r="AV25" i="8" s="1"/>
  <c r="AO25" i="8"/>
  <c r="AU25" i="8" s="1"/>
  <c r="Y25" i="8"/>
  <c r="Z25" i="8" s="1"/>
  <c r="BU24" i="8"/>
  <c r="BL24" i="8"/>
  <c r="BG24" i="8"/>
  <c r="BF24" i="8"/>
  <c r="AT24" i="8"/>
  <c r="AP24" i="8"/>
  <c r="AV24" i="8" s="1"/>
  <c r="AO24" i="8"/>
  <c r="AU24" i="8" s="1"/>
  <c r="Y24" i="8"/>
  <c r="Z24" i="8" s="1"/>
  <c r="BU23" i="8"/>
  <c r="BL23" i="8"/>
  <c r="BG23" i="8"/>
  <c r="BF23" i="8"/>
  <c r="AT23" i="8"/>
  <c r="AP23" i="8"/>
  <c r="AV23" i="8" s="1"/>
  <c r="AO23" i="8"/>
  <c r="AU23" i="8" s="1"/>
  <c r="Y23" i="8"/>
  <c r="Z23" i="8" s="1"/>
  <c r="BU22" i="8"/>
  <c r="BL22" i="8"/>
  <c r="BH22" i="8"/>
  <c r="BG22" i="8"/>
  <c r="BF22" i="8"/>
  <c r="AT22" i="8"/>
  <c r="AP22" i="8"/>
  <c r="AV22" i="8" s="1"/>
  <c r="AO22" i="8"/>
  <c r="AU22" i="8" s="1"/>
  <c r="Y22" i="8"/>
  <c r="Z22" i="8" s="1"/>
  <c r="BU21" i="8"/>
  <c r="BL21" i="8"/>
  <c r="BH21" i="8"/>
  <c r="BG21" i="8"/>
  <c r="BF21" i="8"/>
  <c r="AT21" i="8"/>
  <c r="AP21" i="8"/>
  <c r="AV21" i="8" s="1"/>
  <c r="AO21" i="8"/>
  <c r="AU21" i="8" s="1"/>
  <c r="Y21" i="8"/>
  <c r="Z21" i="8" s="1"/>
  <c r="BU20" i="8"/>
  <c r="BL20" i="8"/>
  <c r="BH20" i="8"/>
  <c r="BG20" i="8"/>
  <c r="BF20" i="8"/>
  <c r="AT20" i="8"/>
  <c r="AP20" i="8"/>
  <c r="AV20" i="8" s="1"/>
  <c r="AO20" i="8"/>
  <c r="AU20" i="8" s="1"/>
  <c r="Y20" i="8"/>
  <c r="Z20" i="8" s="1"/>
  <c r="BU19" i="8"/>
  <c r="BL19" i="8"/>
  <c r="BH19" i="8"/>
  <c r="BG19" i="8"/>
  <c r="BF19" i="8"/>
  <c r="AT19" i="8"/>
  <c r="AP19" i="8"/>
  <c r="AV19" i="8" s="1"/>
  <c r="AO19" i="8"/>
  <c r="AU19" i="8" s="1"/>
  <c r="Y19" i="8"/>
  <c r="Z19" i="8" s="1"/>
  <c r="BU18" i="8"/>
  <c r="BL18" i="8"/>
  <c r="BH18" i="8"/>
  <c r="BG18" i="8"/>
  <c r="BF18" i="8"/>
  <c r="AT18" i="8"/>
  <c r="AP18" i="8"/>
  <c r="AV18" i="8" s="1"/>
  <c r="AO18" i="8"/>
  <c r="AU18" i="8" s="1"/>
  <c r="Y18" i="8"/>
  <c r="Z18" i="8" s="1"/>
  <c r="BU17" i="8"/>
  <c r="BL17" i="8"/>
  <c r="BH17" i="8"/>
  <c r="BG17" i="8"/>
  <c r="BF17" i="8"/>
  <c r="AT17" i="8"/>
  <c r="AP17" i="8"/>
  <c r="AV17" i="8" s="1"/>
  <c r="AO17" i="8"/>
  <c r="AU17" i="8" s="1"/>
  <c r="Y17" i="8"/>
  <c r="Z17" i="8" s="1"/>
  <c r="BU16" i="8"/>
  <c r="BL16" i="8"/>
  <c r="BH16" i="8"/>
  <c r="BG16" i="8"/>
  <c r="BF16" i="8"/>
  <c r="AT16" i="8"/>
  <c r="AP16" i="8"/>
  <c r="AV16" i="8" s="1"/>
  <c r="AO16" i="8"/>
  <c r="AU16" i="8" s="1"/>
  <c r="Y16" i="8"/>
  <c r="Z16" i="8" s="1"/>
  <c r="BU15" i="8"/>
  <c r="BL15" i="8"/>
  <c r="BH15" i="8"/>
  <c r="BG15" i="8"/>
  <c r="BF15" i="8"/>
  <c r="AT15" i="8"/>
  <c r="AP15" i="8"/>
  <c r="AV15" i="8" s="1"/>
  <c r="AO15" i="8"/>
  <c r="AU15" i="8" s="1"/>
  <c r="Y15" i="8"/>
  <c r="Z15" i="8" s="1"/>
  <c r="BU14" i="8"/>
  <c r="BL14" i="8"/>
  <c r="BH14" i="8"/>
  <c r="BG14" i="8"/>
  <c r="BF14" i="8"/>
  <c r="AT14" i="8"/>
  <c r="AP14" i="8"/>
  <c r="AV14" i="8" s="1"/>
  <c r="AO14" i="8"/>
  <c r="AU14" i="8" s="1"/>
  <c r="Y14" i="8"/>
  <c r="Z14" i="8" s="1"/>
  <c r="BU13" i="8"/>
  <c r="BL13" i="8"/>
  <c r="BH13" i="8"/>
  <c r="BG13" i="8"/>
  <c r="BF13" i="8"/>
  <c r="AT13" i="8"/>
  <c r="AP13" i="8"/>
  <c r="AV13" i="8" s="1"/>
  <c r="AO13" i="8"/>
  <c r="AU13" i="8" s="1"/>
  <c r="Y13" i="8"/>
  <c r="Z13" i="8" s="1"/>
  <c r="BU12" i="8"/>
  <c r="BL12" i="8"/>
  <c r="BH12" i="8"/>
  <c r="BG12" i="8"/>
  <c r="BF12" i="8"/>
  <c r="AT12" i="8"/>
  <c r="AP12" i="8"/>
  <c r="AV12" i="8" s="1"/>
  <c r="AO12" i="8"/>
  <c r="AU12" i="8" s="1"/>
  <c r="Y12" i="8"/>
  <c r="Z12" i="8" s="1"/>
  <c r="BU11" i="8"/>
  <c r="BL11" i="8"/>
  <c r="BH11" i="8"/>
  <c r="BG11" i="8"/>
  <c r="BF11" i="8"/>
  <c r="AT11" i="8"/>
  <c r="AP11" i="8"/>
  <c r="AV11" i="8" s="1"/>
  <c r="AO11" i="8"/>
  <c r="AU11" i="8" s="1"/>
  <c r="Y11" i="8"/>
  <c r="Z11" i="8" s="1"/>
  <c r="BU10" i="8"/>
  <c r="BL10" i="8"/>
  <c r="BH10" i="8"/>
  <c r="BG10" i="8"/>
  <c r="BF10" i="8"/>
  <c r="AT10" i="8"/>
  <c r="AP10" i="8"/>
  <c r="AV10" i="8" s="1"/>
  <c r="AO10" i="8"/>
  <c r="AU10" i="8" s="1"/>
  <c r="Y10" i="8"/>
  <c r="Z10" i="8" s="1"/>
  <c r="BU9" i="8"/>
  <c r="BL9" i="8"/>
  <c r="BH9" i="8"/>
  <c r="BG9" i="8"/>
  <c r="BF9" i="8"/>
  <c r="AT9" i="8"/>
  <c r="AP9" i="8"/>
  <c r="AV9" i="8" s="1"/>
  <c r="AO9" i="8"/>
  <c r="AU9" i="8" s="1"/>
  <c r="Y9" i="8"/>
  <c r="Z9" i="8" s="1"/>
  <c r="BU8" i="8"/>
  <c r="BL8" i="8"/>
  <c r="BH8" i="8"/>
  <c r="BG8" i="8"/>
  <c r="BF8" i="8"/>
  <c r="AT8" i="8"/>
  <c r="AP8" i="8"/>
  <c r="AV8" i="8" s="1"/>
  <c r="AO8" i="8"/>
  <c r="AU8" i="8" s="1"/>
  <c r="Y8" i="8"/>
  <c r="Z8" i="8" s="1"/>
  <c r="BU7" i="8"/>
  <c r="BL7" i="8"/>
  <c r="BH7" i="8"/>
  <c r="BG7" i="8"/>
  <c r="BF7" i="8"/>
  <c r="AT7" i="8"/>
  <c r="AP7" i="8"/>
  <c r="AV7" i="8" s="1"/>
  <c r="AO7" i="8"/>
  <c r="AU7" i="8" s="1"/>
  <c r="Y7" i="8"/>
  <c r="Z7" i="8" s="1"/>
  <c r="BU6" i="8"/>
  <c r="BL6" i="8"/>
  <c r="BH6" i="8"/>
  <c r="BG6" i="8"/>
  <c r="BF6" i="8"/>
  <c r="AT6" i="8"/>
  <c r="AP6" i="8"/>
  <c r="AV6" i="8" s="1"/>
  <c r="AO6" i="8"/>
  <c r="AU6" i="8" s="1"/>
  <c r="Y6" i="8"/>
  <c r="Z6" i="8" s="1"/>
  <c r="BU5" i="8"/>
  <c r="BL5" i="8"/>
  <c r="BH5" i="8"/>
  <c r="BG5" i="8"/>
  <c r="BF5" i="8"/>
  <c r="AT5" i="8"/>
  <c r="AP5" i="8"/>
  <c r="AV5" i="8" s="1"/>
  <c r="AO5" i="8"/>
  <c r="AU5" i="8" s="1"/>
  <c r="Y5" i="8"/>
  <c r="Z5" i="8" s="1"/>
  <c r="J41" i="8" l="1"/>
  <c r="BH41" i="8" s="1"/>
  <c r="F41" i="8"/>
  <c r="J40" i="8"/>
  <c r="BH40" i="8" s="1"/>
  <c r="F40" i="8"/>
  <c r="J39" i="8"/>
  <c r="BH39" i="8" s="1"/>
  <c r="F39" i="8"/>
  <c r="J38" i="8"/>
  <c r="BH38" i="8" s="1"/>
  <c r="F38" i="8"/>
  <c r="J37" i="8"/>
  <c r="BH37" i="8" s="1"/>
  <c r="F37" i="8"/>
  <c r="J36" i="8"/>
  <c r="BH36" i="8" s="1"/>
  <c r="F36" i="8"/>
  <c r="J35" i="8"/>
  <c r="BH35" i="8" s="1"/>
  <c r="F35" i="8"/>
  <c r="J34" i="8"/>
  <c r="BH34" i="8" s="1"/>
  <c r="F34" i="8"/>
  <c r="J33" i="8"/>
  <c r="BH33" i="8" s="1"/>
  <c r="F33" i="8"/>
  <c r="J32" i="8"/>
  <c r="BH32" i="8" s="1"/>
  <c r="F32" i="8"/>
  <c r="J31" i="8"/>
  <c r="BH31" i="8" s="1"/>
  <c r="F31" i="8"/>
  <c r="J30" i="8"/>
  <c r="BH30" i="8" s="1"/>
  <c r="F30" i="8"/>
  <c r="J29" i="8"/>
  <c r="BH29" i="8" s="1"/>
  <c r="F29" i="8"/>
  <c r="J28" i="8"/>
  <c r="BH28" i="8" s="1"/>
  <c r="F28" i="8"/>
  <c r="J27" i="8"/>
  <c r="BH27" i="8" s="1"/>
  <c r="F27" i="8"/>
  <c r="J26" i="8"/>
  <c r="BH26" i="8" s="1"/>
  <c r="F26" i="8"/>
  <c r="J25" i="8"/>
  <c r="BH25" i="8" s="1"/>
  <c r="F25" i="8"/>
  <c r="J24" i="8"/>
  <c r="BH24" i="8" s="1"/>
  <c r="F24" i="8"/>
  <c r="J23" i="8"/>
  <c r="BH23" i="8" s="1"/>
  <c r="F23" i="8"/>
</calcChain>
</file>

<file path=xl/sharedStrings.xml><?xml version="1.0" encoding="utf-8"?>
<sst xmlns="http://schemas.openxmlformats.org/spreadsheetml/2006/main" count="20134" uniqueCount="1200">
  <si>
    <t>LIMS Code</t>
  </si>
  <si>
    <t>Date Sampled</t>
  </si>
  <si>
    <t>Soil pH</t>
  </si>
  <si>
    <t>Hg</t>
  </si>
  <si>
    <t>Li</t>
  </si>
  <si>
    <t>Be</t>
  </si>
  <si>
    <t>Na</t>
  </si>
  <si>
    <t>Mg</t>
  </si>
  <si>
    <t>Al</t>
  </si>
  <si>
    <t xml:space="preserve">P </t>
  </si>
  <si>
    <t xml:space="preserve">S </t>
  </si>
  <si>
    <t xml:space="preserve">K </t>
  </si>
  <si>
    <t>Ca</t>
  </si>
  <si>
    <t>Ti</t>
  </si>
  <si>
    <t xml:space="preserve">V </t>
  </si>
  <si>
    <t>Cr</t>
  </si>
  <si>
    <t>Mn</t>
  </si>
  <si>
    <t>Fe</t>
  </si>
  <si>
    <t>Co</t>
  </si>
  <si>
    <t>Ni</t>
  </si>
  <si>
    <t>Cu</t>
  </si>
  <si>
    <t>Zn</t>
  </si>
  <si>
    <t>Ga</t>
  </si>
  <si>
    <t>As</t>
  </si>
  <si>
    <t>Se</t>
  </si>
  <si>
    <t>Rb</t>
  </si>
  <si>
    <t>Sr</t>
  </si>
  <si>
    <t xml:space="preserve">Y </t>
  </si>
  <si>
    <t>Zr</t>
  </si>
  <si>
    <t>Nb</t>
  </si>
  <si>
    <t>Mo</t>
  </si>
  <si>
    <t>Ag</t>
  </si>
  <si>
    <t>Cd</t>
  </si>
  <si>
    <t>Sn</t>
  </si>
  <si>
    <t>Sb</t>
  </si>
  <si>
    <t>Cs</t>
  </si>
  <si>
    <t>Ba</t>
  </si>
  <si>
    <t>La</t>
  </si>
  <si>
    <t>Ce</t>
  </si>
  <si>
    <t>Pr</t>
  </si>
  <si>
    <t>Nd</t>
  </si>
  <si>
    <t>Sm</t>
  </si>
  <si>
    <t>Eu</t>
  </si>
  <si>
    <t>Gd</t>
  </si>
  <si>
    <t>Tb</t>
  </si>
  <si>
    <t>Dy</t>
  </si>
  <si>
    <t>Ho</t>
  </si>
  <si>
    <t>Er</t>
  </si>
  <si>
    <t>Tm</t>
  </si>
  <si>
    <t>Yb</t>
  </si>
  <si>
    <t>Lu</t>
  </si>
  <si>
    <t>Hf</t>
  </si>
  <si>
    <t>Ta</t>
  </si>
  <si>
    <t xml:space="preserve">W </t>
  </si>
  <si>
    <t>Tl</t>
  </si>
  <si>
    <t>Pb</t>
  </si>
  <si>
    <t>Bi</t>
  </si>
  <si>
    <t>Th</t>
  </si>
  <si>
    <t xml:space="preserve">U </t>
  </si>
  <si>
    <t>0.8</t>
  </si>
  <si>
    <t>0.04</t>
  </si>
  <si>
    <t>32</t>
  </si>
  <si>
    <t>4</t>
  </si>
  <si>
    <t>10</t>
  </si>
  <si>
    <t>2</t>
  </si>
  <si>
    <t>14</t>
  </si>
  <si>
    <t>82</t>
  </si>
  <si>
    <t>906</t>
  </si>
  <si>
    <t>0.6</t>
  </si>
  <si>
    <t>0.2</t>
  </si>
  <si>
    <t>0.4</t>
  </si>
  <si>
    <t>6</t>
  </si>
  <si>
    <t>0.008</t>
  </si>
  <si>
    <t>0.05</t>
  </si>
  <si>
    <t>0.06</t>
  </si>
  <si>
    <t>12</t>
  </si>
  <si>
    <t>0.02</t>
  </si>
  <si>
    <t>0.5</t>
  </si>
  <si>
    <t>0.03</t>
  </si>
  <si>
    <t>0.009</t>
  </si>
  <si>
    <t>0.09</t>
  </si>
  <si>
    <t>0.004</t>
  </si>
  <si>
    <t>0.007</t>
  </si>
  <si>
    <t>0.006</t>
  </si>
  <si>
    <t>0.005</t>
  </si>
  <si>
    <t>0.002</t>
  </si>
  <si>
    <t>0.003</t>
  </si>
  <si>
    <t>14704-0001</t>
  </si>
  <si>
    <t>SA001-1-SLIN01</t>
  </si>
  <si>
    <t>14704-0002</t>
  </si>
  <si>
    <t>SA001-1-SLOR01</t>
  </si>
  <si>
    <t>&lt;0.03</t>
  </si>
  <si>
    <t>&lt;0.04</t>
  </si>
  <si>
    <t>14704-0003</t>
  </si>
  <si>
    <t>SA001-1-SLMW01</t>
  </si>
  <si>
    <t>14704-0004</t>
  </si>
  <si>
    <t>SA001-2-SLRE01</t>
  </si>
  <si>
    <t>14704-0005</t>
  </si>
  <si>
    <t>SA001-1-SLRE01</t>
  </si>
  <si>
    <t>14704-0006</t>
  </si>
  <si>
    <t>SA001-2-SLAG01</t>
  </si>
  <si>
    <t>14704-0007</t>
  </si>
  <si>
    <t>SA001-3-SLRE01</t>
  </si>
  <si>
    <t>14704-0008</t>
  </si>
  <si>
    <t xml:space="preserve">SA001-2-SLMW01 </t>
  </si>
  <si>
    <t>14704-0009</t>
  </si>
  <si>
    <t>SA001-3-SLPG01</t>
  </si>
  <si>
    <t>14704-0010</t>
  </si>
  <si>
    <t>SA001-4-SLRE01</t>
  </si>
  <si>
    <t>14704-0011</t>
  </si>
  <si>
    <t xml:space="preserve">SA001-5-SLIND01 </t>
  </si>
  <si>
    <t>14704-0012</t>
  </si>
  <si>
    <t>SA001-5-SLMW01</t>
  </si>
  <si>
    <t>14704-0013</t>
  </si>
  <si>
    <t>SA001-5-SLRE01</t>
  </si>
  <si>
    <t>14704-0014</t>
  </si>
  <si>
    <t>SA002-1-SLMW01</t>
  </si>
  <si>
    <t>14704-0015</t>
  </si>
  <si>
    <t>SA002-2-SLMW01</t>
  </si>
  <si>
    <t>14704-0016</t>
  </si>
  <si>
    <t>SA002-3-SLRE01</t>
  </si>
  <si>
    <t>14704-0017</t>
  </si>
  <si>
    <t>SA003-1-SLEW01</t>
  </si>
  <si>
    <t>14704-0018</t>
  </si>
  <si>
    <t>SA003-1-SLEW02</t>
  </si>
  <si>
    <t>&lt;906</t>
  </si>
  <si>
    <t>14704-0019</t>
  </si>
  <si>
    <t>SA003-1-SLEW03</t>
  </si>
  <si>
    <t>14704-0020</t>
  </si>
  <si>
    <t>SA003-1-SLMW02</t>
  </si>
  <si>
    <t>14704-0021</t>
  </si>
  <si>
    <t>SA003-1-SLMW01</t>
  </si>
  <si>
    <t>14704-0022</t>
  </si>
  <si>
    <t>SA003-2-SLAG01</t>
  </si>
  <si>
    <t>14704-0023</t>
  </si>
  <si>
    <t>SA004-2-SLAG01</t>
  </si>
  <si>
    <t>14704-0024</t>
  </si>
  <si>
    <t>SA004-3-SLEW01</t>
  </si>
  <si>
    <t>14704-0025</t>
  </si>
  <si>
    <t>SA004-4-SLRE01</t>
  </si>
  <si>
    <t>14704-0026</t>
  </si>
  <si>
    <t>SA004-3-SLMW01</t>
  </si>
  <si>
    <t>14704-0027</t>
  </si>
  <si>
    <t>SA004-3-SLMW02</t>
  </si>
  <si>
    <t>14704-0028</t>
  </si>
  <si>
    <t>SA005-1-SLSC01</t>
  </si>
  <si>
    <t>14704-0029</t>
  </si>
  <si>
    <t>SA005-2-SLPG01</t>
  </si>
  <si>
    <t>14704-0030</t>
  </si>
  <si>
    <t>SA006-1-SLSC01</t>
  </si>
  <si>
    <t>14704-0031</t>
  </si>
  <si>
    <t>SA006-2-SLPG01</t>
  </si>
  <si>
    <t>14704-0032</t>
  </si>
  <si>
    <t>SA007-1-SLIN01</t>
  </si>
  <si>
    <t>14704-0033</t>
  </si>
  <si>
    <t>SA008-1-SLAG01</t>
  </si>
  <si>
    <t>14704-0034</t>
  </si>
  <si>
    <t>SA008-2-SLRE01</t>
  </si>
  <si>
    <t>14704-0035</t>
  </si>
  <si>
    <t>SA008-1-SLOR01</t>
  </si>
  <si>
    <t>&lt;14</t>
  </si>
  <si>
    <t>14704-0036</t>
  </si>
  <si>
    <t>SA009-1-SLOR01</t>
  </si>
  <si>
    <t>14704-0037</t>
  </si>
  <si>
    <t>SA009-1-SLRE01</t>
  </si>
  <si>
    <t>14704-0038</t>
  </si>
  <si>
    <t>SA009-1-SLAG01</t>
  </si>
  <si>
    <t>14704-0039</t>
  </si>
  <si>
    <t>SA010-1-SLIN01</t>
  </si>
  <si>
    <t>14704-0040</t>
  </si>
  <si>
    <t>SA010-2-SLRE01</t>
  </si>
  <si>
    <t>14704-0041</t>
  </si>
  <si>
    <t>SA010-1-SLOR01</t>
  </si>
  <si>
    <t>14704-0042</t>
  </si>
  <si>
    <t xml:space="preserve">SA010-2-SLIN01 </t>
  </si>
  <si>
    <t>14704-0043</t>
  </si>
  <si>
    <t>SA010-2-SLAG01</t>
  </si>
  <si>
    <t>14704-0044</t>
  </si>
  <si>
    <t>SA011-1-SLOR01</t>
  </si>
  <si>
    <t>14704-0045</t>
  </si>
  <si>
    <t>SA011-2-SLAG01</t>
  </si>
  <si>
    <t>14704-0046</t>
  </si>
  <si>
    <t>SA011-4-SLIN01</t>
  </si>
  <si>
    <t>14704-0047</t>
  </si>
  <si>
    <t>SA012-1-SLRE01</t>
  </si>
  <si>
    <t>14704-0048</t>
  </si>
  <si>
    <t>SA012-2-SLAG01</t>
  </si>
  <si>
    <t>14704-0049</t>
  </si>
  <si>
    <t>SA012-3-SLIN01</t>
  </si>
  <si>
    <t>14704-0050</t>
  </si>
  <si>
    <t>SA012-3-SLOR01</t>
  </si>
  <si>
    <t>14704-0051</t>
  </si>
  <si>
    <t>SA012-3-SLMW01</t>
  </si>
  <si>
    <t>14704-0052</t>
  </si>
  <si>
    <t>SA013-1-SLOR01</t>
  </si>
  <si>
    <t>14704-0053</t>
  </si>
  <si>
    <t>SA013-1-SLAG01</t>
  </si>
  <si>
    <t>14704-0054</t>
  </si>
  <si>
    <t>SA013-2-SLRE01</t>
  </si>
  <si>
    <t>14704-0055</t>
  </si>
  <si>
    <t>SA013-2-SLAG01</t>
  </si>
  <si>
    <t>14704-0056</t>
  </si>
  <si>
    <t>SA014-2-SLMW01</t>
  </si>
  <si>
    <t>14704-0057</t>
  </si>
  <si>
    <t>SA014-1-SLAG01</t>
  </si>
  <si>
    <t>14704-0058</t>
  </si>
  <si>
    <t>SA014-1-SLIN01</t>
  </si>
  <si>
    <t>14704-0059</t>
  </si>
  <si>
    <t>SA014-1-SLRE01</t>
  </si>
  <si>
    <t>14704-0060</t>
  </si>
  <si>
    <t>SA015-1-SLIN01</t>
  </si>
  <si>
    <t>14704-0061</t>
  </si>
  <si>
    <t>SA015-1-SLAG01</t>
  </si>
  <si>
    <t>14704-0062</t>
  </si>
  <si>
    <t>SA015-1-SLMW01</t>
  </si>
  <si>
    <t>14704-0063</t>
  </si>
  <si>
    <t>SA015-1-SL0R01</t>
  </si>
  <si>
    <t>14704-0064</t>
  </si>
  <si>
    <t>SA016-1-SLMW01</t>
  </si>
  <si>
    <t>14704-0065</t>
  </si>
  <si>
    <t>SA016-1-SLOR01</t>
  </si>
  <si>
    <t>14704-0066</t>
  </si>
  <si>
    <t>SA016-1-SLIN01</t>
  </si>
  <si>
    <t>14704-0067</t>
  </si>
  <si>
    <t>SA016-1-SLRE01</t>
  </si>
  <si>
    <t>14704-0068</t>
  </si>
  <si>
    <t>SA016-2-SLAG01</t>
  </si>
  <si>
    <t>14704-0069</t>
  </si>
  <si>
    <t>SA017-1-SLOR01</t>
  </si>
  <si>
    <t>14704-0070</t>
  </si>
  <si>
    <t>SA017-1-SLIN01</t>
  </si>
  <si>
    <t>14704-0071</t>
  </si>
  <si>
    <t>SA017-2-SLRE01</t>
  </si>
  <si>
    <t>14704-0072</t>
  </si>
  <si>
    <t>SA017-2-SLAG01</t>
  </si>
  <si>
    <t>14704-0073</t>
  </si>
  <si>
    <t>SA017-3-SLIN02</t>
  </si>
  <si>
    <t>14704-0074</t>
  </si>
  <si>
    <t>SA017-3-SLPG01</t>
  </si>
  <si>
    <t>14704-0075</t>
  </si>
  <si>
    <t xml:space="preserve">SA017-1-SLMW01 </t>
  </si>
  <si>
    <t>14704-0076</t>
  </si>
  <si>
    <t>SA017-3-SLAG01</t>
  </si>
  <si>
    <t>14704-0077</t>
  </si>
  <si>
    <t>SA017-3-SLIN01</t>
  </si>
  <si>
    <t>14704-0078</t>
  </si>
  <si>
    <t>SA017-3-SLMW01</t>
  </si>
  <si>
    <t>14704-0079</t>
  </si>
  <si>
    <t>SA017-3-SLOR01</t>
  </si>
  <si>
    <t>14704-0080</t>
  </si>
  <si>
    <t>SA017-3-SLRE01</t>
  </si>
  <si>
    <t>14704-0081</t>
  </si>
  <si>
    <t>SA017-4-SLEW01</t>
  </si>
  <si>
    <t>14704-0082</t>
  </si>
  <si>
    <t>SA017-4-SLMW01</t>
  </si>
  <si>
    <t>14704-0083</t>
  </si>
  <si>
    <t>SA18-1-SLMW01</t>
  </si>
  <si>
    <t>14704-0084</t>
  </si>
  <si>
    <t>SA018-1-SLIN01</t>
  </si>
  <si>
    <t>14704-0085</t>
  </si>
  <si>
    <t>SA018-3-SLMW01</t>
  </si>
  <si>
    <t>14704-0086</t>
  </si>
  <si>
    <t>SA018-1-SLOR01</t>
  </si>
  <si>
    <t>14704-0087</t>
  </si>
  <si>
    <t>SA018-3-SLRE01</t>
  </si>
  <si>
    <t>14704-0088</t>
  </si>
  <si>
    <t>SA019-1-SLOR01</t>
  </si>
  <si>
    <t>14704-0089</t>
  </si>
  <si>
    <t>SA019-1-SLMW01</t>
  </si>
  <si>
    <t>14704-0090</t>
  </si>
  <si>
    <t xml:space="preserve">SA019-1-SLIN01 </t>
  </si>
  <si>
    <t>14704-0091</t>
  </si>
  <si>
    <t>SA019-2-SLIN01</t>
  </si>
  <si>
    <t>14704-0092</t>
  </si>
  <si>
    <t>SA019-2-SLMW01</t>
  </si>
  <si>
    <t>14704-0093</t>
  </si>
  <si>
    <t>SA019-2-SLOR01</t>
  </si>
  <si>
    <t>14704-0094</t>
  </si>
  <si>
    <t>SA019-3-SLAG01</t>
  </si>
  <si>
    <t>14704-0095</t>
  </si>
  <si>
    <t>SA019-3-SLIN01</t>
  </si>
  <si>
    <t>14704-0096</t>
  </si>
  <si>
    <t>SA019-3-SLMW01</t>
  </si>
  <si>
    <t>14704-0097</t>
  </si>
  <si>
    <t>SA019-3-SLOR01</t>
  </si>
  <si>
    <t>14704-0098</t>
  </si>
  <si>
    <t>SA019-3-SLRE01</t>
  </si>
  <si>
    <t>14704-0005 Dup</t>
  </si>
  <si>
    <t>n/a</t>
  </si>
  <si>
    <t>14704-0011 Dup</t>
  </si>
  <si>
    <t>14704-0022 Dup</t>
  </si>
  <si>
    <t>14704-0036 Dup</t>
  </si>
  <si>
    <t>14704-0049 Dup</t>
  </si>
  <si>
    <t>14704-0058 Dup</t>
  </si>
  <si>
    <t>14704-0075 Dup</t>
  </si>
  <si>
    <t>14704-0085 Dup</t>
  </si>
  <si>
    <t>14704-0096 Dup</t>
  </si>
  <si>
    <t>Detection Limits</t>
  </si>
  <si>
    <t>Loss-on-ignition%</t>
  </si>
  <si>
    <t>Organic Matter</t>
  </si>
  <si>
    <t>Longitude</t>
  </si>
  <si>
    <t>Latitude</t>
  </si>
  <si>
    <t>County</t>
  </si>
  <si>
    <t>Country</t>
  </si>
  <si>
    <t>&lt;0.02</t>
  </si>
  <si>
    <t>14771-0027</t>
  </si>
  <si>
    <t>&lt;25</t>
  </si>
  <si>
    <t>14771-0028</t>
  </si>
  <si>
    <t>14771-0029</t>
  </si>
  <si>
    <t>SA004-1-SLAG01</t>
  </si>
  <si>
    <t>14771-0030</t>
  </si>
  <si>
    <t>14771-0031</t>
  </si>
  <si>
    <t>SA018-3-SLAG01</t>
  </si>
  <si>
    <t>14771-0032</t>
  </si>
  <si>
    <t>SA020-1-SLRE01</t>
  </si>
  <si>
    <t>14771-0033</t>
  </si>
  <si>
    <t>SA020-1-SLAG01</t>
  </si>
  <si>
    <t>14771-0034</t>
  </si>
  <si>
    <t>SA020-1-SLCL01</t>
  </si>
  <si>
    <t>14771-0035</t>
  </si>
  <si>
    <t>SA020-1-SLSC01</t>
  </si>
  <si>
    <t>14771-0036</t>
  </si>
  <si>
    <t>SA021-1-SLRE01</t>
  </si>
  <si>
    <t>14771-0036 Dup</t>
  </si>
  <si>
    <t>14771-0037</t>
  </si>
  <si>
    <t>SA021-1-SLSC01</t>
  </si>
  <si>
    <t>14771-0038</t>
  </si>
  <si>
    <t>SA021-1-SLAG01</t>
  </si>
  <si>
    <t>14771-0039</t>
  </si>
  <si>
    <t>SA022-1-SLPG01</t>
  </si>
  <si>
    <t>Kakamega</t>
  </si>
  <si>
    <t>Tande</t>
  </si>
  <si>
    <t>Rosterman</t>
  </si>
  <si>
    <t>Shirere</t>
  </si>
  <si>
    <t>Vihiga</t>
  </si>
  <si>
    <t>Lunyerere</t>
  </si>
  <si>
    <t>Lugusi</t>
  </si>
  <si>
    <t>Shiatsala</t>
  </si>
  <si>
    <t>Eshishebu</t>
  </si>
  <si>
    <t>February 26, 2020</t>
  </si>
  <si>
    <t>February 27, 2020</t>
  </si>
  <si>
    <t>February 29, 2020</t>
  </si>
  <si>
    <t>March 1, 2020</t>
  </si>
  <si>
    <t>February 28, 2020</t>
  </si>
  <si>
    <t>Kitigu/Lunyerere</t>
  </si>
  <si>
    <t>Uasin-Gishu</t>
  </si>
  <si>
    <t>Elgon View/Eldoret</t>
  </si>
  <si>
    <t>Kenya</t>
  </si>
  <si>
    <t>Village/Area</t>
  </si>
  <si>
    <t xml:space="preserve"> </t>
  </si>
  <si>
    <t>Shikomari</t>
  </si>
  <si>
    <t>Shivagala</t>
  </si>
  <si>
    <t>Shitoli</t>
  </si>
  <si>
    <t xml:space="preserve">Sigalagala </t>
  </si>
  <si>
    <t>Lirhembe</t>
  </si>
  <si>
    <t>Shitochi</t>
  </si>
  <si>
    <t>Shibuye</t>
  </si>
  <si>
    <t>Kiming'ini</t>
  </si>
  <si>
    <t>Savane</t>
  </si>
  <si>
    <t>Viyalo</t>
  </si>
  <si>
    <t>Indete</t>
  </si>
  <si>
    <t>Industrial</t>
  </si>
  <si>
    <t>Control</t>
  </si>
  <si>
    <t>Category 1 (ASGM village/Intervention site/Control site)</t>
  </si>
  <si>
    <t>Ore</t>
  </si>
  <si>
    <t>Mine waste/tailings</t>
  </si>
  <si>
    <t>Residential</t>
  </si>
  <si>
    <t>Agricultural</t>
  </si>
  <si>
    <t>Playground</t>
  </si>
  <si>
    <t>Exhausted mine waste/tailings</t>
  </si>
  <si>
    <t>School</t>
  </si>
  <si>
    <t xml:space="preserve">ASGM/Int </t>
  </si>
  <si>
    <t>Shirere/Rosterman</t>
  </si>
  <si>
    <t>Mukhonje/Shirere/Rosterman</t>
  </si>
  <si>
    <t>BGS -  Guidance Material 102 Ironstone Soil</t>
  </si>
  <si>
    <t>CRM- Ironstone Soil</t>
  </si>
  <si>
    <t>Average value</t>
  </si>
  <si>
    <t>%Accuracy</t>
  </si>
  <si>
    <t>NIST- SRM 2711a - Montana II Soil</t>
  </si>
  <si>
    <t>Reference value 2711a</t>
  </si>
  <si>
    <t>CRM- Montana Soil</t>
  </si>
  <si>
    <t>2711a (1)</t>
  </si>
  <si>
    <t>2711a (2)</t>
  </si>
  <si>
    <t>BCR-2 (1)</t>
  </si>
  <si>
    <t>CRM- Basalt</t>
  </si>
  <si>
    <t>BCR-2 (2)</t>
  </si>
  <si>
    <t>BGS 102 (1)</t>
  </si>
  <si>
    <t>BGS 102 (2)</t>
  </si>
  <si>
    <t>Selected Elements</t>
  </si>
  <si>
    <t>BCR-2 (3)</t>
  </si>
  <si>
    <t>BCR-2 (4)</t>
  </si>
  <si>
    <t>2711a (3)</t>
  </si>
  <si>
    <t>BGS 102 (3)</t>
  </si>
  <si>
    <t>BGS 102 (4)</t>
  </si>
  <si>
    <t>MESS-4 (1)</t>
  </si>
  <si>
    <t>CRM- Sediment</t>
  </si>
  <si>
    <t>MESS-4 (2)</t>
  </si>
  <si>
    <t>Reference value BCR-2</t>
  </si>
  <si>
    <t>USGS - Basalt, Columbia River, BCR-2</t>
  </si>
  <si>
    <t>Reference value BGS 102</t>
  </si>
  <si>
    <t>MESS-4 Sediment Certified Reference Material</t>
  </si>
  <si>
    <t>Reference value MESS-4</t>
  </si>
  <si>
    <t>MESS-4  (1)</t>
  </si>
  <si>
    <r>
      <t>mg kg</t>
    </r>
    <r>
      <rPr>
        <vertAlign val="superscript"/>
        <sz val="12"/>
        <rFont val="Calibri Light"/>
        <family val="2"/>
        <scheme val="major"/>
      </rPr>
      <t>-1</t>
    </r>
  </si>
  <si>
    <t>Supplementary Table 3: Data for all sediment samples from both Kakamega and Vihiga Counties in Kenya (chemical parameters and location)</t>
  </si>
  <si>
    <t>Sample Code</t>
  </si>
  <si>
    <t>Loss-on-ignition</t>
  </si>
  <si>
    <t>%</t>
  </si>
  <si>
    <t>14705-0001</t>
  </si>
  <si>
    <t>SA001-1-SEWP01</t>
  </si>
  <si>
    <t>14705-0002</t>
  </si>
  <si>
    <t>SA001-2-SEWP01</t>
  </si>
  <si>
    <t>14705-0003</t>
  </si>
  <si>
    <t>SA001-3-SEWP01</t>
  </si>
  <si>
    <t>14705-0004</t>
  </si>
  <si>
    <t>SA001-4-SEFP01</t>
  </si>
  <si>
    <t>14705-0005</t>
  </si>
  <si>
    <t>SA001-4-SEWP01</t>
  </si>
  <si>
    <t>14705-0006</t>
  </si>
  <si>
    <t>SA001-5-SERV01</t>
  </si>
  <si>
    <t>14705-0007</t>
  </si>
  <si>
    <t>SA001-5-SEWP01</t>
  </si>
  <si>
    <t>14705-0007 Dup</t>
  </si>
  <si>
    <t>14705-0008</t>
  </si>
  <si>
    <t>SA003-3-SESP01</t>
  </si>
  <si>
    <t>14705-0009</t>
  </si>
  <si>
    <t>SA003-4-SESP01</t>
  </si>
  <si>
    <t>14705-0010</t>
  </si>
  <si>
    <t>SA004-1-SERV01</t>
  </si>
  <si>
    <t>14705-0011</t>
  </si>
  <si>
    <t>SA009-2-SEWP01</t>
  </si>
  <si>
    <t>14705-0012</t>
  </si>
  <si>
    <t>SA010-2-SEWP01</t>
  </si>
  <si>
    <t>14705-0012 Dup</t>
  </si>
  <si>
    <t>14705-0013</t>
  </si>
  <si>
    <t>SA011-3-SERV01</t>
  </si>
  <si>
    <t>14705-0014</t>
  </si>
  <si>
    <t>SA011-4-SERV01</t>
  </si>
  <si>
    <t>14705-0015</t>
  </si>
  <si>
    <t>SA012-1-SEEW01</t>
  </si>
  <si>
    <t>14705-0016</t>
  </si>
  <si>
    <t>SA012-1-SEEW02</t>
  </si>
  <si>
    <t>14705-0017</t>
  </si>
  <si>
    <t>SA013-3-SESP01</t>
  </si>
  <si>
    <t>14705-0018</t>
  </si>
  <si>
    <t>SA013-3-SESP02</t>
  </si>
  <si>
    <t>14705-0018 Dup</t>
  </si>
  <si>
    <t>14705-0019</t>
  </si>
  <si>
    <t>SA014-1-SEFP01</t>
  </si>
  <si>
    <t>14705-0020</t>
  </si>
  <si>
    <t>SA014-2-SESP01</t>
  </si>
  <si>
    <t>14705-0021</t>
  </si>
  <si>
    <t>SA014-2-SESP02</t>
  </si>
  <si>
    <t>14705-0021 Dup</t>
  </si>
  <si>
    <t>14705-0022</t>
  </si>
  <si>
    <t>SA015-1-SEWP01</t>
  </si>
  <si>
    <t>14705-0023</t>
  </si>
  <si>
    <t>SA015-2-SERV01</t>
  </si>
  <si>
    <t>14705-0024</t>
  </si>
  <si>
    <t>SA017-2-SEWP01</t>
  </si>
  <si>
    <t>14705-0025</t>
  </si>
  <si>
    <t>SA017-3-SEWP01</t>
  </si>
  <si>
    <t>14705-0025 Dup</t>
  </si>
  <si>
    <t>14705-0026</t>
  </si>
  <si>
    <t>SA018-2-SEWP01</t>
  </si>
  <si>
    <t>14705-0027</t>
  </si>
  <si>
    <t>SA019-1-SERV01</t>
  </si>
  <si>
    <t>14705-0028</t>
  </si>
  <si>
    <t>SA019-1-SEWP01</t>
  </si>
  <si>
    <t>14705-0029</t>
  </si>
  <si>
    <t>SA019-2-SEWP01</t>
  </si>
  <si>
    <t>14705-0030</t>
  </si>
  <si>
    <t>SA019-3-SEWP01</t>
  </si>
  <si>
    <t>14771-0026</t>
  </si>
  <si>
    <t>SA020-1-SERV01</t>
  </si>
  <si>
    <t>Category 2(Process/Origin)</t>
  </si>
  <si>
    <t>Field Temp</t>
  </si>
  <si>
    <t>Field Eh uc</t>
  </si>
  <si>
    <t>Field Eh</t>
  </si>
  <si>
    <t>Field pH</t>
  </si>
  <si>
    <t>Field Conductivity</t>
  </si>
  <si>
    <t>Conductivity</t>
  </si>
  <si>
    <t>TDS</t>
  </si>
  <si>
    <t>TDS/Cond</t>
  </si>
  <si>
    <t>pH</t>
  </si>
  <si>
    <t>Total Alk</t>
  </si>
  <si>
    <t>Cat1</t>
  </si>
  <si>
    <t>Cat2</t>
  </si>
  <si>
    <t>Ani1</t>
  </si>
  <si>
    <t>Ani2</t>
  </si>
  <si>
    <t>AniTIC</t>
  </si>
  <si>
    <t>ANiField alk</t>
  </si>
  <si>
    <t>Cation Total</t>
  </si>
  <si>
    <t>Anion Total</t>
  </si>
  <si>
    <t>Balance</t>
  </si>
  <si>
    <t>S Balance</t>
  </si>
  <si>
    <t>TIC Balance</t>
  </si>
  <si>
    <t>I</t>
  </si>
  <si>
    <t>NPOC</t>
  </si>
  <si>
    <t>TOC</t>
  </si>
  <si>
    <t>TIC</t>
  </si>
  <si>
    <t>TIC (from alk)</t>
  </si>
  <si>
    <t>C Diff</t>
  </si>
  <si>
    <t>Field C Diff</t>
  </si>
  <si>
    <t xml:space="preserve">Total P </t>
  </si>
  <si>
    <t xml:space="preserve">Total S </t>
  </si>
  <si>
    <t>Reduced S</t>
  </si>
  <si>
    <t>S Diff</t>
  </si>
  <si>
    <t>Si</t>
  </si>
  <si>
    <t>Total Fe</t>
  </si>
  <si>
    <t>Reduced Fe</t>
  </si>
  <si>
    <t>Oxidised Fe</t>
  </si>
  <si>
    <t xml:space="preserve">B </t>
  </si>
  <si>
    <t>δ18O</t>
  </si>
  <si>
    <t>δ2H</t>
  </si>
  <si>
    <t>°C</t>
  </si>
  <si>
    <t>mV</t>
  </si>
  <si>
    <t>ml</t>
  </si>
  <si>
    <t>‰VSMOW2</t>
  </si>
  <si>
    <t>7</t>
  </si>
  <si>
    <t>0.08</t>
  </si>
  <si>
    <t>53</t>
  </si>
  <si>
    <t>0.9</t>
  </si>
  <si>
    <t>0.07</t>
  </si>
  <si>
    <t>0.01</t>
  </si>
  <si>
    <t>14703-0001</t>
  </si>
  <si>
    <t>SA001-5-WAWP01</t>
  </si>
  <si>
    <t>Washing Pond</t>
  </si>
  <si>
    <t>14703-0002</t>
  </si>
  <si>
    <t>SA001-4-WAFP01</t>
  </si>
  <si>
    <t>Fish Pond</t>
  </si>
  <si>
    <t>14703-0003</t>
  </si>
  <si>
    <t>SA001-2-WAWP01</t>
  </si>
  <si>
    <t>14703-0004</t>
  </si>
  <si>
    <t>SA001-4-WASP01</t>
  </si>
  <si>
    <t>Spring Water</t>
  </si>
  <si>
    <t>14703-0005</t>
  </si>
  <si>
    <t>SA001-5-WARV01</t>
  </si>
  <si>
    <t>River</t>
  </si>
  <si>
    <t>14703-0006</t>
  </si>
  <si>
    <t>SA001-2-WARV01</t>
  </si>
  <si>
    <t>14703-0007</t>
  </si>
  <si>
    <t>SA001-1-WARV01</t>
  </si>
  <si>
    <t>14703-0008</t>
  </si>
  <si>
    <t>SA001-1-WAWP01</t>
  </si>
  <si>
    <t>14703-0009</t>
  </si>
  <si>
    <t>SA001-5-WAEF01</t>
  </si>
  <si>
    <t>14703-0010</t>
  </si>
  <si>
    <t>SA003-2-WASP01</t>
  </si>
  <si>
    <t>14703-0011</t>
  </si>
  <si>
    <t>SA003-3-WASP01</t>
  </si>
  <si>
    <t>14703-0012</t>
  </si>
  <si>
    <t>SA004-1-WARV01</t>
  </si>
  <si>
    <t>14703-0013</t>
  </si>
  <si>
    <t>SA006-1-WASW01</t>
  </si>
  <si>
    <t>Shallow Well</t>
  </si>
  <si>
    <t>14703-0014</t>
  </si>
  <si>
    <t>SA007-2-WARV01</t>
  </si>
  <si>
    <t>14703-0015</t>
  </si>
  <si>
    <t>SA008-3-WASP01</t>
  </si>
  <si>
    <t>14703-0016</t>
  </si>
  <si>
    <t>SA009-1-WASW01</t>
  </si>
  <si>
    <t>14703-0017</t>
  </si>
  <si>
    <t>SA009-2-WASP01</t>
  </si>
  <si>
    <t>14703-0018</t>
  </si>
  <si>
    <t>SA010-1-WAWP01</t>
  </si>
  <si>
    <t>14703-0019</t>
  </si>
  <si>
    <t>SA011-4-WARV01</t>
  </si>
  <si>
    <t>14703-0020</t>
  </si>
  <si>
    <t>SA011-3-WARV01</t>
  </si>
  <si>
    <t>14703-0021</t>
  </si>
  <si>
    <t>SA012-1-WAEF01</t>
  </si>
  <si>
    <t>14703-0022</t>
  </si>
  <si>
    <t>SA012-3-WASW01</t>
  </si>
  <si>
    <t>14703-0022B</t>
  </si>
  <si>
    <t>14703-0023</t>
  </si>
  <si>
    <t>SA013-3-WASP01</t>
  </si>
  <si>
    <t>14703-0024</t>
  </si>
  <si>
    <t>SA013-3-WASP02</t>
  </si>
  <si>
    <t>14703-0025</t>
  </si>
  <si>
    <t>SA014-2-WASP01</t>
  </si>
  <si>
    <t>14703-0026</t>
  </si>
  <si>
    <t>SA014-2-WASP02</t>
  </si>
  <si>
    <t>14703-0027</t>
  </si>
  <si>
    <t>SA014-3-WAFP01</t>
  </si>
  <si>
    <t>14703-0028</t>
  </si>
  <si>
    <t>SA015-2-WARV01</t>
  </si>
  <si>
    <t>14703-0029</t>
  </si>
  <si>
    <t>SA015-1-WAWP01</t>
  </si>
  <si>
    <t>14703-0030</t>
  </si>
  <si>
    <t>SA017-2-WAWP01</t>
  </si>
  <si>
    <t>14703-0031</t>
  </si>
  <si>
    <t>SA017-3-WAWP01</t>
  </si>
  <si>
    <t>14703-0032</t>
  </si>
  <si>
    <t>SA018-2-WAWP01</t>
  </si>
  <si>
    <t>14703-0033</t>
  </si>
  <si>
    <t>SA019-1-WARV01</t>
  </si>
  <si>
    <t>14703-0034</t>
  </si>
  <si>
    <t>SA019-1-WAWP01</t>
  </si>
  <si>
    <t>14703-0035</t>
  </si>
  <si>
    <t>SA019-2-WAWP01</t>
  </si>
  <si>
    <t>14703-0036</t>
  </si>
  <si>
    <t>SA019-3-WAWP01</t>
  </si>
  <si>
    <t>&lt;0.01</t>
  </si>
  <si>
    <t>&lt;7</t>
  </si>
  <si>
    <t>&lt;0.08</t>
  </si>
  <si>
    <t>&lt;0.2</t>
  </si>
  <si>
    <t>&lt;0.05</t>
  </si>
  <si>
    <t>&lt;0.003</t>
  </si>
  <si>
    <t>&lt;0.004</t>
  </si>
  <si>
    <t>&lt;0.009</t>
  </si>
  <si>
    <t>&lt;0.007</t>
  </si>
  <si>
    <t>&lt;0.006</t>
  </si>
  <si>
    <t>&lt;0.005</t>
  </si>
  <si>
    <t>&lt;53</t>
  </si>
  <si>
    <t>&lt;0.06</t>
  </si>
  <si>
    <t>&lt;0.07</t>
  </si>
  <si>
    <t>&lt;0.4</t>
  </si>
  <si>
    <t>14770-0001</t>
  </si>
  <si>
    <t>SA020-1-WASP01</t>
  </si>
  <si>
    <t>Spring- drinking water</t>
  </si>
  <si>
    <t>14770-0002</t>
  </si>
  <si>
    <t>SA020-1-WARV01</t>
  </si>
  <si>
    <t>Stream/river water</t>
  </si>
  <si>
    <t>14770-0003</t>
  </si>
  <si>
    <t>SA021-1-WASP01</t>
  </si>
  <si>
    <t>Spring - drinking water</t>
  </si>
  <si>
    <t>14770-0004</t>
  </si>
  <si>
    <t>SA021-1-WABH01</t>
  </si>
  <si>
    <t>Borehole - drinking water</t>
  </si>
  <si>
    <t>14770-0005</t>
  </si>
  <si>
    <t>SA022-1-WASW01</t>
  </si>
  <si>
    <t>Eldoret</t>
  </si>
  <si>
    <t>Elgon View</t>
  </si>
  <si>
    <t>B</t>
  </si>
  <si>
    <t>K</t>
  </si>
  <si>
    <t>CERTIFIED REFERENCE MATERIAL DATA - QUALITY CHECKS ON THE SOIL DATA</t>
  </si>
  <si>
    <t>CERTIFIED REFERENCE MATERIAL DATA - QUALITY CHECKS ON THE WATER DATA</t>
  </si>
  <si>
    <r>
      <t>HCO</t>
    </r>
    <r>
      <rPr>
        <b/>
        <vertAlign val="subscript"/>
        <sz val="12"/>
        <rFont val="Calibri Light"/>
        <family val="2"/>
        <scheme val="major"/>
      </rPr>
      <t>3</t>
    </r>
    <r>
      <rPr>
        <b/>
        <vertAlign val="superscript"/>
        <sz val="12"/>
        <rFont val="Calibri Light"/>
        <family val="2"/>
        <scheme val="major"/>
      </rPr>
      <t>-</t>
    </r>
    <r>
      <rPr>
        <b/>
        <sz val="12"/>
        <rFont val="Calibri Light"/>
        <family val="2"/>
        <scheme val="major"/>
      </rPr>
      <t xml:space="preserve"> vol</t>
    </r>
  </si>
  <si>
    <r>
      <t>HCO</t>
    </r>
    <r>
      <rPr>
        <b/>
        <vertAlign val="subscript"/>
        <sz val="12"/>
        <rFont val="Calibri Light"/>
        <family val="2"/>
        <scheme val="major"/>
      </rPr>
      <t>3</t>
    </r>
    <r>
      <rPr>
        <b/>
        <vertAlign val="superscript"/>
        <sz val="12"/>
        <rFont val="Calibri Light"/>
        <family val="2"/>
        <scheme val="major"/>
      </rPr>
      <t>-</t>
    </r>
    <r>
      <rPr>
        <b/>
        <sz val="12"/>
        <rFont val="Calibri Light"/>
        <family val="2"/>
        <scheme val="major"/>
      </rPr>
      <t xml:space="preserve"> read</t>
    </r>
  </si>
  <si>
    <r>
      <t>Field HCO</t>
    </r>
    <r>
      <rPr>
        <b/>
        <vertAlign val="subscript"/>
        <sz val="12"/>
        <rFont val="Calibri Light"/>
        <family val="2"/>
        <scheme val="major"/>
      </rPr>
      <t>3</t>
    </r>
    <r>
      <rPr>
        <b/>
        <vertAlign val="superscript"/>
        <sz val="12"/>
        <rFont val="Calibri Light"/>
        <family val="2"/>
        <scheme val="major"/>
      </rPr>
      <t>-</t>
    </r>
  </si>
  <si>
    <r>
      <t>DO</t>
    </r>
    <r>
      <rPr>
        <b/>
        <vertAlign val="subscript"/>
        <sz val="12"/>
        <rFont val="Calibri Light"/>
        <family val="2"/>
        <scheme val="major"/>
      </rPr>
      <t>2</t>
    </r>
  </si>
  <si>
    <r>
      <t>HCO</t>
    </r>
    <r>
      <rPr>
        <b/>
        <vertAlign val="subscript"/>
        <sz val="12"/>
        <rFont val="Calibri Light"/>
        <family val="2"/>
        <scheme val="major"/>
      </rPr>
      <t>3</t>
    </r>
    <r>
      <rPr>
        <b/>
        <vertAlign val="superscript"/>
        <sz val="12"/>
        <rFont val="Calibri Light"/>
        <family val="2"/>
        <scheme val="major"/>
      </rPr>
      <t>-</t>
    </r>
  </si>
  <si>
    <r>
      <t>Cl</t>
    </r>
    <r>
      <rPr>
        <b/>
        <vertAlign val="superscript"/>
        <sz val="12"/>
        <rFont val="Calibri Light"/>
        <family val="2"/>
        <scheme val="major"/>
      </rPr>
      <t>-</t>
    </r>
  </si>
  <si>
    <r>
      <t>SO</t>
    </r>
    <r>
      <rPr>
        <b/>
        <vertAlign val="subscript"/>
        <sz val="12"/>
        <rFont val="Calibri Light"/>
        <family val="2"/>
        <scheme val="major"/>
      </rPr>
      <t>4</t>
    </r>
    <r>
      <rPr>
        <b/>
        <vertAlign val="superscript"/>
        <sz val="12"/>
        <rFont val="Calibri Light"/>
        <family val="2"/>
        <scheme val="major"/>
      </rPr>
      <t>2-</t>
    </r>
  </si>
  <si>
    <r>
      <t>NO</t>
    </r>
    <r>
      <rPr>
        <b/>
        <vertAlign val="subscript"/>
        <sz val="12"/>
        <rFont val="Calibri Light"/>
        <family val="2"/>
        <scheme val="major"/>
      </rPr>
      <t>3</t>
    </r>
    <r>
      <rPr>
        <b/>
        <vertAlign val="superscript"/>
        <sz val="12"/>
        <rFont val="Calibri Light"/>
        <family val="2"/>
        <scheme val="major"/>
      </rPr>
      <t>-</t>
    </r>
  </si>
  <si>
    <r>
      <t>Field HCO</t>
    </r>
    <r>
      <rPr>
        <b/>
        <vertAlign val="subscript"/>
        <sz val="12"/>
        <rFont val="Calibri Light"/>
        <family val="2"/>
        <scheme val="major"/>
      </rPr>
      <t>3</t>
    </r>
    <r>
      <rPr>
        <b/>
        <vertAlign val="superscript"/>
        <sz val="12"/>
        <rFont val="Calibri Light"/>
        <family val="2"/>
        <scheme val="major"/>
      </rPr>
      <t>2-</t>
    </r>
    <r>
      <rPr>
        <b/>
        <sz val="12"/>
        <rFont val="Calibri Light"/>
        <family val="2"/>
        <scheme val="major"/>
      </rPr>
      <t xml:space="preserve"> Balance</t>
    </r>
  </si>
  <si>
    <r>
      <t>Br</t>
    </r>
    <r>
      <rPr>
        <b/>
        <vertAlign val="superscript"/>
        <sz val="12"/>
        <rFont val="Calibri Light"/>
        <family val="2"/>
        <scheme val="major"/>
      </rPr>
      <t>-</t>
    </r>
  </si>
  <si>
    <r>
      <t>NO</t>
    </r>
    <r>
      <rPr>
        <b/>
        <vertAlign val="subscript"/>
        <sz val="12"/>
        <rFont val="Calibri Light"/>
        <family val="2"/>
        <scheme val="major"/>
      </rPr>
      <t>2</t>
    </r>
    <r>
      <rPr>
        <b/>
        <vertAlign val="superscript"/>
        <sz val="12"/>
        <rFont val="Calibri Light"/>
        <family val="2"/>
        <scheme val="major"/>
      </rPr>
      <t>-</t>
    </r>
  </si>
  <si>
    <r>
      <t>HPO</t>
    </r>
    <r>
      <rPr>
        <b/>
        <vertAlign val="subscript"/>
        <sz val="12"/>
        <rFont val="Calibri Light"/>
        <family val="2"/>
        <scheme val="major"/>
      </rPr>
      <t>4</t>
    </r>
    <r>
      <rPr>
        <b/>
        <vertAlign val="superscript"/>
        <sz val="12"/>
        <rFont val="Calibri Light"/>
        <family val="2"/>
        <scheme val="major"/>
      </rPr>
      <t>2-</t>
    </r>
  </si>
  <si>
    <r>
      <t>F</t>
    </r>
    <r>
      <rPr>
        <b/>
        <vertAlign val="superscript"/>
        <sz val="12"/>
        <rFont val="Calibri Light"/>
        <family val="2"/>
        <scheme val="major"/>
      </rPr>
      <t>-</t>
    </r>
  </si>
  <si>
    <r>
      <t>S</t>
    </r>
    <r>
      <rPr>
        <b/>
        <vertAlign val="subscript"/>
        <sz val="12"/>
        <rFont val="Calibri Light"/>
        <family val="2"/>
        <scheme val="major"/>
      </rPr>
      <t>2</t>
    </r>
    <r>
      <rPr>
        <b/>
        <sz val="12"/>
        <rFont val="Calibri Light"/>
        <family val="2"/>
        <scheme val="major"/>
      </rPr>
      <t>O</t>
    </r>
    <r>
      <rPr>
        <b/>
        <vertAlign val="subscript"/>
        <sz val="12"/>
        <rFont val="Calibri Light"/>
        <family val="2"/>
        <scheme val="major"/>
      </rPr>
      <t>3</t>
    </r>
    <r>
      <rPr>
        <b/>
        <vertAlign val="superscript"/>
        <sz val="12"/>
        <rFont val="Calibri Light"/>
        <family val="2"/>
        <scheme val="major"/>
      </rPr>
      <t>2-</t>
    </r>
  </si>
  <si>
    <r>
      <t>NH</t>
    </r>
    <r>
      <rPr>
        <b/>
        <vertAlign val="subscript"/>
        <sz val="12"/>
        <rFont val="Calibri Light"/>
        <family val="2"/>
        <scheme val="major"/>
      </rPr>
      <t>4</t>
    </r>
    <r>
      <rPr>
        <b/>
        <vertAlign val="superscript"/>
        <sz val="12"/>
        <rFont val="Calibri Light"/>
        <family val="2"/>
        <scheme val="major"/>
      </rPr>
      <t>+</t>
    </r>
  </si>
  <si>
    <r>
      <t>SiO</t>
    </r>
    <r>
      <rPr>
        <b/>
        <vertAlign val="subscript"/>
        <sz val="12"/>
        <rFont val="Calibri Light"/>
        <family val="2"/>
        <scheme val="major"/>
      </rPr>
      <t>2</t>
    </r>
  </si>
  <si>
    <r>
      <t>mg l</t>
    </r>
    <r>
      <rPr>
        <vertAlign val="superscript"/>
        <sz val="12"/>
        <rFont val="Calibri Light"/>
        <family val="2"/>
        <scheme val="major"/>
      </rPr>
      <t>-1</t>
    </r>
  </si>
  <si>
    <r>
      <t>µS cm</t>
    </r>
    <r>
      <rPr>
        <vertAlign val="superscript"/>
        <sz val="12"/>
        <rFont val="Calibri Light"/>
        <family val="2"/>
        <scheme val="major"/>
      </rPr>
      <t>-1</t>
    </r>
  </si>
  <si>
    <r>
      <t>mg l</t>
    </r>
    <r>
      <rPr>
        <vertAlign val="superscript"/>
        <sz val="12"/>
        <rFont val="Calibri Light"/>
        <family val="2"/>
        <scheme val="major"/>
      </rPr>
      <t>-1</t>
    </r>
    <r>
      <rPr>
        <sz val="12"/>
        <rFont val="Calibri Light"/>
        <family val="2"/>
        <scheme val="major"/>
      </rPr>
      <t xml:space="preserve"> HCO</t>
    </r>
    <r>
      <rPr>
        <vertAlign val="subscript"/>
        <sz val="12"/>
        <rFont val="Calibri Light"/>
        <family val="2"/>
        <scheme val="major"/>
      </rPr>
      <t>3</t>
    </r>
    <r>
      <rPr>
        <vertAlign val="superscript"/>
        <sz val="12"/>
        <rFont val="Calibri Light"/>
        <family val="2"/>
        <scheme val="major"/>
      </rPr>
      <t>-</t>
    </r>
  </si>
  <si>
    <r>
      <t>meq l</t>
    </r>
    <r>
      <rPr>
        <vertAlign val="superscript"/>
        <sz val="12"/>
        <rFont val="Calibri Light"/>
        <family val="2"/>
        <scheme val="major"/>
      </rPr>
      <t>-1</t>
    </r>
  </si>
  <si>
    <r>
      <t>mg l</t>
    </r>
    <r>
      <rPr>
        <vertAlign val="superscript"/>
        <sz val="12"/>
        <rFont val="Calibri Light"/>
        <family val="2"/>
        <scheme val="major"/>
      </rPr>
      <t>-1</t>
    </r>
    <r>
      <rPr>
        <sz val="11"/>
        <color theme="1"/>
        <rFont val="Calibri"/>
        <family val="2"/>
        <scheme val="minor"/>
      </rPr>
      <t/>
    </r>
  </si>
  <si>
    <r>
      <t>µg l</t>
    </r>
    <r>
      <rPr>
        <vertAlign val="superscript"/>
        <sz val="12"/>
        <rFont val="Calibri Light"/>
        <family val="2"/>
        <scheme val="major"/>
      </rPr>
      <t>-1</t>
    </r>
  </si>
  <si>
    <t>Rosterman/Shirere/Mukhonje</t>
  </si>
  <si>
    <t>Rosterman/Shirere</t>
  </si>
  <si>
    <t>Ikolomani/Malinya/Shivagala</t>
  </si>
  <si>
    <t>Ikolomani/Malinya/Shitoli</t>
  </si>
  <si>
    <t>Area/Village</t>
  </si>
  <si>
    <t>Ikolomani/Malinya/Lirhembe</t>
  </si>
  <si>
    <t>Ikolomani/Malinya/Shitochi</t>
  </si>
  <si>
    <t>Ikolomani/Shing'ondo</t>
  </si>
  <si>
    <t>Ikolomani/Iguhu</t>
  </si>
  <si>
    <t>Ikolomani/Iguhu/Savane</t>
  </si>
  <si>
    <t xml:space="preserve">MESS-4 Sediment </t>
  </si>
  <si>
    <t>CERTIFIED REFERENCE MATERIAL DATA - QUALITY CHECKS ON THE SEDIMENT DATA</t>
  </si>
  <si>
    <t>Shallow well- water</t>
  </si>
  <si>
    <t>Washing pond</t>
  </si>
  <si>
    <t>Fish pond</t>
  </si>
  <si>
    <t>Stream/river</t>
  </si>
  <si>
    <t>Spring</t>
  </si>
  <si>
    <t>Exhausted mine tailings from cyanidation plants</t>
  </si>
  <si>
    <t>Media</t>
  </si>
  <si>
    <t>Chavogere/Indete</t>
  </si>
  <si>
    <t>Category 2: Sample Origin/process</t>
  </si>
  <si>
    <t>Method</t>
  </si>
  <si>
    <t>Category 3b; Potential recipient characteristics</t>
  </si>
  <si>
    <t>Inadvertent</t>
  </si>
  <si>
    <t>NON</t>
  </si>
  <si>
    <t>OCCUP</t>
  </si>
  <si>
    <t>Category 3a: Potential Exposure type (occupational/non-occupational)</t>
  </si>
  <si>
    <t>Typical ASGM</t>
  </si>
  <si>
    <t>Cyanidation plant</t>
  </si>
  <si>
    <t>Cynidation plant</t>
  </si>
  <si>
    <t>Predorminantly men</t>
  </si>
  <si>
    <t>Mixed ASGM workers, men, women &amp; in some cases, children</t>
  </si>
  <si>
    <t>Sample Code/Site ID</t>
  </si>
  <si>
    <t>Category 3b; Potential recipient characteristics (predorminantly men; mixed ASGM workers i.e men, women and children; Inadvertent)</t>
  </si>
  <si>
    <t>Determinand</t>
  </si>
  <si>
    <t>Y</t>
  </si>
  <si>
    <t>%LOI</t>
  </si>
  <si>
    <t>min</t>
  </si>
  <si>
    <t>max</t>
  </si>
  <si>
    <t>P25</t>
  </si>
  <si>
    <t>P50</t>
  </si>
  <si>
    <t>P95</t>
  </si>
  <si>
    <t>GM</t>
  </si>
  <si>
    <t>AM</t>
  </si>
  <si>
    <t>Supplementary Table 2: Summary soil data for both ASGM/intervention sites and the control</t>
  </si>
  <si>
    <t>Study Area (ASGM/ NON-ASGM)</t>
  </si>
  <si>
    <t>ASGM/INT</t>
  </si>
  <si>
    <t>NON-ASGM</t>
  </si>
  <si>
    <t>Forest/Pristine</t>
  </si>
  <si>
    <r>
      <t>Exhausted mine waste/tailings (</t>
    </r>
    <r>
      <rPr>
        <i/>
        <sz val="12"/>
        <rFont val="Calibri Light"/>
        <family val="2"/>
        <scheme val="major"/>
      </rPr>
      <t>n=6</t>
    </r>
    <r>
      <rPr>
        <b/>
        <i/>
        <sz val="12"/>
        <rFont val="Calibri Light"/>
        <family val="2"/>
        <scheme val="major"/>
      </rPr>
      <t>)</t>
    </r>
  </si>
  <si>
    <r>
      <rPr>
        <b/>
        <sz val="12"/>
        <rFont val="Calibri Light"/>
        <family val="2"/>
        <scheme val="major"/>
      </rPr>
      <t>Mine waste/tailings (</t>
    </r>
    <r>
      <rPr>
        <i/>
        <sz val="12"/>
        <rFont val="Calibri Light"/>
        <family val="2"/>
        <scheme val="major"/>
      </rPr>
      <t>n=25</t>
    </r>
    <r>
      <rPr>
        <b/>
        <sz val="12"/>
        <rFont val="Calibri Light"/>
        <family val="2"/>
        <scheme val="major"/>
      </rPr>
      <t>)</t>
    </r>
  </si>
  <si>
    <r>
      <t>Ores (</t>
    </r>
    <r>
      <rPr>
        <i/>
        <sz val="12"/>
        <rFont val="Calibri Light"/>
        <family val="2"/>
        <scheme val="major"/>
      </rPr>
      <t>n=17</t>
    </r>
    <r>
      <rPr>
        <b/>
        <sz val="12"/>
        <rFont val="Calibri Light"/>
        <family val="2"/>
        <scheme val="major"/>
      </rPr>
      <t>)</t>
    </r>
  </si>
  <si>
    <r>
      <t>Agricultural (</t>
    </r>
    <r>
      <rPr>
        <i/>
        <sz val="12"/>
        <rFont val="Calibri Light"/>
        <family val="2"/>
        <scheme val="major"/>
      </rPr>
      <t>n=19</t>
    </r>
    <r>
      <rPr>
        <b/>
        <i/>
        <sz val="12"/>
        <rFont val="Calibri Light"/>
        <family val="2"/>
        <scheme val="major"/>
      </rPr>
      <t>) vs control agricultural (</t>
    </r>
    <r>
      <rPr>
        <i/>
        <sz val="12"/>
        <rFont val="Calibri Light"/>
        <family val="2"/>
        <scheme val="major"/>
      </rPr>
      <t>n=2</t>
    </r>
    <r>
      <rPr>
        <b/>
        <i/>
        <sz val="12"/>
        <rFont val="Calibri Light"/>
        <family val="2"/>
        <scheme val="major"/>
      </rPr>
      <t>)</t>
    </r>
  </si>
  <si>
    <r>
      <t xml:space="preserve">Residential </t>
    </r>
    <r>
      <rPr>
        <b/>
        <i/>
        <sz val="12"/>
        <rFont val="Calibri Light"/>
        <family val="2"/>
        <scheme val="major"/>
      </rPr>
      <t>(</t>
    </r>
    <r>
      <rPr>
        <i/>
        <sz val="12"/>
        <rFont val="Calibri Light"/>
        <family val="2"/>
        <scheme val="major"/>
      </rPr>
      <t>n=19</t>
    </r>
    <r>
      <rPr>
        <b/>
        <sz val="12"/>
        <rFont val="Calibri Light"/>
        <family val="2"/>
        <scheme val="major"/>
      </rPr>
      <t>) vs control residential (</t>
    </r>
    <r>
      <rPr>
        <i/>
        <sz val="12"/>
        <rFont val="Calibri Light"/>
        <family val="2"/>
        <scheme val="major"/>
      </rPr>
      <t>n=3</t>
    </r>
    <r>
      <rPr>
        <b/>
        <sz val="12"/>
        <rFont val="Calibri Light"/>
        <family val="2"/>
        <scheme val="major"/>
      </rPr>
      <t>)</t>
    </r>
  </si>
  <si>
    <r>
      <t>Industrial (</t>
    </r>
    <r>
      <rPr>
        <i/>
        <sz val="12"/>
        <rFont val="Calibri Light"/>
        <family val="2"/>
        <scheme val="major"/>
      </rPr>
      <t>n=20</t>
    </r>
    <r>
      <rPr>
        <b/>
        <i/>
        <sz val="12"/>
        <rFont val="Calibri Light"/>
        <family val="2"/>
        <scheme val="major"/>
      </rPr>
      <t>) vs</t>
    </r>
    <r>
      <rPr>
        <b/>
        <sz val="12"/>
        <rFont val="Calibri Light"/>
        <family val="2"/>
        <scheme val="major"/>
      </rPr>
      <t xml:space="preserve"> control forest/ pristine </t>
    </r>
    <r>
      <rPr>
        <b/>
        <i/>
        <sz val="12"/>
        <rFont val="Calibri Light"/>
        <family val="2"/>
        <scheme val="major"/>
      </rPr>
      <t>(</t>
    </r>
    <r>
      <rPr>
        <i/>
        <sz val="12"/>
        <rFont val="Calibri Light"/>
        <family val="2"/>
        <scheme val="major"/>
      </rPr>
      <t>n=1</t>
    </r>
    <r>
      <rPr>
        <b/>
        <i/>
        <sz val="12"/>
        <rFont val="Calibri Light"/>
        <family val="2"/>
        <scheme val="major"/>
      </rPr>
      <t>)</t>
    </r>
    <r>
      <rPr>
        <b/>
        <sz val="12"/>
        <rFont val="Calibri Light"/>
        <family val="2"/>
        <scheme val="major"/>
      </rPr>
      <t xml:space="preserve"> soils</t>
    </r>
  </si>
  <si>
    <r>
      <rPr>
        <b/>
        <sz val="12"/>
        <rFont val="Calibri Light"/>
        <family val="2"/>
        <scheme val="major"/>
      </rPr>
      <t>Schools and playgrounds</t>
    </r>
    <r>
      <rPr>
        <sz val="12"/>
        <rFont val="Calibri Light"/>
        <family val="2"/>
        <scheme val="major"/>
      </rPr>
      <t xml:space="preserve"> (</t>
    </r>
    <r>
      <rPr>
        <i/>
        <sz val="12"/>
        <rFont val="Calibri Light"/>
        <family val="2"/>
        <scheme val="major"/>
      </rPr>
      <t>n=6</t>
    </r>
    <r>
      <rPr>
        <sz val="12"/>
        <rFont val="Calibri Light"/>
        <family val="2"/>
        <scheme val="major"/>
      </rPr>
      <t xml:space="preserve">) </t>
    </r>
    <r>
      <rPr>
        <b/>
        <sz val="12"/>
        <rFont val="Calibri Light"/>
        <family val="2"/>
        <scheme val="major"/>
      </rPr>
      <t>vs control schools and playgrounds (</t>
    </r>
    <r>
      <rPr>
        <i/>
        <sz val="12"/>
        <rFont val="Calibri Light"/>
        <family val="2"/>
        <scheme val="major"/>
      </rPr>
      <t>n=3</t>
    </r>
    <r>
      <rPr>
        <b/>
        <sz val="12"/>
        <rFont val="Calibri Light"/>
        <family val="2"/>
        <scheme val="major"/>
      </rPr>
      <t>)</t>
    </r>
  </si>
  <si>
    <t>Supplementary Table 4: Summary sediment data for both ASGM/intervention sites and the control</t>
  </si>
  <si>
    <t>Supplementary Table 5: Data for all water samples from both Kakamega and Vihiga Counties in Kenya (chemical parameters and location).</t>
  </si>
  <si>
    <t>Recovery (%)</t>
  </si>
  <si>
    <t>STDEV</t>
  </si>
  <si>
    <t>RSD(%)</t>
  </si>
  <si>
    <t>red font = indicative values</t>
  </si>
  <si>
    <t>4.042+BH173</t>
  </si>
  <si>
    <r>
      <t>Washing ponds (</t>
    </r>
    <r>
      <rPr>
        <i/>
        <sz val="12"/>
        <rFont val="Calibri Light"/>
        <family val="2"/>
        <scheme val="major"/>
      </rPr>
      <t>n=1</t>
    </r>
    <r>
      <rPr>
        <sz val="12"/>
        <rFont val="Calibri Light"/>
        <family val="2"/>
        <scheme val="major"/>
      </rPr>
      <t>7</t>
    </r>
    <r>
      <rPr>
        <b/>
        <sz val="12"/>
        <rFont val="Calibri Light"/>
        <family val="2"/>
        <scheme val="major"/>
      </rPr>
      <t>)</t>
    </r>
  </si>
  <si>
    <t>Control Stream/river (n=1)</t>
  </si>
  <si>
    <t>Supplementary Table 6: Summary water data for both ASGM/intervention sites and the control</t>
  </si>
  <si>
    <t>OCCUP &amp; NON</t>
  </si>
  <si>
    <t xml:space="preserve">Inadvertent, &amp; Mixed ASGM workers, men, women &amp; in some cases, children </t>
  </si>
  <si>
    <t>Underground water from shafts</t>
  </si>
  <si>
    <t>HCO3-</t>
  </si>
  <si>
    <t>Cl-</t>
  </si>
  <si>
    <t>SO42-</t>
  </si>
  <si>
    <t>NO3-</t>
  </si>
  <si>
    <t>Br-</t>
  </si>
  <si>
    <t>NO2-</t>
  </si>
  <si>
    <t>HPO42-</t>
  </si>
  <si>
    <t>F-</t>
  </si>
  <si>
    <t>SiO2</t>
  </si>
  <si>
    <t>Drinking water?</t>
  </si>
  <si>
    <t>YES</t>
  </si>
  <si>
    <t>NO</t>
  </si>
  <si>
    <t>µS cm-1</t>
  </si>
  <si>
    <t>P</t>
  </si>
  <si>
    <t>S</t>
  </si>
  <si>
    <t xml:space="preserve">Ti </t>
  </si>
  <si>
    <t>V</t>
  </si>
  <si>
    <t>µg/L</t>
  </si>
  <si>
    <t>mg/L</t>
  </si>
  <si>
    <t>SLRS6-1</t>
  </si>
  <si>
    <t>CRM- Natural Water</t>
  </si>
  <si>
    <t>SLRS6-2</t>
  </si>
  <si>
    <t>SLRS6-3</t>
  </si>
  <si>
    <t>Reference value SLRS6</t>
  </si>
  <si>
    <t>SLRS6 - Cerified  Reference Material for River Water</t>
  </si>
  <si>
    <t>*</t>
  </si>
  <si>
    <t>Fish ponds in ASGM (n=2)</t>
  </si>
  <si>
    <t>Exposure Route</t>
  </si>
  <si>
    <t>Code</t>
  </si>
  <si>
    <t>Parameter Definition and Code</t>
  </si>
  <si>
    <t>Unit</t>
  </si>
  <si>
    <t>Value</t>
  </si>
  <si>
    <t>References</t>
  </si>
  <si>
    <t>Children</t>
  </si>
  <si>
    <t>Adults</t>
  </si>
  <si>
    <t>General Parameters</t>
  </si>
  <si>
    <t>c</t>
  </si>
  <si>
    <t>As, Pb, Hg, Cr, Cd, Ni concentration in soil,/sediment/water</t>
  </si>
  <si>
    <t>mg/kg; mg/L</t>
  </si>
  <si>
    <t>-</t>
  </si>
  <si>
    <t>This study</t>
  </si>
  <si>
    <t>EF</t>
  </si>
  <si>
    <t>Exposure frequency</t>
  </si>
  <si>
    <t>days/year</t>
  </si>
  <si>
    <t>(Gerba, 2019; Means, 1989)</t>
  </si>
  <si>
    <t>ED</t>
  </si>
  <si>
    <t>Exposure duration</t>
  </si>
  <si>
    <t>Years</t>
  </si>
  <si>
    <t>(Gerba, 2019; Means, 1989; WHO, 2020)</t>
  </si>
  <si>
    <t>AT</t>
  </si>
  <si>
    <t>Average time period  for non-carcinogens</t>
  </si>
  <si>
    <t>Days</t>
  </si>
  <si>
    <t>ED*365 = 2,190</t>
  </si>
  <si>
    <t>ED*365 = 10,950</t>
  </si>
  <si>
    <t>Average time period for carcinogens</t>
  </si>
  <si>
    <t>66.7*365 =  24,346</t>
  </si>
  <si>
    <t>66.7*365= 24,346</t>
  </si>
  <si>
    <t>BW</t>
  </si>
  <si>
    <t>Average body weight of exposed individual</t>
  </si>
  <si>
    <t>Kilograms</t>
  </si>
  <si>
    <t>(Means, 1989)</t>
  </si>
  <si>
    <t>SF</t>
  </si>
  <si>
    <t>Cancer slope factor</t>
  </si>
  <si>
    <t>Ingestion</t>
  </si>
  <si>
    <r>
      <t>R</t>
    </r>
    <r>
      <rPr>
        <vertAlign val="subscript"/>
        <sz val="9"/>
        <color theme="1"/>
        <rFont val="Times New Roman"/>
        <family val="1"/>
      </rPr>
      <t>ing</t>
    </r>
  </si>
  <si>
    <t>Average daily ingestion Rate soil</t>
  </si>
  <si>
    <t>mg/day</t>
  </si>
  <si>
    <t>(Gerba, 2019; Means, 1989; von Lindern, Spalinger, Stifelman, Stanek, &amp; Bartrem, 2016)</t>
  </si>
  <si>
    <t>Average daily ingestion rate for water</t>
  </si>
  <si>
    <t>L/day</t>
  </si>
  <si>
    <t>(Nyambura, Hashim, Chege, Tokonami, &amp; Omonya, 2020)</t>
  </si>
  <si>
    <t>CF</t>
  </si>
  <si>
    <t>Conversion Factor  - soil</t>
  </si>
  <si>
    <t>kg/mg</t>
  </si>
  <si>
    <t>(Gerba, 2019; Means, 1989; USEPA, 2004)</t>
  </si>
  <si>
    <t>Conversion Factor  - water</t>
  </si>
  <si>
    <t>Dermal</t>
  </si>
  <si>
    <t>SA</t>
  </si>
  <si>
    <t>Skin surface area available for contact</t>
  </si>
  <si>
    <t>FE</t>
  </si>
  <si>
    <t>Dermal exposure ratio</t>
  </si>
  <si>
    <t>Unitless</t>
  </si>
  <si>
    <t>(Kamunda, Mathuthu, &amp; Madhuku, 2016)</t>
  </si>
  <si>
    <t>AF</t>
  </si>
  <si>
    <t>Ski adherence factor</t>
  </si>
  <si>
    <t>ABS</t>
  </si>
  <si>
    <t>Dermal absorption factor (chemical specific)</t>
  </si>
  <si>
    <t>0.03 for As,</t>
  </si>
  <si>
    <t>0.001 for other metals</t>
  </si>
  <si>
    <t>(USEPA, 2004)</t>
  </si>
  <si>
    <r>
      <t>K</t>
    </r>
    <r>
      <rPr>
        <vertAlign val="subscript"/>
        <sz val="9"/>
        <color theme="1"/>
        <rFont val="Times New Roman"/>
        <family val="1"/>
      </rPr>
      <t>p</t>
    </r>
  </si>
  <si>
    <t>Chemical specific dermal permeability</t>
  </si>
  <si>
    <t>coefficient in water measured at 25 °C</t>
  </si>
  <si>
    <t>cm/hour</t>
  </si>
  <si>
    <t>ET</t>
  </si>
  <si>
    <t>Exposure time considered during</t>
  </si>
  <si>
    <t>Showering/bathing and washing activities</t>
  </si>
  <si>
    <t>hours/ event</t>
  </si>
  <si>
    <t>Inhalation</t>
  </si>
  <si>
    <r>
      <t>R</t>
    </r>
    <r>
      <rPr>
        <b/>
        <vertAlign val="subscript"/>
        <sz val="9"/>
        <color theme="1"/>
        <rFont val="Times New Roman"/>
        <family val="1"/>
      </rPr>
      <t>inh</t>
    </r>
  </si>
  <si>
    <t>Inhalation Rate</t>
  </si>
  <si>
    <t>(Chonokhuu et al., 2019)</t>
  </si>
  <si>
    <t>PEF</t>
  </si>
  <si>
    <t>Particulate Emission Factor</t>
  </si>
  <si>
    <t>(Chonokhuu et al., 2019; USEPA, 2004)</t>
  </si>
  <si>
    <t>chemical-specific, (mg/kg-day)-1</t>
  </si>
  <si>
    <t>1 x 10-6</t>
  </si>
  <si>
    <t>L/cm3</t>
  </si>
  <si>
    <t>0.001 L/cm3</t>
  </si>
  <si>
    <t>cm2</t>
  </si>
  <si>
    <t>mg/cm2</t>
  </si>
  <si>
    <t>10-3As, Hg, Cr, Cd;10-4 Pb; 2 * 10-4 Ni</t>
  </si>
  <si>
    <t>m3/day</t>
  </si>
  <si>
    <t>m3/kg</t>
  </si>
  <si>
    <t>1.36*109</t>
  </si>
  <si>
    <t>Element</t>
  </si>
  <si>
    <t>Reference Doses (RfD)</t>
  </si>
  <si>
    <t>Cancer Slope Factors (SF)</t>
  </si>
  <si>
    <t>Source</t>
  </si>
  <si>
    <t>Group 1</t>
  </si>
  <si>
    <t>IRIS</t>
  </si>
  <si>
    <t>Group 2B</t>
  </si>
  <si>
    <t>Group 3</t>
  </si>
  <si>
    <t>N/A</t>
  </si>
  <si>
    <t>Supplementary Table 8: Reference doses (RfD) for non-carcinogenic elements and slope factors (SF) for carcinogenic elements</t>
  </si>
  <si>
    <r>
      <t>IARC</t>
    </r>
    <r>
      <rPr>
        <b/>
        <vertAlign val="superscript"/>
        <sz val="12"/>
        <color theme="1"/>
        <rFont val="Calibri Light"/>
        <family val="2"/>
        <scheme val="major"/>
      </rPr>
      <t>a</t>
    </r>
    <r>
      <rPr>
        <b/>
        <sz val="12"/>
        <color theme="1"/>
        <rFont val="Calibri Light"/>
        <family val="2"/>
        <scheme val="major"/>
      </rPr>
      <t xml:space="preserve"> Classification</t>
    </r>
  </si>
  <si>
    <r>
      <t>IRIS</t>
    </r>
    <r>
      <rPr>
        <b/>
        <vertAlign val="superscript"/>
        <sz val="12"/>
        <color theme="1"/>
        <rFont val="Calibri Light"/>
        <family val="2"/>
        <scheme val="major"/>
      </rPr>
      <t>b</t>
    </r>
  </si>
  <si>
    <r>
      <t xml:space="preserve">Notes: </t>
    </r>
    <r>
      <rPr>
        <b/>
        <vertAlign val="superscript"/>
        <sz val="9"/>
        <color theme="1"/>
        <rFont val="Times New Roman"/>
        <family val="1"/>
      </rPr>
      <t>a</t>
    </r>
    <r>
      <rPr>
        <sz val="9"/>
        <color theme="1"/>
        <rFont val="Times New Roman"/>
        <family val="1"/>
      </rPr>
      <t xml:space="preserve"> International Agency for Research on Cancer, Group 1 chemicals are carcinogenic to humans, Group 2B chemicals are possibly carcinogenic to humans, and Group 3 chemicals are not classifiable as to their carcinogenicity to humans (IARC, 2021);</t>
    </r>
  </si>
  <si>
    <r>
      <t xml:space="preserve">Notes: </t>
    </r>
    <r>
      <rPr>
        <b/>
        <vertAlign val="superscript"/>
        <sz val="9"/>
        <color theme="1"/>
        <rFont val="Times New Roman"/>
        <family val="1"/>
      </rPr>
      <t>b</t>
    </r>
    <r>
      <rPr>
        <sz val="9"/>
        <color theme="1"/>
        <rFont val="Times New Roman"/>
        <family val="1"/>
      </rPr>
      <t xml:space="preserve"> Integrated Risk Information System, U.S. EPA, available at; https://iris.epa.gov/AtoZ/?list_type=alpha</t>
    </r>
  </si>
  <si>
    <t>Organic.Matter</t>
  </si>
  <si>
    <t>Soil.pH</t>
  </si>
  <si>
    <t>W</t>
  </si>
  <si>
    <t>U</t>
  </si>
  <si>
    <r>
      <t>Soil background geochemical concentrations for Kakamega and Vihiga Counties reported by Watts et al., 2019 (</t>
    </r>
    <r>
      <rPr>
        <i/>
        <sz val="12"/>
        <rFont val="Calibri Light"/>
        <family val="2"/>
        <scheme val="major"/>
      </rPr>
      <t>n=45</t>
    </r>
    <r>
      <rPr>
        <b/>
        <sz val="12"/>
        <rFont val="Calibri Light"/>
        <family val="2"/>
        <scheme val="major"/>
      </rPr>
      <t>)</t>
    </r>
  </si>
  <si>
    <t>EF As</t>
  </si>
  <si>
    <t>EF Pb</t>
  </si>
  <si>
    <t>EF Cr</t>
  </si>
  <si>
    <t>EF Cd</t>
  </si>
  <si>
    <t>EF Ni</t>
  </si>
  <si>
    <t>Igeo As</t>
  </si>
  <si>
    <t>Igeo Pb</t>
  </si>
  <si>
    <t>Igeo Cr</t>
  </si>
  <si>
    <t>Igeo Cd</t>
  </si>
  <si>
    <t>Igeo Ni</t>
  </si>
  <si>
    <t>Enrichment Factors for As, Pb, Cr, Cd and Ni</t>
  </si>
  <si>
    <t>Igeo for As, Pb, Cr, Cd and Ni</t>
  </si>
  <si>
    <t>EF Hg</t>
  </si>
  <si>
    <t>Igeo Hg</t>
  </si>
  <si>
    <t>Supplementary Table 9: Enrichment Factor and Igeo values summary for As, Pb, Hg, Cr, Cd and Ni in soils, sediment and water</t>
  </si>
  <si>
    <t>Soils</t>
  </si>
  <si>
    <t>Industrial soils</t>
  </si>
  <si>
    <t>Min</t>
  </si>
  <si>
    <t>Max</t>
  </si>
  <si>
    <t>Mean</t>
  </si>
  <si>
    <t>Schools and playgrounds</t>
  </si>
  <si>
    <t>Agricultural soils</t>
  </si>
  <si>
    <t>Exhausted mine wastes/tailings from cyanidation plants</t>
  </si>
  <si>
    <t>Ores</t>
  </si>
  <si>
    <t>Sediments</t>
  </si>
  <si>
    <t>Washing ponds</t>
  </si>
  <si>
    <t>Exhausted mine waste from cyanidation plants</t>
  </si>
  <si>
    <t>Fish ponds</t>
  </si>
  <si>
    <t>Streams and rivers</t>
  </si>
  <si>
    <t>EF and Igeo values calculations</t>
  </si>
  <si>
    <t>Supplementary Table 7: Exposure parameters used in the health risk estimation for ingestion, inhalation and dermal pathways for soil, sediment and water</t>
  </si>
  <si>
    <t>Supplementary Table 1a: Data for all soil samples from both Kakamega and Vihiga Counties in Kenya (chemical parameters and location).</t>
  </si>
  <si>
    <r>
      <rPr>
        <b/>
        <sz val="12"/>
        <rFont val="Calibri Light"/>
        <family val="2"/>
        <scheme val="major"/>
      </rPr>
      <t>Exhausted mine waste (</t>
    </r>
    <r>
      <rPr>
        <sz val="12"/>
        <rFont val="Calibri Light"/>
        <family val="2"/>
        <scheme val="major"/>
      </rPr>
      <t>n-2)</t>
    </r>
  </si>
  <si>
    <r>
      <t>Fishponds (</t>
    </r>
    <r>
      <rPr>
        <sz val="12"/>
        <rFont val="Calibri Light"/>
        <family val="2"/>
        <scheme val="major"/>
      </rPr>
      <t>n=2)</t>
    </r>
  </si>
  <si>
    <r>
      <t>Stream/river ASGM (</t>
    </r>
    <r>
      <rPr>
        <i/>
        <sz val="12"/>
        <rFont val="Calibri Light"/>
        <family val="2"/>
        <scheme val="major"/>
      </rPr>
      <t>n=6</t>
    </r>
    <r>
      <rPr>
        <b/>
        <sz val="12"/>
        <rFont val="Calibri Light"/>
        <family val="2"/>
        <scheme val="major"/>
      </rPr>
      <t>)</t>
    </r>
  </si>
  <si>
    <r>
      <t>Spring (</t>
    </r>
    <r>
      <rPr>
        <i/>
        <sz val="12"/>
        <rFont val="Calibri Light"/>
        <family val="2"/>
        <scheme val="major"/>
      </rPr>
      <t>n=6</t>
    </r>
    <r>
      <rPr>
        <b/>
        <sz val="12"/>
        <rFont val="Calibri Light"/>
        <family val="2"/>
        <scheme val="major"/>
      </rPr>
      <t>)</t>
    </r>
  </si>
  <si>
    <t>Supplementary Table 5: Data for all water samples from both Kakamega and Vihiga Counties in Kenya</t>
  </si>
  <si>
    <t>Washing ponds (n=11)</t>
  </si>
  <si>
    <t xml:space="preserve">EF </t>
  </si>
  <si>
    <t xml:space="preserve">Igeo </t>
  </si>
  <si>
    <t>mean</t>
  </si>
  <si>
    <t>Non- drinking water</t>
  </si>
  <si>
    <t>Streams/rivers</t>
  </si>
  <si>
    <t>Drinking water sources</t>
  </si>
  <si>
    <t>Springs</t>
  </si>
  <si>
    <t>Shallow wells &amp; boreholes</t>
  </si>
  <si>
    <t>Underground water from mine shafts</t>
  </si>
  <si>
    <t>Non drinking water sources in ASGM (n=13)</t>
  </si>
  <si>
    <r>
      <t>Drinking water sources in ASGM (</t>
    </r>
    <r>
      <rPr>
        <b/>
        <i/>
        <sz val="12"/>
        <rFont val="Calibri Light"/>
        <family val="2"/>
        <scheme val="major"/>
      </rPr>
      <t>n=24</t>
    </r>
    <r>
      <rPr>
        <b/>
        <sz val="12"/>
        <rFont val="Calibri Light"/>
        <family val="2"/>
        <scheme val="major"/>
      </rPr>
      <t>) vs control drinking water sources (</t>
    </r>
    <r>
      <rPr>
        <b/>
        <i/>
        <sz val="12"/>
        <rFont val="Calibri Light"/>
        <family val="2"/>
        <scheme val="major"/>
      </rPr>
      <t>n=5</t>
    </r>
    <r>
      <rPr>
        <b/>
        <sz val="12"/>
        <rFont val="Calibri Light"/>
        <family val="2"/>
        <scheme val="major"/>
      </rPr>
      <t>)</t>
    </r>
  </si>
  <si>
    <t>Receptor</t>
  </si>
  <si>
    <t>Pathway</t>
  </si>
  <si>
    <t>Total</t>
  </si>
  <si>
    <t>Soil</t>
  </si>
  <si>
    <t>Adult</t>
  </si>
  <si>
    <t>Child</t>
  </si>
  <si>
    <t>Sediment</t>
  </si>
  <si>
    <t>Water</t>
  </si>
  <si>
    <t>ADD_Ing_As</t>
  </si>
  <si>
    <t>HQing_As</t>
  </si>
  <si>
    <t>ADD_Ing_Pb</t>
  </si>
  <si>
    <t>HQing_Pb</t>
  </si>
  <si>
    <t>ADD_Ing_Hg</t>
  </si>
  <si>
    <t>HQing_Hg</t>
  </si>
  <si>
    <t>ADD_Ing_Cr</t>
  </si>
  <si>
    <t>HQing_Cr</t>
  </si>
  <si>
    <t>ADD_Ing_Cd</t>
  </si>
  <si>
    <t>HQing_Cd</t>
  </si>
  <si>
    <t>ADD_Ing_Ni</t>
  </si>
  <si>
    <t>HQing_Ni</t>
  </si>
  <si>
    <t>ADD_Derm_As</t>
  </si>
  <si>
    <t>HQderm_As</t>
  </si>
  <si>
    <t>ADD_Derm_Pb</t>
  </si>
  <si>
    <t>HQderm_Pb</t>
  </si>
  <si>
    <t>ADD_Derm_Hg</t>
  </si>
  <si>
    <t>HQderm_Hg</t>
  </si>
  <si>
    <t>ADD_Derm_Cr</t>
  </si>
  <si>
    <t>HQderm_Cr</t>
  </si>
  <si>
    <t>ADD_Derm_Cd</t>
  </si>
  <si>
    <t>HQderm_Cd</t>
  </si>
  <si>
    <t>ADD_Derm_Ni</t>
  </si>
  <si>
    <t>HQderm_Ni</t>
  </si>
  <si>
    <t>ADD_Inh_As</t>
  </si>
  <si>
    <t>HQInh_As</t>
  </si>
  <si>
    <t>ADD_Inh_Pb</t>
  </si>
  <si>
    <t>HQInh_Pb</t>
  </si>
  <si>
    <t>ADD_Inh_Hg</t>
  </si>
  <si>
    <t>HQInh_Hg</t>
  </si>
  <si>
    <t>ADD_Inh_Cr</t>
  </si>
  <si>
    <t>HQInh_Cr</t>
  </si>
  <si>
    <t>ADD_Inh_Cd</t>
  </si>
  <si>
    <t>HQInh_Cd</t>
  </si>
  <si>
    <t>ADD_Inh_Ni</t>
  </si>
  <si>
    <t>HQInh_Ni</t>
  </si>
  <si>
    <t>ADULTS</t>
  </si>
  <si>
    <t>AVERAGE</t>
  </si>
  <si>
    <t>Hg  values from duplicate samples used</t>
  </si>
  <si>
    <t xml:space="preserve">Calculations for Average Daily Dose (ADD) and Hazard Quotients (HQ) values for Adults and Children for Non-carcinogenic Health Risk </t>
  </si>
  <si>
    <t>CHILDREN</t>
  </si>
  <si>
    <t>average</t>
  </si>
  <si>
    <t>1. SOIL - ADULT (Ingestion, dermal and inhalation routes)</t>
  </si>
  <si>
    <t>ADULT</t>
  </si>
  <si>
    <t>CHILD</t>
  </si>
  <si>
    <t>Average</t>
  </si>
  <si>
    <t>4.WATER - ADULT (Ingestion and dermal routes)</t>
  </si>
  <si>
    <t>5. WATER - CHILD (Ingestion and dermal routes)</t>
  </si>
  <si>
    <t>Average Daily Dose (ADD) Values for PTEs in mg/kg/day in ASGM</t>
  </si>
  <si>
    <t>Supplementary Table 10b: Hazard quotient values of toxic elements in adults and children for soil, sediment and water in ASGM for Non-carcinogenic Risk Calculations .</t>
  </si>
  <si>
    <t>Median</t>
  </si>
  <si>
    <t xml:space="preserve">Supplementary Table 10c: Summary of Hazard Index of Elements through Various Exposure Pathways (Ingestion, Inhalation and Dermal Contact) for Adults based on the Total Element Concentrations and Field Measurements of the Exposure Factors at the means, the  25th, median and 95th percentiles </t>
  </si>
  <si>
    <t xml:space="preserve">Supplementary Table 10d: Summary of Hazard Index of Elements through Various Exposure Pathways (Ingestion, Inhalation and Dermal Contact) for Children based on the Total Element Concentrations and Field Measurements of the Exposure Factors at the means, the  25th, median and 95th percentiles. </t>
  </si>
  <si>
    <t>Supplementary Table 11: Calculations for Potential Carcinogenic Health Risks for As, Pb, Hg, Cr, Cd and Ni in soils, sediment and water for adults and children</t>
  </si>
  <si>
    <t>Supplementary Table 10: Calculations for Potential Non-Cancer Health Risks for As, Pb, Hg, Cr, Cd and Ni in soils, sediment and water for adults and children</t>
  </si>
  <si>
    <t>Supplementary Table 11a: Lifetime Average Daily Dose Values for Adults and Children for Carcinogenic Risk Calculations.</t>
  </si>
  <si>
    <t>Lifetime Average Daily Dose (LADD) Values for PTEs in mg/kg/day</t>
  </si>
  <si>
    <t xml:space="preserve">Supplementary Table 11b: Cancer risk values of toxic elements in adults and children in soil, sediment and water from ASGM Villages in Kakamega and Vihiga Counties </t>
  </si>
  <si>
    <t xml:space="preserve">Receptor/ Pathway/Toxic element </t>
  </si>
  <si>
    <t>ILCR_Adult Ingestion</t>
  </si>
  <si>
    <t>ILCR_Child Ingestion</t>
  </si>
  <si>
    <t>ILCR_Adult Inhalation</t>
  </si>
  <si>
    <t>ILCR_Child Inhalation</t>
  </si>
  <si>
    <t>ILCR_Adult Dermal</t>
  </si>
  <si>
    <t>ILCR_Child Dermal</t>
  </si>
  <si>
    <t>C</t>
  </si>
  <si>
    <t>CANCER HEALTH RISKS CALCULATIONS</t>
  </si>
  <si>
    <t>LADDing_As</t>
  </si>
  <si>
    <t>LADDing_Pb</t>
  </si>
  <si>
    <t>LADDing_Hg</t>
  </si>
  <si>
    <t>LADDing_Cr</t>
  </si>
  <si>
    <t>LADDing_Cd</t>
  </si>
  <si>
    <t>LADDing_Ni</t>
  </si>
  <si>
    <t>LADDinh_As</t>
  </si>
  <si>
    <t>LADDinh_Pb</t>
  </si>
  <si>
    <t>LADDinh_Hg</t>
  </si>
  <si>
    <t>LADDinh_Cr</t>
  </si>
  <si>
    <t>LADDinh_Cd</t>
  </si>
  <si>
    <t>LADDinh_Ni</t>
  </si>
  <si>
    <t>LADDdermal_As</t>
  </si>
  <si>
    <t>LADDdermal_Pb</t>
  </si>
  <si>
    <t>LADDdermal_Hg</t>
  </si>
  <si>
    <t>LADDdermal_Cr</t>
  </si>
  <si>
    <t>LADDdermal_Cd</t>
  </si>
  <si>
    <t>LADDdermal_Ni</t>
  </si>
  <si>
    <t>ILCRderm_Cr</t>
  </si>
  <si>
    <t>ILCRderm_Cd</t>
  </si>
  <si>
    <t>ILCRderm_Ni</t>
  </si>
  <si>
    <t xml:space="preserve">Calculations for lifetime average daily Dose (ADD) and incremental lifetime cancer risk (ILCR) values for Adults and Children for carcinogenic Health Risk </t>
  </si>
  <si>
    <r>
      <t xml:space="preserve"> </t>
    </r>
    <r>
      <rPr>
        <b/>
        <sz val="12"/>
        <rFont val="Calibri Light"/>
        <family val="2"/>
        <scheme val="major"/>
      </rPr>
      <t>2. SOIL - CHILD (Ingestion, dermal and inhalation routes)</t>
    </r>
  </si>
  <si>
    <r>
      <t xml:space="preserve"> 3. SEDIMENT - ADULT and CHILD (</t>
    </r>
    <r>
      <rPr>
        <sz val="12"/>
        <rFont val="Calibri Light"/>
        <family val="2"/>
        <scheme val="major"/>
      </rPr>
      <t>Dermal   route</t>
    </r>
    <r>
      <rPr>
        <b/>
        <sz val="12"/>
        <rFont val="Calibri Light"/>
        <family val="2"/>
        <scheme val="major"/>
      </rPr>
      <t>)</t>
    </r>
  </si>
  <si>
    <t>5.WATER - CHILD (Ingestion and dermal routes)</t>
  </si>
  <si>
    <r>
      <t>Supplementary Table 10a: Summary of Average Daily Dose Values for Adults and Children for Non-carcinogenic Risk Calculations</t>
    </r>
    <r>
      <rPr>
        <sz val="12"/>
        <color rgb="FF000000"/>
        <rFont val="Calibri Light"/>
        <family val="2"/>
        <scheme val="major"/>
      </rPr>
      <t> </t>
    </r>
    <r>
      <rPr>
        <b/>
        <sz val="12"/>
        <color rgb="FF000000"/>
        <rFont val="Calibri Light"/>
        <family val="2"/>
        <scheme val="major"/>
      </rPr>
      <t>.</t>
    </r>
  </si>
  <si>
    <r>
      <t>25</t>
    </r>
    <r>
      <rPr>
        <b/>
        <vertAlign val="superscript"/>
        <sz val="12"/>
        <color theme="1"/>
        <rFont val="Calibri Light"/>
        <family val="2"/>
        <scheme val="major"/>
      </rPr>
      <t>th</t>
    </r>
    <r>
      <rPr>
        <b/>
        <sz val="12"/>
        <color theme="1"/>
        <rFont val="Calibri Light"/>
        <family val="2"/>
        <scheme val="major"/>
      </rPr>
      <t xml:space="preserve"> %</t>
    </r>
  </si>
  <si>
    <r>
      <t>75</t>
    </r>
    <r>
      <rPr>
        <b/>
        <vertAlign val="superscript"/>
        <sz val="12"/>
        <color theme="1"/>
        <rFont val="Calibri Light"/>
        <family val="2"/>
        <scheme val="major"/>
      </rPr>
      <t>th</t>
    </r>
    <r>
      <rPr>
        <b/>
        <sz val="12"/>
        <color theme="1"/>
        <rFont val="Calibri Light"/>
        <family val="2"/>
        <scheme val="major"/>
      </rPr>
      <t>%</t>
    </r>
  </si>
  <si>
    <r>
      <t>HI</t>
    </r>
    <r>
      <rPr>
        <sz val="12"/>
        <color theme="1"/>
        <rFont val="Calibri Light"/>
        <family val="2"/>
        <scheme val="major"/>
      </rPr>
      <t>ing</t>
    </r>
  </si>
  <si>
    <r>
      <t>HI</t>
    </r>
    <r>
      <rPr>
        <sz val="12"/>
        <color theme="1"/>
        <rFont val="Calibri Light"/>
        <family val="2"/>
        <scheme val="major"/>
      </rPr>
      <t>inh</t>
    </r>
  </si>
  <si>
    <r>
      <t>HI</t>
    </r>
    <r>
      <rPr>
        <sz val="12"/>
        <color theme="1"/>
        <rFont val="Calibri Light"/>
        <family val="2"/>
        <scheme val="major"/>
      </rPr>
      <t>dermal</t>
    </r>
  </si>
  <si>
    <r>
      <t>HI</t>
    </r>
    <r>
      <rPr>
        <sz val="12"/>
        <color theme="1"/>
        <rFont val="Calibri Light"/>
        <family val="2"/>
        <scheme val="major"/>
      </rPr>
      <t>t</t>
    </r>
  </si>
  <si>
    <t xml:space="preserve"> 3.SEDIMENT - ADULT and CHILD (Dermal   route)</t>
  </si>
  <si>
    <r>
      <t xml:space="preserve"> </t>
    </r>
    <r>
      <rPr>
        <b/>
        <sz val="12"/>
        <rFont val="Calibri Light"/>
        <family val="2"/>
        <scheme val="major"/>
      </rPr>
      <t>2.SOIL - CHILD (Ingestion, dermal and inhalation routes)</t>
    </r>
  </si>
  <si>
    <t>1.SOIL - ADULT (Ingestion, dermal and inhalation routes)</t>
  </si>
  <si>
    <t>NON-CANCER HEALTH RISK CALCULATIONS</t>
  </si>
  <si>
    <t>NON CANCER HEALTH RISK CALCULATIONS</t>
  </si>
  <si>
    <t>*Notes: HQ &gt; 1 indicate non-cancer health risk from a single element via a single pathway of exposure tothe population</t>
  </si>
  <si>
    <t>Ankerite</t>
  </si>
  <si>
    <t>Calcite</t>
  </si>
  <si>
    <t>Hematite</t>
  </si>
  <si>
    <t>Quartz</t>
  </si>
  <si>
    <t>K-feldspar</t>
  </si>
  <si>
    <t>Richterite</t>
  </si>
  <si>
    <t>Chlorite</t>
  </si>
  <si>
    <t>Clinochrysotile</t>
  </si>
  <si>
    <t>Mica</t>
  </si>
  <si>
    <t>Pyrite</t>
  </si>
  <si>
    <t>n.d is not detected, n is the number of samples</t>
  </si>
  <si>
    <t>Lifetime average daily dose</t>
  </si>
  <si>
    <t>LADD Ingestion</t>
  </si>
  <si>
    <t>Ing = Ingestion; Inh = Inhalation; Derm = Dermal</t>
  </si>
  <si>
    <t>LADD =</t>
  </si>
  <si>
    <t>LADDing =</t>
  </si>
  <si>
    <t>LADD inh = LADD Inhalation</t>
  </si>
  <si>
    <t>LADD dermal = LADD Dermal Contact</t>
  </si>
  <si>
    <t>RfD = Reference Daily Dose</t>
  </si>
  <si>
    <t>ILCR = incremental lifetime cancer risk</t>
  </si>
  <si>
    <t>ADD = Average daily dose</t>
  </si>
  <si>
    <t>ADD derm = ADD Dermal Contact</t>
  </si>
  <si>
    <t>ADD inh = ADD Inhalation</t>
  </si>
  <si>
    <t>ADDing = ADD Ingestion</t>
  </si>
  <si>
    <t>HI = Harzard Index</t>
  </si>
  <si>
    <t>Notes*: Hg values in original samples were used for duplicates samples in which Hg analysis was not done</t>
  </si>
  <si>
    <t>HQ=Harzard quotient</t>
  </si>
  <si>
    <t>Mineral %</t>
  </si>
  <si>
    <t>Lims Sample Number</t>
  </si>
  <si>
    <t>Min/Pet Sample Number</t>
  </si>
  <si>
    <t>Feldspar</t>
  </si>
  <si>
    <t>MPLX385</t>
  </si>
  <si>
    <t>&lt; 0.5</t>
  </si>
  <si>
    <t>nd</t>
  </si>
  <si>
    <t>MPLX386</t>
  </si>
  <si>
    <t>MPLX387</t>
  </si>
  <si>
    <t>Total Al</t>
  </si>
  <si>
    <t>Bioaccessible Stomach Al</t>
  </si>
  <si>
    <t>Bioaccessible Stomach and Intestine Al</t>
  </si>
  <si>
    <t>BAF Al</t>
  </si>
  <si>
    <t>Total As</t>
  </si>
  <si>
    <t>Bioaccessible Stomach As</t>
  </si>
  <si>
    <t>Bioaccessible Stomach and Intestine As</t>
  </si>
  <si>
    <t>BAF As</t>
  </si>
  <si>
    <t>Total Ba</t>
  </si>
  <si>
    <t>Bioaccessible Stomach Ba</t>
  </si>
  <si>
    <t>Bioaccessible Stomach and Intestine Ba</t>
  </si>
  <si>
    <t>BAF Ba</t>
  </si>
  <si>
    <t>Total Cd</t>
  </si>
  <si>
    <t>Bioaccessible Stomach Cd</t>
  </si>
  <si>
    <t>Bioaccessible Stomach and Intestine Cd</t>
  </si>
  <si>
    <t>BAF Cd</t>
  </si>
  <si>
    <t>Total Co</t>
  </si>
  <si>
    <t>Bioaccessible Stomach Co</t>
  </si>
  <si>
    <t>Bioaccessible Stomach and Intestine Co</t>
  </si>
  <si>
    <t>BAF Co</t>
  </si>
  <si>
    <t>Total Cr</t>
  </si>
  <si>
    <t>Bioaccessible Stomach Cr</t>
  </si>
  <si>
    <t>Bioaccessible Stomach and Intestine Cr</t>
  </si>
  <si>
    <t>BAF Cr</t>
  </si>
  <si>
    <t>Total Cu</t>
  </si>
  <si>
    <t>Bioaccessible Stomach Cu</t>
  </si>
  <si>
    <t>Bioaccessible Stomach and Intestine Cu</t>
  </si>
  <si>
    <t>BAF Cu</t>
  </si>
  <si>
    <t>Bioaccessible Stomach Fe</t>
  </si>
  <si>
    <t>Bioaccessible Stomach and Intestine Fe</t>
  </si>
  <si>
    <t>BAF Fe</t>
  </si>
  <si>
    <t>Total Li</t>
  </si>
  <si>
    <t>Bioaccessible Stomach Li</t>
  </si>
  <si>
    <t>Bioaccessible Stomach and Intestine Li</t>
  </si>
  <si>
    <t>BAF Li</t>
  </si>
  <si>
    <t>Total Mg</t>
  </si>
  <si>
    <t>Bioaccessible Stomach Mg</t>
  </si>
  <si>
    <t>Bioaccessible Stomach and Intestine Mg</t>
  </si>
  <si>
    <t>BAF Mg</t>
  </si>
  <si>
    <t>Total Mn</t>
  </si>
  <si>
    <t>Bioaccessible Stomach Mn</t>
  </si>
  <si>
    <t>Bioaccessible Stomach and Intestine Mn</t>
  </si>
  <si>
    <t>BAF Mn</t>
  </si>
  <si>
    <t>Total Mo</t>
  </si>
  <si>
    <t>Bioaccessible Stomach Mo</t>
  </si>
  <si>
    <t>Bioaccessible Stomach and Intestine Mo</t>
  </si>
  <si>
    <t>BAF Mo</t>
  </si>
  <si>
    <t>Total Ni</t>
  </si>
  <si>
    <t>Bioaccessible Stomach Ni</t>
  </si>
  <si>
    <t>Bioaccessible Stomach and Intestine Ni</t>
  </si>
  <si>
    <t>BAF Ni</t>
  </si>
  <si>
    <t>Total Pb</t>
  </si>
  <si>
    <t>Bioaccessible Stomach Pb</t>
  </si>
  <si>
    <t>Bioaccessible Stomach and Intestine Pb</t>
  </si>
  <si>
    <t>BAF Pb</t>
  </si>
  <si>
    <t>Total Sb</t>
  </si>
  <si>
    <t>Bioaccessible Stomach Sb</t>
  </si>
  <si>
    <t>Bioaccessible Stomach and Intestine Sb</t>
  </si>
  <si>
    <t>BAF Sb</t>
  </si>
  <si>
    <t>Total Se</t>
  </si>
  <si>
    <t>Bioaccessible Stomach Se</t>
  </si>
  <si>
    <t>Bioaccessible Stomach and Intestine Se</t>
  </si>
  <si>
    <t>BAF Se</t>
  </si>
  <si>
    <t>Total Sr</t>
  </si>
  <si>
    <t>Bioaccessible Stomach Sr</t>
  </si>
  <si>
    <t>Bioaccessible Stomach and Intestine Sr</t>
  </si>
  <si>
    <t>BAF Sr</t>
  </si>
  <si>
    <t>Total V</t>
  </si>
  <si>
    <t>Bioaccessible Stomach V</t>
  </si>
  <si>
    <t>Bioaccessible Stomach and Intestine V</t>
  </si>
  <si>
    <t>BAF V</t>
  </si>
  <si>
    <t>Total Zn</t>
  </si>
  <si>
    <t>Bioaccessible Stomach Zn</t>
  </si>
  <si>
    <t>Bioaccessible Stomach and Intestine Zn</t>
  </si>
  <si>
    <t>BAF Zn</t>
  </si>
  <si>
    <t>Total Th</t>
  </si>
  <si>
    <t>Bioaccessible Stomach Th</t>
  </si>
  <si>
    <t>Bioaccessible Stomach and Intestine Th</t>
  </si>
  <si>
    <t>BAF Th</t>
  </si>
  <si>
    <t>Total U</t>
  </si>
  <si>
    <t>Bioaccessible Stomach U</t>
  </si>
  <si>
    <t>Bioaccessible Stomach and Intestine U</t>
  </si>
  <si>
    <t>BAF U</t>
  </si>
  <si>
    <t>Total Hg</t>
  </si>
  <si>
    <t>Bioaccessible Stomach Hg</t>
  </si>
  <si>
    <t>Bioaccessible Stomach and Intestine Hg</t>
  </si>
  <si>
    <t>BAF Hg</t>
  </si>
  <si>
    <t>&lt;0.068</t>
  </si>
  <si>
    <t>P75</t>
  </si>
  <si>
    <t>Geomean</t>
  </si>
  <si>
    <t>A. mean</t>
  </si>
  <si>
    <r>
      <t>S</t>
    </r>
    <r>
      <rPr>
        <b/>
        <sz val="12"/>
        <rFont val="Calibri Light"/>
        <family val="2"/>
        <scheme val="major"/>
      </rPr>
      <t>ummary for schools, playgrouds and residential soils (n=13</t>
    </r>
    <r>
      <rPr>
        <sz val="12"/>
        <rFont val="Calibri Light"/>
        <family val="2"/>
        <scheme val="major"/>
      </rPr>
      <t>)</t>
    </r>
  </si>
  <si>
    <r>
      <t>S</t>
    </r>
    <r>
      <rPr>
        <b/>
        <sz val="12"/>
        <rFont val="Calibri Light"/>
        <family val="2"/>
        <scheme val="major"/>
      </rPr>
      <t>ummary for ores, mining and processing sites (n= 5</t>
    </r>
    <r>
      <rPr>
        <sz val="12"/>
        <rFont val="Calibri Light"/>
        <family val="2"/>
        <scheme val="major"/>
      </rPr>
      <t>)</t>
    </r>
  </si>
  <si>
    <r>
      <t>S</t>
    </r>
    <r>
      <rPr>
        <b/>
        <sz val="12"/>
        <rFont val="Calibri Light"/>
        <family val="2"/>
        <scheme val="major"/>
      </rPr>
      <t>ummary for agricultural soils (n= 2</t>
    </r>
    <r>
      <rPr>
        <sz val="12"/>
        <rFont val="Calibri Light"/>
        <family val="2"/>
        <scheme val="major"/>
      </rPr>
      <t>)</t>
    </r>
  </si>
  <si>
    <t>PI As</t>
  </si>
  <si>
    <t>PI Pb</t>
  </si>
  <si>
    <t>PI Hg</t>
  </si>
  <si>
    <t>PI Cr</t>
  </si>
  <si>
    <t>PI Cd</t>
  </si>
  <si>
    <t>PI Ni</t>
  </si>
  <si>
    <t>PI for As, Pb, Cr, Cd and Ni</t>
  </si>
  <si>
    <t>*The bold and red font indicate the presence of non-cancer health risks.</t>
  </si>
  <si>
    <t>Supplementary Table 12:  Photographs showing the typical ASGM process and methods in Kakamega and Vuhiga Counties</t>
  </si>
  <si>
    <t>Photograph 6: Sluicing of ground ore to concentrate gold along a stream and a river by young women</t>
  </si>
  <si>
    <t>Photograph 9: Heaps of mine tailings</t>
  </si>
  <si>
    <t>Supplementary Table 1b: XRD mineral characterization for ores</t>
  </si>
  <si>
    <t>Supplementary Table 1b: X-ray Diffraction mineral characterization results for the ores</t>
  </si>
  <si>
    <t>Supplementary Table 9: Enrichment Factor, Igeo and pollution index values summary for As, Pb, Hg, Cr, Cd and Ni in soils, sediment and water</t>
  </si>
  <si>
    <t>Non- drinking water sources</t>
  </si>
  <si>
    <t>Overal PI for all water samples</t>
  </si>
  <si>
    <t>Overal PI for all sediment samples</t>
  </si>
  <si>
    <t>Overal PI for all soil samples</t>
  </si>
  <si>
    <t>Aver</t>
  </si>
  <si>
    <t>Photograph 1a: Children exploring alluvial gold deposits along lower River Yala in Viyalo</t>
  </si>
  <si>
    <t xml:space="preserve">Photograph 1b: Miner exploring alluvial gold deposits along upper Yala River in Indete. </t>
  </si>
  <si>
    <t>Photograph 5: Sluicing in a homestead in Kitigu/ Lunyerere</t>
  </si>
  <si>
    <t>Photograph 8a: Gold shop; for amalgam burning using a jiko, weighing, buying, and selling gold in Rosterman.</t>
  </si>
  <si>
    <t>Supplementary Table 1c: Soil bioaccessibility data and summaries</t>
  </si>
  <si>
    <t>Supplementary Table 2: Summary of soil data for both ASGM/intervention sites and the control</t>
  </si>
  <si>
    <t>1.SOIL - ADULT (Ingestion route)</t>
  </si>
  <si>
    <t>Bioaccessible Hazard Quotient (BHQ)_As</t>
  </si>
  <si>
    <t>BHQ_Cd</t>
  </si>
  <si>
    <t>BHQ_Cr</t>
  </si>
  <si>
    <t>BHQ_Hg</t>
  </si>
  <si>
    <t>BHQ_Ni</t>
  </si>
  <si>
    <t>BHQ_Pb</t>
  </si>
  <si>
    <r>
      <t xml:space="preserve"> </t>
    </r>
    <r>
      <rPr>
        <b/>
        <sz val="12"/>
        <rFont val="Calibri Light"/>
        <family val="2"/>
        <scheme val="major"/>
      </rPr>
      <t>2.SOIL - CHILDREN (Ingestion route)</t>
    </r>
  </si>
  <si>
    <t>Supplementary Table 1c: (ii) Soil bioaccessibility summaries</t>
  </si>
  <si>
    <t>Supplementary Table 1c: (iii) All the soil bioaccessibility data, calculated Average Daily Doses (ADD) via soil ingestion, Hazard Quotients and Bioaccessible Hazard Quotients (BHQs) for adults and children</t>
  </si>
  <si>
    <t>Supplementary Table 1c: (i) All soil bioaccessibility data</t>
  </si>
  <si>
    <t>Photograph 3b: Sun-drying of ores prior to milling in Rosterman</t>
  </si>
  <si>
    <t>Photograph 3a: Workers using hammers to crush gold ores into smaller pieces in Rosterman.</t>
  </si>
  <si>
    <t>Photograph 4: Grinding/pulverizing crushed gold ores using locally fabricated mill in Rosterman</t>
  </si>
  <si>
    <t>Photograph 2: Artisanal small-scale gold mining shaft in Kitigu, Lunyerere</t>
  </si>
  <si>
    <t>Photographs 7a - d: Panning of gold ore to further remove impurities and addition of mercury to the concentrate to form Hg-Au amalgam</t>
  </si>
  <si>
    <t>Photograph 8b: Gold buyer burning Hg-Au amalgam burning using gas in Shikoye, Malinya.</t>
  </si>
  <si>
    <t>All photographs sources: Maureene Auma Ondayo</t>
  </si>
  <si>
    <r>
      <t>Supplementary Table 12:  Photographs showing the typical ASGM process and methods in Kakamega and Vihiga Counties (</t>
    </r>
    <r>
      <rPr>
        <i/>
        <sz val="12"/>
        <color theme="1"/>
        <rFont val="Calibri Light"/>
        <family val="2"/>
        <scheme val="major"/>
      </rPr>
      <t>Source: Maureene Auma Ondayo</t>
    </r>
    <r>
      <rPr>
        <b/>
        <i/>
        <sz val="12"/>
        <color theme="1"/>
        <rFont val="Calibri Light"/>
        <family val="2"/>
        <scheme val="major"/>
      </rPr>
      <t>)</t>
    </r>
  </si>
  <si>
    <t>Artisanal gold mining in Kakamega and Vihiga counties, Kenya: Potential human exposure and health risk</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</si>
</sst>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9">
    <numFmt numFmtId="164" formatCode="[&gt;=10]00.0;[&gt;=1]0.00;0.000"/>
    <numFmt numFmtId="165" formatCode="[&gt;=100]0;[&gt;=10]0;0"/>
    <numFmt numFmtId="166" formatCode="#0.0;&quot;&lt;&quot;#0.0;;@"/>
    <numFmt numFmtId="167" formatCode="[&gt;=10]00;[&gt;=1]0.0;0.00"/>
    <numFmt numFmtId="168" formatCode="[&gt;=100]0.0;[&gt;=10]0.0;0.0"/>
    <numFmt numFmtId="169" formatCode="[&gt;=10]00.00;[&gt;=1]0.00;0.00"/>
    <numFmt numFmtId="170" formatCode="[&gt;=100]0;[&gt;=1]0.0;0.0"/>
    <numFmt numFmtId="171" formatCode="[&gt;=100]0;[&gt;=10]0.0;0.00"/>
    <numFmt numFmtId="172" formatCode="0.0"/>
    <numFmt numFmtId="173" formatCode="[$-409]d\-mmm\-yy;@"/>
    <numFmt numFmtId="174" formatCode="[$-409]mmmm\ d\,\ yyyy;@"/>
    <numFmt numFmtId="175" formatCode="0.0000"/>
    <numFmt numFmtId="176" formatCode="0.00;[Red]0.00"/>
    <numFmt numFmtId="177" formatCode="[$-F800]dddd\,\ mmmm\ dd\,\ yyyy"/>
    <numFmt numFmtId="178" formatCode="0;[Red]0"/>
    <numFmt numFmtId="179" formatCode="0.000000;[Red]0.000000"/>
    <numFmt numFmtId="180" formatCode="0.00000"/>
    <numFmt numFmtId="181" formatCode="[&gt;=100]0;[&gt;=10]0;0.0"/>
    <numFmt numFmtId="182" formatCode="[&gt;=100]0.00;[&gt;=1]0.00;0.00"/>
    <numFmt numFmtId="183" formatCode="[&gt;=100]0.0;[&gt;=1]0.00;0.00"/>
    <numFmt numFmtId="184" formatCode="[&gt;=100]0.0;[&gt;=10]0.00;0.000"/>
    <numFmt numFmtId="185" formatCode="[&gt;=100]0.00;[&gt;=1]0.000;0.000"/>
    <numFmt numFmtId="186" formatCode="0.0;[Red]0.0"/>
    <numFmt numFmtId="187" formatCode="[&gt;=10]00;[&gt;=1]0;0"/>
    <numFmt numFmtId="188" formatCode="[&gt;=10]00;[&gt;=1]0;0.0"/>
    <numFmt numFmtId="189" formatCode="#0.000;&quot;&lt;&quot;#0.000;;@"/>
    <numFmt numFmtId="190" formatCode="[&gt;=10]00.0;[&gt;=1]0.0;0.0"/>
    <numFmt numFmtId="191" formatCode="[&gt;=10]00.000;[&gt;=1]0.000;0.000"/>
    <numFmt numFmtId="192" formatCode="0.000"/>
  </numFmts>
  <fonts count="52">
    <font>
      <sz val="11"/>
      <color theme="1"/>
      <name val="Calibri"/>
      <family val="2"/>
      <scheme val="minor"/>
    </font>
    <font>
      <sz val="10"/>
      <name val="Geneva"/>
    </font>
    <font>
      <sz val="10"/>
      <name val="Arial"/>
      <family val="2"/>
    </font>
    <font>
      <b/>
      <sz val="12"/>
      <name val="Calibri Light"/>
      <family val="2"/>
      <scheme val="major"/>
    </font>
    <font>
      <sz val="12"/>
      <name val="Calibri Light"/>
      <family val="2"/>
      <scheme val="major"/>
    </font>
    <font>
      <vertAlign val="superscript"/>
      <sz val="12"/>
      <name val="Calibri Light"/>
      <family val="2"/>
      <scheme val="major"/>
    </font>
    <font>
      <sz val="12"/>
      <color theme="1"/>
      <name val="Calibri Light"/>
      <family val="2"/>
      <scheme val="major"/>
    </font>
    <font>
      <sz val="12"/>
      <color rgb="FFFF0000"/>
      <name val="Calibri Light"/>
      <family val="2"/>
      <scheme val="major"/>
    </font>
    <font>
      <sz val="12"/>
      <color indexed="9"/>
      <name val="Calibri Light"/>
      <family val="2"/>
      <scheme val="major"/>
    </font>
    <font>
      <b/>
      <sz val="12"/>
      <color theme="1"/>
      <name val="Calibri Light"/>
      <family val="2"/>
      <scheme val="major"/>
    </font>
    <font>
      <b/>
      <sz val="12"/>
      <color rgb="FFFF0000"/>
      <name val="Calibri Light"/>
      <family val="2"/>
      <scheme val="major"/>
    </font>
    <font>
      <b/>
      <vertAlign val="subscript"/>
      <sz val="12"/>
      <name val="Calibri Light"/>
      <family val="2"/>
      <scheme val="major"/>
    </font>
    <font>
      <b/>
      <vertAlign val="superscript"/>
      <sz val="12"/>
      <name val="Calibri Light"/>
      <family val="2"/>
      <scheme val="major"/>
    </font>
    <font>
      <vertAlign val="subscript"/>
      <sz val="12"/>
      <name val="Calibri Light"/>
      <family val="2"/>
      <scheme val="major"/>
    </font>
    <font>
      <sz val="12"/>
      <color theme="4"/>
      <name val="Calibri Light"/>
      <family val="2"/>
      <scheme val="major"/>
    </font>
    <font>
      <sz val="12"/>
      <color theme="5"/>
      <name val="Calibri Light"/>
      <family val="2"/>
      <scheme val="major"/>
    </font>
    <font>
      <i/>
      <sz val="12"/>
      <name val="Calibri Light"/>
      <family val="2"/>
      <scheme val="major"/>
    </font>
    <font>
      <b/>
      <i/>
      <sz val="12"/>
      <name val="Calibri Light"/>
      <family val="2"/>
      <scheme val="major"/>
    </font>
    <font>
      <sz val="11"/>
      <name val="Calibri Light"/>
      <family val="2"/>
      <scheme val="major"/>
    </font>
    <font>
      <sz val="12"/>
      <color rgb="FF000000"/>
      <name val="Calibri Light"/>
      <family val="2"/>
      <scheme val="major"/>
    </font>
    <font>
      <b/>
      <sz val="12"/>
      <color theme="4" tint="0.39997558519241921"/>
      <name val="Calibri Light"/>
      <family val="2"/>
      <scheme val="major"/>
    </font>
    <font>
      <sz val="12"/>
      <color theme="4" tint="0.39997558519241921"/>
      <name val="Calibri Light"/>
      <family val="2"/>
      <scheme val="major"/>
    </font>
    <font>
      <sz val="8"/>
      <name val="Calibri"/>
      <family val="2"/>
      <scheme val="minor"/>
    </font>
    <font>
      <b/>
      <sz val="9"/>
      <color theme="1"/>
      <name val="Times New Roman"/>
      <family val="1"/>
    </font>
    <font>
      <sz val="9"/>
      <color theme="1"/>
      <name val="Times New Roman"/>
      <family val="1"/>
    </font>
    <font>
      <vertAlign val="subscript"/>
      <sz val="9"/>
      <color theme="1"/>
      <name val="Times New Roman"/>
      <family val="1"/>
    </font>
    <font>
      <b/>
      <vertAlign val="subscript"/>
      <sz val="9"/>
      <color theme="1"/>
      <name val="Times New Roman"/>
      <family val="1"/>
    </font>
    <font>
      <b/>
      <sz val="10"/>
      <name val="Calibri Light"/>
      <family val="2"/>
      <scheme val="major"/>
    </font>
    <font>
      <b/>
      <sz val="11"/>
      <color theme="1"/>
      <name val="Calibri Light"/>
      <family val="2"/>
      <scheme val="major"/>
    </font>
    <font>
      <sz val="11"/>
      <color theme="1"/>
      <name val="Calibri Light"/>
      <family val="2"/>
      <scheme val="major"/>
    </font>
    <font>
      <b/>
      <vertAlign val="superscript"/>
      <sz val="9"/>
      <color theme="1"/>
      <name val="Times New Roman"/>
      <family val="1"/>
    </font>
    <font>
      <b/>
      <vertAlign val="superscript"/>
      <sz val="12"/>
      <color theme="1"/>
      <name val="Calibri Light"/>
      <family val="2"/>
      <scheme val="major"/>
    </font>
    <font>
      <b/>
      <sz val="11"/>
      <name val="Calibri Light"/>
      <family val="2"/>
      <scheme val="major"/>
    </font>
    <font>
      <b/>
      <sz val="12"/>
      <color rgb="FF000000"/>
      <name val="Calibri Light"/>
      <family val="2"/>
      <scheme val="major"/>
    </font>
    <font>
      <b/>
      <sz val="12"/>
      <color rgb="FF00B0F0"/>
      <name val="Calibri Light"/>
      <family val="2"/>
      <scheme val="major"/>
    </font>
    <font>
      <b/>
      <sz val="12"/>
      <color rgb="FF00B050"/>
      <name val="Calibri Light"/>
      <family val="2"/>
      <scheme val="major"/>
    </font>
    <font>
      <sz val="12"/>
      <color rgb="FF00B0F0"/>
      <name val="Calibri Light"/>
      <family val="2"/>
      <scheme val="major"/>
    </font>
    <font>
      <sz val="12"/>
      <color rgb="FF00B050"/>
      <name val="Calibri Light"/>
      <family val="2"/>
      <scheme val="major"/>
    </font>
    <font>
      <b/>
      <sz val="12"/>
      <color rgb="FF0070C0"/>
      <name val="Calibri Light"/>
      <family val="2"/>
      <scheme val="major"/>
    </font>
    <font>
      <sz val="12"/>
      <color rgb="FF0070C0"/>
      <name val="Calibri Light"/>
      <family val="2"/>
      <scheme val="major"/>
    </font>
    <font>
      <i/>
      <sz val="12"/>
      <color theme="1"/>
      <name val="Calibri Light"/>
      <family val="2"/>
      <scheme val="major"/>
    </font>
    <font>
      <sz val="12"/>
      <color rgb="FF4F81BD"/>
      <name val="Calibri Light"/>
      <family val="2"/>
      <scheme val="major"/>
    </font>
    <font>
      <b/>
      <i/>
      <sz val="12"/>
      <color theme="1"/>
      <name val="Calibri Light"/>
      <family val="2"/>
      <scheme val="major"/>
    </font>
    <font>
      <sz val="10"/>
      <color theme="1"/>
      <name val="Calibri Light"/>
      <family val="2"/>
      <scheme val="major"/>
    </font>
    <font>
      <sz val="11"/>
      <color rgb="FF000000"/>
      <name val="Calibri Light"/>
      <family val="2"/>
      <scheme val="major"/>
    </font>
    <font>
      <sz val="9"/>
      <color theme="1"/>
      <name val="Calibri Light"/>
      <family val="2"/>
      <scheme val="major"/>
    </font>
    <font>
      <sz val="11"/>
      <color theme="1"/>
      <name val="Calibri"/>
      <family val="2"/>
      <scheme val="minor"/>
    </font>
    <font>
      <sz val="10"/>
      <name val="Arial"/>
      <family val="2"/>
    </font>
    <font>
      <sz val="11"/>
      <name val="Calibri"/>
      <family val="2"/>
      <scheme val="minor"/>
    </font>
    <font>
      <b/>
      <sz val="11"/>
      <name val="Calibri"/>
      <family val="2"/>
      <scheme val="minor"/>
    </font>
    <font>
      <b/>
      <sz val="16"/>
      <color theme="1"/>
      <name val="Calibri Light"/>
      <family val="2"/>
      <scheme val="major"/>
    </font>
    <font>
      <b/>
      <sz val="20"/>
      <color theme="1"/>
      <name val="Calibri Light"/>
      <family val="2"/>
      <scheme val="major"/>
    </font>
  </fonts>
  <fills count="10">
    <fill>
      <patternFill patternType="none"/>
    </fill>
    <fill>
      <patternFill patternType="gray125"/>
    </fill>
    <fill>
      <patternFill patternType="solid">
        <fgColor theme="0"/>
        <bgColor indexed="64"/>
      </patternFill>
    </fill>
    <fill>
      <patternFill patternType="solid">
        <fgColor theme="8" tint="0.79998168889431442"/>
        <bgColor indexed="64"/>
      </patternFill>
    </fill>
    <fill>
      <patternFill patternType="solid">
        <fgColor theme="4" tint="0.79998168889431442"/>
        <bgColor indexed="64"/>
      </patternFill>
    </fill>
    <fill>
      <patternFill patternType="solid">
        <fgColor rgb="FFFFFF00"/>
        <bgColor rgb="FF000000"/>
      </patternFill>
    </fill>
    <fill>
      <patternFill patternType="solid">
        <fgColor rgb="FFFFFFFF"/>
        <bgColor rgb="FF000000"/>
      </patternFill>
    </fill>
    <fill>
      <patternFill patternType="solid">
        <fgColor rgb="FFDCE6F1"/>
        <bgColor rgb="FF000000"/>
      </patternFill>
    </fill>
    <fill>
      <patternFill patternType="solid">
        <fgColor rgb="FFFFFF00"/>
        <bgColor indexed="64"/>
      </patternFill>
    </fill>
    <fill>
      <patternFill patternType="solid">
        <fgColor theme="0" tint="-0.249977111117893"/>
        <bgColor indexed="64"/>
      </patternFill>
    </fill>
  </fills>
  <borders count="27">
    <border>
      <left/>
      <right/>
      <top/>
      <bottom/>
      <diagonal/>
    </border>
    <border>
      <left/>
      <right/>
      <top/>
      <bottom style="medium">
        <color indexed="64"/>
      </bottom>
      <diagonal/>
    </border>
    <border>
      <left/>
      <right/>
      <top/>
      <bottom style="thick">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style="thick">
        <color indexed="64"/>
      </bottom>
      <diagonal/>
    </border>
    <border>
      <left/>
      <right/>
      <top style="medium">
        <color indexed="64"/>
      </top>
      <bottom/>
      <diagonal/>
    </border>
    <border>
      <left/>
      <right/>
      <top style="medium">
        <color indexed="64"/>
      </top>
      <bottom style="medium">
        <color indexed="64"/>
      </bottom>
      <diagonal/>
    </border>
    <border>
      <left/>
      <right style="thick">
        <color indexed="64"/>
      </right>
      <top style="thick">
        <color indexed="64"/>
      </top>
      <bottom style="thick">
        <color indexed="64"/>
      </bottom>
      <diagonal/>
    </border>
    <border>
      <left/>
      <right/>
      <top style="thick">
        <color indexed="64"/>
      </top>
      <bottom style="thick">
        <color indexed="64"/>
      </bottom>
      <diagonal/>
    </border>
    <border>
      <left/>
      <right style="thick">
        <color indexed="64"/>
      </right>
      <top/>
      <bottom style="thick">
        <color indexed="64"/>
      </bottom>
      <diagonal/>
    </border>
    <border>
      <left style="thick">
        <color indexed="64"/>
      </left>
      <right/>
      <top/>
      <bottom style="thick">
        <color indexed="64"/>
      </bottom>
      <diagonal/>
    </border>
    <border>
      <left/>
      <right style="medium">
        <color indexed="64"/>
      </right>
      <top/>
      <bottom style="medium">
        <color indexed="64"/>
      </bottom>
      <diagonal/>
    </border>
    <border>
      <left style="medium">
        <color indexed="64"/>
      </left>
      <right/>
      <top/>
      <bottom style="medium">
        <color indexed="64"/>
      </bottom>
      <diagonal/>
    </border>
    <border>
      <left/>
      <right style="medium">
        <color indexed="64"/>
      </right>
      <top/>
      <bottom style="thick">
        <color indexed="64"/>
      </bottom>
      <diagonal/>
    </border>
    <border>
      <left style="thick">
        <color indexed="64"/>
      </left>
      <right/>
      <top style="thick">
        <color indexed="64"/>
      </top>
      <bottom style="thick">
        <color indexed="64"/>
      </bottom>
      <diagonal/>
    </border>
    <border>
      <left style="medium">
        <color indexed="64"/>
      </left>
      <right style="medium">
        <color indexed="64"/>
      </right>
      <top style="thick">
        <color indexed="64"/>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thick">
        <color indexed="64"/>
      </right>
      <top/>
      <bottom style="medium">
        <color indexed="64"/>
      </bottom>
      <diagonal/>
    </border>
    <border>
      <left/>
      <right style="thick">
        <color indexed="64"/>
      </right>
      <top style="thick">
        <color indexed="64"/>
      </top>
      <bottom/>
      <diagonal/>
    </border>
    <border>
      <left style="thick">
        <color indexed="64"/>
      </left>
      <right style="medium">
        <color indexed="64"/>
      </right>
      <top style="thick">
        <color indexed="64"/>
      </top>
      <bottom/>
      <diagonal/>
    </border>
    <border>
      <left style="thick">
        <color indexed="64"/>
      </left>
      <right style="medium">
        <color indexed="64"/>
      </right>
      <top/>
      <bottom style="medium">
        <color indexed="64"/>
      </bottom>
      <diagonal/>
    </border>
    <border>
      <left style="medium">
        <color indexed="64"/>
      </left>
      <right/>
      <top style="thick">
        <color indexed="64"/>
      </top>
      <bottom/>
      <diagonal/>
    </border>
    <border>
      <left/>
      <right style="thick">
        <color indexed="64"/>
      </right>
      <top style="medium">
        <color indexed="64"/>
      </top>
      <bottom/>
      <diagonal/>
    </border>
    <border>
      <left style="thick">
        <color indexed="64"/>
      </left>
      <right style="medium">
        <color indexed="64"/>
      </right>
      <top style="medium">
        <color indexed="64"/>
      </top>
      <bottom/>
      <diagonal/>
    </border>
    <border>
      <left style="medium">
        <color indexed="64"/>
      </left>
      <right/>
      <top style="medium">
        <color indexed="64"/>
      </top>
      <bottom/>
      <diagonal/>
    </border>
    <border>
      <left style="thin">
        <color indexed="64"/>
      </left>
      <right style="thin">
        <color indexed="64"/>
      </right>
      <top style="thin">
        <color indexed="64"/>
      </top>
      <bottom style="thin">
        <color indexed="64"/>
      </bottom>
      <diagonal/>
    </border>
  </borders>
  <cellStyleXfs count="8">
    <xf numFmtId="0" fontId="0" fillId="0" borderId="0"/>
    <xf numFmtId="0" fontId="1" fillId="0" borderId="0"/>
    <xf numFmtId="0" fontId="2" fillId="0" borderId="0"/>
    <xf numFmtId="0" fontId="2" fillId="0" borderId="0"/>
    <xf numFmtId="0" fontId="47" fillId="0" borderId="0"/>
    <xf numFmtId="0" fontId="46" fillId="0" borderId="0"/>
    <xf numFmtId="0" fontId="2" fillId="0" borderId="0"/>
    <xf numFmtId="0" fontId="2" fillId="0" borderId="0"/>
  </cellStyleXfs>
  <cellXfs count="427">
    <xf numFmtId="0" fontId="0" fillId="0" borderId="0" xfId="0"/>
    <xf numFmtId="0" fontId="3" fillId="0" borderId="0" xfId="1" applyFont="1" applyAlignment="1">
      <alignment horizontal="left" vertical="center"/>
    </xf>
    <xf numFmtId="14" fontId="3" fillId="0" borderId="0" xfId="1" applyNumberFormat="1" applyFont="1" applyAlignment="1">
      <alignment horizontal="left" vertical="center"/>
    </xf>
    <xf numFmtId="0" fontId="3" fillId="0" borderId="0" xfId="1" applyFont="1" applyAlignment="1">
      <alignment horizontal="right" vertical="center"/>
    </xf>
    <xf numFmtId="164" fontId="3" fillId="0" borderId="0" xfId="1" applyNumberFormat="1" applyFont="1" applyAlignment="1">
      <alignment horizontal="right" vertical="center"/>
    </xf>
    <xf numFmtId="0" fontId="4" fillId="0" borderId="0" xfId="1" applyFont="1" applyAlignment="1">
      <alignment horizontal="left" vertical="center"/>
    </xf>
    <xf numFmtId="14" fontId="4" fillId="0" borderId="0" xfId="1" applyNumberFormat="1" applyFont="1" applyAlignment="1">
      <alignment horizontal="left" vertical="center"/>
    </xf>
    <xf numFmtId="0" fontId="4" fillId="0" borderId="0" xfId="1" applyFont="1" applyAlignment="1">
      <alignment horizontal="right" vertical="center"/>
    </xf>
    <xf numFmtId="164" fontId="4" fillId="0" borderId="0" xfId="1" applyNumberFormat="1" applyFont="1" applyAlignment="1">
      <alignment horizontal="center" vertical="center"/>
    </xf>
    <xf numFmtId="164" fontId="4" fillId="0" borderId="0" xfId="1" applyNumberFormat="1" applyFont="1" applyAlignment="1">
      <alignment horizontal="right" vertical="center"/>
    </xf>
    <xf numFmtId="166" fontId="3" fillId="0" borderId="0" xfId="2" applyNumberFormat="1" applyFont="1" applyAlignment="1">
      <alignment horizontal="left"/>
    </xf>
    <xf numFmtId="0" fontId="3" fillId="0" borderId="0" xfId="1" applyFont="1" applyAlignment="1">
      <alignment horizontal="left"/>
    </xf>
    <xf numFmtId="14" fontId="3" fillId="0" borderId="0" xfId="1" applyNumberFormat="1" applyFont="1" applyAlignment="1">
      <alignment horizontal="left"/>
    </xf>
    <xf numFmtId="0" fontId="3" fillId="0" borderId="0" xfId="1" applyFont="1" applyAlignment="1">
      <alignment horizontal="right"/>
    </xf>
    <xf numFmtId="15" fontId="4" fillId="0" borderId="0" xfId="1" applyNumberFormat="1" applyFont="1" applyAlignment="1">
      <alignment horizontal="left"/>
    </xf>
    <xf numFmtId="174" fontId="4" fillId="0" borderId="0" xfId="1" applyNumberFormat="1" applyFont="1" applyAlignment="1">
      <alignment horizontal="left"/>
    </xf>
    <xf numFmtId="0" fontId="6" fillId="0" borderId="0" xfId="0" applyFont="1" applyAlignment="1">
      <alignment horizontal="left"/>
    </xf>
    <xf numFmtId="0" fontId="4" fillId="0" borderId="0" xfId="0" applyFont="1" applyAlignment="1">
      <alignment horizontal="left"/>
    </xf>
    <xf numFmtId="164" fontId="4" fillId="0" borderId="0" xfId="2" applyNumberFormat="1" applyFont="1" applyAlignment="1">
      <alignment horizontal="right"/>
    </xf>
    <xf numFmtId="165" fontId="4" fillId="0" borderId="0" xfId="2" applyNumberFormat="1" applyFont="1" applyAlignment="1">
      <alignment horizontal="right"/>
    </xf>
    <xf numFmtId="0" fontId="4" fillId="0" borderId="0" xfId="1" applyFont="1" applyAlignment="1">
      <alignment horizontal="left"/>
    </xf>
    <xf numFmtId="0" fontId="4" fillId="0" borderId="0" xfId="0" applyFont="1" applyAlignment="1">
      <alignment horizontal="left" vertical="top"/>
    </xf>
    <xf numFmtId="0" fontId="4" fillId="0" borderId="0" xfId="1" applyFont="1" applyAlignment="1">
      <alignment horizontal="right"/>
    </xf>
    <xf numFmtId="174" fontId="4" fillId="0" borderId="0" xfId="0" applyNumberFormat="1" applyFont="1" applyAlignment="1">
      <alignment horizontal="left"/>
    </xf>
    <xf numFmtId="2" fontId="4" fillId="0" borderId="0" xfId="1" applyNumberFormat="1" applyFont="1" applyAlignment="1">
      <alignment horizontal="right"/>
    </xf>
    <xf numFmtId="0" fontId="3" fillId="0" borderId="0" xfId="0" applyFont="1" applyAlignment="1">
      <alignment horizontal="left"/>
    </xf>
    <xf numFmtId="0" fontId="3" fillId="0" borderId="0" xfId="1" applyFont="1" applyAlignment="1">
      <alignment horizontal="center" vertical="center"/>
    </xf>
    <xf numFmtId="0" fontId="4" fillId="0" borderId="0" xfId="1" applyFont="1" applyAlignment="1">
      <alignment horizontal="center" vertical="center"/>
    </xf>
    <xf numFmtId="0" fontId="4" fillId="0" borderId="0" xfId="1" applyFont="1"/>
    <xf numFmtId="14" fontId="4" fillId="0" borderId="0" xfId="1" applyNumberFormat="1" applyFont="1" applyAlignment="1">
      <alignment horizontal="left"/>
    </xf>
    <xf numFmtId="164" fontId="4" fillId="0" borderId="0" xfId="1" applyNumberFormat="1" applyFont="1"/>
    <xf numFmtId="164" fontId="4" fillId="0" borderId="0" xfId="1" applyNumberFormat="1" applyFont="1" applyAlignment="1">
      <alignment horizontal="right"/>
    </xf>
    <xf numFmtId="164" fontId="4" fillId="0" borderId="0" xfId="2" applyNumberFormat="1" applyFont="1" applyAlignment="1">
      <alignment horizontal="center"/>
    </xf>
    <xf numFmtId="164" fontId="8" fillId="0" borderId="0" xfId="1" applyNumberFormat="1" applyFont="1"/>
    <xf numFmtId="0" fontId="6" fillId="0" borderId="0" xfId="0" applyFont="1"/>
    <xf numFmtId="0" fontId="4" fillId="0" borderId="0" xfId="0" applyFont="1"/>
    <xf numFmtId="1" fontId="4" fillId="0" borderId="0" xfId="0" applyNumberFormat="1" applyFont="1" applyAlignment="1">
      <alignment horizontal="center"/>
    </xf>
    <xf numFmtId="0" fontId="4" fillId="3" borderId="0" xfId="1" applyFont="1" applyFill="1"/>
    <xf numFmtId="0" fontId="3" fillId="0" borderId="0" xfId="1" applyFont="1"/>
    <xf numFmtId="0" fontId="4" fillId="0" borderId="0" xfId="1" applyFont="1" applyAlignment="1">
      <alignment horizontal="center"/>
    </xf>
    <xf numFmtId="0" fontId="4" fillId="3" borderId="0" xfId="1" applyFont="1" applyFill="1" applyAlignment="1">
      <alignment horizontal="center"/>
    </xf>
    <xf numFmtId="0" fontId="4" fillId="0" borderId="0" xfId="0" applyFont="1" applyAlignment="1">
      <alignment horizontal="center" vertical="top"/>
    </xf>
    <xf numFmtId="0" fontId="10" fillId="0" borderId="0" xfId="0" applyFont="1" applyAlignment="1">
      <alignment horizontal="left"/>
    </xf>
    <xf numFmtId="0" fontId="3" fillId="0" borderId="0" xfId="1" applyFont="1" applyAlignment="1">
      <alignment horizontal="center"/>
    </xf>
    <xf numFmtId="0" fontId="4" fillId="2" borderId="0" xfId="0" applyFont="1" applyFill="1" applyAlignment="1">
      <alignment horizontal="left"/>
    </xf>
    <xf numFmtId="0" fontId="4" fillId="0" borderId="0" xfId="0" applyFont="1" applyAlignment="1">
      <alignment horizontal="left" vertical="center"/>
    </xf>
    <xf numFmtId="0" fontId="3" fillId="0" borderId="0" xfId="0" applyFont="1"/>
    <xf numFmtId="0" fontId="3" fillId="0" borderId="0" xfId="0" applyFont="1" applyAlignment="1">
      <alignment horizontal="center"/>
    </xf>
    <xf numFmtId="177" fontId="4" fillId="0" borderId="0" xfId="0" applyNumberFormat="1" applyFont="1" applyAlignment="1">
      <alignment horizontal="left"/>
    </xf>
    <xf numFmtId="0" fontId="3" fillId="3" borderId="0" xfId="1" applyFont="1" applyFill="1" applyAlignment="1">
      <alignment horizontal="center"/>
    </xf>
    <xf numFmtId="164" fontId="7" fillId="0" borderId="0" xfId="1" applyNumberFormat="1" applyFont="1" applyAlignment="1">
      <alignment horizontal="right"/>
    </xf>
    <xf numFmtId="0" fontId="14" fillId="0" borderId="0" xfId="1" applyFont="1"/>
    <xf numFmtId="0" fontId="7" fillId="0" borderId="0" xfId="1" applyFont="1"/>
    <xf numFmtId="0" fontId="4" fillId="0" borderId="0" xfId="0" applyFont="1" applyAlignment="1">
      <alignment horizontal="center"/>
    </xf>
    <xf numFmtId="178" fontId="4" fillId="0" borderId="0" xfId="1" applyNumberFormat="1" applyFont="1" applyAlignment="1">
      <alignment horizontal="center"/>
    </xf>
    <xf numFmtId="178" fontId="4" fillId="0" borderId="0" xfId="0" applyNumberFormat="1" applyFont="1" applyAlignment="1">
      <alignment horizontal="center"/>
    </xf>
    <xf numFmtId="167" fontId="3" fillId="0" borderId="0" xfId="1" applyNumberFormat="1" applyFont="1" applyAlignment="1">
      <alignment horizontal="center"/>
    </xf>
    <xf numFmtId="164" fontId="3" fillId="0" borderId="0" xfId="1" applyNumberFormat="1" applyFont="1" applyAlignment="1">
      <alignment horizontal="center"/>
    </xf>
    <xf numFmtId="164" fontId="3" fillId="0" borderId="0" xfId="1" applyNumberFormat="1" applyFont="1" applyAlignment="1">
      <alignment horizontal="right"/>
    </xf>
    <xf numFmtId="164" fontId="3" fillId="0" borderId="0" xfId="2" applyNumberFormat="1" applyFont="1" applyAlignment="1">
      <alignment horizontal="right"/>
    </xf>
    <xf numFmtId="165" fontId="3" fillId="0" borderId="0" xfId="2" applyNumberFormat="1" applyFont="1" applyAlignment="1">
      <alignment horizontal="right"/>
    </xf>
    <xf numFmtId="0" fontId="3" fillId="3" borderId="0" xfId="1" applyFont="1" applyFill="1"/>
    <xf numFmtId="0" fontId="15" fillId="0" borderId="0" xfId="1" applyFont="1" applyAlignment="1">
      <alignment horizontal="center"/>
    </xf>
    <xf numFmtId="0" fontId="15" fillId="0" borderId="0" xfId="1" applyFont="1"/>
    <xf numFmtId="0" fontId="3" fillId="0" borderId="0" xfId="1" applyFont="1" applyAlignment="1">
      <alignment vertical="center"/>
    </xf>
    <xf numFmtId="14" fontId="4" fillId="0" borderId="0" xfId="1" applyNumberFormat="1" applyFont="1" applyAlignment="1">
      <alignment vertical="center"/>
    </xf>
    <xf numFmtId="178" fontId="4" fillId="0" borderId="0" xfId="0" applyNumberFormat="1" applyFont="1"/>
    <xf numFmtId="15" fontId="4" fillId="0" borderId="0" xfId="1" applyNumberFormat="1" applyFont="1"/>
    <xf numFmtId="14" fontId="4" fillId="0" borderId="0" xfId="1" applyNumberFormat="1" applyFont="1"/>
    <xf numFmtId="164" fontId="3" fillId="0" borderId="0" xfId="1" applyNumberFormat="1" applyFont="1" applyAlignment="1">
      <alignment horizontal="center" vertical="center"/>
    </xf>
    <xf numFmtId="164" fontId="3" fillId="0" borderId="0" xfId="2" applyNumberFormat="1" applyFont="1" applyAlignment="1">
      <alignment horizontal="center"/>
    </xf>
    <xf numFmtId="165" fontId="3" fillId="0" borderId="0" xfId="2" applyNumberFormat="1" applyFont="1" applyAlignment="1">
      <alignment horizontal="center"/>
    </xf>
    <xf numFmtId="2" fontId="4" fillId="0" borderId="0" xfId="0" applyNumberFormat="1" applyFont="1" applyAlignment="1">
      <alignment horizontal="center"/>
    </xf>
    <xf numFmtId="2" fontId="4" fillId="0" borderId="0" xfId="2" applyNumberFormat="1" applyFont="1" applyAlignment="1">
      <alignment horizontal="right"/>
    </xf>
    <xf numFmtId="2" fontId="4" fillId="0" borderId="0" xfId="1" applyNumberFormat="1" applyFont="1" applyAlignment="1">
      <alignment horizontal="center"/>
    </xf>
    <xf numFmtId="2" fontId="4" fillId="0" borderId="0" xfId="2" applyNumberFormat="1" applyFont="1" applyAlignment="1">
      <alignment horizontal="center"/>
    </xf>
    <xf numFmtId="2" fontId="4" fillId="0" borderId="0" xfId="3" applyNumberFormat="1" applyFont="1" applyAlignment="1">
      <alignment horizontal="right"/>
    </xf>
    <xf numFmtId="0" fontId="3" fillId="0" borderId="0" xfId="0" applyFont="1" applyAlignment="1">
      <alignment horizontal="center" wrapText="1"/>
    </xf>
    <xf numFmtId="0" fontId="6" fillId="0" borderId="0" xfId="0" applyFont="1" applyAlignment="1">
      <alignment horizontal="center"/>
    </xf>
    <xf numFmtId="2" fontId="6" fillId="0" borderId="0" xfId="0" applyNumberFormat="1" applyFont="1" applyAlignment="1">
      <alignment horizontal="center"/>
    </xf>
    <xf numFmtId="0" fontId="9" fillId="0" borderId="0" xfId="0" applyFont="1" applyAlignment="1">
      <alignment horizontal="center"/>
    </xf>
    <xf numFmtId="179" fontId="4" fillId="0" borderId="0" xfId="0" applyNumberFormat="1" applyFont="1" applyAlignment="1">
      <alignment horizontal="left"/>
    </xf>
    <xf numFmtId="0" fontId="19" fillId="0" borderId="0" xfId="0" applyFont="1" applyAlignment="1">
      <alignment horizontal="center" vertical="center"/>
    </xf>
    <xf numFmtId="14" fontId="3" fillId="0" borderId="0" xfId="1" applyNumberFormat="1" applyFont="1" applyAlignment="1">
      <alignment horizontal="center" vertical="center"/>
    </xf>
    <xf numFmtId="0" fontId="20" fillId="0" borderId="0" xfId="0" applyFont="1" applyAlignment="1">
      <alignment horizontal="center"/>
    </xf>
    <xf numFmtId="0" fontId="21" fillId="0" borderId="0" xfId="0" applyFont="1" applyAlignment="1">
      <alignment horizontal="center"/>
    </xf>
    <xf numFmtId="164" fontId="20" fillId="0" borderId="0" xfId="2" applyNumberFormat="1" applyFont="1" applyAlignment="1">
      <alignment horizontal="center"/>
    </xf>
    <xf numFmtId="164" fontId="20" fillId="0" borderId="0" xfId="1" applyNumberFormat="1" applyFont="1" applyAlignment="1">
      <alignment horizontal="center"/>
    </xf>
    <xf numFmtId="0" fontId="10" fillId="0" borderId="0" xfId="0" applyFont="1" applyAlignment="1">
      <alignment horizontal="center"/>
    </xf>
    <xf numFmtId="0" fontId="7" fillId="0" borderId="0" xfId="0" applyFont="1" applyAlignment="1">
      <alignment horizontal="center"/>
    </xf>
    <xf numFmtId="0" fontId="3" fillId="3" borderId="0" xfId="0" applyFont="1" applyFill="1" applyAlignment="1">
      <alignment horizontal="center"/>
    </xf>
    <xf numFmtId="0" fontId="10" fillId="4" borderId="0" xfId="0" applyFont="1" applyFill="1" applyAlignment="1">
      <alignment horizontal="center"/>
    </xf>
    <xf numFmtId="0" fontId="9" fillId="4" borderId="0" xfId="0" applyFont="1" applyFill="1" applyAlignment="1">
      <alignment horizontal="center"/>
    </xf>
    <xf numFmtId="0" fontId="3" fillId="0" borderId="0" xfId="0" applyFont="1" applyAlignment="1">
      <alignment horizontal="center" vertical="top"/>
    </xf>
    <xf numFmtId="2" fontId="4" fillId="0" borderId="0" xfId="0" applyNumberFormat="1" applyFont="1" applyAlignment="1">
      <alignment horizontal="center" vertical="top"/>
    </xf>
    <xf numFmtId="2" fontId="9" fillId="0" borderId="0" xfId="0" applyNumberFormat="1" applyFont="1" applyAlignment="1">
      <alignment horizontal="center"/>
    </xf>
    <xf numFmtId="1" fontId="9" fillId="0" borderId="0" xfId="0" applyNumberFormat="1" applyFont="1" applyAlignment="1">
      <alignment horizontal="center"/>
    </xf>
    <xf numFmtId="169" fontId="3" fillId="0" borderId="0" xfId="0" applyNumberFormat="1" applyFont="1" applyAlignment="1">
      <alignment horizontal="center"/>
    </xf>
    <xf numFmtId="169" fontId="4" fillId="0" borderId="0" xfId="2" applyNumberFormat="1" applyFont="1" applyAlignment="1">
      <alignment horizontal="center"/>
    </xf>
    <xf numFmtId="169" fontId="4" fillId="0" borderId="0" xfId="0" applyNumberFormat="1" applyFont="1" applyAlignment="1">
      <alignment horizontal="center"/>
    </xf>
    <xf numFmtId="2" fontId="4" fillId="0" borderId="0" xfId="0" applyNumberFormat="1" applyFont="1"/>
    <xf numFmtId="0" fontId="4" fillId="4" borderId="0" xfId="0" applyFont="1" applyFill="1" applyAlignment="1">
      <alignment horizontal="center"/>
    </xf>
    <xf numFmtId="0" fontId="3" fillId="4" borderId="0" xfId="0" applyFont="1" applyFill="1" applyAlignment="1">
      <alignment horizontal="center"/>
    </xf>
    <xf numFmtId="0" fontId="24" fillId="0" borderId="0" xfId="0" applyFont="1"/>
    <xf numFmtId="0" fontId="4" fillId="0" borderId="0" xfId="3" applyFont="1"/>
    <xf numFmtId="0" fontId="3" fillId="0" borderId="0" xfId="3" applyFont="1"/>
    <xf numFmtId="0" fontId="9" fillId="0" borderId="0" xfId="0" applyFont="1"/>
    <xf numFmtId="0" fontId="9" fillId="0" borderId="0" xfId="0" applyFont="1" applyAlignment="1">
      <alignment horizontal="left"/>
    </xf>
    <xf numFmtId="0" fontId="27" fillId="0" borderId="0" xfId="3" applyFont="1" applyAlignment="1">
      <alignment horizontal="left"/>
    </xf>
    <xf numFmtId="0" fontId="3" fillId="0" borderId="0" xfId="3" applyFont="1" applyAlignment="1">
      <alignment horizontal="left"/>
    </xf>
    <xf numFmtId="0" fontId="4" fillId="0" borderId="0" xfId="3" applyFont="1" applyAlignment="1">
      <alignment horizontal="left"/>
    </xf>
    <xf numFmtId="0" fontId="24" fillId="0" borderId="3" xfId="0" applyFont="1" applyBorder="1" applyAlignment="1">
      <alignment horizontal="left" vertical="center" wrapText="1"/>
    </xf>
    <xf numFmtId="0" fontId="23" fillId="0" borderId="0" xfId="0" applyFont="1" applyAlignment="1">
      <alignment horizontal="left"/>
    </xf>
    <xf numFmtId="0" fontId="28" fillId="0" borderId="0" xfId="0" applyFont="1" applyAlignment="1">
      <alignment horizontal="left"/>
    </xf>
    <xf numFmtId="3" fontId="4" fillId="0" borderId="0" xfId="3" applyNumberFormat="1" applyFont="1" applyAlignment="1">
      <alignment horizontal="left"/>
    </xf>
    <xf numFmtId="0" fontId="29" fillId="0" borderId="0" xfId="0" applyFont="1"/>
    <xf numFmtId="14" fontId="4" fillId="0" borderId="0" xfId="1" applyNumberFormat="1" applyFont="1" applyAlignment="1">
      <alignment horizontal="center" vertical="center"/>
    </xf>
    <xf numFmtId="0" fontId="4" fillId="0" borderId="0" xfId="1" applyFont="1" applyAlignment="1">
      <alignment vertical="center"/>
    </xf>
    <xf numFmtId="14" fontId="3" fillId="0" borderId="0" xfId="1" applyNumberFormat="1" applyFont="1" applyAlignment="1">
      <alignment horizontal="right"/>
    </xf>
    <xf numFmtId="167" fontId="3" fillId="0" borderId="0" xfId="1" applyNumberFormat="1" applyFont="1" applyAlignment="1">
      <alignment horizontal="right"/>
    </xf>
    <xf numFmtId="0" fontId="9" fillId="0" borderId="0" xfId="0" applyFont="1" applyAlignment="1">
      <alignment vertical="center"/>
    </xf>
    <xf numFmtId="0" fontId="9" fillId="0" borderId="6" xfId="0" applyFont="1" applyBorder="1" applyAlignment="1">
      <alignment vertical="center" wrapText="1"/>
    </xf>
    <xf numFmtId="0" fontId="9" fillId="0" borderId="2" xfId="0" applyFont="1" applyBorder="1" applyAlignment="1">
      <alignment wrapText="1"/>
    </xf>
    <xf numFmtId="0" fontId="9" fillId="0" borderId="4" xfId="0" applyFont="1" applyBorder="1" applyAlignment="1">
      <alignment wrapText="1"/>
    </xf>
    <xf numFmtId="0" fontId="9" fillId="0" borderId="0" xfId="0" applyFont="1" applyAlignment="1">
      <alignment horizontal="left" vertical="center" wrapText="1"/>
    </xf>
    <xf numFmtId="0" fontId="6" fillId="0" borderId="0" xfId="0" applyFont="1" applyAlignment="1">
      <alignment horizontal="left" vertical="center" wrapText="1"/>
    </xf>
    <xf numFmtId="11" fontId="6" fillId="0" borderId="0" xfId="0" applyNumberFormat="1" applyFont="1" applyAlignment="1">
      <alignment horizontal="left" vertical="center" wrapText="1"/>
    </xf>
    <xf numFmtId="0" fontId="9" fillId="0" borderId="1" xfId="0" applyFont="1" applyBorder="1" applyAlignment="1">
      <alignment horizontal="left" vertical="center" wrapText="1"/>
    </xf>
    <xf numFmtId="0" fontId="6" fillId="0" borderId="1" xfId="0" applyFont="1" applyBorder="1" applyAlignment="1">
      <alignment horizontal="left" vertical="center" wrapText="1"/>
    </xf>
    <xf numFmtId="11" fontId="6" fillId="0" borderId="1" xfId="0" applyNumberFormat="1" applyFont="1" applyBorder="1" applyAlignment="1">
      <alignment horizontal="left" vertical="center" wrapText="1"/>
    </xf>
    <xf numFmtId="172" fontId="4" fillId="0" borderId="0" xfId="0" applyNumberFormat="1" applyFont="1" applyAlignment="1">
      <alignment horizontal="center"/>
    </xf>
    <xf numFmtId="0" fontId="28" fillId="0" borderId="0" xfId="0" applyFont="1" applyAlignment="1">
      <alignment horizontal="left" vertical="center"/>
    </xf>
    <xf numFmtId="0" fontId="29" fillId="0" borderId="0" xfId="0" applyFont="1" applyAlignment="1">
      <alignment horizontal="left"/>
    </xf>
    <xf numFmtId="0" fontId="3" fillId="0" borderId="0" xfId="0" applyFont="1" applyAlignment="1">
      <alignment horizontal="left" vertical="center"/>
    </xf>
    <xf numFmtId="0" fontId="3" fillId="0" borderId="0" xfId="0" applyFont="1" applyAlignment="1">
      <alignment vertical="center"/>
    </xf>
    <xf numFmtId="1" fontId="4" fillId="0" borderId="0" xfId="0" applyNumberFormat="1" applyFont="1"/>
    <xf numFmtId="1" fontId="4" fillId="0" borderId="0" xfId="0" applyNumberFormat="1" applyFont="1" applyAlignment="1">
      <alignment horizontal="right"/>
    </xf>
    <xf numFmtId="2" fontId="4" fillId="0" borderId="0" xfId="0" applyNumberFormat="1" applyFont="1" applyAlignment="1">
      <alignment horizontal="right"/>
    </xf>
    <xf numFmtId="2" fontId="18" fillId="0" borderId="0" xfId="0" applyNumberFormat="1" applyFont="1" applyAlignment="1">
      <alignment horizontal="center"/>
    </xf>
    <xf numFmtId="0" fontId="32" fillId="0" borderId="0" xfId="0" applyFont="1" applyAlignment="1">
      <alignment horizontal="center"/>
    </xf>
    <xf numFmtId="1" fontId="3" fillId="0" borderId="0" xfId="0" applyNumberFormat="1" applyFont="1"/>
    <xf numFmtId="1" fontId="4" fillId="0" borderId="0" xfId="1" applyNumberFormat="1" applyFont="1"/>
    <xf numFmtId="0" fontId="6" fillId="0" borderId="0" xfId="0" applyFont="1" applyAlignment="1">
      <alignment horizontal="center" vertical="center"/>
    </xf>
    <xf numFmtId="2" fontId="4" fillId="0" borderId="0" xfId="1" applyNumberFormat="1" applyFont="1" applyAlignment="1">
      <alignment horizontal="center" vertical="center"/>
    </xf>
    <xf numFmtId="11" fontId="6" fillId="0" borderId="0" xfId="0" applyNumberFormat="1" applyFont="1" applyAlignment="1">
      <alignment horizontal="center"/>
    </xf>
    <xf numFmtId="11" fontId="9" fillId="0" borderId="0" xfId="0" applyNumberFormat="1" applyFont="1" applyAlignment="1">
      <alignment horizontal="center"/>
    </xf>
    <xf numFmtId="164" fontId="10" fillId="0" borderId="0" xfId="2" applyNumberFormat="1" applyFont="1" applyAlignment="1">
      <alignment horizontal="center"/>
    </xf>
    <xf numFmtId="0" fontId="33" fillId="0" borderId="0" xfId="0" applyFont="1" applyAlignment="1">
      <alignment horizontal="center"/>
    </xf>
    <xf numFmtId="164" fontId="38" fillId="0" borderId="0" xfId="2" applyNumberFormat="1" applyFont="1" applyAlignment="1">
      <alignment horizontal="center"/>
    </xf>
    <xf numFmtId="164" fontId="35" fillId="0" borderId="0" xfId="2" applyNumberFormat="1" applyFont="1" applyAlignment="1">
      <alignment horizontal="center"/>
    </xf>
    <xf numFmtId="2" fontId="3" fillId="0" borderId="0" xfId="1" applyNumberFormat="1" applyFont="1" applyAlignment="1">
      <alignment horizontal="center" vertical="center"/>
    </xf>
    <xf numFmtId="164" fontId="34" fillId="0" borderId="0" xfId="2" applyNumberFormat="1" applyFont="1" applyAlignment="1">
      <alignment horizontal="center"/>
    </xf>
    <xf numFmtId="166" fontId="3" fillId="0" borderId="0" xfId="2" applyNumberFormat="1" applyFont="1" applyAlignment="1">
      <alignment horizontal="center"/>
    </xf>
    <xf numFmtId="14" fontId="3" fillId="0" borderId="0" xfId="1" applyNumberFormat="1" applyFont="1" applyAlignment="1">
      <alignment horizontal="center"/>
    </xf>
    <xf numFmtId="15" fontId="4" fillId="0" borderId="0" xfId="1" applyNumberFormat="1" applyFont="1" applyAlignment="1">
      <alignment horizontal="center"/>
    </xf>
    <xf numFmtId="174" fontId="4" fillId="0" borderId="0" xfId="1" applyNumberFormat="1" applyFont="1" applyAlignment="1">
      <alignment horizontal="center"/>
    </xf>
    <xf numFmtId="171" fontId="4" fillId="0" borderId="0" xfId="2" applyNumberFormat="1" applyFont="1" applyAlignment="1">
      <alignment horizontal="center"/>
    </xf>
    <xf numFmtId="170" fontId="4" fillId="0" borderId="0" xfId="2" applyNumberFormat="1" applyFont="1" applyAlignment="1">
      <alignment horizontal="center"/>
    </xf>
    <xf numFmtId="11" fontId="7" fillId="0" borderId="0" xfId="0" applyNumberFormat="1" applyFont="1" applyAlignment="1">
      <alignment horizontal="center"/>
    </xf>
    <xf numFmtId="11" fontId="36" fillId="0" borderId="0" xfId="0" applyNumberFormat="1" applyFont="1" applyAlignment="1">
      <alignment horizontal="center"/>
    </xf>
    <xf numFmtId="11" fontId="37" fillId="0" borderId="0" xfId="0" applyNumberFormat="1" applyFont="1" applyAlignment="1">
      <alignment horizontal="center"/>
    </xf>
    <xf numFmtId="0" fontId="4" fillId="6" borderId="0" xfId="0" applyFont="1" applyFill="1" applyAlignment="1">
      <alignment horizontal="center"/>
    </xf>
    <xf numFmtId="2" fontId="4" fillId="0" borderId="0" xfId="3" applyNumberFormat="1" applyFont="1" applyAlignment="1">
      <alignment horizontal="center"/>
    </xf>
    <xf numFmtId="0" fontId="19" fillId="0" borderId="0" xfId="0" applyFont="1" applyAlignment="1">
      <alignment horizontal="center"/>
    </xf>
    <xf numFmtId="11" fontId="19" fillId="0" borderId="0" xfId="0" applyNumberFormat="1" applyFont="1" applyAlignment="1">
      <alignment horizontal="center"/>
    </xf>
    <xf numFmtId="174" fontId="4" fillId="0" borderId="0" xfId="0" applyNumberFormat="1" applyFont="1" applyAlignment="1">
      <alignment horizontal="center"/>
    </xf>
    <xf numFmtId="0" fontId="4" fillId="0" borderId="0" xfId="0" applyFont="1" applyAlignment="1">
      <alignment horizontal="center" vertical="center"/>
    </xf>
    <xf numFmtId="168" fontId="4" fillId="0" borderId="0" xfId="2" applyNumberFormat="1" applyFont="1" applyAlignment="1">
      <alignment horizontal="center"/>
    </xf>
    <xf numFmtId="0" fontId="4" fillId="7" borderId="0" xfId="0" applyFont="1" applyFill="1" applyAlignment="1">
      <alignment horizontal="center"/>
    </xf>
    <xf numFmtId="171" fontId="7" fillId="7" borderId="0" xfId="2" applyNumberFormat="1" applyFont="1" applyFill="1" applyAlignment="1">
      <alignment horizontal="center"/>
    </xf>
    <xf numFmtId="170" fontId="7" fillId="7" borderId="0" xfId="2" applyNumberFormat="1" applyFont="1" applyFill="1" applyAlignment="1">
      <alignment horizontal="center"/>
    </xf>
    <xf numFmtId="2" fontId="7" fillId="7" borderId="0" xfId="2" applyNumberFormat="1" applyFont="1" applyFill="1" applyAlignment="1">
      <alignment horizontal="center"/>
    </xf>
    <xf numFmtId="0" fontId="7" fillId="7" borderId="0" xfId="0" applyFont="1" applyFill="1" applyAlignment="1">
      <alignment horizontal="center"/>
    </xf>
    <xf numFmtId="11" fontId="7" fillId="7" borderId="0" xfId="0" applyNumberFormat="1" applyFont="1" applyFill="1" applyAlignment="1">
      <alignment horizontal="center"/>
    </xf>
    <xf numFmtId="11" fontId="36" fillId="7" borderId="0" xfId="0" applyNumberFormat="1" applyFont="1" applyFill="1" applyAlignment="1">
      <alignment horizontal="center"/>
    </xf>
    <xf numFmtId="11" fontId="37" fillId="7" borderId="0" xfId="0" applyNumberFormat="1" applyFont="1" applyFill="1" applyAlignment="1">
      <alignment horizontal="center"/>
    </xf>
    <xf numFmtId="0" fontId="39" fillId="0" borderId="0" xfId="0" applyFont="1" applyAlignment="1">
      <alignment horizontal="center"/>
    </xf>
    <xf numFmtId="0" fontId="37" fillId="0" borderId="0" xfId="0" applyFont="1" applyAlignment="1">
      <alignment horizontal="center"/>
    </xf>
    <xf numFmtId="11" fontId="39" fillId="0" borderId="0" xfId="0" applyNumberFormat="1" applyFont="1" applyAlignment="1">
      <alignment horizontal="center"/>
    </xf>
    <xf numFmtId="11" fontId="39" fillId="7" borderId="0" xfId="0" applyNumberFormat="1" applyFont="1" applyFill="1" applyAlignment="1">
      <alignment horizontal="center"/>
    </xf>
    <xf numFmtId="177" fontId="4" fillId="0" borderId="0" xfId="0" applyNumberFormat="1" applyFont="1" applyAlignment="1">
      <alignment horizontal="center"/>
    </xf>
    <xf numFmtId="180" fontId="3" fillId="0" borderId="0" xfId="0" applyNumberFormat="1" applyFont="1" applyAlignment="1">
      <alignment horizontal="center"/>
    </xf>
    <xf numFmtId="181" fontId="4" fillId="0" borderId="0" xfId="2" applyNumberFormat="1" applyFont="1" applyAlignment="1">
      <alignment horizontal="center"/>
    </xf>
    <xf numFmtId="179" fontId="4" fillId="0" borderId="0" xfId="0" applyNumberFormat="1" applyFont="1" applyAlignment="1">
      <alignment horizontal="center"/>
    </xf>
    <xf numFmtId="0" fontId="6" fillId="4" borderId="0" xfId="0" applyFont="1" applyFill="1" applyAlignment="1">
      <alignment horizontal="center"/>
    </xf>
    <xf numFmtId="171" fontId="4" fillId="4" borderId="0" xfId="2" applyNumberFormat="1" applyFont="1" applyFill="1" applyAlignment="1">
      <alignment horizontal="center"/>
    </xf>
    <xf numFmtId="2" fontId="4" fillId="4" borderId="0" xfId="2" applyNumberFormat="1" applyFont="1" applyFill="1" applyAlignment="1">
      <alignment horizontal="center"/>
    </xf>
    <xf numFmtId="170" fontId="4" fillId="4" borderId="0" xfId="2" applyNumberFormat="1" applyFont="1" applyFill="1" applyAlignment="1">
      <alignment horizontal="center"/>
    </xf>
    <xf numFmtId="11" fontId="37" fillId="4" borderId="0" xfId="0" applyNumberFormat="1" applyFont="1" applyFill="1" applyAlignment="1">
      <alignment horizontal="center"/>
    </xf>
    <xf numFmtId="11" fontId="6" fillId="4" borderId="0" xfId="0" applyNumberFormat="1" applyFont="1" applyFill="1" applyAlignment="1">
      <alignment horizontal="center"/>
    </xf>
    <xf numFmtId="11" fontId="6" fillId="8" borderId="0" xfId="0" applyNumberFormat="1" applyFont="1" applyFill="1" applyAlignment="1">
      <alignment horizontal="center"/>
    </xf>
    <xf numFmtId="182" fontId="4" fillId="0" borderId="0" xfId="2" applyNumberFormat="1" applyFont="1" applyAlignment="1">
      <alignment horizontal="center"/>
    </xf>
    <xf numFmtId="183" fontId="4" fillId="0" borderId="0" xfId="2" applyNumberFormat="1" applyFont="1" applyAlignment="1">
      <alignment horizontal="center"/>
    </xf>
    <xf numFmtId="184" fontId="4" fillId="0" borderId="0" xfId="2" applyNumberFormat="1" applyFont="1" applyAlignment="1">
      <alignment horizontal="center"/>
    </xf>
    <xf numFmtId="182" fontId="7" fillId="7" borderId="0" xfId="2" applyNumberFormat="1" applyFont="1" applyFill="1" applyAlignment="1">
      <alignment horizontal="center"/>
    </xf>
    <xf numFmtId="183" fontId="7" fillId="7" borderId="0" xfId="2" applyNumberFormat="1" applyFont="1" applyFill="1" applyAlignment="1">
      <alignment horizontal="center"/>
    </xf>
    <xf numFmtId="184" fontId="7" fillId="7" borderId="0" xfId="2" applyNumberFormat="1" applyFont="1" applyFill="1" applyAlignment="1">
      <alignment horizontal="center"/>
    </xf>
    <xf numFmtId="185" fontId="4" fillId="0" borderId="0" xfId="2" applyNumberFormat="1" applyFont="1" applyAlignment="1">
      <alignment horizontal="center"/>
    </xf>
    <xf numFmtId="0" fontId="4" fillId="2" borderId="0" xfId="0" applyFont="1" applyFill="1" applyAlignment="1">
      <alignment horizontal="center"/>
    </xf>
    <xf numFmtId="182" fontId="7" fillId="4" borderId="0" xfId="2" applyNumberFormat="1" applyFont="1" applyFill="1" applyAlignment="1">
      <alignment horizontal="center"/>
    </xf>
    <xf numFmtId="171" fontId="7" fillId="4" borderId="0" xfId="2" applyNumberFormat="1" applyFont="1" applyFill="1" applyAlignment="1">
      <alignment horizontal="center"/>
    </xf>
    <xf numFmtId="183" fontId="7" fillId="4" borderId="0" xfId="2" applyNumberFormat="1" applyFont="1" applyFill="1" applyAlignment="1">
      <alignment horizontal="center"/>
    </xf>
    <xf numFmtId="184" fontId="7" fillId="4" borderId="0" xfId="2" applyNumberFormat="1" applyFont="1" applyFill="1" applyAlignment="1">
      <alignment horizontal="center"/>
    </xf>
    <xf numFmtId="0" fontId="7" fillId="4" borderId="0" xfId="0" applyFont="1" applyFill="1" applyAlignment="1">
      <alignment horizontal="center"/>
    </xf>
    <xf numFmtId="11" fontId="7" fillId="4" borderId="0" xfId="0" applyNumberFormat="1" applyFont="1" applyFill="1" applyAlignment="1">
      <alignment horizontal="center"/>
    </xf>
    <xf numFmtId="164" fontId="4" fillId="0" borderId="0" xfId="1" applyNumberFormat="1" applyFont="1" applyAlignment="1">
      <alignment horizontal="center"/>
    </xf>
    <xf numFmtId="164" fontId="7" fillId="5" borderId="0" xfId="1" applyNumberFormat="1" applyFont="1" applyFill="1" applyAlignment="1">
      <alignment horizontal="center"/>
    </xf>
    <xf numFmtId="171" fontId="4" fillId="7" borderId="0" xfId="2" applyNumberFormat="1" applyFont="1" applyFill="1" applyAlignment="1">
      <alignment horizontal="center"/>
    </xf>
    <xf numFmtId="170" fontId="4" fillId="7" borderId="0" xfId="2" applyNumberFormat="1" applyFont="1" applyFill="1" applyAlignment="1">
      <alignment horizontal="center"/>
    </xf>
    <xf numFmtId="2" fontId="4" fillId="7" borderId="0" xfId="2" applyNumberFormat="1" applyFont="1" applyFill="1" applyAlignment="1">
      <alignment horizontal="center"/>
    </xf>
    <xf numFmtId="11" fontId="6" fillId="7" borderId="0" xfId="0" applyNumberFormat="1" applyFont="1" applyFill="1" applyAlignment="1">
      <alignment horizontal="center"/>
    </xf>
    <xf numFmtId="164" fontId="7" fillId="0" borderId="0" xfId="1" applyNumberFormat="1" applyFont="1" applyAlignment="1">
      <alignment horizontal="center"/>
    </xf>
    <xf numFmtId="171" fontId="3" fillId="7" borderId="0" xfId="2" applyNumberFormat="1" applyFont="1" applyFill="1" applyAlignment="1">
      <alignment horizontal="center"/>
    </xf>
    <xf numFmtId="11" fontId="4" fillId="7" borderId="0" xfId="0" applyNumberFormat="1" applyFont="1" applyFill="1" applyAlignment="1">
      <alignment horizontal="center"/>
    </xf>
    <xf numFmtId="164" fontId="7" fillId="8" borderId="0" xfId="1" applyNumberFormat="1" applyFont="1" applyFill="1" applyAlignment="1">
      <alignment horizontal="center"/>
    </xf>
    <xf numFmtId="182" fontId="4" fillId="4" borderId="0" xfId="2" applyNumberFormat="1" applyFont="1" applyFill="1" applyAlignment="1">
      <alignment horizontal="center"/>
    </xf>
    <xf numFmtId="183" fontId="4" fillId="4" borderId="0" xfId="2" applyNumberFormat="1" applyFont="1" applyFill="1" applyAlignment="1">
      <alignment horizontal="center"/>
    </xf>
    <xf numFmtId="184" fontId="4" fillId="4" borderId="0" xfId="2" applyNumberFormat="1" applyFont="1" applyFill="1" applyAlignment="1">
      <alignment horizontal="center"/>
    </xf>
    <xf numFmtId="183" fontId="7" fillId="0" borderId="0" xfId="2" applyNumberFormat="1" applyFont="1" applyAlignment="1">
      <alignment horizontal="center"/>
    </xf>
    <xf numFmtId="0" fontId="33" fillId="0" borderId="0" xfId="0" applyFont="1" applyAlignment="1">
      <alignment horizontal="center" vertical="center" wrapText="1"/>
    </xf>
    <xf numFmtId="11" fontId="19" fillId="0" borderId="0" xfId="0" applyNumberFormat="1" applyFont="1" applyAlignment="1">
      <alignment horizontal="center" vertical="center" wrapText="1"/>
    </xf>
    <xf numFmtId="11" fontId="6" fillId="0" borderId="11" xfId="0" applyNumberFormat="1" applyFont="1" applyBorder="1" applyAlignment="1">
      <alignment horizontal="center" vertical="center" wrapText="1"/>
    </xf>
    <xf numFmtId="11" fontId="6" fillId="0" borderId="1" xfId="0" applyNumberFormat="1" applyFont="1" applyBorder="1" applyAlignment="1">
      <alignment horizontal="center" vertical="center" wrapText="1"/>
    </xf>
    <xf numFmtId="11" fontId="6" fillId="0" borderId="0" xfId="0" applyNumberFormat="1" applyFont="1" applyAlignment="1">
      <alignment horizontal="center" vertical="center" wrapText="1"/>
    </xf>
    <xf numFmtId="11" fontId="6" fillId="0" borderId="13" xfId="0" applyNumberFormat="1" applyFont="1" applyBorder="1" applyAlignment="1">
      <alignment horizontal="center" vertical="center" wrapText="1"/>
    </xf>
    <xf numFmtId="11" fontId="10" fillId="0" borderId="13" xfId="0" applyNumberFormat="1" applyFont="1" applyBorder="1" applyAlignment="1">
      <alignment horizontal="center" vertical="center" wrapText="1"/>
    </xf>
    <xf numFmtId="11" fontId="19" fillId="0" borderId="13" xfId="0" applyNumberFormat="1" applyFont="1" applyBorder="1" applyAlignment="1">
      <alignment horizontal="center" vertical="center" wrapText="1"/>
    </xf>
    <xf numFmtId="11" fontId="10" fillId="0" borderId="2" xfId="0" applyNumberFormat="1" applyFont="1" applyBorder="1" applyAlignment="1">
      <alignment horizontal="center" vertical="center" wrapText="1"/>
    </xf>
    <xf numFmtId="11" fontId="10" fillId="0" borderId="11" xfId="0" applyNumberFormat="1" applyFont="1" applyBorder="1" applyAlignment="1">
      <alignment horizontal="center" vertical="center" wrapText="1"/>
    </xf>
    <xf numFmtId="0" fontId="6" fillId="7" borderId="0" xfId="0" applyFont="1" applyFill="1" applyAlignment="1">
      <alignment horizontal="center"/>
    </xf>
    <xf numFmtId="11" fontId="6" fillId="5" borderId="0" xfId="0" applyNumberFormat="1" applyFont="1" applyFill="1" applyAlignment="1">
      <alignment horizontal="center"/>
    </xf>
    <xf numFmtId="11" fontId="7" fillId="5" borderId="0" xfId="0" applyNumberFormat="1" applyFont="1" applyFill="1" applyAlignment="1">
      <alignment horizontal="center"/>
    </xf>
    <xf numFmtId="11" fontId="41" fillId="0" borderId="0" xfId="0" applyNumberFormat="1" applyFont="1" applyAlignment="1">
      <alignment horizontal="center"/>
    </xf>
    <xf numFmtId="11" fontId="41" fillId="7" borderId="0" xfId="0" applyNumberFormat="1" applyFont="1" applyFill="1" applyAlignment="1">
      <alignment horizontal="center"/>
    </xf>
    <xf numFmtId="164" fontId="10" fillId="5" borderId="0" xfId="1" applyNumberFormat="1" applyFont="1" applyFill="1" applyAlignment="1">
      <alignment horizontal="center"/>
    </xf>
    <xf numFmtId="0" fontId="33" fillId="0" borderId="0" xfId="0" applyFont="1" applyAlignment="1">
      <alignment horizontal="left" vertical="center"/>
    </xf>
    <xf numFmtId="0" fontId="40" fillId="0" borderId="0" xfId="0" applyFont="1" applyAlignment="1">
      <alignment horizontal="center"/>
    </xf>
    <xf numFmtId="0" fontId="42" fillId="0" borderId="0" xfId="0" applyFont="1" applyAlignment="1">
      <alignment horizontal="center"/>
    </xf>
    <xf numFmtId="0" fontId="43" fillId="0" borderId="0" xfId="0" applyFont="1" applyAlignment="1">
      <alignment horizontal="left"/>
    </xf>
    <xf numFmtId="0" fontId="6" fillId="0" borderId="0" xfId="0" applyFont="1" applyAlignment="1">
      <alignment horizontal="left" vertical="center"/>
    </xf>
    <xf numFmtId="0" fontId="9" fillId="0" borderId="18" xfId="0" applyFont="1" applyBorder="1" applyAlignment="1">
      <alignment horizontal="center" vertical="center" wrapText="1"/>
    </xf>
    <xf numFmtId="0" fontId="9" fillId="0" borderId="2" xfId="0" applyFont="1" applyBorder="1" applyAlignment="1">
      <alignment horizontal="center" vertical="center" wrapText="1"/>
    </xf>
    <xf numFmtId="0" fontId="9" fillId="0" borderId="9" xfId="0" applyFont="1" applyBorder="1" applyAlignment="1">
      <alignment horizontal="center" vertical="center" wrapText="1"/>
    </xf>
    <xf numFmtId="14" fontId="4" fillId="0" borderId="0" xfId="1" applyNumberFormat="1" applyFont="1" applyAlignment="1">
      <alignment horizontal="center"/>
    </xf>
    <xf numFmtId="164" fontId="8" fillId="0" borderId="0" xfId="1" applyNumberFormat="1" applyFont="1" applyAlignment="1">
      <alignment horizontal="center"/>
    </xf>
    <xf numFmtId="172" fontId="4" fillId="0" borderId="0" xfId="2" applyNumberFormat="1" applyFont="1" applyAlignment="1">
      <alignment horizontal="center"/>
    </xf>
    <xf numFmtId="1" fontId="4" fillId="0" borderId="0" xfId="2" applyNumberFormat="1" applyFont="1" applyAlignment="1">
      <alignment horizontal="center"/>
    </xf>
    <xf numFmtId="172" fontId="4" fillId="0" borderId="0" xfId="1" applyNumberFormat="1" applyFont="1" applyAlignment="1">
      <alignment horizontal="center"/>
    </xf>
    <xf numFmtId="0" fontId="7" fillId="0" borderId="0" xfId="1" applyFont="1" applyAlignment="1">
      <alignment horizontal="center"/>
    </xf>
    <xf numFmtId="0" fontId="14" fillId="0" borderId="0" xfId="1" applyFont="1" applyAlignment="1">
      <alignment horizontal="center"/>
    </xf>
    <xf numFmtId="175" fontId="7" fillId="0" borderId="0" xfId="0" applyNumberFormat="1" applyFont="1" applyAlignment="1">
      <alignment horizontal="center"/>
    </xf>
    <xf numFmtId="173" fontId="4" fillId="0" borderId="0" xfId="0" applyNumberFormat="1" applyFont="1" applyAlignment="1">
      <alignment horizontal="center"/>
    </xf>
    <xf numFmtId="14" fontId="3" fillId="3" borderId="0" xfId="1" applyNumberFormat="1" applyFont="1" applyFill="1" applyAlignment="1">
      <alignment horizontal="center" vertical="center"/>
    </xf>
    <xf numFmtId="0" fontId="3" fillId="3" borderId="0" xfId="0" applyFont="1" applyFill="1" applyAlignment="1">
      <alignment horizontal="center" vertical="center"/>
    </xf>
    <xf numFmtId="176" fontId="10" fillId="3" borderId="0" xfId="1" applyNumberFormat="1" applyFont="1" applyFill="1" applyAlignment="1">
      <alignment horizontal="center"/>
    </xf>
    <xf numFmtId="176" fontId="3" fillId="3" borderId="0" xfId="2" applyNumberFormat="1" applyFont="1" applyFill="1" applyAlignment="1">
      <alignment horizontal="center"/>
    </xf>
    <xf numFmtId="176" fontId="3" fillId="3" borderId="0" xfId="1" applyNumberFormat="1" applyFont="1" applyFill="1" applyAlignment="1">
      <alignment horizontal="center"/>
    </xf>
    <xf numFmtId="178" fontId="3" fillId="3" borderId="0" xfId="1" applyNumberFormat="1" applyFont="1" applyFill="1" applyAlignment="1">
      <alignment horizontal="center"/>
    </xf>
    <xf numFmtId="176" fontId="4" fillId="0" borderId="0" xfId="1" applyNumberFormat="1" applyFont="1" applyAlignment="1">
      <alignment horizontal="center"/>
    </xf>
    <xf numFmtId="176" fontId="4" fillId="0" borderId="0" xfId="2" applyNumberFormat="1" applyFont="1" applyAlignment="1">
      <alignment horizontal="center"/>
    </xf>
    <xf numFmtId="178" fontId="4" fillId="0" borderId="0" xfId="2" applyNumberFormat="1" applyFont="1" applyAlignment="1">
      <alignment horizontal="center"/>
    </xf>
    <xf numFmtId="176" fontId="4" fillId="0" borderId="0" xfId="0" applyNumberFormat="1" applyFont="1" applyAlignment="1">
      <alignment horizontal="center" vertical="top"/>
    </xf>
    <xf numFmtId="178" fontId="4" fillId="0" borderId="0" xfId="0" applyNumberFormat="1" applyFont="1" applyAlignment="1">
      <alignment horizontal="center" vertical="top"/>
    </xf>
    <xf numFmtId="176" fontId="6" fillId="0" borderId="0" xfId="0" applyNumberFormat="1" applyFont="1" applyAlignment="1">
      <alignment horizontal="center"/>
    </xf>
    <xf numFmtId="178" fontId="6" fillId="0" borderId="0" xfId="0" applyNumberFormat="1" applyFont="1" applyAlignment="1">
      <alignment horizontal="center"/>
    </xf>
    <xf numFmtId="176" fontId="3" fillId="0" borderId="0" xfId="1" applyNumberFormat="1" applyFont="1" applyAlignment="1">
      <alignment horizontal="center"/>
    </xf>
    <xf numFmtId="178" fontId="9" fillId="0" borderId="0" xfId="0" applyNumberFormat="1" applyFont="1" applyAlignment="1">
      <alignment horizontal="center"/>
    </xf>
    <xf numFmtId="178" fontId="3" fillId="0" borderId="0" xfId="2" applyNumberFormat="1" applyFont="1" applyAlignment="1">
      <alignment horizontal="center"/>
    </xf>
    <xf numFmtId="176" fontId="7" fillId="0" borderId="0" xfId="2" applyNumberFormat="1" applyFont="1" applyAlignment="1">
      <alignment horizontal="center"/>
    </xf>
    <xf numFmtId="176" fontId="3" fillId="0" borderId="0" xfId="2" applyNumberFormat="1" applyFont="1" applyAlignment="1">
      <alignment horizontal="center"/>
    </xf>
    <xf numFmtId="0" fontId="4" fillId="3" borderId="0" xfId="0" applyFont="1" applyFill="1" applyAlignment="1">
      <alignment horizontal="center"/>
    </xf>
    <xf numFmtId="14" fontId="4" fillId="3" borderId="0" xfId="1" applyNumberFormat="1" applyFont="1" applyFill="1" applyAlignment="1">
      <alignment horizontal="center" vertical="center"/>
    </xf>
    <xf numFmtId="0" fontId="4" fillId="3" borderId="0" xfId="0" applyFont="1" applyFill="1" applyAlignment="1">
      <alignment horizontal="center" vertical="top"/>
    </xf>
    <xf numFmtId="176" fontId="10" fillId="3" borderId="0" xfId="2" applyNumberFormat="1" applyFont="1" applyFill="1" applyAlignment="1">
      <alignment horizontal="center"/>
    </xf>
    <xf numFmtId="186" fontId="3" fillId="3" borderId="0" xfId="2" applyNumberFormat="1" applyFont="1" applyFill="1" applyAlignment="1">
      <alignment horizontal="center"/>
    </xf>
    <xf numFmtId="178" fontId="3" fillId="3" borderId="0" xfId="2" applyNumberFormat="1" applyFont="1" applyFill="1" applyAlignment="1">
      <alignment horizontal="center"/>
    </xf>
    <xf numFmtId="186" fontId="4" fillId="0" borderId="0" xfId="2" applyNumberFormat="1" applyFont="1" applyAlignment="1">
      <alignment horizontal="center"/>
    </xf>
    <xf numFmtId="186" fontId="4" fillId="0" borderId="0" xfId="0" applyNumberFormat="1" applyFont="1" applyAlignment="1">
      <alignment horizontal="center" vertical="top"/>
    </xf>
    <xf numFmtId="186" fontId="3" fillId="0" borderId="0" xfId="2" applyNumberFormat="1" applyFont="1" applyAlignment="1">
      <alignment horizontal="center"/>
    </xf>
    <xf numFmtId="178" fontId="10" fillId="3" borderId="0" xfId="2" applyNumberFormat="1" applyFont="1" applyFill="1" applyAlignment="1">
      <alignment horizontal="center"/>
    </xf>
    <xf numFmtId="176" fontId="10" fillId="0" borderId="0" xfId="1" applyNumberFormat="1" applyFont="1" applyAlignment="1">
      <alignment horizontal="center"/>
    </xf>
    <xf numFmtId="176" fontId="4" fillId="3" borderId="0" xfId="1" applyNumberFormat="1" applyFont="1" applyFill="1" applyAlignment="1">
      <alignment horizontal="center"/>
    </xf>
    <xf numFmtId="176" fontId="9" fillId="0" borderId="0" xfId="0" applyNumberFormat="1" applyFont="1" applyAlignment="1">
      <alignment horizontal="center"/>
    </xf>
    <xf numFmtId="178" fontId="3" fillId="0" borderId="0" xfId="1" applyNumberFormat="1" applyFont="1" applyAlignment="1">
      <alignment horizontal="center"/>
    </xf>
    <xf numFmtId="176" fontId="4" fillId="0" borderId="0" xfId="0" applyNumberFormat="1" applyFont="1" applyAlignment="1">
      <alignment horizontal="center"/>
    </xf>
    <xf numFmtId="0" fontId="3" fillId="3" borderId="0" xfId="0" applyFont="1" applyFill="1" applyAlignment="1">
      <alignment horizontal="center" vertical="top"/>
    </xf>
    <xf numFmtId="176" fontId="3" fillId="0" borderId="0" xfId="0" applyNumberFormat="1" applyFont="1" applyAlignment="1">
      <alignment horizontal="center"/>
    </xf>
    <xf numFmtId="178" fontId="3" fillId="0" borderId="0" xfId="0" applyNumberFormat="1" applyFont="1" applyAlignment="1">
      <alignment horizontal="center"/>
    </xf>
    <xf numFmtId="187" fontId="3" fillId="0" borderId="0" xfId="1" applyNumberFormat="1" applyFont="1" applyAlignment="1">
      <alignment horizontal="center"/>
    </xf>
    <xf numFmtId="0" fontId="4" fillId="0" borderId="0" xfId="0" applyFont="1" applyAlignment="1">
      <alignment horizontal="center" wrapText="1"/>
    </xf>
    <xf numFmtId="1" fontId="3" fillId="0" borderId="0" xfId="0" applyNumberFormat="1" applyFont="1" applyAlignment="1">
      <alignment horizontal="center"/>
    </xf>
    <xf numFmtId="177" fontId="18" fillId="0" borderId="0" xfId="0" applyNumberFormat="1" applyFont="1" applyAlignment="1">
      <alignment horizontal="center"/>
    </xf>
    <xf numFmtId="0" fontId="18" fillId="0" borderId="0" xfId="0" applyFont="1" applyAlignment="1">
      <alignment horizontal="center"/>
    </xf>
    <xf numFmtId="1" fontId="4" fillId="0" borderId="0" xfId="1" applyNumberFormat="1" applyFont="1" applyAlignment="1">
      <alignment horizontal="center"/>
    </xf>
    <xf numFmtId="167" fontId="4" fillId="0" borderId="0" xfId="2" applyNumberFormat="1" applyFont="1" applyAlignment="1">
      <alignment horizontal="center"/>
    </xf>
    <xf numFmtId="165" fontId="4" fillId="0" borderId="0" xfId="2" applyNumberFormat="1" applyFont="1" applyAlignment="1">
      <alignment horizontal="center"/>
    </xf>
    <xf numFmtId="0" fontId="10" fillId="0" borderId="0" xfId="0" applyFont="1" applyAlignment="1">
      <alignment horizontal="center" vertical="center"/>
    </xf>
    <xf numFmtId="0" fontId="9" fillId="0" borderId="0" xfId="0" applyFont="1" applyAlignment="1">
      <alignment horizontal="center" vertical="center"/>
    </xf>
    <xf numFmtId="178" fontId="10" fillId="3" borderId="0" xfId="1" applyNumberFormat="1" applyFont="1" applyFill="1" applyAlignment="1">
      <alignment horizontal="center"/>
    </xf>
    <xf numFmtId="186" fontId="6" fillId="0" borderId="0" xfId="0" applyNumberFormat="1" applyFont="1" applyAlignment="1">
      <alignment horizontal="center"/>
    </xf>
    <xf numFmtId="172" fontId="18" fillId="0" borderId="0" xfId="0" applyNumberFormat="1" applyFont="1" applyAlignment="1">
      <alignment horizontal="center"/>
    </xf>
    <xf numFmtId="1" fontId="18" fillId="0" borderId="0" xfId="0" applyNumberFormat="1" applyFont="1" applyAlignment="1">
      <alignment horizontal="center"/>
    </xf>
    <xf numFmtId="0" fontId="3" fillId="0" borderId="0" xfId="0" applyFont="1" applyAlignment="1">
      <alignment wrapText="1"/>
    </xf>
    <xf numFmtId="2" fontId="3" fillId="0" borderId="0" xfId="0" applyNumberFormat="1" applyFont="1"/>
    <xf numFmtId="0" fontId="19" fillId="0" borderId="0" xfId="0" applyFont="1"/>
    <xf numFmtId="0" fontId="44" fillId="0" borderId="0" xfId="0" applyFont="1" applyAlignment="1">
      <alignment horizontal="left" vertical="center"/>
    </xf>
    <xf numFmtId="11" fontId="19" fillId="0" borderId="0" xfId="0" applyNumberFormat="1" applyFont="1" applyAlignment="1">
      <alignment horizontal="left" vertical="center"/>
    </xf>
    <xf numFmtId="11" fontId="6" fillId="0" borderId="0" xfId="0" applyNumberFormat="1" applyFont="1" applyAlignment="1">
      <alignment horizontal="left" vertical="center"/>
    </xf>
    <xf numFmtId="0" fontId="44" fillId="0" borderId="0" xfId="0" applyFont="1" applyAlignment="1">
      <alignment vertical="center"/>
    </xf>
    <xf numFmtId="0" fontId="29" fillId="0" borderId="0" xfId="0" applyFont="1" applyAlignment="1">
      <alignment horizontal="center"/>
    </xf>
    <xf numFmtId="0" fontId="19" fillId="0" borderId="0" xfId="0" applyFont="1" applyAlignment="1">
      <alignment vertical="center"/>
    </xf>
    <xf numFmtId="187" fontId="4" fillId="0" borderId="0" xfId="2" applyNumberFormat="1" applyFont="1" applyAlignment="1">
      <alignment horizontal="center"/>
    </xf>
    <xf numFmtId="172" fontId="4" fillId="0" borderId="0" xfId="0" applyNumberFormat="1" applyFont="1"/>
    <xf numFmtId="0" fontId="45" fillId="0" borderId="0" xfId="0" applyFont="1" applyAlignment="1">
      <alignment horizontal="left"/>
    </xf>
    <xf numFmtId="0" fontId="4" fillId="0" borderId="0" xfId="2" applyFont="1" applyAlignment="1">
      <alignment horizontal="center" wrapText="1"/>
    </xf>
    <xf numFmtId="164" fontId="4" fillId="0" borderId="0" xfId="2" applyNumberFormat="1" applyFont="1" applyAlignment="1">
      <alignment horizontal="center" wrapText="1"/>
    </xf>
    <xf numFmtId="0" fontId="4" fillId="0" borderId="0" xfId="2" applyFont="1" applyAlignment="1">
      <alignment horizontal="left"/>
    </xf>
    <xf numFmtId="0" fontId="4" fillId="0" borderId="0" xfId="2" applyFont="1" applyAlignment="1">
      <alignment horizontal="center"/>
    </xf>
    <xf numFmtId="0" fontId="4" fillId="0" borderId="0" xfId="2" applyFont="1"/>
    <xf numFmtId="187" fontId="4" fillId="0" borderId="0" xfId="7" applyNumberFormat="1" applyFont="1" applyAlignment="1">
      <alignment horizontal="center"/>
    </xf>
    <xf numFmtId="164" fontId="4" fillId="0" borderId="0" xfId="7" applyNumberFormat="1" applyFont="1" applyAlignment="1">
      <alignment horizontal="center"/>
    </xf>
    <xf numFmtId="188" fontId="4" fillId="0" borderId="0" xfId="7" applyNumberFormat="1" applyFont="1" applyAlignment="1">
      <alignment horizontal="center"/>
    </xf>
    <xf numFmtId="189" fontId="4" fillId="0" borderId="0" xfId="7" applyNumberFormat="1" applyFont="1" applyAlignment="1">
      <alignment horizontal="center"/>
    </xf>
    <xf numFmtId="167" fontId="4" fillId="0" borderId="0" xfId="7" applyNumberFormat="1" applyFont="1" applyAlignment="1">
      <alignment horizontal="center"/>
    </xf>
    <xf numFmtId="187" fontId="4" fillId="0" borderId="0" xfId="0" applyNumberFormat="1" applyFont="1" applyAlignment="1">
      <alignment horizontal="center" vertical="center" readingOrder="1"/>
    </xf>
    <xf numFmtId="190" fontId="4" fillId="0" borderId="0" xfId="0" applyNumberFormat="1" applyFont="1" applyAlignment="1">
      <alignment horizontal="center" vertical="center" readingOrder="1"/>
    </xf>
    <xf numFmtId="169" fontId="4" fillId="0" borderId="0" xfId="0" applyNumberFormat="1" applyFont="1" applyAlignment="1">
      <alignment horizontal="center" vertical="center" readingOrder="1"/>
    </xf>
    <xf numFmtId="0" fontId="4" fillId="0" borderId="0" xfId="0" applyFont="1" applyAlignment="1">
      <alignment horizontal="center" vertical="center" readingOrder="1"/>
    </xf>
    <xf numFmtId="14" fontId="4" fillId="0" borderId="0" xfId="1" applyNumberFormat="1" applyFont="1" applyAlignment="1">
      <alignment horizontal="center" vertical="center" readingOrder="1"/>
    </xf>
    <xf numFmtId="15" fontId="4" fillId="0" borderId="0" xfId="1" applyNumberFormat="1" applyFont="1" applyAlignment="1">
      <alignment horizontal="center" vertical="center" readingOrder="1"/>
    </xf>
    <xf numFmtId="0" fontId="3" fillId="0" borderId="0" xfId="0" applyFont="1" applyAlignment="1">
      <alignment horizontal="center" vertical="center" readingOrder="1"/>
    </xf>
    <xf numFmtId="2" fontId="4" fillId="0" borderId="0" xfId="0" applyNumberFormat="1" applyFont="1" applyAlignment="1">
      <alignment horizontal="center" vertical="center" readingOrder="1"/>
    </xf>
    <xf numFmtId="1" fontId="4" fillId="0" borderId="0" xfId="0" applyNumberFormat="1" applyFont="1" applyAlignment="1">
      <alignment horizontal="center" vertical="center" readingOrder="1"/>
    </xf>
    <xf numFmtId="172" fontId="4" fillId="0" borderId="0" xfId="0" applyNumberFormat="1" applyFont="1" applyAlignment="1">
      <alignment horizontal="center" vertical="center" readingOrder="1"/>
    </xf>
    <xf numFmtId="189" fontId="4" fillId="0" borderId="0" xfId="7" applyNumberFormat="1" applyFont="1" applyAlignment="1">
      <alignment horizontal="center" vertical="center" readingOrder="1"/>
    </xf>
    <xf numFmtId="191" fontId="4" fillId="0" borderId="0" xfId="0" applyNumberFormat="1" applyFont="1" applyAlignment="1">
      <alignment horizontal="center" vertical="center" readingOrder="1"/>
    </xf>
    <xf numFmtId="0" fontId="3" fillId="0" borderId="0" xfId="2" applyFont="1" applyAlignment="1">
      <alignment horizontal="center" wrapText="1"/>
    </xf>
    <xf numFmtId="187" fontId="4" fillId="0" borderId="0" xfId="0" applyNumberFormat="1" applyFont="1" applyAlignment="1">
      <alignment horizontal="center"/>
    </xf>
    <xf numFmtId="187" fontId="4" fillId="0" borderId="0" xfId="0" applyNumberFormat="1" applyFont="1" applyAlignment="1">
      <alignment horizontal="center" vertical="center"/>
    </xf>
    <xf numFmtId="169" fontId="4" fillId="0" borderId="0" xfId="0" applyNumberFormat="1" applyFont="1" applyAlignment="1">
      <alignment horizontal="center" vertical="center"/>
    </xf>
    <xf numFmtId="169" fontId="4" fillId="0" borderId="0" xfId="1" applyNumberFormat="1" applyFont="1" applyAlignment="1">
      <alignment horizontal="center" vertical="center"/>
    </xf>
    <xf numFmtId="169" fontId="4" fillId="0" borderId="0" xfId="1" applyNumberFormat="1" applyFont="1" applyAlignment="1">
      <alignment horizontal="center"/>
    </xf>
    <xf numFmtId="175" fontId="4" fillId="0" borderId="0" xfId="0" applyNumberFormat="1" applyFont="1" applyAlignment="1">
      <alignment horizontal="center"/>
    </xf>
    <xf numFmtId="192" fontId="4" fillId="0" borderId="0" xfId="0" applyNumberFormat="1" applyFont="1" applyAlignment="1">
      <alignment horizontal="center"/>
    </xf>
    <xf numFmtId="178" fontId="4" fillId="0" borderId="0" xfId="0" applyNumberFormat="1" applyFont="1" applyAlignment="1">
      <alignment horizontal="center" vertical="center"/>
    </xf>
    <xf numFmtId="176" fontId="4" fillId="0" borderId="0" xfId="1" applyNumberFormat="1" applyFont="1" applyAlignment="1">
      <alignment horizontal="center" vertical="center"/>
    </xf>
    <xf numFmtId="2" fontId="4" fillId="0" borderId="0" xfId="0" applyNumberFormat="1" applyFont="1" applyAlignment="1">
      <alignment horizontal="center" vertical="center"/>
    </xf>
    <xf numFmtId="190" fontId="4" fillId="0" borderId="0" xfId="0" applyNumberFormat="1" applyFont="1" applyAlignment="1">
      <alignment horizontal="center"/>
    </xf>
    <xf numFmtId="1" fontId="4" fillId="0" borderId="0" xfId="1" applyNumberFormat="1" applyFont="1" applyAlignment="1">
      <alignment horizontal="center" vertical="center"/>
    </xf>
    <xf numFmtId="0" fontId="4" fillId="8" borderId="0" xfId="0" applyFont="1" applyFill="1"/>
    <xf numFmtId="0" fontId="10" fillId="0" borderId="0" xfId="1" applyFont="1"/>
    <xf numFmtId="0" fontId="7" fillId="0" borderId="0" xfId="0" applyFont="1" applyAlignment="1">
      <alignment horizontal="left"/>
    </xf>
    <xf numFmtId="177" fontId="7" fillId="0" borderId="0" xfId="0" applyNumberFormat="1" applyFont="1" applyAlignment="1">
      <alignment horizontal="left"/>
    </xf>
    <xf numFmtId="15" fontId="7" fillId="0" borderId="0" xfId="1" applyNumberFormat="1" applyFont="1" applyAlignment="1">
      <alignment horizontal="left"/>
    </xf>
    <xf numFmtId="2" fontId="7" fillId="0" borderId="0" xfId="1" applyNumberFormat="1" applyFont="1" applyAlignment="1">
      <alignment horizontal="right"/>
    </xf>
    <xf numFmtId="2" fontId="7" fillId="0" borderId="0" xfId="2" applyNumberFormat="1" applyFont="1" applyAlignment="1">
      <alignment horizontal="right"/>
    </xf>
    <xf numFmtId="0" fontId="7" fillId="0" borderId="0" xfId="0" applyFont="1"/>
    <xf numFmtId="1" fontId="7" fillId="0" borderId="0" xfId="0" applyNumberFormat="1" applyFont="1" applyAlignment="1">
      <alignment horizontal="right"/>
    </xf>
    <xf numFmtId="0" fontId="7" fillId="0" borderId="0" xfId="1" applyFont="1" applyAlignment="1">
      <alignment horizontal="right"/>
    </xf>
    <xf numFmtId="0" fontId="48" fillId="0" borderId="0" xfId="0" applyFont="1"/>
    <xf numFmtId="1" fontId="3" fillId="0" borderId="0" xfId="1" applyNumberFormat="1" applyFont="1" applyAlignment="1">
      <alignment horizontal="center"/>
    </xf>
    <xf numFmtId="0" fontId="49" fillId="0" borderId="0" xfId="0" applyFont="1"/>
    <xf numFmtId="1" fontId="3" fillId="0" borderId="0" xfId="1" applyNumberFormat="1" applyFont="1"/>
    <xf numFmtId="1" fontId="6" fillId="0" borderId="0" xfId="0" applyNumberFormat="1" applyFont="1" applyAlignment="1">
      <alignment horizontal="center"/>
    </xf>
    <xf numFmtId="2" fontId="3" fillId="0" borderId="0" xfId="1" applyNumberFormat="1" applyFont="1" applyAlignment="1">
      <alignment horizontal="center"/>
    </xf>
    <xf numFmtId="11" fontId="4" fillId="0" borderId="0" xfId="0" applyNumberFormat="1" applyFont="1" applyAlignment="1">
      <alignment horizontal="center"/>
    </xf>
    <xf numFmtId="11" fontId="10" fillId="0" borderId="0" xfId="0" applyNumberFormat="1" applyFont="1" applyAlignment="1">
      <alignment horizontal="center"/>
    </xf>
    <xf numFmtId="0" fontId="16" fillId="0" borderId="0" xfId="0" applyFont="1"/>
    <xf numFmtId="0" fontId="17" fillId="0" borderId="0" xfId="0" applyFont="1" applyAlignment="1">
      <alignment horizontal="left"/>
    </xf>
    <xf numFmtId="174" fontId="17" fillId="0" borderId="0" xfId="0" applyNumberFormat="1" applyFont="1" applyAlignment="1">
      <alignment horizontal="left"/>
    </xf>
    <xf numFmtId="0" fontId="17" fillId="0" borderId="0" xfId="0" applyFont="1" applyAlignment="1">
      <alignment horizontal="left" vertical="center"/>
    </xf>
    <xf numFmtId="14" fontId="17" fillId="0" borderId="0" xfId="1" applyNumberFormat="1" applyFont="1" applyAlignment="1">
      <alignment horizontal="left" vertical="center"/>
    </xf>
    <xf numFmtId="15" fontId="17" fillId="0" borderId="0" xfId="1" applyNumberFormat="1" applyFont="1" applyAlignment="1">
      <alignment horizontal="left"/>
    </xf>
    <xf numFmtId="0" fontId="6" fillId="9" borderId="26" xfId="0" applyFont="1" applyFill="1" applyBorder="1" applyAlignment="1">
      <alignment horizontal="center"/>
    </xf>
    <xf numFmtId="0" fontId="6" fillId="0" borderId="26" xfId="0" applyFont="1" applyBorder="1" applyAlignment="1">
      <alignment wrapText="1"/>
    </xf>
    <xf numFmtId="0" fontId="4" fillId="0" borderId="26" xfId="1" applyFont="1" applyBorder="1" applyAlignment="1">
      <alignment wrapText="1"/>
    </xf>
    <xf numFmtId="164" fontId="4" fillId="9" borderId="26" xfId="1" applyNumberFormat="1" applyFont="1" applyFill="1" applyBorder="1" applyAlignment="1">
      <alignment horizontal="center" textRotation="90"/>
    </xf>
    <xf numFmtId="164" fontId="4" fillId="9" borderId="26" xfId="2" applyNumberFormat="1" applyFont="1" applyFill="1" applyBorder="1" applyAlignment="1">
      <alignment horizontal="center" textRotation="90"/>
    </xf>
    <xf numFmtId="0" fontId="4" fillId="0" borderId="26" xfId="4" applyFont="1" applyBorder="1" applyAlignment="1">
      <alignment horizontal="left"/>
    </xf>
    <xf numFmtId="0" fontId="4" fillId="0" borderId="26" xfId="1" applyFont="1" applyBorder="1" applyAlignment="1">
      <alignment horizontal="center"/>
    </xf>
    <xf numFmtId="164" fontId="4" fillId="0" borderId="26" xfId="1" applyNumberFormat="1" applyFont="1" applyBorder="1" applyAlignment="1">
      <alignment horizontal="center"/>
    </xf>
    <xf numFmtId="164" fontId="4" fillId="0" borderId="26" xfId="2" applyNumberFormat="1" applyFont="1" applyBorder="1" applyAlignment="1">
      <alignment horizontal="center"/>
    </xf>
    <xf numFmtId="167" fontId="4" fillId="0" borderId="26" xfId="2" applyNumberFormat="1" applyFont="1" applyBorder="1" applyAlignment="1">
      <alignment horizontal="center"/>
    </xf>
    <xf numFmtId="167" fontId="4" fillId="0" borderId="26" xfId="1" applyNumberFormat="1" applyFont="1" applyBorder="1" applyAlignment="1">
      <alignment horizontal="center"/>
    </xf>
    <xf numFmtId="0" fontId="6" fillId="0" borderId="26" xfId="0" applyFont="1" applyBorder="1" applyAlignment="1">
      <alignment horizontal="center"/>
    </xf>
    <xf numFmtId="188" fontId="4" fillId="0" borderId="26" xfId="1" applyNumberFormat="1" applyFont="1" applyBorder="1" applyAlignment="1">
      <alignment horizontal="center"/>
    </xf>
    <xf numFmtId="188" fontId="4" fillId="0" borderId="26" xfId="2" applyNumberFormat="1" applyFont="1" applyBorder="1" applyAlignment="1">
      <alignment horizontal="center"/>
    </xf>
    <xf numFmtId="0" fontId="42" fillId="0" borderId="0" xfId="0" applyFont="1" applyAlignment="1">
      <alignment horizontal="left" vertical="center"/>
    </xf>
    <xf numFmtId="0" fontId="10" fillId="0" borderId="0" xfId="0" applyFont="1" applyAlignment="1">
      <alignment horizontal="center" wrapText="1"/>
    </xf>
    <xf numFmtId="0" fontId="50" fillId="0" borderId="0" xfId="0" applyFont="1" applyAlignment="1">
      <alignment horizontal="left" vertical="center"/>
    </xf>
    <xf numFmtId="0" fontId="9" fillId="0" borderId="0" xfId="0" applyFont="1" applyAlignment="1">
      <alignment horizontal="left" vertical="center"/>
    </xf>
    <xf numFmtId="0" fontId="51" fillId="0" borderId="0" xfId="0" applyFont="1" applyAlignment="1">
      <alignment vertical="center"/>
    </xf>
    <xf numFmtId="0" fontId="4" fillId="0" borderId="0" xfId="0" applyFont="1" applyAlignment="1">
      <alignment horizontal="center"/>
    </xf>
    <xf numFmtId="0" fontId="3" fillId="0" borderId="0" xfId="0" applyFont="1" applyAlignment="1">
      <alignment wrapText="1"/>
    </xf>
    <xf numFmtId="0" fontId="9" fillId="0" borderId="0" xfId="0" applyFont="1" applyAlignment="1">
      <alignment wrapText="1"/>
    </xf>
    <xf numFmtId="0" fontId="3" fillId="0" borderId="0" xfId="0" applyFont="1" applyAlignment="1">
      <alignment horizontal="left"/>
    </xf>
    <xf numFmtId="0" fontId="9" fillId="0" borderId="0" xfId="0" applyFont="1" applyAlignment="1">
      <alignment horizontal="left"/>
    </xf>
    <xf numFmtId="0" fontId="9" fillId="0" borderId="5" xfId="0" applyFont="1" applyBorder="1" applyAlignment="1">
      <alignment wrapText="1"/>
    </xf>
    <xf numFmtId="0" fontId="9" fillId="0" borderId="2" xfId="0" applyFont="1" applyBorder="1" applyAlignment="1">
      <alignment wrapText="1"/>
    </xf>
    <xf numFmtId="0" fontId="9" fillId="0" borderId="6" xfId="0" applyFont="1" applyBorder="1" applyAlignment="1">
      <alignment vertical="center" wrapText="1"/>
    </xf>
    <xf numFmtId="11" fontId="6" fillId="0" borderId="17" xfId="0" applyNumberFormat="1" applyFont="1" applyBorder="1" applyAlignment="1">
      <alignment horizontal="center" vertical="center" wrapText="1"/>
    </xf>
    <xf numFmtId="11" fontId="6" fillId="0" borderId="16" xfId="0" applyNumberFormat="1" applyFont="1" applyBorder="1" applyAlignment="1">
      <alignment horizontal="center" vertical="center" wrapText="1"/>
    </xf>
    <xf numFmtId="11" fontId="6" fillId="0" borderId="25" xfId="0" applyNumberFormat="1" applyFont="1" applyBorder="1" applyAlignment="1">
      <alignment horizontal="center" vertical="center" wrapText="1"/>
    </xf>
    <xf numFmtId="11" fontId="6" fillId="0" borderId="12" xfId="0" applyNumberFormat="1" applyFont="1" applyBorder="1" applyAlignment="1">
      <alignment horizontal="center" vertical="center" wrapText="1"/>
    </xf>
    <xf numFmtId="0" fontId="9" fillId="0" borderId="0" xfId="0" applyFont="1" applyAlignment="1">
      <alignment horizontal="right"/>
    </xf>
    <xf numFmtId="0" fontId="6" fillId="0" borderId="0" xfId="0" applyFont="1" applyAlignment="1">
      <alignment horizontal="right"/>
    </xf>
    <xf numFmtId="0" fontId="9" fillId="0" borderId="10" xfId="0" applyFont="1" applyBorder="1" applyAlignment="1">
      <alignment horizontal="center" vertical="center" wrapText="1"/>
    </xf>
    <xf numFmtId="0" fontId="9" fillId="0" borderId="2" xfId="0" applyFont="1" applyBorder="1" applyAlignment="1">
      <alignment horizontal="center" vertical="center" wrapText="1"/>
    </xf>
    <xf numFmtId="0" fontId="9" fillId="0" borderId="9" xfId="0" applyFont="1" applyBorder="1" applyAlignment="1">
      <alignment horizontal="center" vertical="center" wrapText="1"/>
    </xf>
    <xf numFmtId="0" fontId="9" fillId="0" borderId="23" xfId="0" applyFont="1" applyBorder="1" applyAlignment="1">
      <alignment horizontal="center" vertical="center" wrapText="1"/>
    </xf>
    <xf numFmtId="0" fontId="9" fillId="0" borderId="18" xfId="0" applyFont="1" applyBorder="1" applyAlignment="1">
      <alignment horizontal="center" vertical="center" wrapText="1"/>
    </xf>
    <xf numFmtId="11" fontId="6" fillId="0" borderId="24" xfId="0" applyNumberFormat="1" applyFont="1" applyBorder="1" applyAlignment="1">
      <alignment horizontal="center" vertical="center" wrapText="1"/>
    </xf>
    <xf numFmtId="11" fontId="6" fillId="0" borderId="21" xfId="0" applyNumberFormat="1" applyFont="1" applyBorder="1" applyAlignment="1">
      <alignment horizontal="center" vertical="center" wrapText="1"/>
    </xf>
    <xf numFmtId="11" fontId="10" fillId="0" borderId="15" xfId="0" applyNumberFormat="1" applyFont="1" applyBorder="1" applyAlignment="1">
      <alignment horizontal="center" vertical="center" wrapText="1"/>
    </xf>
    <xf numFmtId="11" fontId="10" fillId="0" borderId="16" xfId="0" applyNumberFormat="1" applyFont="1" applyBorder="1" applyAlignment="1">
      <alignment horizontal="center" vertical="center" wrapText="1"/>
    </xf>
    <xf numFmtId="11" fontId="10" fillId="0" borderId="22" xfId="0" applyNumberFormat="1" applyFont="1" applyBorder="1" applyAlignment="1">
      <alignment horizontal="center" vertical="center" wrapText="1"/>
    </xf>
    <xf numFmtId="11" fontId="10" fillId="0" borderId="12" xfId="0" applyNumberFormat="1" applyFont="1" applyBorder="1" applyAlignment="1">
      <alignment horizontal="center" vertical="center" wrapText="1"/>
    </xf>
    <xf numFmtId="11" fontId="6" fillId="0" borderId="15" xfId="0" applyNumberFormat="1" applyFont="1" applyBorder="1" applyAlignment="1">
      <alignment horizontal="center" vertical="center" wrapText="1"/>
    </xf>
    <xf numFmtId="0" fontId="44" fillId="0" borderId="0" xfId="0" applyFont="1" applyAlignment="1">
      <alignment horizontal="left" vertical="center"/>
    </xf>
    <xf numFmtId="0" fontId="9" fillId="0" borderId="8" xfId="0" applyFont="1" applyBorder="1" applyAlignment="1">
      <alignment horizontal="center" vertical="center" wrapText="1"/>
    </xf>
    <xf numFmtId="0" fontId="9" fillId="0" borderId="7" xfId="0" applyFont="1" applyBorder="1" applyAlignment="1">
      <alignment horizontal="center" vertical="center" wrapText="1"/>
    </xf>
    <xf numFmtId="0" fontId="33" fillId="0" borderId="14" xfId="0" applyFont="1" applyBorder="1" applyAlignment="1">
      <alignment horizontal="center" vertical="center" wrapText="1"/>
    </xf>
    <xf numFmtId="0" fontId="33" fillId="0" borderId="8" xfId="0" applyFont="1" applyBorder="1" applyAlignment="1">
      <alignment horizontal="center" vertical="center" wrapText="1"/>
    </xf>
    <xf numFmtId="0" fontId="9" fillId="0" borderId="19" xfId="0" applyFont="1" applyBorder="1" applyAlignment="1">
      <alignment horizontal="center" vertical="center" wrapText="1"/>
    </xf>
    <xf numFmtId="11" fontId="10" fillId="0" borderId="20" xfId="0" applyNumberFormat="1" applyFont="1" applyBorder="1" applyAlignment="1">
      <alignment horizontal="center" vertical="center" wrapText="1"/>
    </xf>
    <xf numFmtId="11" fontId="10" fillId="0" borderId="21" xfId="0" applyNumberFormat="1" applyFont="1" applyBorder="1" applyAlignment="1">
      <alignment horizontal="center" vertical="center" wrapText="1"/>
    </xf>
    <xf numFmtId="0" fontId="44" fillId="0" borderId="0" xfId="0" applyFont="1" applyAlignment="1">
      <alignment vertical="center"/>
    </xf>
  </cellXfs>
  <cellStyles count="8">
    <cellStyle name="Normal" xfId="0" builtinId="0"/>
    <cellStyle name="Normal 10" xfId="3" xr:uid="{00000000-0005-0000-0000-000001000000}"/>
    <cellStyle name="Normal 2" xfId="5" xr:uid="{00000000-0005-0000-0000-000002000000}"/>
    <cellStyle name="Normal 2 2" xfId="6" xr:uid="{00000000-0005-0000-0000-000003000000}"/>
    <cellStyle name="Normal 2 2 2 2" xfId="1" xr:uid="{00000000-0005-0000-0000-000004000000}"/>
    <cellStyle name="Normal 3" xfId="4" xr:uid="{00000000-0005-0000-0000-000005000000}"/>
    <cellStyle name="Normal_10874" xfId="7" xr:uid="{00000000-0005-0000-0000-000006000000}"/>
    <cellStyle name="Normal_full suite PBET spreadsheet" xfId="2" xr:uid="{00000000-0005-0000-0000-000007000000}"/>
  </cellStyles>
  <dxfs count="1">
    <dxf>
      <font>
        <condense val="0"/>
        <extend val="0"/>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externalLink" Target="externalLinks/externalLink1.xml"/><Relationship Id="rId20"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13" Type="http://schemas.openxmlformats.org/officeDocument/2006/relationships/image" Target="../media/image13.jpg"/><Relationship Id="rId18" Type="http://schemas.openxmlformats.org/officeDocument/2006/relationships/image" Target="../media/image18.jpg"/><Relationship Id="rId3" Type="http://schemas.openxmlformats.org/officeDocument/2006/relationships/image" Target="../media/image3.jpg"/><Relationship Id="rId21" Type="http://schemas.openxmlformats.org/officeDocument/2006/relationships/image" Target="../media/image21.png"/><Relationship Id="rId7" Type="http://schemas.openxmlformats.org/officeDocument/2006/relationships/image" Target="../media/image7.jpg"/><Relationship Id="rId12" Type="http://schemas.openxmlformats.org/officeDocument/2006/relationships/image" Target="../media/image12.jpg"/><Relationship Id="rId17" Type="http://schemas.openxmlformats.org/officeDocument/2006/relationships/image" Target="../media/image17.jpg"/><Relationship Id="rId2" Type="http://schemas.openxmlformats.org/officeDocument/2006/relationships/image" Target="../media/image2.png"/><Relationship Id="rId16" Type="http://schemas.openxmlformats.org/officeDocument/2006/relationships/image" Target="../media/image16.jpg"/><Relationship Id="rId20" Type="http://schemas.openxmlformats.org/officeDocument/2006/relationships/image" Target="../media/image20.jp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png"/><Relationship Id="rId5" Type="http://schemas.openxmlformats.org/officeDocument/2006/relationships/image" Target="../media/image5.jpg"/><Relationship Id="rId15" Type="http://schemas.openxmlformats.org/officeDocument/2006/relationships/image" Target="../media/image15.jpg"/><Relationship Id="rId10" Type="http://schemas.openxmlformats.org/officeDocument/2006/relationships/image" Target="../media/image10.jpg"/><Relationship Id="rId19" Type="http://schemas.openxmlformats.org/officeDocument/2006/relationships/image" Target="../media/image19.jp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jpg"/><Relationship Id="rId22" Type="http://schemas.openxmlformats.org/officeDocument/2006/relationships/image" Target="../media/image22.jp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2</xdr:row>
      <xdr:rowOff>0</xdr:rowOff>
    </xdr:from>
    <xdr:to>
      <xdr:col>7</xdr:col>
      <xdr:colOff>167863</xdr:colOff>
      <xdr:row>21</xdr:row>
      <xdr:rowOff>171450</xdr:rowOff>
    </xdr:to>
    <xdr:pic>
      <xdr:nvPicPr>
        <xdr:cNvPr id="8" name="Picture 7">
          <a:extLst>
            <a:ext uri="{FF2B5EF4-FFF2-40B4-BE49-F238E27FC236}">
              <a16:creationId xmlns:a16="http://schemas.microsoft.com/office/drawing/2014/main" id="{00000000-0008-0000-0E00-000008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393700"/>
          <a:ext cx="4657313" cy="3911600"/>
        </a:xfrm>
        <a:prstGeom prst="rect">
          <a:avLst/>
        </a:prstGeom>
      </xdr:spPr>
    </xdr:pic>
    <xdr:clientData/>
  </xdr:twoCellAnchor>
  <xdr:twoCellAnchor editAs="oneCell">
    <xdr:from>
      <xdr:col>8</xdr:col>
      <xdr:colOff>635000</xdr:colOff>
      <xdr:row>1</xdr:row>
      <xdr:rowOff>190500</xdr:rowOff>
    </xdr:from>
    <xdr:to>
      <xdr:col>15</xdr:col>
      <xdr:colOff>323850</xdr:colOff>
      <xdr:row>27</xdr:row>
      <xdr:rowOff>165099</xdr:rowOff>
    </xdr:to>
    <xdr:pic>
      <xdr:nvPicPr>
        <xdr:cNvPr id="9" name="Picture 8">
          <a:extLst>
            <a:ext uri="{FF2B5EF4-FFF2-40B4-BE49-F238E27FC236}">
              <a16:creationId xmlns:a16="http://schemas.microsoft.com/office/drawing/2014/main" id="{00000000-0008-0000-0E00-00000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5765800" y="387350"/>
          <a:ext cx="4178300" cy="5092699"/>
        </a:xfrm>
        <a:prstGeom prst="rect">
          <a:avLst/>
        </a:prstGeom>
      </xdr:spPr>
    </xdr:pic>
    <xdr:clientData/>
  </xdr:twoCellAnchor>
  <xdr:twoCellAnchor editAs="oneCell">
    <xdr:from>
      <xdr:col>17</xdr:col>
      <xdr:colOff>615950</xdr:colOff>
      <xdr:row>2</xdr:row>
      <xdr:rowOff>38100</xdr:rowOff>
    </xdr:from>
    <xdr:to>
      <xdr:col>25</xdr:col>
      <xdr:colOff>22179</xdr:colOff>
      <xdr:row>20</xdr:row>
      <xdr:rowOff>57304</xdr:rowOff>
    </xdr:to>
    <xdr:pic>
      <xdr:nvPicPr>
        <xdr:cNvPr id="10" name="Picture 9">
          <a:extLst>
            <a:ext uri="{FF2B5EF4-FFF2-40B4-BE49-F238E27FC236}">
              <a16:creationId xmlns:a16="http://schemas.microsoft.com/office/drawing/2014/main" id="{00000000-0008-0000-0E00-00000A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1518900" y="431800"/>
          <a:ext cx="4537029" cy="3562504"/>
        </a:xfrm>
        <a:prstGeom prst="rect">
          <a:avLst/>
        </a:prstGeom>
      </xdr:spPr>
    </xdr:pic>
    <xdr:clientData/>
  </xdr:twoCellAnchor>
  <xdr:twoCellAnchor editAs="oneCell">
    <xdr:from>
      <xdr:col>0</xdr:col>
      <xdr:colOff>0</xdr:colOff>
      <xdr:row>27</xdr:row>
      <xdr:rowOff>0</xdr:rowOff>
    </xdr:from>
    <xdr:to>
      <xdr:col>7</xdr:col>
      <xdr:colOff>201082</xdr:colOff>
      <xdr:row>44</xdr:row>
      <xdr:rowOff>171450</xdr:rowOff>
    </xdr:to>
    <xdr:pic>
      <xdr:nvPicPr>
        <xdr:cNvPr id="13" name="Picture 12">
          <a:extLst>
            <a:ext uri="{FF2B5EF4-FFF2-40B4-BE49-F238E27FC236}">
              <a16:creationId xmlns:a16="http://schemas.microsoft.com/office/drawing/2014/main" id="{00000000-0008-0000-0E00-00000D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5314950"/>
          <a:ext cx="4690532" cy="3517900"/>
        </a:xfrm>
        <a:prstGeom prst="rect">
          <a:avLst/>
        </a:prstGeom>
      </xdr:spPr>
    </xdr:pic>
    <xdr:clientData/>
  </xdr:twoCellAnchor>
  <xdr:twoCellAnchor editAs="oneCell">
    <xdr:from>
      <xdr:col>9</xdr:col>
      <xdr:colOff>0</xdr:colOff>
      <xdr:row>29</xdr:row>
      <xdr:rowOff>177801</xdr:rowOff>
    </xdr:from>
    <xdr:to>
      <xdr:col>15</xdr:col>
      <xdr:colOff>596900</xdr:colOff>
      <xdr:row>44</xdr:row>
      <xdr:rowOff>188384</xdr:rowOff>
    </xdr:to>
    <xdr:pic>
      <xdr:nvPicPr>
        <xdr:cNvPr id="23" name="Picture 22">
          <a:extLst>
            <a:ext uri="{FF2B5EF4-FFF2-40B4-BE49-F238E27FC236}">
              <a16:creationId xmlns:a16="http://schemas.microsoft.com/office/drawing/2014/main" id="{00000000-0008-0000-0E00-00001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772150" y="5886451"/>
          <a:ext cx="4445000" cy="2963333"/>
        </a:xfrm>
        <a:prstGeom prst="rect">
          <a:avLst/>
        </a:prstGeom>
      </xdr:spPr>
    </xdr:pic>
    <xdr:clientData/>
  </xdr:twoCellAnchor>
  <xdr:twoCellAnchor editAs="oneCell">
    <xdr:from>
      <xdr:col>18</xdr:col>
      <xdr:colOff>0</xdr:colOff>
      <xdr:row>22</xdr:row>
      <xdr:rowOff>196848</xdr:rowOff>
    </xdr:from>
    <xdr:to>
      <xdr:col>26</xdr:col>
      <xdr:colOff>361950</xdr:colOff>
      <xdr:row>43</xdr:row>
      <xdr:rowOff>182561</xdr:rowOff>
    </xdr:to>
    <xdr:pic>
      <xdr:nvPicPr>
        <xdr:cNvPr id="24" name="Picture 23">
          <a:extLst>
            <a:ext uri="{FF2B5EF4-FFF2-40B4-BE49-F238E27FC236}">
              <a16:creationId xmlns:a16="http://schemas.microsoft.com/office/drawing/2014/main" id="{00000000-0008-0000-0E00-00001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544300" y="4527548"/>
          <a:ext cx="5492750" cy="4119563"/>
        </a:xfrm>
        <a:prstGeom prst="rect">
          <a:avLst/>
        </a:prstGeom>
      </xdr:spPr>
    </xdr:pic>
    <xdr:clientData/>
  </xdr:twoCellAnchor>
  <xdr:twoCellAnchor editAs="oneCell">
    <xdr:from>
      <xdr:col>0</xdr:col>
      <xdr:colOff>0</xdr:colOff>
      <xdr:row>47</xdr:row>
      <xdr:rowOff>0</xdr:rowOff>
    </xdr:from>
    <xdr:to>
      <xdr:col>7</xdr:col>
      <xdr:colOff>263756</xdr:colOff>
      <xdr:row>65</xdr:row>
      <xdr:rowOff>0</xdr:rowOff>
    </xdr:to>
    <xdr:pic>
      <xdr:nvPicPr>
        <xdr:cNvPr id="25" name="Picture 24">
          <a:extLst>
            <a:ext uri="{FF2B5EF4-FFF2-40B4-BE49-F238E27FC236}">
              <a16:creationId xmlns:a16="http://schemas.microsoft.com/office/drawing/2014/main" id="{00000000-0008-0000-0E00-00001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9251950"/>
          <a:ext cx="4753206" cy="3543300"/>
        </a:xfrm>
        <a:prstGeom prst="rect">
          <a:avLst/>
        </a:prstGeom>
      </xdr:spPr>
    </xdr:pic>
    <xdr:clientData/>
  </xdr:twoCellAnchor>
  <xdr:twoCellAnchor editAs="oneCell">
    <xdr:from>
      <xdr:col>8</xdr:col>
      <xdr:colOff>641349</xdr:colOff>
      <xdr:row>47</xdr:row>
      <xdr:rowOff>0</xdr:rowOff>
    </xdr:from>
    <xdr:to>
      <xdr:col>16</xdr:col>
      <xdr:colOff>472016</xdr:colOff>
      <xdr:row>65</xdr:row>
      <xdr:rowOff>177800</xdr:rowOff>
    </xdr:to>
    <xdr:pic>
      <xdr:nvPicPr>
        <xdr:cNvPr id="30" name="Picture 29">
          <a:extLst>
            <a:ext uri="{FF2B5EF4-FFF2-40B4-BE49-F238E27FC236}">
              <a16:creationId xmlns:a16="http://schemas.microsoft.com/office/drawing/2014/main" id="{00000000-0008-0000-0E00-00001E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772149" y="9251950"/>
          <a:ext cx="4961467" cy="3721100"/>
        </a:xfrm>
        <a:prstGeom prst="rect">
          <a:avLst/>
        </a:prstGeom>
      </xdr:spPr>
    </xdr:pic>
    <xdr:clientData/>
  </xdr:twoCellAnchor>
  <xdr:twoCellAnchor editAs="oneCell">
    <xdr:from>
      <xdr:col>16</xdr:col>
      <xdr:colOff>469899</xdr:colOff>
      <xdr:row>47</xdr:row>
      <xdr:rowOff>6350</xdr:rowOff>
    </xdr:from>
    <xdr:to>
      <xdr:col>24</xdr:col>
      <xdr:colOff>283632</xdr:colOff>
      <xdr:row>65</xdr:row>
      <xdr:rowOff>171450</xdr:rowOff>
    </xdr:to>
    <xdr:pic>
      <xdr:nvPicPr>
        <xdr:cNvPr id="31" name="Picture 30">
          <a:extLst>
            <a:ext uri="{FF2B5EF4-FFF2-40B4-BE49-F238E27FC236}">
              <a16:creationId xmlns:a16="http://schemas.microsoft.com/office/drawing/2014/main" id="{00000000-0008-0000-0E00-00001F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0731499" y="9258300"/>
          <a:ext cx="4944533" cy="3708400"/>
        </a:xfrm>
        <a:prstGeom prst="rect">
          <a:avLst/>
        </a:prstGeom>
      </xdr:spPr>
    </xdr:pic>
    <xdr:clientData/>
  </xdr:twoCellAnchor>
  <xdr:twoCellAnchor editAs="oneCell">
    <xdr:from>
      <xdr:col>0</xdr:col>
      <xdr:colOff>0</xdr:colOff>
      <xdr:row>69</xdr:row>
      <xdr:rowOff>1</xdr:rowOff>
    </xdr:from>
    <xdr:to>
      <xdr:col>3</xdr:col>
      <xdr:colOff>546441</xdr:colOff>
      <xdr:row>91</xdr:row>
      <xdr:rowOff>12701</xdr:rowOff>
    </xdr:to>
    <xdr:pic>
      <xdr:nvPicPr>
        <xdr:cNvPr id="32" name="Picture 31">
          <a:extLst>
            <a:ext uri="{FF2B5EF4-FFF2-40B4-BE49-F238E27FC236}">
              <a16:creationId xmlns:a16="http://schemas.microsoft.com/office/drawing/2014/main" id="{00000000-0008-0000-0E00-000020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0" y="13582651"/>
          <a:ext cx="2470491" cy="4343400"/>
        </a:xfrm>
        <a:prstGeom prst="rect">
          <a:avLst/>
        </a:prstGeom>
      </xdr:spPr>
    </xdr:pic>
    <xdr:clientData/>
  </xdr:twoCellAnchor>
  <xdr:twoCellAnchor editAs="oneCell">
    <xdr:from>
      <xdr:col>3</xdr:col>
      <xdr:colOff>520700</xdr:colOff>
      <xdr:row>69</xdr:row>
      <xdr:rowOff>0</xdr:rowOff>
    </xdr:from>
    <xdr:to>
      <xdr:col>7</xdr:col>
      <xdr:colOff>410202</xdr:colOff>
      <xdr:row>91</xdr:row>
      <xdr:rowOff>19050</xdr:rowOff>
    </xdr:to>
    <xdr:pic>
      <xdr:nvPicPr>
        <xdr:cNvPr id="33" name="Picture 32">
          <a:extLst>
            <a:ext uri="{FF2B5EF4-FFF2-40B4-BE49-F238E27FC236}">
              <a16:creationId xmlns:a16="http://schemas.microsoft.com/office/drawing/2014/main" id="{00000000-0008-0000-0E00-000021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2444750" y="13582650"/>
          <a:ext cx="2454902" cy="4349750"/>
        </a:xfrm>
        <a:prstGeom prst="rect">
          <a:avLst/>
        </a:prstGeom>
      </xdr:spPr>
    </xdr:pic>
    <xdr:clientData/>
  </xdr:twoCellAnchor>
  <xdr:twoCellAnchor editAs="oneCell">
    <xdr:from>
      <xdr:col>7</xdr:col>
      <xdr:colOff>419100</xdr:colOff>
      <xdr:row>69</xdr:row>
      <xdr:rowOff>12700</xdr:rowOff>
    </xdr:from>
    <xdr:to>
      <xdr:col>11</xdr:col>
      <xdr:colOff>331527</xdr:colOff>
      <xdr:row>91</xdr:row>
      <xdr:rowOff>25400</xdr:rowOff>
    </xdr:to>
    <xdr:pic>
      <xdr:nvPicPr>
        <xdr:cNvPr id="34" name="Picture 33">
          <a:extLst>
            <a:ext uri="{FF2B5EF4-FFF2-40B4-BE49-F238E27FC236}">
              <a16:creationId xmlns:a16="http://schemas.microsoft.com/office/drawing/2014/main" id="{00000000-0008-0000-0E00-0000220000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tretch>
          <a:fillRect/>
        </a:stretch>
      </xdr:blipFill>
      <xdr:spPr>
        <a:xfrm>
          <a:off x="4908550" y="13595350"/>
          <a:ext cx="2477827" cy="4343400"/>
        </a:xfrm>
        <a:prstGeom prst="rect">
          <a:avLst/>
        </a:prstGeom>
      </xdr:spPr>
    </xdr:pic>
    <xdr:clientData/>
  </xdr:twoCellAnchor>
  <xdr:twoCellAnchor editAs="oneCell">
    <xdr:from>
      <xdr:col>11</xdr:col>
      <xdr:colOff>336551</xdr:colOff>
      <xdr:row>69</xdr:row>
      <xdr:rowOff>25400</xdr:rowOff>
    </xdr:from>
    <xdr:to>
      <xdr:col>17</xdr:col>
      <xdr:colOff>635000</xdr:colOff>
      <xdr:row>91</xdr:row>
      <xdr:rowOff>25399</xdr:rowOff>
    </xdr:to>
    <xdr:pic>
      <xdr:nvPicPr>
        <xdr:cNvPr id="35" name="Picture 34">
          <a:extLst>
            <a:ext uri="{FF2B5EF4-FFF2-40B4-BE49-F238E27FC236}">
              <a16:creationId xmlns:a16="http://schemas.microsoft.com/office/drawing/2014/main" id="{00000000-0008-0000-0E00-0000230000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tretch>
          <a:fillRect/>
        </a:stretch>
      </xdr:blipFill>
      <xdr:spPr>
        <a:xfrm>
          <a:off x="7391401" y="13608050"/>
          <a:ext cx="4146549" cy="4330699"/>
        </a:xfrm>
        <a:prstGeom prst="rect">
          <a:avLst/>
        </a:prstGeom>
      </xdr:spPr>
    </xdr:pic>
    <xdr:clientData/>
  </xdr:twoCellAnchor>
  <xdr:twoCellAnchor editAs="oneCell">
    <xdr:from>
      <xdr:col>17</xdr:col>
      <xdr:colOff>628649</xdr:colOff>
      <xdr:row>69</xdr:row>
      <xdr:rowOff>12700</xdr:rowOff>
    </xdr:from>
    <xdr:to>
      <xdr:col>24</xdr:col>
      <xdr:colOff>392002</xdr:colOff>
      <xdr:row>91</xdr:row>
      <xdr:rowOff>31750</xdr:rowOff>
    </xdr:to>
    <xdr:pic>
      <xdr:nvPicPr>
        <xdr:cNvPr id="36" name="Picture 35">
          <a:extLst>
            <a:ext uri="{FF2B5EF4-FFF2-40B4-BE49-F238E27FC236}">
              <a16:creationId xmlns:a16="http://schemas.microsoft.com/office/drawing/2014/main" id="{00000000-0008-0000-0E00-0000240000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tretch>
          <a:fillRect/>
        </a:stretch>
      </xdr:blipFill>
      <xdr:spPr>
        <a:xfrm>
          <a:off x="11531599" y="13595350"/>
          <a:ext cx="4252803" cy="4349750"/>
        </a:xfrm>
        <a:prstGeom prst="rect">
          <a:avLst/>
        </a:prstGeom>
      </xdr:spPr>
    </xdr:pic>
    <xdr:clientData/>
  </xdr:twoCellAnchor>
  <xdr:twoCellAnchor editAs="oneCell">
    <xdr:from>
      <xdr:col>24</xdr:col>
      <xdr:colOff>374650</xdr:colOff>
      <xdr:row>69</xdr:row>
      <xdr:rowOff>3896</xdr:rowOff>
    </xdr:from>
    <xdr:to>
      <xdr:col>28</xdr:col>
      <xdr:colOff>292100</xdr:colOff>
      <xdr:row>91</xdr:row>
      <xdr:rowOff>25400</xdr:rowOff>
    </xdr:to>
    <xdr:pic>
      <xdr:nvPicPr>
        <xdr:cNvPr id="37" name="Picture 36">
          <a:extLst>
            <a:ext uri="{FF2B5EF4-FFF2-40B4-BE49-F238E27FC236}">
              <a16:creationId xmlns:a16="http://schemas.microsoft.com/office/drawing/2014/main" id="{00000000-0008-0000-0E00-0000250000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tretch>
          <a:fillRect/>
        </a:stretch>
      </xdr:blipFill>
      <xdr:spPr>
        <a:xfrm>
          <a:off x="15767050" y="13586546"/>
          <a:ext cx="2482850" cy="4352204"/>
        </a:xfrm>
        <a:prstGeom prst="rect">
          <a:avLst/>
        </a:prstGeom>
      </xdr:spPr>
    </xdr:pic>
    <xdr:clientData/>
  </xdr:twoCellAnchor>
  <xdr:twoCellAnchor editAs="oneCell">
    <xdr:from>
      <xdr:col>27</xdr:col>
      <xdr:colOff>641349</xdr:colOff>
      <xdr:row>69</xdr:row>
      <xdr:rowOff>0</xdr:rowOff>
    </xdr:from>
    <xdr:to>
      <xdr:col>32</xdr:col>
      <xdr:colOff>374650</xdr:colOff>
      <xdr:row>91</xdr:row>
      <xdr:rowOff>44450</xdr:rowOff>
    </xdr:to>
    <xdr:pic>
      <xdr:nvPicPr>
        <xdr:cNvPr id="38" name="Picture 37">
          <a:extLst>
            <a:ext uri="{FF2B5EF4-FFF2-40B4-BE49-F238E27FC236}">
              <a16:creationId xmlns:a16="http://schemas.microsoft.com/office/drawing/2014/main" id="{00000000-0008-0000-0E00-00002600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17957799" y="13582650"/>
          <a:ext cx="2940051" cy="4375150"/>
        </a:xfrm>
        <a:prstGeom prst="rect">
          <a:avLst/>
        </a:prstGeom>
      </xdr:spPr>
    </xdr:pic>
    <xdr:clientData/>
  </xdr:twoCellAnchor>
  <xdr:twoCellAnchor editAs="oneCell">
    <xdr:from>
      <xdr:col>32</xdr:col>
      <xdr:colOff>0</xdr:colOff>
      <xdr:row>69</xdr:row>
      <xdr:rowOff>0</xdr:rowOff>
    </xdr:from>
    <xdr:to>
      <xdr:col>37</xdr:col>
      <xdr:colOff>63500</xdr:colOff>
      <xdr:row>91</xdr:row>
      <xdr:rowOff>50800</xdr:rowOff>
    </xdr:to>
    <xdr:pic>
      <xdr:nvPicPr>
        <xdr:cNvPr id="39" name="Picture 38">
          <a:extLst>
            <a:ext uri="{FF2B5EF4-FFF2-40B4-BE49-F238E27FC236}">
              <a16:creationId xmlns:a16="http://schemas.microsoft.com/office/drawing/2014/main" id="{00000000-0008-0000-0E00-000027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tretch>
          <a:fillRect/>
        </a:stretch>
      </xdr:blipFill>
      <xdr:spPr>
        <a:xfrm>
          <a:off x="20523200" y="13582650"/>
          <a:ext cx="3270250" cy="4381500"/>
        </a:xfrm>
        <a:prstGeom prst="rect">
          <a:avLst/>
        </a:prstGeom>
      </xdr:spPr>
    </xdr:pic>
    <xdr:clientData/>
  </xdr:twoCellAnchor>
  <xdr:twoCellAnchor editAs="oneCell">
    <xdr:from>
      <xdr:col>37</xdr:col>
      <xdr:colOff>38099</xdr:colOff>
      <xdr:row>68</xdr:row>
      <xdr:rowOff>177799</xdr:rowOff>
    </xdr:from>
    <xdr:to>
      <xdr:col>40</xdr:col>
      <xdr:colOff>605076</xdr:colOff>
      <xdr:row>91</xdr:row>
      <xdr:rowOff>44450</xdr:rowOff>
    </xdr:to>
    <xdr:pic>
      <xdr:nvPicPr>
        <xdr:cNvPr id="40" name="Picture 39">
          <a:extLst>
            <a:ext uri="{FF2B5EF4-FFF2-40B4-BE49-F238E27FC236}">
              <a16:creationId xmlns:a16="http://schemas.microsoft.com/office/drawing/2014/main" id="{00000000-0008-0000-0E00-000028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tretch>
          <a:fillRect/>
        </a:stretch>
      </xdr:blipFill>
      <xdr:spPr>
        <a:xfrm>
          <a:off x="23768049" y="13563599"/>
          <a:ext cx="2491027" cy="4394201"/>
        </a:xfrm>
        <a:prstGeom prst="rect">
          <a:avLst/>
        </a:prstGeom>
      </xdr:spPr>
    </xdr:pic>
    <xdr:clientData/>
  </xdr:twoCellAnchor>
  <xdr:twoCellAnchor editAs="oneCell">
    <xdr:from>
      <xdr:col>40</xdr:col>
      <xdr:colOff>596901</xdr:colOff>
      <xdr:row>68</xdr:row>
      <xdr:rowOff>171450</xdr:rowOff>
    </xdr:from>
    <xdr:to>
      <xdr:col>47</xdr:col>
      <xdr:colOff>361951</xdr:colOff>
      <xdr:row>91</xdr:row>
      <xdr:rowOff>57150</xdr:rowOff>
    </xdr:to>
    <xdr:pic>
      <xdr:nvPicPr>
        <xdr:cNvPr id="41" name="Picture 40">
          <a:extLst>
            <a:ext uri="{FF2B5EF4-FFF2-40B4-BE49-F238E27FC236}">
              <a16:creationId xmlns:a16="http://schemas.microsoft.com/office/drawing/2014/main" id="{00000000-0008-0000-0E00-00002900000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tretch>
          <a:fillRect/>
        </a:stretch>
      </xdr:blipFill>
      <xdr:spPr>
        <a:xfrm>
          <a:off x="26250901" y="13557250"/>
          <a:ext cx="4254500" cy="4413250"/>
        </a:xfrm>
        <a:prstGeom prst="rect">
          <a:avLst/>
        </a:prstGeom>
      </xdr:spPr>
    </xdr:pic>
    <xdr:clientData/>
  </xdr:twoCellAnchor>
  <xdr:twoCellAnchor editAs="oneCell">
    <xdr:from>
      <xdr:col>0</xdr:col>
      <xdr:colOff>0</xdr:colOff>
      <xdr:row>94</xdr:row>
      <xdr:rowOff>0</xdr:rowOff>
    </xdr:from>
    <xdr:to>
      <xdr:col>6</xdr:col>
      <xdr:colOff>639232</xdr:colOff>
      <xdr:row>111</xdr:row>
      <xdr:rowOff>19050</xdr:rowOff>
    </xdr:to>
    <xdr:pic>
      <xdr:nvPicPr>
        <xdr:cNvPr id="42" name="Picture 41">
          <a:extLst>
            <a:ext uri="{FF2B5EF4-FFF2-40B4-BE49-F238E27FC236}">
              <a16:creationId xmlns:a16="http://schemas.microsoft.com/office/drawing/2014/main" id="{00000000-0008-0000-0E00-00002A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0" y="18503900"/>
          <a:ext cx="4487332" cy="3365500"/>
        </a:xfrm>
        <a:prstGeom prst="rect">
          <a:avLst/>
        </a:prstGeom>
      </xdr:spPr>
    </xdr:pic>
    <xdr:clientData/>
  </xdr:twoCellAnchor>
  <xdr:twoCellAnchor editAs="oneCell">
    <xdr:from>
      <xdr:col>11</xdr:col>
      <xdr:colOff>6350</xdr:colOff>
      <xdr:row>94</xdr:row>
      <xdr:rowOff>6351</xdr:rowOff>
    </xdr:from>
    <xdr:to>
      <xdr:col>15</xdr:col>
      <xdr:colOff>330200</xdr:colOff>
      <xdr:row>112</xdr:row>
      <xdr:rowOff>6351</xdr:rowOff>
    </xdr:to>
    <xdr:pic>
      <xdr:nvPicPr>
        <xdr:cNvPr id="43" name="Picture 42">
          <a:extLst>
            <a:ext uri="{FF2B5EF4-FFF2-40B4-BE49-F238E27FC236}">
              <a16:creationId xmlns:a16="http://schemas.microsoft.com/office/drawing/2014/main" id="{00000000-0008-0000-0E00-00002B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7061200" y="18510251"/>
          <a:ext cx="2889250" cy="3543300"/>
        </a:xfrm>
        <a:prstGeom prst="rect">
          <a:avLst/>
        </a:prstGeom>
      </xdr:spPr>
    </xdr:pic>
    <xdr:clientData/>
  </xdr:twoCellAnchor>
  <xdr:twoCellAnchor editAs="oneCell">
    <xdr:from>
      <xdr:col>0</xdr:col>
      <xdr:colOff>0</xdr:colOff>
      <xdr:row>113</xdr:row>
      <xdr:rowOff>0</xdr:rowOff>
    </xdr:from>
    <xdr:to>
      <xdr:col>6</xdr:col>
      <xdr:colOff>558128</xdr:colOff>
      <xdr:row>131</xdr:row>
      <xdr:rowOff>177800</xdr:rowOff>
    </xdr:to>
    <xdr:pic>
      <xdr:nvPicPr>
        <xdr:cNvPr id="44" name="Picture 43">
          <a:extLst>
            <a:ext uri="{FF2B5EF4-FFF2-40B4-BE49-F238E27FC236}">
              <a16:creationId xmlns:a16="http://schemas.microsoft.com/office/drawing/2014/main" id="{00000000-0008-0000-0E00-00002C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0" y="22244050"/>
          <a:ext cx="4406228" cy="37211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kwsan\Workspace\WINNT\Profiles\mni\Desktop\MACs.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Cert Values RMs"/>
      <sheetName val="Fe Evaluation"/>
      <sheetName val="Constants"/>
      <sheetName val="Synthetics Raw Data"/>
      <sheetName val="RMs Raw Data"/>
      <sheetName val="Fe BKGD Factors"/>
      <sheetName val="BKGD Corrected"/>
      <sheetName val="RMs Raw Data (2)"/>
      <sheetName val="Xing Ab Edges"/>
      <sheetName val="Sheet1"/>
      <sheetName val="Equations &amp; Constants"/>
      <sheetName val="MACS"/>
      <sheetName val="James Xing Ab Edges"/>
      <sheetName val="Mark Xing"/>
      <sheetName val="MACS II"/>
      <sheetName val="12080808"/>
      <sheetName val="raw"/>
      <sheetName val="dy615 031204"/>
    </sheetNames>
    <sheetDataSet>
      <sheetData sheetId="0"/>
      <sheetData sheetId="1"/>
      <sheetData sheetId="2" refreshError="1">
        <row r="23">
          <cell r="F23">
            <v>2.1779959022408133</v>
          </cell>
        </row>
        <row r="25">
          <cell r="F25">
            <v>7.0642789283172802E-2</v>
          </cell>
        </row>
        <row r="26">
          <cell r="F26">
            <v>6.3905402758081166E-6</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I20"/>
  <sheetViews>
    <sheetView workbookViewId="0">
      <selection activeCell="A16" sqref="A16"/>
    </sheetView>
  </sheetViews>
  <sheetFormatPr defaultColWidth="9.140625" defaultRowHeight="15.75"/>
  <cols>
    <col min="1" max="1" width="107.5703125" style="34" bestFit="1" customWidth="1"/>
    <col min="2" max="16384" width="9.140625" style="34"/>
  </cols>
  <sheetData>
    <row r="1" spans="1:61" ht="26.25">
      <c r="A1" s="391" t="s">
        <v>1199</v>
      </c>
    </row>
    <row r="2" spans="1:61" ht="21">
      <c r="A2" s="389"/>
    </row>
    <row r="3" spans="1:61" s="27" customFormat="1">
      <c r="A3" s="106" t="s">
        <v>894</v>
      </c>
      <c r="C3" s="116"/>
      <c r="D3" s="7"/>
      <c r="E3" s="9"/>
      <c r="F3" s="9"/>
      <c r="G3" s="31"/>
      <c r="H3" s="31"/>
      <c r="I3" s="18"/>
      <c r="J3" s="18"/>
      <c r="K3" s="19"/>
      <c r="L3" s="18"/>
      <c r="M3" s="18"/>
      <c r="N3" s="18"/>
      <c r="O3" s="18"/>
      <c r="P3" s="18"/>
      <c r="Q3" s="18"/>
      <c r="R3" s="18"/>
      <c r="S3" s="18"/>
      <c r="T3" s="19"/>
      <c r="U3" s="31"/>
      <c r="V3" s="18"/>
      <c r="W3" s="18"/>
      <c r="X3" s="31"/>
      <c r="Y3" s="31"/>
      <c r="Z3" s="31"/>
      <c r="AA3" s="31"/>
      <c r="AB3" s="31"/>
      <c r="AC3" s="18"/>
      <c r="AD3" s="31"/>
      <c r="AE3" s="18"/>
      <c r="AF3" s="31"/>
      <c r="AG3" s="18"/>
      <c r="AH3" s="31"/>
      <c r="AI3" s="31"/>
      <c r="AJ3" s="18"/>
      <c r="AK3" s="31"/>
      <c r="AL3" s="31"/>
      <c r="AM3" s="18"/>
      <c r="AN3" s="31"/>
      <c r="AO3" s="31"/>
      <c r="AP3" s="31"/>
      <c r="AQ3" s="31"/>
      <c r="AR3" s="31"/>
      <c r="AS3" s="31"/>
      <c r="AT3" s="31"/>
      <c r="AU3" s="31"/>
      <c r="AV3" s="31"/>
      <c r="AW3" s="31"/>
      <c r="AX3" s="31"/>
      <c r="AY3" s="31"/>
      <c r="AZ3" s="31"/>
      <c r="BA3" s="31"/>
      <c r="BB3" s="31"/>
      <c r="BC3" s="18"/>
      <c r="BD3" s="18"/>
      <c r="BE3" s="18"/>
      <c r="BF3" s="18"/>
      <c r="BG3" s="18"/>
      <c r="BH3" s="31"/>
      <c r="BI3" s="31"/>
    </row>
    <row r="4" spans="1:61" s="27" customFormat="1">
      <c r="A4" s="106" t="s">
        <v>1166</v>
      </c>
      <c r="B4" s="117"/>
      <c r="C4" s="116"/>
      <c r="D4" s="7"/>
      <c r="E4" s="8"/>
      <c r="F4" s="9"/>
      <c r="G4" s="9"/>
      <c r="H4" s="9"/>
      <c r="I4" s="9"/>
      <c r="J4" s="9"/>
      <c r="K4" s="9"/>
      <c r="L4" s="9"/>
      <c r="M4" s="9"/>
      <c r="N4" s="9"/>
      <c r="O4" s="9"/>
      <c r="P4" s="9"/>
      <c r="Q4" s="9"/>
      <c r="R4" s="9"/>
      <c r="S4" s="9"/>
      <c r="T4" s="9"/>
      <c r="U4" s="9"/>
      <c r="V4" s="9"/>
      <c r="W4" s="9"/>
      <c r="X4" s="9"/>
      <c r="Y4" s="9"/>
      <c r="Z4" s="9"/>
      <c r="AA4" s="9"/>
      <c r="AB4" s="9"/>
      <c r="AC4" s="9"/>
      <c r="AD4" s="9"/>
      <c r="AE4" s="9"/>
      <c r="AF4" s="9"/>
      <c r="AG4" s="9"/>
      <c r="AH4" s="9"/>
      <c r="AI4" s="9"/>
      <c r="AJ4" s="9"/>
      <c r="AK4" s="9"/>
      <c r="AL4" s="9"/>
      <c r="AM4" s="9"/>
      <c r="AN4" s="9"/>
      <c r="AO4" s="9"/>
      <c r="AP4" s="9"/>
      <c r="AQ4" s="9"/>
      <c r="AR4" s="9"/>
      <c r="AS4" s="9"/>
      <c r="AT4" s="9"/>
      <c r="AU4" s="9"/>
      <c r="AV4" s="9"/>
      <c r="AW4" s="9"/>
      <c r="AX4" s="9"/>
      <c r="AY4" s="9"/>
      <c r="AZ4" s="9"/>
      <c r="BA4" s="9"/>
      <c r="BB4" s="9"/>
      <c r="BC4" s="9"/>
      <c r="BD4" s="9"/>
      <c r="BE4" s="9"/>
      <c r="BF4" s="9"/>
      <c r="BG4" s="9"/>
      <c r="BH4" s="9"/>
      <c r="BI4" s="9"/>
    </row>
    <row r="5" spans="1:61" s="13" customFormat="1">
      <c r="A5" s="106" t="s">
        <v>1178</v>
      </c>
      <c r="C5" s="118"/>
      <c r="E5" s="58"/>
      <c r="F5" s="119"/>
      <c r="G5" s="58"/>
      <c r="H5" s="58"/>
      <c r="I5" s="58"/>
      <c r="J5" s="58"/>
      <c r="K5" s="58"/>
      <c r="L5" s="58"/>
      <c r="M5" s="58"/>
      <c r="N5" s="58"/>
      <c r="O5" s="58"/>
      <c r="P5" s="58"/>
      <c r="Q5" s="58"/>
      <c r="R5" s="58"/>
      <c r="S5" s="58"/>
      <c r="T5" s="58"/>
      <c r="U5" s="58"/>
      <c r="V5" s="58"/>
      <c r="W5" s="58"/>
      <c r="X5" s="58"/>
      <c r="Y5" s="58"/>
      <c r="Z5" s="58"/>
      <c r="AA5" s="58"/>
      <c r="AB5" s="58"/>
      <c r="AC5" s="58"/>
      <c r="AD5" s="58"/>
      <c r="AE5" s="58"/>
      <c r="AF5" s="58"/>
      <c r="AG5" s="58"/>
      <c r="AH5" s="58"/>
      <c r="AI5" s="58"/>
      <c r="AJ5" s="58"/>
      <c r="AK5" s="58"/>
      <c r="AL5" s="58"/>
      <c r="AM5" s="58"/>
      <c r="AN5" s="58"/>
      <c r="AO5" s="58"/>
      <c r="AP5" s="58"/>
      <c r="AQ5" s="58"/>
      <c r="AR5" s="58"/>
      <c r="AS5" s="58"/>
      <c r="AT5" s="58"/>
      <c r="AU5" s="58"/>
      <c r="AV5" s="58"/>
      <c r="AW5" s="58"/>
      <c r="AX5" s="58"/>
      <c r="AY5" s="58"/>
      <c r="AZ5" s="58"/>
      <c r="BA5" s="58"/>
      <c r="BB5" s="58"/>
      <c r="BC5" s="58"/>
      <c r="BD5" s="58"/>
      <c r="BE5" s="58"/>
      <c r="BF5" s="58"/>
      <c r="BG5" s="58"/>
      <c r="BH5" s="58"/>
      <c r="BI5" s="58"/>
    </row>
    <row r="6" spans="1:61">
      <c r="A6" s="106" t="s">
        <v>704</v>
      </c>
    </row>
    <row r="7" spans="1:61">
      <c r="A7" s="46" t="s">
        <v>404</v>
      </c>
    </row>
    <row r="8" spans="1:61">
      <c r="A8" s="46" t="s">
        <v>716</v>
      </c>
    </row>
    <row r="9" spans="1:61">
      <c r="A9" s="46" t="s">
        <v>717</v>
      </c>
    </row>
    <row r="10" spans="1:61">
      <c r="A10" s="46" t="s">
        <v>725</v>
      </c>
    </row>
    <row r="11" spans="1:61">
      <c r="A11" s="106" t="s">
        <v>893</v>
      </c>
    </row>
    <row r="12" spans="1:61">
      <c r="A12" s="120" t="s">
        <v>853</v>
      </c>
    </row>
    <row r="13" spans="1:61">
      <c r="A13" s="390" t="s">
        <v>877</v>
      </c>
    </row>
    <row r="14" spans="1:61">
      <c r="A14" s="390" t="s">
        <v>974</v>
      </c>
      <c r="B14" s="104"/>
      <c r="C14" s="104"/>
      <c r="D14" s="104"/>
      <c r="E14" s="104"/>
      <c r="F14" s="104"/>
      <c r="G14" s="104"/>
      <c r="H14" s="104"/>
      <c r="I14" s="104"/>
      <c r="J14" s="104"/>
      <c r="K14" s="104"/>
      <c r="L14" s="104"/>
      <c r="M14" s="104"/>
      <c r="N14" s="104"/>
      <c r="O14" s="104"/>
    </row>
    <row r="15" spans="1:61">
      <c r="A15" s="390" t="s">
        <v>973</v>
      </c>
    </row>
    <row r="16" spans="1:61">
      <c r="A16" s="106" t="s">
        <v>1198</v>
      </c>
      <c r="B16" s="16"/>
      <c r="C16" s="16"/>
      <c r="D16" s="16"/>
      <c r="E16" s="16"/>
      <c r="F16" s="16"/>
      <c r="G16" s="16"/>
      <c r="H16" s="16"/>
      <c r="I16" s="16"/>
      <c r="J16" s="16"/>
      <c r="K16" s="16"/>
      <c r="L16" s="16"/>
    </row>
    <row r="17" spans="1:13">
      <c r="B17" s="16"/>
      <c r="C17" s="16"/>
      <c r="D17" s="16"/>
      <c r="E17" s="16"/>
      <c r="F17" s="16"/>
      <c r="G17" s="16"/>
      <c r="H17" s="16"/>
      <c r="I17" s="16"/>
      <c r="J17" s="16"/>
      <c r="K17" s="16"/>
      <c r="L17" s="16"/>
    </row>
    <row r="18" spans="1:13">
      <c r="B18" s="16"/>
      <c r="C18" s="16"/>
      <c r="D18" s="16"/>
      <c r="E18" s="16"/>
      <c r="F18" s="16"/>
      <c r="G18" s="16"/>
      <c r="H18" s="16"/>
      <c r="I18" s="16"/>
      <c r="J18" s="16"/>
      <c r="K18" s="16"/>
      <c r="L18" s="16"/>
    </row>
    <row r="19" spans="1:13">
      <c r="B19" s="132"/>
      <c r="C19" s="132"/>
      <c r="D19" s="132"/>
      <c r="E19" s="132"/>
      <c r="F19" s="132"/>
      <c r="G19" s="132"/>
      <c r="H19" s="132"/>
      <c r="I19" s="132"/>
      <c r="J19" s="132"/>
      <c r="K19" s="132"/>
      <c r="L19" s="132"/>
      <c r="M19" s="115"/>
    </row>
    <row r="20" spans="1:13">
      <c r="A20" s="25"/>
    </row>
  </sheetData>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BT182"/>
  <sheetViews>
    <sheetView tabSelected="1" workbookViewId="0">
      <pane ySplit="2" topLeftCell="A3" activePane="bottomLeft" state="frozen"/>
      <selection pane="bottomLeft" activeCell="BE1" sqref="BE1"/>
    </sheetView>
  </sheetViews>
  <sheetFormatPr defaultColWidth="11.42578125" defaultRowHeight="15.75"/>
  <cols>
    <col min="1" max="1" width="18.140625" style="20" bestFit="1" customWidth="1"/>
    <col min="2" max="2" width="17.7109375" style="20" bestFit="1" customWidth="1"/>
    <col min="3" max="3" width="21" style="29" bestFit="1" customWidth="1"/>
    <col min="4" max="5" width="16.28515625" style="29" customWidth="1"/>
    <col min="6" max="6" width="27.42578125" style="29" bestFit="1" customWidth="1"/>
    <col min="7" max="8" width="16.28515625" style="29" customWidth="1"/>
    <col min="9" max="9" width="19.5703125" style="29" customWidth="1"/>
    <col min="10" max="10" width="16" style="68" bestFit="1" customWidth="1"/>
    <col min="11" max="13" width="16.28515625" style="29" customWidth="1"/>
    <col min="14" max="14" width="14.7109375" style="28" bestFit="1" customWidth="1"/>
    <col min="15" max="16" width="10.7109375" style="30" customWidth="1"/>
    <col min="17" max="18" width="10.7109375" style="31" customWidth="1"/>
    <col min="19" max="20" width="12.28515625" style="32" bestFit="1" customWidth="1"/>
    <col min="21" max="21" width="12.28515625" style="31" bestFit="1" customWidth="1"/>
    <col min="22" max="22" width="12.28515625" style="32" bestFit="1" customWidth="1"/>
    <col min="23" max="23" width="10.7109375" style="32" customWidth="1"/>
    <col min="24" max="25" width="12.28515625" style="32" bestFit="1" customWidth="1"/>
    <col min="26" max="26" width="10.7109375" style="31" customWidth="1"/>
    <col min="27" max="28" width="10.7109375" style="50" customWidth="1"/>
    <col min="29" max="29" width="10.7109375" style="31" customWidth="1"/>
    <col min="30" max="30" width="14.28515625" style="31" bestFit="1" customWidth="1"/>
    <col min="31" max="37" width="10.7109375" style="31" customWidth="1"/>
    <col min="38" max="38" width="10.7109375" style="30" customWidth="1"/>
    <col min="39" max="39" width="10.7109375" style="31" customWidth="1"/>
    <col min="40" max="43" width="10.7109375" style="30" customWidth="1"/>
    <col min="44" max="44" width="10.7109375" style="33" customWidth="1"/>
    <col min="45" max="48" width="10.7109375" style="28" customWidth="1"/>
    <col min="49" max="49" width="10.7109375" style="31" customWidth="1"/>
    <col min="50" max="71" width="10.7109375" style="28" customWidth="1"/>
    <col min="72" max="16384" width="11.42578125" style="28"/>
  </cols>
  <sheetData>
    <row r="1" spans="1:72">
      <c r="A1" s="107" t="s">
        <v>894</v>
      </c>
      <c r="B1" s="39"/>
      <c r="C1" s="243"/>
      <c r="D1" s="243"/>
      <c r="E1" s="243"/>
      <c r="G1" s="243"/>
      <c r="H1" s="243"/>
      <c r="I1" s="243"/>
      <c r="J1" s="243"/>
      <c r="K1" s="243"/>
      <c r="L1" s="243"/>
      <c r="M1" s="243"/>
      <c r="N1" s="39"/>
      <c r="O1" s="205"/>
      <c r="P1" s="205"/>
      <c r="Q1" s="205"/>
      <c r="R1" s="205"/>
      <c r="U1" s="205"/>
      <c r="Z1" s="205"/>
      <c r="AA1" s="211"/>
      <c r="AB1" s="211"/>
      <c r="AC1" s="205"/>
      <c r="AD1" s="205"/>
      <c r="AE1" s="205"/>
      <c r="AF1" s="205"/>
      <c r="AG1" s="205"/>
      <c r="AH1" s="205"/>
      <c r="AI1" s="205"/>
      <c r="AJ1" s="205"/>
      <c r="AK1" s="205"/>
      <c r="AL1" s="205"/>
      <c r="AM1" s="205"/>
      <c r="AN1" s="205"/>
      <c r="AO1" s="205"/>
      <c r="AP1" s="205"/>
      <c r="AQ1" s="205"/>
      <c r="AR1" s="244"/>
      <c r="AS1" s="39"/>
      <c r="AT1" s="39"/>
      <c r="AU1" s="39"/>
      <c r="AV1" s="39"/>
      <c r="AW1" s="205"/>
      <c r="AX1" s="39"/>
      <c r="AY1" s="39"/>
      <c r="AZ1" s="39"/>
      <c r="BA1" s="39"/>
      <c r="BB1" s="39"/>
      <c r="BC1" s="39"/>
      <c r="BD1" s="39"/>
      <c r="BE1" s="39"/>
      <c r="BF1" s="39"/>
      <c r="BG1" s="39"/>
      <c r="BH1" s="39"/>
      <c r="BI1" s="39"/>
      <c r="BJ1" s="39"/>
      <c r="BK1" s="39"/>
      <c r="BL1" s="39"/>
      <c r="BM1" s="39"/>
      <c r="BN1" s="39"/>
      <c r="BO1" s="39"/>
      <c r="BP1" s="39"/>
      <c r="BQ1" s="39"/>
      <c r="BR1" s="39"/>
      <c r="BS1" s="39"/>
      <c r="BT1" s="39"/>
    </row>
    <row r="2" spans="1:72" s="26" customFormat="1">
      <c r="A2" s="26" t="s">
        <v>0</v>
      </c>
      <c r="B2" s="26" t="s">
        <v>692</v>
      </c>
      <c r="C2" s="83" t="s">
        <v>1</v>
      </c>
      <c r="D2" s="83" t="s">
        <v>301</v>
      </c>
      <c r="E2" s="83" t="s">
        <v>300</v>
      </c>
      <c r="F2" s="83" t="s">
        <v>348</v>
      </c>
      <c r="G2" s="83" t="s">
        <v>302</v>
      </c>
      <c r="H2" s="26" t="s">
        <v>303</v>
      </c>
      <c r="I2" s="26" t="s">
        <v>363</v>
      </c>
      <c r="J2" s="26" t="s">
        <v>681</v>
      </c>
      <c r="K2" s="26" t="s">
        <v>680</v>
      </c>
      <c r="L2" s="83" t="s">
        <v>686</v>
      </c>
      <c r="M2" s="83" t="s">
        <v>693</v>
      </c>
      <c r="N2" s="26" t="s">
        <v>299</v>
      </c>
      <c r="O2" s="69" t="s">
        <v>2</v>
      </c>
      <c r="P2" s="69" t="s">
        <v>3</v>
      </c>
      <c r="Q2" s="57" t="s">
        <v>4</v>
      </c>
      <c r="R2" s="57" t="s">
        <v>5</v>
      </c>
      <c r="S2" s="70" t="s">
        <v>6</v>
      </c>
      <c r="T2" s="70" t="s">
        <v>7</v>
      </c>
      <c r="U2" s="71" t="s">
        <v>8</v>
      </c>
      <c r="V2" s="70" t="s">
        <v>9</v>
      </c>
      <c r="W2" s="70" t="s">
        <v>10</v>
      </c>
      <c r="X2" s="70" t="s">
        <v>11</v>
      </c>
      <c r="Y2" s="70" t="s">
        <v>12</v>
      </c>
      <c r="Z2" s="70" t="s">
        <v>13</v>
      </c>
      <c r="AA2" s="70" t="s">
        <v>14</v>
      </c>
      <c r="AB2" s="70" t="s">
        <v>15</v>
      </c>
      <c r="AC2" s="70" t="s">
        <v>16</v>
      </c>
      <c r="AD2" s="71" t="s">
        <v>17</v>
      </c>
      <c r="AE2" s="57" t="s">
        <v>18</v>
      </c>
      <c r="AF2" s="70" t="s">
        <v>19</v>
      </c>
      <c r="AG2" s="70" t="s">
        <v>20</v>
      </c>
      <c r="AH2" s="57" t="s">
        <v>21</v>
      </c>
      <c r="AI2" s="57" t="s">
        <v>22</v>
      </c>
      <c r="AJ2" s="57" t="s">
        <v>23</v>
      </c>
      <c r="AK2" s="57" t="s">
        <v>24</v>
      </c>
      <c r="AL2" s="57" t="s">
        <v>25</v>
      </c>
      <c r="AM2" s="70" t="s">
        <v>26</v>
      </c>
      <c r="AN2" s="57" t="s">
        <v>27</v>
      </c>
      <c r="AO2" s="70" t="s">
        <v>28</v>
      </c>
      <c r="AP2" s="57" t="s">
        <v>29</v>
      </c>
      <c r="AQ2" s="70" t="s">
        <v>30</v>
      </c>
      <c r="AR2" s="57" t="s">
        <v>31</v>
      </c>
      <c r="AS2" s="57" t="s">
        <v>32</v>
      </c>
      <c r="AT2" s="70" t="s">
        <v>33</v>
      </c>
      <c r="AU2" s="57" t="s">
        <v>34</v>
      </c>
      <c r="AV2" s="57" t="s">
        <v>35</v>
      </c>
      <c r="AW2" s="70" t="s">
        <v>36</v>
      </c>
      <c r="AX2" s="57" t="s">
        <v>37</v>
      </c>
      <c r="AY2" s="57" t="s">
        <v>38</v>
      </c>
      <c r="AZ2" s="57" t="s">
        <v>39</v>
      </c>
      <c r="BA2" s="57" t="s">
        <v>40</v>
      </c>
      <c r="BB2" s="57" t="s">
        <v>41</v>
      </c>
      <c r="BC2" s="57" t="s">
        <v>42</v>
      </c>
      <c r="BD2" s="57" t="s">
        <v>43</v>
      </c>
      <c r="BE2" s="57" t="s">
        <v>44</v>
      </c>
      <c r="BF2" s="57" t="s">
        <v>45</v>
      </c>
      <c r="BG2" s="57" t="s">
        <v>46</v>
      </c>
      <c r="BH2" s="57" t="s">
        <v>47</v>
      </c>
      <c r="BI2" s="57" t="s">
        <v>48</v>
      </c>
      <c r="BJ2" s="57" t="s">
        <v>49</v>
      </c>
      <c r="BK2" s="57" t="s">
        <v>50</v>
      </c>
      <c r="BL2" s="57" t="s">
        <v>51</v>
      </c>
      <c r="BM2" s="70" t="s">
        <v>52</v>
      </c>
      <c r="BN2" s="70" t="s">
        <v>53</v>
      </c>
      <c r="BO2" s="70" t="s">
        <v>54</v>
      </c>
      <c r="BP2" s="70" t="s">
        <v>55</v>
      </c>
      <c r="BQ2" s="70" t="s">
        <v>56</v>
      </c>
      <c r="BR2" s="57" t="s">
        <v>57</v>
      </c>
      <c r="BS2" s="57" t="s">
        <v>58</v>
      </c>
    </row>
    <row r="3" spans="1:72" s="27" customFormat="1" ht="18">
      <c r="C3" s="116"/>
      <c r="D3" s="116"/>
      <c r="E3" s="116"/>
      <c r="F3" s="116"/>
      <c r="G3" s="116"/>
      <c r="H3" s="116"/>
      <c r="I3" s="116" t="s">
        <v>349</v>
      </c>
      <c r="J3" s="116"/>
      <c r="K3" s="116"/>
      <c r="L3" s="116"/>
      <c r="M3" s="116"/>
      <c r="N3" s="27" t="s">
        <v>298</v>
      </c>
      <c r="O3" s="8"/>
      <c r="P3" s="8" t="s">
        <v>403</v>
      </c>
      <c r="Q3" s="8" t="s">
        <v>403</v>
      </c>
      <c r="R3" s="8" t="s">
        <v>403</v>
      </c>
      <c r="S3" s="8" t="s">
        <v>403</v>
      </c>
      <c r="T3" s="8" t="s">
        <v>403</v>
      </c>
      <c r="U3" s="8" t="s">
        <v>403</v>
      </c>
      <c r="V3" s="8" t="s">
        <v>403</v>
      </c>
      <c r="W3" s="8" t="s">
        <v>403</v>
      </c>
      <c r="X3" s="8" t="s">
        <v>403</v>
      </c>
      <c r="Y3" s="8" t="s">
        <v>403</v>
      </c>
      <c r="Z3" s="8" t="s">
        <v>403</v>
      </c>
      <c r="AA3" s="8" t="s">
        <v>403</v>
      </c>
      <c r="AB3" s="8" t="s">
        <v>403</v>
      </c>
      <c r="AC3" s="8" t="s">
        <v>403</v>
      </c>
      <c r="AD3" s="8" t="s">
        <v>403</v>
      </c>
      <c r="AE3" s="8" t="s">
        <v>403</v>
      </c>
      <c r="AF3" s="8" t="s">
        <v>403</v>
      </c>
      <c r="AG3" s="8" t="s">
        <v>403</v>
      </c>
      <c r="AH3" s="8" t="s">
        <v>403</v>
      </c>
      <c r="AI3" s="8" t="s">
        <v>403</v>
      </c>
      <c r="AJ3" s="8" t="s">
        <v>403</v>
      </c>
      <c r="AK3" s="8" t="s">
        <v>403</v>
      </c>
      <c r="AL3" s="8" t="s">
        <v>403</v>
      </c>
      <c r="AM3" s="8" t="s">
        <v>403</v>
      </c>
      <c r="AN3" s="8" t="s">
        <v>403</v>
      </c>
      <c r="AO3" s="8" t="s">
        <v>403</v>
      </c>
      <c r="AP3" s="8" t="s">
        <v>403</v>
      </c>
      <c r="AQ3" s="8" t="s">
        <v>403</v>
      </c>
      <c r="AR3" s="8" t="s">
        <v>403</v>
      </c>
      <c r="AS3" s="8" t="s">
        <v>403</v>
      </c>
      <c r="AT3" s="8" t="s">
        <v>403</v>
      </c>
      <c r="AU3" s="8" t="s">
        <v>403</v>
      </c>
      <c r="AV3" s="8" t="s">
        <v>403</v>
      </c>
      <c r="AW3" s="8" t="s">
        <v>403</v>
      </c>
      <c r="AX3" s="8" t="s">
        <v>403</v>
      </c>
      <c r="AY3" s="8" t="s">
        <v>403</v>
      </c>
      <c r="AZ3" s="8" t="s">
        <v>403</v>
      </c>
      <c r="BA3" s="8" t="s">
        <v>403</v>
      </c>
      <c r="BB3" s="8" t="s">
        <v>403</v>
      </c>
      <c r="BC3" s="8" t="s">
        <v>403</v>
      </c>
      <c r="BD3" s="8" t="s">
        <v>403</v>
      </c>
      <c r="BE3" s="8" t="s">
        <v>403</v>
      </c>
      <c r="BF3" s="8" t="s">
        <v>403</v>
      </c>
      <c r="BG3" s="8" t="s">
        <v>403</v>
      </c>
      <c r="BH3" s="8" t="s">
        <v>403</v>
      </c>
      <c r="BI3" s="8" t="s">
        <v>403</v>
      </c>
      <c r="BJ3" s="8" t="s">
        <v>403</v>
      </c>
      <c r="BK3" s="8" t="s">
        <v>403</v>
      </c>
      <c r="BL3" s="8" t="s">
        <v>403</v>
      </c>
      <c r="BM3" s="8" t="s">
        <v>403</v>
      </c>
      <c r="BN3" s="8" t="s">
        <v>403</v>
      </c>
      <c r="BO3" s="8" t="s">
        <v>403</v>
      </c>
      <c r="BP3" s="8" t="s">
        <v>403</v>
      </c>
      <c r="BQ3" s="8" t="s">
        <v>403</v>
      </c>
      <c r="BR3" s="8" t="s">
        <v>403</v>
      </c>
      <c r="BS3" s="8" t="s">
        <v>403</v>
      </c>
    </row>
    <row r="4" spans="1:72" s="13" customFormat="1">
      <c r="A4" s="10" t="s">
        <v>297</v>
      </c>
      <c r="B4" s="43"/>
      <c r="C4" s="153"/>
      <c r="D4" s="153"/>
      <c r="E4" s="153"/>
      <c r="F4" s="153"/>
      <c r="G4" s="153"/>
      <c r="H4" s="116"/>
      <c r="I4" s="116"/>
      <c r="J4" s="116"/>
      <c r="K4" s="153"/>
      <c r="L4" s="153"/>
      <c r="M4" s="153"/>
      <c r="N4" s="43"/>
      <c r="O4" s="57"/>
      <c r="P4" s="56">
        <v>0.02</v>
      </c>
      <c r="Q4" s="57" t="s">
        <v>59</v>
      </c>
      <c r="R4" s="57" t="s">
        <v>60</v>
      </c>
      <c r="S4" s="57" t="s">
        <v>61</v>
      </c>
      <c r="T4" s="57" t="s">
        <v>62</v>
      </c>
      <c r="U4" s="57" t="s">
        <v>63</v>
      </c>
      <c r="V4" s="57" t="s">
        <v>64</v>
      </c>
      <c r="W4" s="57" t="s">
        <v>65</v>
      </c>
      <c r="X4" s="57" t="s">
        <v>66</v>
      </c>
      <c r="Y4" s="57" t="s">
        <v>67</v>
      </c>
      <c r="Z4" s="57" t="s">
        <v>68</v>
      </c>
      <c r="AA4" s="57" t="s">
        <v>69</v>
      </c>
      <c r="AB4" s="57" t="s">
        <v>69</v>
      </c>
      <c r="AC4" s="57" t="s">
        <v>70</v>
      </c>
      <c r="AD4" s="57" t="s">
        <v>71</v>
      </c>
      <c r="AE4" s="57" t="s">
        <v>72</v>
      </c>
      <c r="AF4" s="57" t="s">
        <v>73</v>
      </c>
      <c r="AG4" s="57" t="s">
        <v>74</v>
      </c>
      <c r="AH4" s="57" t="s">
        <v>75</v>
      </c>
      <c r="AI4" s="57" t="s">
        <v>76</v>
      </c>
      <c r="AJ4" s="57" t="s">
        <v>77</v>
      </c>
      <c r="AK4" s="57" t="s">
        <v>78</v>
      </c>
      <c r="AL4" s="57" t="s">
        <v>60</v>
      </c>
      <c r="AM4" s="57" t="s">
        <v>60</v>
      </c>
      <c r="AN4" s="57" t="s">
        <v>79</v>
      </c>
      <c r="AO4" s="57" t="s">
        <v>80</v>
      </c>
      <c r="AP4" s="57" t="s">
        <v>81</v>
      </c>
      <c r="AQ4" s="57" t="s">
        <v>76</v>
      </c>
      <c r="AR4" s="57" t="s">
        <v>82</v>
      </c>
      <c r="AS4" s="57" t="s">
        <v>83</v>
      </c>
      <c r="AT4" s="57" t="s">
        <v>76</v>
      </c>
      <c r="AU4" s="57" t="s">
        <v>72</v>
      </c>
      <c r="AV4" s="57" t="s">
        <v>84</v>
      </c>
      <c r="AW4" s="57" t="s">
        <v>60</v>
      </c>
      <c r="AX4" s="57" t="s">
        <v>84</v>
      </c>
      <c r="AY4" s="57" t="s">
        <v>82</v>
      </c>
      <c r="AZ4" s="57" t="s">
        <v>85</v>
      </c>
      <c r="BA4" s="57" t="s">
        <v>76</v>
      </c>
      <c r="BB4" s="57" t="s">
        <v>81</v>
      </c>
      <c r="BC4" s="57" t="s">
        <v>85</v>
      </c>
      <c r="BD4" s="57" t="s">
        <v>85</v>
      </c>
      <c r="BE4" s="57" t="s">
        <v>85</v>
      </c>
      <c r="BF4" s="57" t="s">
        <v>86</v>
      </c>
      <c r="BG4" s="57" t="s">
        <v>85</v>
      </c>
      <c r="BH4" s="57" t="s">
        <v>86</v>
      </c>
      <c r="BI4" s="57" t="s">
        <v>85</v>
      </c>
      <c r="BJ4" s="57" t="s">
        <v>83</v>
      </c>
      <c r="BK4" s="57" t="s">
        <v>86</v>
      </c>
      <c r="BL4" s="57" t="s">
        <v>84</v>
      </c>
      <c r="BM4" s="57" t="s">
        <v>85</v>
      </c>
      <c r="BN4" s="57" t="s">
        <v>82</v>
      </c>
      <c r="BO4" s="57" t="s">
        <v>83</v>
      </c>
      <c r="BP4" s="57" t="s">
        <v>69</v>
      </c>
      <c r="BQ4" s="57" t="s">
        <v>60</v>
      </c>
      <c r="BR4" s="57" t="s">
        <v>86</v>
      </c>
      <c r="BS4" s="288" t="s">
        <v>85</v>
      </c>
      <c r="BT4" s="43"/>
    </row>
    <row r="5" spans="1:72">
      <c r="A5" s="53" t="s">
        <v>87</v>
      </c>
      <c r="B5" s="154" t="s">
        <v>88</v>
      </c>
      <c r="C5" s="155" t="s">
        <v>339</v>
      </c>
      <c r="D5" s="53">
        <v>0.258245</v>
      </c>
      <c r="E5" s="53">
        <v>34.717754999999997</v>
      </c>
      <c r="F5" s="53" t="s">
        <v>372</v>
      </c>
      <c r="G5" s="53" t="s">
        <v>330</v>
      </c>
      <c r="H5" s="116" t="s">
        <v>347</v>
      </c>
      <c r="I5" s="154" t="s">
        <v>371</v>
      </c>
      <c r="J5" s="116" t="s">
        <v>687</v>
      </c>
      <c r="K5" s="53" t="s">
        <v>361</v>
      </c>
      <c r="L5" s="53" t="s">
        <v>685</v>
      </c>
      <c r="M5" s="53" t="s">
        <v>690</v>
      </c>
      <c r="N5" s="74">
        <v>6.7214412987528753</v>
      </c>
      <c r="O5" s="245">
        <v>5.8</v>
      </c>
      <c r="P5" s="75">
        <v>11.04308</v>
      </c>
      <c r="Q5" s="245">
        <v>14.7</v>
      </c>
      <c r="R5" s="75">
        <v>2.04</v>
      </c>
      <c r="S5" s="246">
        <v>5701</v>
      </c>
      <c r="T5" s="246">
        <v>9429</v>
      </c>
      <c r="U5" s="246">
        <v>89309</v>
      </c>
      <c r="V5" s="246">
        <v>684</v>
      </c>
      <c r="W5" s="246">
        <v>376</v>
      </c>
      <c r="X5" s="246">
        <v>14386</v>
      </c>
      <c r="Y5" s="246">
        <v>11227</v>
      </c>
      <c r="Z5" s="246">
        <v>5875.7</v>
      </c>
      <c r="AA5" s="245">
        <v>240.1</v>
      </c>
      <c r="AB5" s="245">
        <v>517.5</v>
      </c>
      <c r="AC5" s="245">
        <v>2010.8</v>
      </c>
      <c r="AD5" s="246">
        <v>89638</v>
      </c>
      <c r="AE5" s="245">
        <v>63.552999999999997</v>
      </c>
      <c r="AF5" s="245">
        <v>98.9</v>
      </c>
      <c r="AG5" s="245">
        <v>88.8</v>
      </c>
      <c r="AH5" s="245">
        <v>88</v>
      </c>
      <c r="AI5" s="245">
        <v>18.440000000000001</v>
      </c>
      <c r="AJ5" s="245">
        <v>35.5</v>
      </c>
      <c r="AK5" s="245">
        <v>0.78</v>
      </c>
      <c r="AL5" s="245">
        <v>78.569999999999993</v>
      </c>
      <c r="AM5" s="245">
        <v>133.41</v>
      </c>
      <c r="AN5" s="75">
        <v>16.832000000000001</v>
      </c>
      <c r="AO5" s="75">
        <v>180.55</v>
      </c>
      <c r="AP5" s="75">
        <v>30.201000000000001</v>
      </c>
      <c r="AQ5" s="75">
        <v>2.2000000000000002</v>
      </c>
      <c r="AR5" s="75">
        <v>0.27600000000000002</v>
      </c>
      <c r="AS5" s="75">
        <v>0.11600000000000001</v>
      </c>
      <c r="AT5" s="75">
        <v>2.09</v>
      </c>
      <c r="AU5" s="75">
        <v>0.753</v>
      </c>
      <c r="AV5" s="75">
        <v>2.589</v>
      </c>
      <c r="AW5" s="245">
        <v>545.64</v>
      </c>
      <c r="AX5" s="245">
        <v>28.745000000000001</v>
      </c>
      <c r="AY5" s="245">
        <v>108.15600000000001</v>
      </c>
      <c r="AZ5" s="75">
        <v>6.1390000000000002</v>
      </c>
      <c r="BA5" s="75">
        <v>23.49</v>
      </c>
      <c r="BB5" s="75">
        <v>4.5030000000000001</v>
      </c>
      <c r="BC5" s="75">
        <v>0.99299999999999999</v>
      </c>
      <c r="BD5" s="75">
        <v>3.6360000000000001</v>
      </c>
      <c r="BE5" s="75">
        <v>0.52900000000000003</v>
      </c>
      <c r="BF5" s="75">
        <v>3.2570000000000001</v>
      </c>
      <c r="BG5" s="75">
        <v>0.61799999999999999</v>
      </c>
      <c r="BH5" s="75">
        <v>1.8160000000000001</v>
      </c>
      <c r="BI5" s="75">
        <v>0.28399999999999997</v>
      </c>
      <c r="BJ5" s="75">
        <v>1.7390000000000001</v>
      </c>
      <c r="BK5" s="75">
        <v>0.26100000000000001</v>
      </c>
      <c r="BL5" s="75">
        <v>4.5540000000000003</v>
      </c>
      <c r="BM5" s="75">
        <v>1.6879999999999999</v>
      </c>
      <c r="BN5" s="75">
        <v>12.823</v>
      </c>
      <c r="BO5" s="75">
        <v>0.42</v>
      </c>
      <c r="BP5" s="75">
        <v>19.8</v>
      </c>
      <c r="BQ5" s="75">
        <v>4.4800000000000004</v>
      </c>
      <c r="BR5" s="75">
        <v>7.38</v>
      </c>
      <c r="BS5" s="75">
        <v>1.821</v>
      </c>
      <c r="BT5" s="39"/>
    </row>
    <row r="6" spans="1:72">
      <c r="A6" s="53" t="s">
        <v>89</v>
      </c>
      <c r="B6" s="154" t="s">
        <v>90</v>
      </c>
      <c r="C6" s="155" t="s">
        <v>339</v>
      </c>
      <c r="D6" s="53">
        <v>0.258245</v>
      </c>
      <c r="E6" s="53">
        <v>34.717754999999997</v>
      </c>
      <c r="F6" s="53" t="s">
        <v>372</v>
      </c>
      <c r="G6" s="53" t="s">
        <v>330</v>
      </c>
      <c r="H6" s="116" t="s">
        <v>347</v>
      </c>
      <c r="I6" s="154" t="s">
        <v>371</v>
      </c>
      <c r="J6" s="116" t="s">
        <v>687</v>
      </c>
      <c r="K6" s="53" t="s">
        <v>364</v>
      </c>
      <c r="L6" s="53" t="s">
        <v>685</v>
      </c>
      <c r="M6" s="53" t="s">
        <v>690</v>
      </c>
      <c r="N6" s="74">
        <v>1.3446215139442723</v>
      </c>
      <c r="O6" s="245">
        <v>6.45</v>
      </c>
      <c r="P6" s="75">
        <v>4.1530000000000004E-2</v>
      </c>
      <c r="Q6" s="245">
        <v>8.5</v>
      </c>
      <c r="R6" s="75">
        <v>1.74</v>
      </c>
      <c r="S6" s="246">
        <v>24170</v>
      </c>
      <c r="T6" s="246">
        <v>9908</v>
      </c>
      <c r="U6" s="246">
        <v>83343</v>
      </c>
      <c r="V6" s="246">
        <v>768</v>
      </c>
      <c r="W6" s="246">
        <v>15</v>
      </c>
      <c r="X6" s="246">
        <v>29084</v>
      </c>
      <c r="Y6" s="246">
        <v>18829</v>
      </c>
      <c r="Z6" s="246">
        <v>2658.2</v>
      </c>
      <c r="AA6" s="245">
        <v>54.8</v>
      </c>
      <c r="AB6" s="245">
        <v>129.5</v>
      </c>
      <c r="AC6" s="245">
        <v>743</v>
      </c>
      <c r="AD6" s="246">
        <v>21641</v>
      </c>
      <c r="AE6" s="245">
        <v>18.513000000000002</v>
      </c>
      <c r="AF6" s="245">
        <v>113.79</v>
      </c>
      <c r="AG6" s="245">
        <v>29.58</v>
      </c>
      <c r="AH6" s="245">
        <v>54</v>
      </c>
      <c r="AI6" s="245">
        <v>16.579999999999998</v>
      </c>
      <c r="AJ6" s="245">
        <v>1.5</v>
      </c>
      <c r="AK6" s="245" t="s">
        <v>91</v>
      </c>
      <c r="AL6" s="245">
        <v>112.11</v>
      </c>
      <c r="AM6" s="245">
        <v>593.42999999999995</v>
      </c>
      <c r="AN6" s="75">
        <v>15.787000000000001</v>
      </c>
      <c r="AO6" s="75">
        <v>139.53</v>
      </c>
      <c r="AP6" s="75">
        <v>6.1840000000000002</v>
      </c>
      <c r="AQ6" s="75">
        <v>0.42</v>
      </c>
      <c r="AR6" s="75">
        <v>8.6999999999999994E-2</v>
      </c>
      <c r="AS6" s="75">
        <v>5.3999999999999999E-2</v>
      </c>
      <c r="AT6" s="75">
        <v>1.0900000000000001</v>
      </c>
      <c r="AU6" s="75">
        <v>0.36699999999999999</v>
      </c>
      <c r="AV6" s="75">
        <v>2.0649999999999999</v>
      </c>
      <c r="AW6" s="245">
        <v>1176.01</v>
      </c>
      <c r="AX6" s="245">
        <v>43.86</v>
      </c>
      <c r="AY6" s="245">
        <v>122.74</v>
      </c>
      <c r="AZ6" s="75">
        <v>9.7360000000000007</v>
      </c>
      <c r="BA6" s="75">
        <v>36.33</v>
      </c>
      <c r="BB6" s="75">
        <v>6.2169999999999996</v>
      </c>
      <c r="BC6" s="75">
        <v>1.6060000000000001</v>
      </c>
      <c r="BD6" s="75">
        <v>4.3490000000000002</v>
      </c>
      <c r="BE6" s="75">
        <v>0.57399999999999995</v>
      </c>
      <c r="BF6" s="75">
        <v>3.0350000000000001</v>
      </c>
      <c r="BG6" s="75">
        <v>0.57699999999999996</v>
      </c>
      <c r="BH6" s="75">
        <v>1.5529999999999999</v>
      </c>
      <c r="BI6" s="75">
        <v>0.215</v>
      </c>
      <c r="BJ6" s="75">
        <v>1.3720000000000001</v>
      </c>
      <c r="BK6" s="75">
        <v>0.221</v>
      </c>
      <c r="BL6" s="75">
        <v>3.9550000000000001</v>
      </c>
      <c r="BM6" s="75">
        <v>0.40400000000000003</v>
      </c>
      <c r="BN6" s="75">
        <v>6.9180000000000001</v>
      </c>
      <c r="BO6" s="75">
        <v>0.56200000000000006</v>
      </c>
      <c r="BP6" s="75">
        <v>13.5</v>
      </c>
      <c r="BQ6" s="75" t="s">
        <v>92</v>
      </c>
      <c r="BR6" s="75">
        <v>8.5210000000000008</v>
      </c>
      <c r="BS6" s="75">
        <v>1.9239999999999999</v>
      </c>
      <c r="BT6" s="39"/>
    </row>
    <row r="7" spans="1:72">
      <c r="A7" s="53" t="s">
        <v>93</v>
      </c>
      <c r="B7" s="154" t="s">
        <v>94</v>
      </c>
      <c r="C7" s="155" t="s">
        <v>339</v>
      </c>
      <c r="D7" s="53">
        <v>0.258245</v>
      </c>
      <c r="E7" s="53">
        <v>34.717754999999997</v>
      </c>
      <c r="F7" s="53" t="s">
        <v>372</v>
      </c>
      <c r="G7" s="53" t="s">
        <v>330</v>
      </c>
      <c r="H7" s="116" t="s">
        <v>347</v>
      </c>
      <c r="I7" s="154" t="s">
        <v>371</v>
      </c>
      <c r="J7" s="116" t="s">
        <v>687</v>
      </c>
      <c r="K7" s="53" t="s">
        <v>365</v>
      </c>
      <c r="L7" s="53" t="s">
        <v>685</v>
      </c>
      <c r="M7" s="53" t="s">
        <v>691</v>
      </c>
      <c r="N7" s="74">
        <v>4.0481400437639525</v>
      </c>
      <c r="O7" s="245">
        <v>6.22</v>
      </c>
      <c r="P7" s="75">
        <v>2.2132899999999998</v>
      </c>
      <c r="Q7" s="245">
        <v>10.199999999999999</v>
      </c>
      <c r="R7" s="75">
        <v>1.72</v>
      </c>
      <c r="S7" s="246">
        <v>8384</v>
      </c>
      <c r="T7" s="246">
        <v>8255</v>
      </c>
      <c r="U7" s="246">
        <v>57133</v>
      </c>
      <c r="V7" s="246">
        <v>541</v>
      </c>
      <c r="W7" s="246">
        <v>429</v>
      </c>
      <c r="X7" s="246">
        <v>11220</v>
      </c>
      <c r="Y7" s="246">
        <v>12822</v>
      </c>
      <c r="Z7" s="246">
        <v>3347.4</v>
      </c>
      <c r="AA7" s="245">
        <v>179.3</v>
      </c>
      <c r="AB7" s="245">
        <v>813.8</v>
      </c>
      <c r="AC7" s="245">
        <v>1643.4</v>
      </c>
      <c r="AD7" s="246">
        <v>71572</v>
      </c>
      <c r="AE7" s="245">
        <v>46.491999999999997</v>
      </c>
      <c r="AF7" s="245">
        <v>123.55</v>
      </c>
      <c r="AG7" s="245">
        <v>59.67</v>
      </c>
      <c r="AH7" s="245">
        <v>93</v>
      </c>
      <c r="AI7" s="245">
        <v>13.77</v>
      </c>
      <c r="AJ7" s="245">
        <v>482.6</v>
      </c>
      <c r="AK7" s="245">
        <v>0.6</v>
      </c>
      <c r="AL7" s="245">
        <v>51.01</v>
      </c>
      <c r="AM7" s="245">
        <v>189.81</v>
      </c>
      <c r="AN7" s="75">
        <v>10.083</v>
      </c>
      <c r="AO7" s="75">
        <v>115.72</v>
      </c>
      <c r="AP7" s="75">
        <v>17.305</v>
      </c>
      <c r="AQ7" s="75">
        <v>2.0699999999999998</v>
      </c>
      <c r="AR7" s="75">
        <v>0.27100000000000002</v>
      </c>
      <c r="AS7" s="75">
        <v>0.151</v>
      </c>
      <c r="AT7" s="75">
        <v>1.31</v>
      </c>
      <c r="AU7" s="75">
        <v>0.877</v>
      </c>
      <c r="AV7" s="75">
        <v>1.5720000000000001</v>
      </c>
      <c r="AW7" s="245">
        <v>457.2</v>
      </c>
      <c r="AX7" s="245">
        <v>16.559000000000001</v>
      </c>
      <c r="AY7" s="245">
        <v>69.363</v>
      </c>
      <c r="AZ7" s="75">
        <v>3.7839999999999998</v>
      </c>
      <c r="BA7" s="75">
        <v>14.88</v>
      </c>
      <c r="BB7" s="75">
        <v>2.91</v>
      </c>
      <c r="BC7" s="75">
        <v>0.70399999999999996</v>
      </c>
      <c r="BD7" s="75">
        <v>2.2989999999999999</v>
      </c>
      <c r="BE7" s="75">
        <v>0.33</v>
      </c>
      <c r="BF7" s="75">
        <v>1.988</v>
      </c>
      <c r="BG7" s="75">
        <v>0.376</v>
      </c>
      <c r="BH7" s="75">
        <v>1.073</v>
      </c>
      <c r="BI7" s="75">
        <v>0.16800000000000001</v>
      </c>
      <c r="BJ7" s="75">
        <v>1.0660000000000001</v>
      </c>
      <c r="BK7" s="75">
        <v>0.156</v>
      </c>
      <c r="BL7" s="75">
        <v>2.879</v>
      </c>
      <c r="BM7" s="75">
        <v>0.93</v>
      </c>
      <c r="BN7" s="75">
        <v>7.9560000000000004</v>
      </c>
      <c r="BO7" s="75">
        <v>0.28100000000000003</v>
      </c>
      <c r="BP7" s="75">
        <v>16.8</v>
      </c>
      <c r="BQ7" s="75">
        <v>15.06</v>
      </c>
      <c r="BR7" s="75">
        <v>4.9580000000000002</v>
      </c>
      <c r="BS7" s="75">
        <v>1.1839999999999999</v>
      </c>
      <c r="BT7" s="39"/>
    </row>
    <row r="8" spans="1:72">
      <c r="A8" s="53" t="s">
        <v>95</v>
      </c>
      <c r="B8" s="154" t="s">
        <v>96</v>
      </c>
      <c r="C8" s="155" t="s">
        <v>339</v>
      </c>
      <c r="D8" s="53">
        <v>0.25792300000000001</v>
      </c>
      <c r="E8" s="53">
        <v>34.719996000000002</v>
      </c>
      <c r="F8" s="53" t="s">
        <v>372</v>
      </c>
      <c r="G8" s="53" t="s">
        <v>330</v>
      </c>
      <c r="H8" s="116" t="s">
        <v>347</v>
      </c>
      <c r="I8" s="154" t="s">
        <v>371</v>
      </c>
      <c r="J8" s="116" t="s">
        <v>687</v>
      </c>
      <c r="K8" s="53" t="s">
        <v>366</v>
      </c>
      <c r="L8" s="53" t="s">
        <v>684</v>
      </c>
      <c r="M8" s="53" t="s">
        <v>683</v>
      </c>
      <c r="N8" s="74">
        <v>7.7716249761315792</v>
      </c>
      <c r="O8" s="245">
        <v>6.08</v>
      </c>
      <c r="P8" s="75">
        <v>0.31496999999999997</v>
      </c>
      <c r="Q8" s="245">
        <v>14.9</v>
      </c>
      <c r="R8" s="75">
        <v>2.54</v>
      </c>
      <c r="S8" s="246">
        <v>1932</v>
      </c>
      <c r="T8" s="246">
        <v>6340</v>
      </c>
      <c r="U8" s="246">
        <v>73227</v>
      </c>
      <c r="V8" s="246">
        <v>873</v>
      </c>
      <c r="W8" s="246">
        <v>225</v>
      </c>
      <c r="X8" s="246">
        <v>14736</v>
      </c>
      <c r="Y8" s="246">
        <v>5123</v>
      </c>
      <c r="Z8" s="246">
        <v>5407.7</v>
      </c>
      <c r="AA8" s="245">
        <v>235.8</v>
      </c>
      <c r="AB8" s="245">
        <v>1257.0999999999999</v>
      </c>
      <c r="AC8" s="245">
        <v>2372.6</v>
      </c>
      <c r="AD8" s="246">
        <v>100615</v>
      </c>
      <c r="AE8" s="245">
        <v>58.942</v>
      </c>
      <c r="AF8" s="245">
        <v>244.79</v>
      </c>
      <c r="AG8" s="245">
        <v>63.5</v>
      </c>
      <c r="AH8" s="245">
        <v>132</v>
      </c>
      <c r="AI8" s="245">
        <v>18.170000000000002</v>
      </c>
      <c r="AJ8" s="245">
        <v>7.8</v>
      </c>
      <c r="AK8" s="245">
        <v>0.98</v>
      </c>
      <c r="AL8" s="245">
        <v>84.24</v>
      </c>
      <c r="AM8" s="245">
        <v>90.13</v>
      </c>
      <c r="AN8" s="75">
        <v>15.271000000000001</v>
      </c>
      <c r="AO8" s="75">
        <v>235.97</v>
      </c>
      <c r="AP8" s="75">
        <v>38.65</v>
      </c>
      <c r="AQ8" s="75">
        <v>2.31</v>
      </c>
      <c r="AR8" s="75">
        <v>6.8000000000000005E-2</v>
      </c>
      <c r="AS8" s="75">
        <v>9.2999999999999999E-2</v>
      </c>
      <c r="AT8" s="75">
        <v>2.25</v>
      </c>
      <c r="AU8" s="75">
        <v>0.73799999999999999</v>
      </c>
      <c r="AV8" s="75">
        <v>2.5179999999999998</v>
      </c>
      <c r="AW8" s="245">
        <v>543.96</v>
      </c>
      <c r="AX8" s="245">
        <v>25.238</v>
      </c>
      <c r="AY8" s="245">
        <v>87.427000000000007</v>
      </c>
      <c r="AZ8" s="75">
        <v>5.1989999999999998</v>
      </c>
      <c r="BA8" s="75">
        <v>19.79</v>
      </c>
      <c r="BB8" s="75">
        <v>3.9340000000000002</v>
      </c>
      <c r="BC8" s="75">
        <v>0.84699999999999998</v>
      </c>
      <c r="BD8" s="75">
        <v>3.1389999999999998</v>
      </c>
      <c r="BE8" s="75">
        <v>0.48699999999999999</v>
      </c>
      <c r="BF8" s="75">
        <v>2.98</v>
      </c>
      <c r="BG8" s="75">
        <v>0.57299999999999995</v>
      </c>
      <c r="BH8" s="75">
        <v>1.694</v>
      </c>
      <c r="BI8" s="75">
        <v>0.25600000000000001</v>
      </c>
      <c r="BJ8" s="75">
        <v>1.72</v>
      </c>
      <c r="BK8" s="75">
        <v>0.251</v>
      </c>
      <c r="BL8" s="75">
        <v>5.7409999999999997</v>
      </c>
      <c r="BM8" s="75">
        <v>2.0939999999999999</v>
      </c>
      <c r="BN8" s="75">
        <v>3.3010000000000002</v>
      </c>
      <c r="BO8" s="75">
        <v>0.42699999999999999</v>
      </c>
      <c r="BP8" s="75">
        <v>20.3</v>
      </c>
      <c r="BQ8" s="75">
        <v>2.27</v>
      </c>
      <c r="BR8" s="75">
        <v>9.1829999999999998</v>
      </c>
      <c r="BS8" s="75">
        <v>1.9750000000000001</v>
      </c>
      <c r="BT8" s="39"/>
    </row>
    <row r="9" spans="1:72">
      <c r="A9" s="53" t="s">
        <v>97</v>
      </c>
      <c r="B9" s="154" t="s">
        <v>98</v>
      </c>
      <c r="C9" s="155" t="s">
        <v>339</v>
      </c>
      <c r="D9" s="53">
        <v>0.258245</v>
      </c>
      <c r="E9" s="53">
        <v>34.717754999999997</v>
      </c>
      <c r="F9" s="53" t="s">
        <v>372</v>
      </c>
      <c r="G9" s="53" t="s">
        <v>330</v>
      </c>
      <c r="H9" s="116" t="s">
        <v>347</v>
      </c>
      <c r="I9" s="154" t="s">
        <v>371</v>
      </c>
      <c r="J9" s="116" t="s">
        <v>687</v>
      </c>
      <c r="K9" s="53" t="s">
        <v>366</v>
      </c>
      <c r="L9" s="53" t="s">
        <v>684</v>
      </c>
      <c r="M9" s="53" t="s">
        <v>683</v>
      </c>
      <c r="N9" s="74">
        <v>7.3947313835304858</v>
      </c>
      <c r="O9" s="245">
        <v>5.78</v>
      </c>
      <c r="P9" s="75">
        <v>0.44583999999999996</v>
      </c>
      <c r="Q9" s="245">
        <v>17</v>
      </c>
      <c r="R9" s="75">
        <v>3.2</v>
      </c>
      <c r="S9" s="246">
        <v>1419</v>
      </c>
      <c r="T9" s="246">
        <v>4722</v>
      </c>
      <c r="U9" s="246">
        <v>84750</v>
      </c>
      <c r="V9" s="246">
        <v>761</v>
      </c>
      <c r="W9" s="246">
        <v>222</v>
      </c>
      <c r="X9" s="246">
        <v>13368</v>
      </c>
      <c r="Y9" s="246">
        <v>3154</v>
      </c>
      <c r="Z9" s="246">
        <v>5540.8</v>
      </c>
      <c r="AA9" s="245">
        <v>277.89999999999998</v>
      </c>
      <c r="AB9" s="245">
        <v>1344</v>
      </c>
      <c r="AC9" s="245">
        <v>1870.2</v>
      </c>
      <c r="AD9" s="246">
        <v>120621</v>
      </c>
      <c r="AE9" s="245">
        <v>61</v>
      </c>
      <c r="AF9" s="245">
        <v>277.10000000000002</v>
      </c>
      <c r="AG9" s="245">
        <v>66.98</v>
      </c>
      <c r="AH9" s="245">
        <v>109</v>
      </c>
      <c r="AI9" s="245">
        <v>21.03</v>
      </c>
      <c r="AJ9" s="245">
        <v>8.4</v>
      </c>
      <c r="AK9" s="245">
        <v>1.0900000000000001</v>
      </c>
      <c r="AL9" s="245">
        <v>79.430000000000007</v>
      </c>
      <c r="AM9" s="245">
        <v>73.41</v>
      </c>
      <c r="AN9" s="75">
        <v>14.095000000000001</v>
      </c>
      <c r="AO9" s="75">
        <v>270.27</v>
      </c>
      <c r="AP9" s="75">
        <v>44.417999999999999</v>
      </c>
      <c r="AQ9" s="75">
        <v>2.77</v>
      </c>
      <c r="AR9" s="75">
        <v>7.4999999999999997E-2</v>
      </c>
      <c r="AS9" s="75">
        <v>7.3999999999999996E-2</v>
      </c>
      <c r="AT9" s="75">
        <v>2.91</v>
      </c>
      <c r="AU9" s="75">
        <v>0.82599999999999996</v>
      </c>
      <c r="AV9" s="75">
        <v>2.7069999999999999</v>
      </c>
      <c r="AW9" s="245">
        <v>453.17</v>
      </c>
      <c r="AX9" s="245">
        <v>21.922000000000001</v>
      </c>
      <c r="AY9" s="245">
        <v>98.762</v>
      </c>
      <c r="AZ9" s="75">
        <v>4.5190000000000001</v>
      </c>
      <c r="BA9" s="75">
        <v>17.34</v>
      </c>
      <c r="BB9" s="75">
        <v>3.5190000000000001</v>
      </c>
      <c r="BC9" s="75">
        <v>0.72699999999999998</v>
      </c>
      <c r="BD9" s="75">
        <v>2.86</v>
      </c>
      <c r="BE9" s="75">
        <v>0.45700000000000002</v>
      </c>
      <c r="BF9" s="75">
        <v>2.7360000000000002</v>
      </c>
      <c r="BG9" s="75">
        <v>0.56499999999999995</v>
      </c>
      <c r="BH9" s="75">
        <v>1.6379999999999999</v>
      </c>
      <c r="BI9" s="75">
        <v>0.26200000000000001</v>
      </c>
      <c r="BJ9" s="75">
        <v>1.6870000000000001</v>
      </c>
      <c r="BK9" s="75">
        <v>0.25600000000000001</v>
      </c>
      <c r="BL9" s="75">
        <v>6.3079999999999998</v>
      </c>
      <c r="BM9" s="75">
        <v>2.456</v>
      </c>
      <c r="BN9" s="75">
        <v>2.859</v>
      </c>
      <c r="BO9" s="75">
        <v>0.42399999999999999</v>
      </c>
      <c r="BP9" s="75">
        <v>18.5</v>
      </c>
      <c r="BQ9" s="75">
        <v>1.92</v>
      </c>
      <c r="BR9" s="75">
        <v>8.7330000000000005</v>
      </c>
      <c r="BS9" s="75">
        <v>2.1110000000000002</v>
      </c>
      <c r="BT9" s="39"/>
    </row>
    <row r="10" spans="1:72">
      <c r="A10" s="53" t="s">
        <v>99</v>
      </c>
      <c r="B10" s="154" t="s">
        <v>100</v>
      </c>
      <c r="C10" s="155" t="s">
        <v>339</v>
      </c>
      <c r="D10" s="53">
        <v>0.25792300000000001</v>
      </c>
      <c r="E10" s="53">
        <v>34.719996000000002</v>
      </c>
      <c r="F10" s="53" t="s">
        <v>372</v>
      </c>
      <c r="G10" s="53" t="s">
        <v>330</v>
      </c>
      <c r="H10" s="116" t="s">
        <v>347</v>
      </c>
      <c r="I10" s="154" t="s">
        <v>371</v>
      </c>
      <c r="J10" s="116" t="s">
        <v>687</v>
      </c>
      <c r="K10" s="53" t="s">
        <v>367</v>
      </c>
      <c r="L10" s="53" t="s">
        <v>684</v>
      </c>
      <c r="M10" s="53" t="s">
        <v>683</v>
      </c>
      <c r="N10" s="74">
        <v>7.0130069363021814</v>
      </c>
      <c r="O10" s="245">
        <v>5.05</v>
      </c>
      <c r="P10" s="75">
        <v>9.7669999999999993E-2</v>
      </c>
      <c r="Q10" s="245">
        <v>20.6</v>
      </c>
      <c r="R10" s="75">
        <v>2.74</v>
      </c>
      <c r="S10" s="246">
        <v>1906</v>
      </c>
      <c r="T10" s="246">
        <v>3871</v>
      </c>
      <c r="U10" s="246">
        <v>90294</v>
      </c>
      <c r="V10" s="246">
        <v>501</v>
      </c>
      <c r="W10" s="246">
        <v>162</v>
      </c>
      <c r="X10" s="246">
        <v>12362</v>
      </c>
      <c r="Y10" s="246">
        <v>2407</v>
      </c>
      <c r="Z10" s="246">
        <v>6890.8</v>
      </c>
      <c r="AA10" s="245">
        <v>252.8</v>
      </c>
      <c r="AB10" s="245">
        <v>611.9</v>
      </c>
      <c r="AC10" s="245">
        <v>1420.9</v>
      </c>
      <c r="AD10" s="246">
        <v>98434</v>
      </c>
      <c r="AE10" s="245">
        <v>62.935000000000002</v>
      </c>
      <c r="AF10" s="245">
        <v>152.46</v>
      </c>
      <c r="AG10" s="245">
        <v>63.47</v>
      </c>
      <c r="AH10" s="245">
        <v>99</v>
      </c>
      <c r="AI10" s="245">
        <v>23.38</v>
      </c>
      <c r="AJ10" s="245">
        <v>7.2</v>
      </c>
      <c r="AK10" s="245">
        <v>0.76</v>
      </c>
      <c r="AL10" s="245">
        <v>78.23</v>
      </c>
      <c r="AM10" s="245">
        <v>68.599999999999994</v>
      </c>
      <c r="AN10" s="75">
        <v>25.96</v>
      </c>
      <c r="AO10" s="75">
        <v>333.61</v>
      </c>
      <c r="AP10" s="75">
        <v>68.930999999999997</v>
      </c>
      <c r="AQ10" s="75">
        <v>3.87</v>
      </c>
      <c r="AR10" s="75">
        <v>7.0000000000000007E-2</v>
      </c>
      <c r="AS10" s="75">
        <v>6.6000000000000003E-2</v>
      </c>
      <c r="AT10" s="75">
        <v>3.34</v>
      </c>
      <c r="AU10" s="75">
        <v>0.61499999999999999</v>
      </c>
      <c r="AV10" s="75">
        <v>2.9689999999999999</v>
      </c>
      <c r="AW10" s="245">
        <v>452.85</v>
      </c>
      <c r="AX10" s="245">
        <v>47.421999999999997</v>
      </c>
      <c r="AY10" s="245">
        <v>150.239</v>
      </c>
      <c r="AZ10" s="75">
        <v>9.7629999999999999</v>
      </c>
      <c r="BA10" s="75">
        <v>36.42</v>
      </c>
      <c r="BB10" s="75">
        <v>6.609</v>
      </c>
      <c r="BC10" s="75">
        <v>1.2569999999999999</v>
      </c>
      <c r="BD10" s="75">
        <v>5.266</v>
      </c>
      <c r="BE10" s="75">
        <v>0.82199999999999995</v>
      </c>
      <c r="BF10" s="75">
        <v>4.9290000000000003</v>
      </c>
      <c r="BG10" s="75">
        <v>0.97399999999999998</v>
      </c>
      <c r="BH10" s="75">
        <v>2.8159999999999998</v>
      </c>
      <c r="BI10" s="75">
        <v>0.437</v>
      </c>
      <c r="BJ10" s="75">
        <v>2.762</v>
      </c>
      <c r="BK10" s="75">
        <v>0.40400000000000003</v>
      </c>
      <c r="BL10" s="75">
        <v>7.6870000000000003</v>
      </c>
      <c r="BM10" s="75">
        <v>3.69</v>
      </c>
      <c r="BN10" s="75">
        <v>5.3259999999999996</v>
      </c>
      <c r="BO10" s="75">
        <v>0.48499999999999999</v>
      </c>
      <c r="BP10" s="75">
        <v>20.6</v>
      </c>
      <c r="BQ10" s="75">
        <v>0.6</v>
      </c>
      <c r="BR10" s="75">
        <v>11.568</v>
      </c>
      <c r="BS10" s="75">
        <v>3.2040000000000002</v>
      </c>
      <c r="BT10" s="39"/>
    </row>
    <row r="11" spans="1:72">
      <c r="A11" s="53" t="s">
        <v>101</v>
      </c>
      <c r="B11" s="154" t="s">
        <v>102</v>
      </c>
      <c r="C11" s="155" t="s">
        <v>339</v>
      </c>
      <c r="D11" s="53">
        <v>0.25812800000000002</v>
      </c>
      <c r="E11" s="53">
        <v>34.720103999999999</v>
      </c>
      <c r="F11" s="53" t="s">
        <v>372</v>
      </c>
      <c r="G11" s="53" t="s">
        <v>330</v>
      </c>
      <c r="H11" s="116" t="s">
        <v>347</v>
      </c>
      <c r="I11" s="154" t="s">
        <v>371</v>
      </c>
      <c r="J11" s="116" t="s">
        <v>687</v>
      </c>
      <c r="K11" s="53" t="s">
        <v>366</v>
      </c>
      <c r="L11" s="53" t="s">
        <v>684</v>
      </c>
      <c r="M11" s="53" t="s">
        <v>683</v>
      </c>
      <c r="N11" s="74">
        <v>1.9003498156376444</v>
      </c>
      <c r="O11" s="245">
        <v>7.52</v>
      </c>
      <c r="P11" s="75">
        <v>2.2800000000000001E-2</v>
      </c>
      <c r="Q11" s="245">
        <v>10.3</v>
      </c>
      <c r="R11" s="75">
        <v>1.59</v>
      </c>
      <c r="S11" s="246">
        <v>21548</v>
      </c>
      <c r="T11" s="246">
        <v>15263</v>
      </c>
      <c r="U11" s="246">
        <v>77107</v>
      </c>
      <c r="V11" s="246">
        <v>874</v>
      </c>
      <c r="W11" s="246">
        <v>54</v>
      </c>
      <c r="X11" s="246">
        <v>26111</v>
      </c>
      <c r="Y11" s="246">
        <v>21368</v>
      </c>
      <c r="Z11" s="246">
        <v>2873.9</v>
      </c>
      <c r="AA11" s="245">
        <v>71.400000000000006</v>
      </c>
      <c r="AB11" s="245">
        <v>299.2</v>
      </c>
      <c r="AC11" s="245">
        <v>971.3</v>
      </c>
      <c r="AD11" s="246">
        <v>32121</v>
      </c>
      <c r="AE11" s="245">
        <v>28.725999999999999</v>
      </c>
      <c r="AF11" s="245">
        <v>185.34</v>
      </c>
      <c r="AG11" s="245">
        <v>69.180000000000007</v>
      </c>
      <c r="AH11" s="245">
        <v>70</v>
      </c>
      <c r="AI11" s="245">
        <v>16.18</v>
      </c>
      <c r="AJ11" s="245">
        <v>2.8</v>
      </c>
      <c r="AK11" s="245" t="s">
        <v>91</v>
      </c>
      <c r="AL11" s="245">
        <v>102.51</v>
      </c>
      <c r="AM11" s="245">
        <v>537.72</v>
      </c>
      <c r="AN11" s="75">
        <v>15.032</v>
      </c>
      <c r="AO11" s="75">
        <v>131.77000000000001</v>
      </c>
      <c r="AP11" s="75">
        <v>6.032</v>
      </c>
      <c r="AQ11" s="75">
        <v>0.38</v>
      </c>
      <c r="AR11" s="75">
        <v>8.5000000000000006E-2</v>
      </c>
      <c r="AS11" s="75">
        <v>7.6999999999999999E-2</v>
      </c>
      <c r="AT11" s="75">
        <v>1.25</v>
      </c>
      <c r="AU11" s="75">
        <v>0.34</v>
      </c>
      <c r="AV11" s="75">
        <v>2.3559999999999999</v>
      </c>
      <c r="AW11" s="245">
        <v>1043.9100000000001</v>
      </c>
      <c r="AX11" s="245">
        <v>36.694000000000003</v>
      </c>
      <c r="AY11" s="245">
        <v>96.028999999999996</v>
      </c>
      <c r="AZ11" s="75">
        <v>8.3160000000000007</v>
      </c>
      <c r="BA11" s="75">
        <v>31.97</v>
      </c>
      <c r="BB11" s="75">
        <v>5.6029999999999998</v>
      </c>
      <c r="BC11" s="75">
        <v>1.49</v>
      </c>
      <c r="BD11" s="75">
        <v>4.0279999999999996</v>
      </c>
      <c r="BE11" s="75">
        <v>0.52500000000000002</v>
      </c>
      <c r="BF11" s="75">
        <v>2.8639999999999999</v>
      </c>
      <c r="BG11" s="75">
        <v>0.55400000000000005</v>
      </c>
      <c r="BH11" s="75">
        <v>1.4770000000000001</v>
      </c>
      <c r="BI11" s="75">
        <v>0.216</v>
      </c>
      <c r="BJ11" s="75">
        <v>1.343</v>
      </c>
      <c r="BK11" s="75">
        <v>0.19400000000000001</v>
      </c>
      <c r="BL11" s="75">
        <v>3.8130000000000002</v>
      </c>
      <c r="BM11" s="75">
        <v>0.39500000000000002</v>
      </c>
      <c r="BN11" s="75">
        <v>5.7590000000000003</v>
      </c>
      <c r="BO11" s="75">
        <v>0.51500000000000001</v>
      </c>
      <c r="BP11" s="75">
        <v>11.7</v>
      </c>
      <c r="BQ11" s="75">
        <v>0.09</v>
      </c>
      <c r="BR11" s="75">
        <v>7.0890000000000004</v>
      </c>
      <c r="BS11" s="75">
        <v>1.6539999999999999</v>
      </c>
      <c r="BT11" s="39"/>
    </row>
    <row r="12" spans="1:72">
      <c r="A12" s="53" t="s">
        <v>103</v>
      </c>
      <c r="B12" s="53" t="s">
        <v>104</v>
      </c>
      <c r="C12" s="155" t="s">
        <v>339</v>
      </c>
      <c r="D12" s="53">
        <v>0.25792300000000001</v>
      </c>
      <c r="E12" s="53">
        <v>34.719996000000002</v>
      </c>
      <c r="F12" s="53" t="s">
        <v>372</v>
      </c>
      <c r="G12" s="53" t="s">
        <v>330</v>
      </c>
      <c r="H12" s="116" t="s">
        <v>347</v>
      </c>
      <c r="I12" s="154" t="s">
        <v>371</v>
      </c>
      <c r="J12" s="116" t="s">
        <v>687</v>
      </c>
      <c r="K12" s="53" t="s">
        <v>365</v>
      </c>
      <c r="L12" s="53" t="s">
        <v>685</v>
      </c>
      <c r="M12" s="53" t="s">
        <v>691</v>
      </c>
      <c r="N12" s="74">
        <v>3.6492166602980403</v>
      </c>
      <c r="O12" s="245">
        <v>6.45</v>
      </c>
      <c r="P12" s="75">
        <v>1.3671899999999999</v>
      </c>
      <c r="Q12" s="245">
        <v>11.8</v>
      </c>
      <c r="R12" s="75">
        <v>2.44</v>
      </c>
      <c r="S12" s="246">
        <v>5019</v>
      </c>
      <c r="T12" s="246">
        <v>6937</v>
      </c>
      <c r="U12" s="246">
        <v>59906</v>
      </c>
      <c r="V12" s="246">
        <v>605</v>
      </c>
      <c r="W12" s="246">
        <v>643</v>
      </c>
      <c r="X12" s="246">
        <v>10276</v>
      </c>
      <c r="Y12" s="246">
        <v>8744</v>
      </c>
      <c r="Z12" s="246">
        <v>4180.7</v>
      </c>
      <c r="AA12" s="245">
        <v>240.8</v>
      </c>
      <c r="AB12" s="245">
        <v>1244.5999999999999</v>
      </c>
      <c r="AC12" s="245">
        <v>1912</v>
      </c>
      <c r="AD12" s="246">
        <v>100650</v>
      </c>
      <c r="AE12" s="245">
        <v>54.261000000000003</v>
      </c>
      <c r="AF12" s="245">
        <v>182.54</v>
      </c>
      <c r="AG12" s="245">
        <v>69.84</v>
      </c>
      <c r="AH12" s="245">
        <v>91</v>
      </c>
      <c r="AI12" s="245">
        <v>15.14</v>
      </c>
      <c r="AJ12" s="245">
        <v>413</v>
      </c>
      <c r="AK12" s="245">
        <v>0.87</v>
      </c>
      <c r="AL12" s="245">
        <v>54.7</v>
      </c>
      <c r="AM12" s="245">
        <v>130.68</v>
      </c>
      <c r="AN12" s="75">
        <v>11.412000000000001</v>
      </c>
      <c r="AO12" s="75">
        <v>165.93</v>
      </c>
      <c r="AP12" s="75">
        <v>25.398</v>
      </c>
      <c r="AQ12" s="75">
        <v>2.4500000000000002</v>
      </c>
      <c r="AR12" s="75">
        <v>0.14299999999999999</v>
      </c>
      <c r="AS12" s="75">
        <v>0.112</v>
      </c>
      <c r="AT12" s="75">
        <v>1.72</v>
      </c>
      <c r="AU12" s="75">
        <v>1.02</v>
      </c>
      <c r="AV12" s="75">
        <v>1.821</v>
      </c>
      <c r="AW12" s="245">
        <v>398.7</v>
      </c>
      <c r="AX12" s="245">
        <v>17.762</v>
      </c>
      <c r="AY12" s="245">
        <v>77.239999999999995</v>
      </c>
      <c r="AZ12" s="75">
        <v>3.948</v>
      </c>
      <c r="BA12" s="75">
        <v>15.27</v>
      </c>
      <c r="BB12" s="75">
        <v>3.1059999999999999</v>
      </c>
      <c r="BC12" s="75">
        <v>0.71399999999999997</v>
      </c>
      <c r="BD12" s="75">
        <v>2.4980000000000002</v>
      </c>
      <c r="BE12" s="75">
        <v>0.36599999999999999</v>
      </c>
      <c r="BF12" s="75">
        <v>2.3090000000000002</v>
      </c>
      <c r="BG12" s="75">
        <v>0.439</v>
      </c>
      <c r="BH12" s="75">
        <v>1.294</v>
      </c>
      <c r="BI12" s="75">
        <v>0.20699999999999999</v>
      </c>
      <c r="BJ12" s="75">
        <v>1.3340000000000001</v>
      </c>
      <c r="BK12" s="75">
        <v>0.20699999999999999</v>
      </c>
      <c r="BL12" s="75">
        <v>4.1609999999999996</v>
      </c>
      <c r="BM12" s="75">
        <v>1.3560000000000001</v>
      </c>
      <c r="BN12" s="75">
        <v>5.6929999999999996</v>
      </c>
      <c r="BO12" s="75">
        <v>0.312</v>
      </c>
      <c r="BP12" s="75">
        <v>25</v>
      </c>
      <c r="BQ12" s="75">
        <v>8.35</v>
      </c>
      <c r="BR12" s="75">
        <v>5.5860000000000003</v>
      </c>
      <c r="BS12" s="75">
        <v>1.5640000000000001</v>
      </c>
      <c r="BT12" s="39"/>
    </row>
    <row r="13" spans="1:72">
      <c r="A13" s="53" t="s">
        <v>105</v>
      </c>
      <c r="B13" s="53" t="s">
        <v>106</v>
      </c>
      <c r="C13" s="155" t="s">
        <v>339</v>
      </c>
      <c r="D13" s="53">
        <v>0.25812800000000002</v>
      </c>
      <c r="E13" s="53">
        <v>34.720103999999999</v>
      </c>
      <c r="F13" s="53" t="s">
        <v>372</v>
      </c>
      <c r="G13" s="53" t="s">
        <v>330</v>
      </c>
      <c r="H13" s="116" t="s">
        <v>347</v>
      </c>
      <c r="I13" s="154" t="s">
        <v>371</v>
      </c>
      <c r="J13" s="116" t="s">
        <v>687</v>
      </c>
      <c r="K13" s="53" t="s">
        <v>368</v>
      </c>
      <c r="L13" s="53" t="s">
        <v>684</v>
      </c>
      <c r="M13" s="53" t="s">
        <v>683</v>
      </c>
      <c r="N13" s="74">
        <v>7.4476338246702518</v>
      </c>
      <c r="O13" s="245">
        <v>5.74</v>
      </c>
      <c r="P13" s="75">
        <v>0.32069999999999999</v>
      </c>
      <c r="Q13" s="245">
        <v>12.9</v>
      </c>
      <c r="R13" s="75">
        <v>2.61</v>
      </c>
      <c r="S13" s="246">
        <v>2574</v>
      </c>
      <c r="T13" s="246">
        <v>4040</v>
      </c>
      <c r="U13" s="246">
        <v>70963</v>
      </c>
      <c r="V13" s="246">
        <v>777</v>
      </c>
      <c r="W13" s="246">
        <v>295</v>
      </c>
      <c r="X13" s="246">
        <v>17099</v>
      </c>
      <c r="Y13" s="246">
        <v>3535</v>
      </c>
      <c r="Z13" s="246">
        <v>6157.8</v>
      </c>
      <c r="AA13" s="245">
        <v>199.9</v>
      </c>
      <c r="AB13" s="245">
        <v>1071.9000000000001</v>
      </c>
      <c r="AC13" s="245">
        <v>2262.1</v>
      </c>
      <c r="AD13" s="246">
        <v>86066</v>
      </c>
      <c r="AE13" s="245">
        <v>51.167999999999999</v>
      </c>
      <c r="AF13" s="245">
        <v>172.95</v>
      </c>
      <c r="AG13" s="245">
        <v>53.75</v>
      </c>
      <c r="AH13" s="245">
        <v>76</v>
      </c>
      <c r="AI13" s="245">
        <v>17.23</v>
      </c>
      <c r="AJ13" s="245">
        <v>25.5</v>
      </c>
      <c r="AK13" s="245">
        <v>0.97</v>
      </c>
      <c r="AL13" s="245">
        <v>91.77</v>
      </c>
      <c r="AM13" s="245">
        <v>102.63</v>
      </c>
      <c r="AN13" s="75">
        <v>14.371</v>
      </c>
      <c r="AO13" s="75">
        <v>300.93</v>
      </c>
      <c r="AP13" s="75">
        <v>46.469000000000001</v>
      </c>
      <c r="AQ13" s="75">
        <v>2.63</v>
      </c>
      <c r="AR13" s="75">
        <v>9.2999999999999999E-2</v>
      </c>
      <c r="AS13" s="75">
        <v>0.14099999999999999</v>
      </c>
      <c r="AT13" s="75">
        <v>2.89</v>
      </c>
      <c r="AU13" s="75">
        <v>1.357</v>
      </c>
      <c r="AV13" s="75">
        <v>2.15</v>
      </c>
      <c r="AW13" s="245">
        <v>662.44</v>
      </c>
      <c r="AX13" s="245">
        <v>23.119</v>
      </c>
      <c r="AY13" s="245">
        <v>89.614999999999995</v>
      </c>
      <c r="AZ13" s="75">
        <v>4.6139999999999999</v>
      </c>
      <c r="BA13" s="75">
        <v>17.920000000000002</v>
      </c>
      <c r="BB13" s="75">
        <v>3.3290000000000002</v>
      </c>
      <c r="BC13" s="75">
        <v>0.751</v>
      </c>
      <c r="BD13" s="75">
        <v>2.8580000000000001</v>
      </c>
      <c r="BE13" s="75">
        <v>0.433</v>
      </c>
      <c r="BF13" s="75">
        <v>2.7029999999999998</v>
      </c>
      <c r="BG13" s="75">
        <v>0.55400000000000005</v>
      </c>
      <c r="BH13" s="75">
        <v>1.6870000000000001</v>
      </c>
      <c r="BI13" s="75">
        <v>0.26700000000000002</v>
      </c>
      <c r="BJ13" s="75">
        <v>1.6559999999999999</v>
      </c>
      <c r="BK13" s="75">
        <v>0.27700000000000002</v>
      </c>
      <c r="BL13" s="75">
        <v>7.8520000000000003</v>
      </c>
      <c r="BM13" s="75">
        <v>2.4929999999999999</v>
      </c>
      <c r="BN13" s="75">
        <v>2.7309999999999999</v>
      </c>
      <c r="BO13" s="75">
        <v>0.42199999999999999</v>
      </c>
      <c r="BP13" s="75">
        <v>33.299999999999997</v>
      </c>
      <c r="BQ13" s="75">
        <v>1.33</v>
      </c>
      <c r="BR13" s="75">
        <v>9.1999999999999993</v>
      </c>
      <c r="BS13" s="75">
        <v>2.3479999999999999</v>
      </c>
      <c r="BT13" s="39"/>
    </row>
    <row r="14" spans="1:72">
      <c r="A14" s="53" t="s">
        <v>107</v>
      </c>
      <c r="B14" s="53" t="s">
        <v>108</v>
      </c>
      <c r="C14" s="155" t="s">
        <v>339</v>
      </c>
      <c r="D14" s="53">
        <v>0.26020300000000002</v>
      </c>
      <c r="E14" s="53">
        <v>34.719721</v>
      </c>
      <c r="F14" s="53" t="s">
        <v>372</v>
      </c>
      <c r="G14" s="53" t="s">
        <v>330</v>
      </c>
      <c r="H14" s="116" t="s">
        <v>347</v>
      </c>
      <c r="I14" s="154" t="s">
        <v>371</v>
      </c>
      <c r="J14" s="116" t="s">
        <v>687</v>
      </c>
      <c r="K14" s="53" t="s">
        <v>366</v>
      </c>
      <c r="L14" s="53" t="s">
        <v>684</v>
      </c>
      <c r="M14" s="53" t="s">
        <v>683</v>
      </c>
      <c r="N14" s="74">
        <v>7.3774485917553108</v>
      </c>
      <c r="O14" s="245">
        <v>5.97</v>
      </c>
      <c r="P14" s="75">
        <v>0.15060000000000001</v>
      </c>
      <c r="Q14" s="245">
        <v>22.6</v>
      </c>
      <c r="R14" s="75">
        <v>2.79</v>
      </c>
      <c r="S14" s="246">
        <v>1928</v>
      </c>
      <c r="T14" s="246">
        <v>3720</v>
      </c>
      <c r="U14" s="246">
        <v>98864</v>
      </c>
      <c r="V14" s="246">
        <v>759</v>
      </c>
      <c r="W14" s="246">
        <v>235</v>
      </c>
      <c r="X14" s="246">
        <v>13918</v>
      </c>
      <c r="Y14" s="246">
        <v>2590</v>
      </c>
      <c r="Z14" s="246">
        <v>7149</v>
      </c>
      <c r="AA14" s="245">
        <v>311.39999999999998</v>
      </c>
      <c r="AB14" s="245">
        <v>718.2</v>
      </c>
      <c r="AC14" s="245">
        <v>1908.6</v>
      </c>
      <c r="AD14" s="246">
        <v>101064</v>
      </c>
      <c r="AE14" s="245">
        <v>58.804000000000002</v>
      </c>
      <c r="AF14" s="245">
        <v>140.78</v>
      </c>
      <c r="AG14" s="245">
        <v>68.2</v>
      </c>
      <c r="AH14" s="245">
        <v>84</v>
      </c>
      <c r="AI14" s="245">
        <v>23.77</v>
      </c>
      <c r="AJ14" s="245">
        <v>10.8</v>
      </c>
      <c r="AK14" s="245">
        <v>1.02</v>
      </c>
      <c r="AL14" s="245">
        <v>85.73</v>
      </c>
      <c r="AM14" s="245">
        <v>66.53</v>
      </c>
      <c r="AN14" s="75">
        <v>14.882</v>
      </c>
      <c r="AO14" s="75">
        <v>300.72000000000003</v>
      </c>
      <c r="AP14" s="75">
        <v>54.555999999999997</v>
      </c>
      <c r="AQ14" s="75">
        <v>3.44</v>
      </c>
      <c r="AR14" s="75">
        <v>7.0000000000000007E-2</v>
      </c>
      <c r="AS14" s="75">
        <v>0.104</v>
      </c>
      <c r="AT14" s="75">
        <v>3.03</v>
      </c>
      <c r="AU14" s="75">
        <v>0.98099999999999998</v>
      </c>
      <c r="AV14" s="75">
        <v>3.1150000000000002</v>
      </c>
      <c r="AW14" s="245">
        <v>484.26</v>
      </c>
      <c r="AX14" s="245">
        <v>25.463000000000001</v>
      </c>
      <c r="AY14" s="245">
        <v>112.871</v>
      </c>
      <c r="AZ14" s="75">
        <v>5.0250000000000004</v>
      </c>
      <c r="BA14" s="75">
        <v>19.07</v>
      </c>
      <c r="BB14" s="75">
        <v>3.758</v>
      </c>
      <c r="BC14" s="75">
        <v>0.78800000000000003</v>
      </c>
      <c r="BD14" s="75">
        <v>3.0550000000000002</v>
      </c>
      <c r="BE14" s="75">
        <v>0.47499999999999998</v>
      </c>
      <c r="BF14" s="75">
        <v>2.8980000000000001</v>
      </c>
      <c r="BG14" s="75">
        <v>0.58599999999999997</v>
      </c>
      <c r="BH14" s="75">
        <v>1.7210000000000001</v>
      </c>
      <c r="BI14" s="75">
        <v>0.27100000000000002</v>
      </c>
      <c r="BJ14" s="75">
        <v>1.8080000000000001</v>
      </c>
      <c r="BK14" s="75">
        <v>0.254</v>
      </c>
      <c r="BL14" s="75">
        <v>7.1710000000000003</v>
      </c>
      <c r="BM14" s="75">
        <v>3.008</v>
      </c>
      <c r="BN14" s="75">
        <v>6.9050000000000002</v>
      </c>
      <c r="BO14" s="75">
        <v>0.46500000000000002</v>
      </c>
      <c r="BP14" s="75">
        <v>18.399999999999999</v>
      </c>
      <c r="BQ14" s="75">
        <v>1.47</v>
      </c>
      <c r="BR14" s="75">
        <v>10.872</v>
      </c>
      <c r="BS14" s="75">
        <v>2.4169999999999998</v>
      </c>
      <c r="BT14" s="39"/>
    </row>
    <row r="15" spans="1:72">
      <c r="A15" s="53" t="s">
        <v>109</v>
      </c>
      <c r="B15" s="53" t="s">
        <v>110</v>
      </c>
      <c r="C15" s="155" t="s">
        <v>339</v>
      </c>
      <c r="D15" s="53">
        <v>0.26076500000000002</v>
      </c>
      <c r="E15" s="53">
        <v>34.720081</v>
      </c>
      <c r="F15" s="53" t="s">
        <v>372</v>
      </c>
      <c r="G15" s="53" t="s">
        <v>330</v>
      </c>
      <c r="H15" s="116" t="s">
        <v>347</v>
      </c>
      <c r="I15" s="154" t="s">
        <v>371</v>
      </c>
      <c r="J15" s="116" t="s">
        <v>687</v>
      </c>
      <c r="K15" s="53" t="s">
        <v>361</v>
      </c>
      <c r="L15" s="53" t="s">
        <v>685</v>
      </c>
      <c r="M15" s="53" t="s">
        <v>690</v>
      </c>
      <c r="N15" s="74">
        <v>7.330106876386469</v>
      </c>
      <c r="O15" s="245">
        <v>6.36</v>
      </c>
      <c r="P15" s="75">
        <v>4.4837199999999999</v>
      </c>
      <c r="Q15" s="245">
        <v>17.399999999999999</v>
      </c>
      <c r="R15" s="75">
        <v>2.89</v>
      </c>
      <c r="S15" s="246">
        <v>3324</v>
      </c>
      <c r="T15" s="246">
        <v>6852</v>
      </c>
      <c r="U15" s="246">
        <v>80012</v>
      </c>
      <c r="V15" s="246">
        <v>682</v>
      </c>
      <c r="W15" s="246">
        <v>335</v>
      </c>
      <c r="X15" s="246">
        <v>13830</v>
      </c>
      <c r="Y15" s="246">
        <v>6450</v>
      </c>
      <c r="Z15" s="246">
        <v>5250.2</v>
      </c>
      <c r="AA15" s="245">
        <v>225.6</v>
      </c>
      <c r="AB15" s="245">
        <v>1005</v>
      </c>
      <c r="AC15" s="245">
        <v>2298</v>
      </c>
      <c r="AD15" s="246">
        <v>95772</v>
      </c>
      <c r="AE15" s="245">
        <v>67.945999999999998</v>
      </c>
      <c r="AF15" s="245">
        <v>239.98</v>
      </c>
      <c r="AG15" s="245">
        <v>71.989999999999995</v>
      </c>
      <c r="AH15" s="245">
        <v>122</v>
      </c>
      <c r="AI15" s="245">
        <v>18.760000000000002</v>
      </c>
      <c r="AJ15" s="245">
        <v>95.9</v>
      </c>
      <c r="AK15" s="245">
        <v>0.89</v>
      </c>
      <c r="AL15" s="245">
        <v>76.69</v>
      </c>
      <c r="AM15" s="245">
        <v>107.9</v>
      </c>
      <c r="AN15" s="75">
        <v>15.179</v>
      </c>
      <c r="AO15" s="75">
        <v>220.05</v>
      </c>
      <c r="AP15" s="75">
        <v>38.061999999999998</v>
      </c>
      <c r="AQ15" s="75">
        <v>2.5299999999999998</v>
      </c>
      <c r="AR15" s="75">
        <v>0.13400000000000001</v>
      </c>
      <c r="AS15" s="75">
        <v>0.124</v>
      </c>
      <c r="AT15" s="75">
        <v>2.4</v>
      </c>
      <c r="AU15" s="75">
        <v>0.83499999999999996</v>
      </c>
      <c r="AV15" s="75">
        <v>2.4769999999999999</v>
      </c>
      <c r="AW15" s="245">
        <v>507.55</v>
      </c>
      <c r="AX15" s="245">
        <v>24.565999999999999</v>
      </c>
      <c r="AY15" s="245">
        <v>110.967</v>
      </c>
      <c r="AZ15" s="75">
        <v>5.2270000000000003</v>
      </c>
      <c r="BA15" s="75">
        <v>20</v>
      </c>
      <c r="BB15" s="75">
        <v>3.8450000000000002</v>
      </c>
      <c r="BC15" s="75">
        <v>0.878</v>
      </c>
      <c r="BD15" s="75">
        <v>3.1360000000000001</v>
      </c>
      <c r="BE15" s="75">
        <v>0.48199999999999998</v>
      </c>
      <c r="BF15" s="75">
        <v>3.0059999999999998</v>
      </c>
      <c r="BG15" s="75">
        <v>0.56899999999999995</v>
      </c>
      <c r="BH15" s="75">
        <v>1.6850000000000001</v>
      </c>
      <c r="BI15" s="75">
        <v>0.25900000000000001</v>
      </c>
      <c r="BJ15" s="75">
        <v>1.7130000000000001</v>
      </c>
      <c r="BK15" s="75">
        <v>0.25700000000000001</v>
      </c>
      <c r="BL15" s="75">
        <v>5.4729999999999999</v>
      </c>
      <c r="BM15" s="75">
        <v>2.0859999999999999</v>
      </c>
      <c r="BN15" s="75">
        <v>5.7370000000000001</v>
      </c>
      <c r="BO15" s="75">
        <v>0.435</v>
      </c>
      <c r="BP15" s="75">
        <v>24.8</v>
      </c>
      <c r="BQ15" s="75">
        <v>6.37</v>
      </c>
      <c r="BR15" s="75">
        <v>7.758</v>
      </c>
      <c r="BS15" s="75">
        <v>1.91</v>
      </c>
      <c r="BT15" s="39"/>
    </row>
    <row r="16" spans="1:72">
      <c r="A16" s="53" t="s">
        <v>111</v>
      </c>
      <c r="B16" s="53" t="s">
        <v>112</v>
      </c>
      <c r="C16" s="155" t="s">
        <v>339</v>
      </c>
      <c r="D16" s="53">
        <v>0.26067699999999999</v>
      </c>
      <c r="E16" s="53">
        <v>34.720677999999999</v>
      </c>
      <c r="F16" s="53" t="s">
        <v>372</v>
      </c>
      <c r="G16" s="53" t="s">
        <v>330</v>
      </c>
      <c r="H16" s="116" t="s">
        <v>347</v>
      </c>
      <c r="I16" s="154" t="s">
        <v>371</v>
      </c>
      <c r="J16" s="116" t="s">
        <v>687</v>
      </c>
      <c r="K16" s="53" t="s">
        <v>365</v>
      </c>
      <c r="L16" s="53" t="s">
        <v>685</v>
      </c>
      <c r="M16" s="53" t="s">
        <v>691</v>
      </c>
      <c r="N16" s="74">
        <v>3.2835233975619693</v>
      </c>
      <c r="O16" s="245">
        <v>6.02</v>
      </c>
      <c r="P16" s="75">
        <v>0.94225999999999999</v>
      </c>
      <c r="Q16" s="245">
        <v>10.6</v>
      </c>
      <c r="R16" s="75">
        <v>1.36</v>
      </c>
      <c r="S16" s="246">
        <v>10602</v>
      </c>
      <c r="T16" s="246">
        <v>13328</v>
      </c>
      <c r="U16" s="246">
        <v>61125</v>
      </c>
      <c r="V16" s="246">
        <v>661</v>
      </c>
      <c r="W16" s="246">
        <v>160</v>
      </c>
      <c r="X16" s="246">
        <v>14540</v>
      </c>
      <c r="Y16" s="246">
        <v>16363</v>
      </c>
      <c r="Z16" s="246">
        <v>4510.8</v>
      </c>
      <c r="AA16" s="245">
        <v>184.1</v>
      </c>
      <c r="AB16" s="245">
        <v>691.9</v>
      </c>
      <c r="AC16" s="245">
        <v>1704.4</v>
      </c>
      <c r="AD16" s="246">
        <v>69612</v>
      </c>
      <c r="AE16" s="245">
        <v>50.932000000000002</v>
      </c>
      <c r="AF16" s="245">
        <v>111.8</v>
      </c>
      <c r="AG16" s="245">
        <v>71.81</v>
      </c>
      <c r="AH16" s="245">
        <v>93</v>
      </c>
      <c r="AI16" s="245">
        <v>13.7</v>
      </c>
      <c r="AJ16" s="245">
        <v>45.2</v>
      </c>
      <c r="AK16" s="245">
        <v>0.36</v>
      </c>
      <c r="AL16" s="245">
        <v>59.74</v>
      </c>
      <c r="AM16" s="245">
        <v>249.03</v>
      </c>
      <c r="AN16" s="75">
        <v>13.281000000000001</v>
      </c>
      <c r="AO16" s="75">
        <v>115.04</v>
      </c>
      <c r="AP16" s="75">
        <v>17.132000000000001</v>
      </c>
      <c r="AQ16" s="75">
        <v>2.04</v>
      </c>
      <c r="AR16" s="75">
        <v>0.20100000000000001</v>
      </c>
      <c r="AS16" s="75">
        <v>9.7000000000000003E-2</v>
      </c>
      <c r="AT16" s="75">
        <v>16.68</v>
      </c>
      <c r="AU16" s="75">
        <v>3.8490000000000002</v>
      </c>
      <c r="AV16" s="75">
        <v>1.899</v>
      </c>
      <c r="AW16" s="245">
        <v>616.29</v>
      </c>
      <c r="AX16" s="245">
        <v>23.777000000000001</v>
      </c>
      <c r="AY16" s="245">
        <v>82.173000000000002</v>
      </c>
      <c r="AZ16" s="75">
        <v>5.319</v>
      </c>
      <c r="BA16" s="75">
        <v>20.71</v>
      </c>
      <c r="BB16" s="75">
        <v>3.851</v>
      </c>
      <c r="BC16" s="75">
        <v>0.95099999999999996</v>
      </c>
      <c r="BD16" s="75">
        <v>2.9769999999999999</v>
      </c>
      <c r="BE16" s="75">
        <v>0.437</v>
      </c>
      <c r="BF16" s="75">
        <v>2.512</v>
      </c>
      <c r="BG16" s="75">
        <v>0.5</v>
      </c>
      <c r="BH16" s="75">
        <v>1.4119999999999999</v>
      </c>
      <c r="BI16" s="75">
        <v>0.215</v>
      </c>
      <c r="BJ16" s="75">
        <v>1.3520000000000001</v>
      </c>
      <c r="BK16" s="75">
        <v>0.19900000000000001</v>
      </c>
      <c r="BL16" s="75">
        <v>2.9849999999999999</v>
      </c>
      <c r="BM16" s="75">
        <v>0.91600000000000004</v>
      </c>
      <c r="BN16" s="75">
        <v>10.756</v>
      </c>
      <c r="BO16" s="75">
        <v>0.32800000000000001</v>
      </c>
      <c r="BP16" s="75">
        <v>32.700000000000003</v>
      </c>
      <c r="BQ16" s="75">
        <v>9.25</v>
      </c>
      <c r="BR16" s="75">
        <v>5.2</v>
      </c>
      <c r="BS16" s="75">
        <v>1.369</v>
      </c>
      <c r="BT16" s="39"/>
    </row>
    <row r="17" spans="1:72">
      <c r="A17" s="53" t="s">
        <v>113</v>
      </c>
      <c r="B17" s="53" t="s">
        <v>114</v>
      </c>
      <c r="C17" s="155" t="s">
        <v>339</v>
      </c>
      <c r="D17" s="53">
        <v>0.26076500000000002</v>
      </c>
      <c r="E17" s="53">
        <v>34.720081</v>
      </c>
      <c r="F17" s="53" t="s">
        <v>372</v>
      </c>
      <c r="G17" s="53" t="s">
        <v>330</v>
      </c>
      <c r="H17" s="116" t="s">
        <v>347</v>
      </c>
      <c r="I17" s="154" t="s">
        <v>371</v>
      </c>
      <c r="J17" s="116" t="s">
        <v>687</v>
      </c>
      <c r="K17" s="53" t="s">
        <v>366</v>
      </c>
      <c r="L17" s="53" t="s">
        <v>684</v>
      </c>
      <c r="M17" s="53" t="s">
        <v>683</v>
      </c>
      <c r="N17" s="74">
        <v>7.237722639761107</v>
      </c>
      <c r="O17" s="245">
        <v>6.3</v>
      </c>
      <c r="P17" s="75">
        <v>1.03304</v>
      </c>
      <c r="Q17" s="245">
        <v>14.2</v>
      </c>
      <c r="R17" s="75">
        <v>2.82</v>
      </c>
      <c r="S17" s="246">
        <v>2229</v>
      </c>
      <c r="T17" s="246">
        <v>4608</v>
      </c>
      <c r="U17" s="246">
        <v>77049</v>
      </c>
      <c r="V17" s="246">
        <v>927</v>
      </c>
      <c r="W17" s="246">
        <v>266</v>
      </c>
      <c r="X17" s="246">
        <v>16162</v>
      </c>
      <c r="Y17" s="246">
        <v>3263</v>
      </c>
      <c r="Z17" s="246">
        <v>5543.6</v>
      </c>
      <c r="AA17" s="245">
        <v>243.8</v>
      </c>
      <c r="AB17" s="245">
        <v>1413</v>
      </c>
      <c r="AC17" s="245">
        <v>2170.8000000000002</v>
      </c>
      <c r="AD17" s="246">
        <v>108202</v>
      </c>
      <c r="AE17" s="245">
        <v>53.386000000000003</v>
      </c>
      <c r="AF17" s="245">
        <v>215.62</v>
      </c>
      <c r="AG17" s="245">
        <v>60.33</v>
      </c>
      <c r="AH17" s="245">
        <v>126</v>
      </c>
      <c r="AI17" s="245">
        <v>19.34</v>
      </c>
      <c r="AJ17" s="245">
        <v>16.399999999999999</v>
      </c>
      <c r="AK17" s="245">
        <v>1.03</v>
      </c>
      <c r="AL17" s="245">
        <v>90.99</v>
      </c>
      <c r="AM17" s="245">
        <v>91.73</v>
      </c>
      <c r="AN17" s="75">
        <v>13.721</v>
      </c>
      <c r="AO17" s="75">
        <v>292.08</v>
      </c>
      <c r="AP17" s="75">
        <v>47.746000000000002</v>
      </c>
      <c r="AQ17" s="75">
        <v>3.08</v>
      </c>
      <c r="AR17" s="75">
        <v>0.185</v>
      </c>
      <c r="AS17" s="75">
        <v>0.12</v>
      </c>
      <c r="AT17" s="75">
        <v>3.16</v>
      </c>
      <c r="AU17" s="75">
        <v>4.8840000000000003</v>
      </c>
      <c r="AV17" s="75">
        <v>2.379</v>
      </c>
      <c r="AW17" s="245">
        <v>619.48</v>
      </c>
      <c r="AX17" s="245">
        <v>22.44</v>
      </c>
      <c r="AY17" s="245">
        <v>97.808000000000007</v>
      </c>
      <c r="AZ17" s="75">
        <v>4.5940000000000003</v>
      </c>
      <c r="BA17" s="75">
        <v>17.68</v>
      </c>
      <c r="BB17" s="75">
        <v>3.4390000000000001</v>
      </c>
      <c r="BC17" s="75">
        <v>0.76100000000000001</v>
      </c>
      <c r="BD17" s="75">
        <v>2.8010000000000002</v>
      </c>
      <c r="BE17" s="75">
        <v>0.44</v>
      </c>
      <c r="BF17" s="75">
        <v>2.6819999999999999</v>
      </c>
      <c r="BG17" s="75">
        <v>0.52600000000000002</v>
      </c>
      <c r="BH17" s="75">
        <v>1.5389999999999999</v>
      </c>
      <c r="BI17" s="75">
        <v>0.24199999999999999</v>
      </c>
      <c r="BJ17" s="75">
        <v>1.6759999999999999</v>
      </c>
      <c r="BK17" s="75">
        <v>0.24</v>
      </c>
      <c r="BL17" s="75">
        <v>6.8460000000000001</v>
      </c>
      <c r="BM17" s="75">
        <v>2.5030000000000001</v>
      </c>
      <c r="BN17" s="75">
        <v>4.6769999999999996</v>
      </c>
      <c r="BO17" s="75">
        <v>0.435</v>
      </c>
      <c r="BP17" s="75">
        <v>50.7</v>
      </c>
      <c r="BQ17" s="75">
        <v>2.62</v>
      </c>
      <c r="BR17" s="75">
        <v>9.3030000000000008</v>
      </c>
      <c r="BS17" s="75">
        <v>2.3679999999999999</v>
      </c>
      <c r="BT17" s="39"/>
    </row>
    <row r="18" spans="1:72">
      <c r="A18" s="53" t="s">
        <v>115</v>
      </c>
      <c r="B18" s="53" t="s">
        <v>116</v>
      </c>
      <c r="C18" s="155" t="s">
        <v>339</v>
      </c>
      <c r="D18" s="53">
        <v>0.256575</v>
      </c>
      <c r="E18" s="53">
        <v>34.722569999999997</v>
      </c>
      <c r="F18" s="53" t="s">
        <v>372</v>
      </c>
      <c r="G18" s="53" t="s">
        <v>330</v>
      </c>
      <c r="H18" s="116" t="s">
        <v>347</v>
      </c>
      <c r="I18" s="154" t="s">
        <v>371</v>
      </c>
      <c r="J18" s="116" t="s">
        <v>687</v>
      </c>
      <c r="K18" s="53" t="s">
        <v>365</v>
      </c>
      <c r="L18" s="53" t="s">
        <v>685</v>
      </c>
      <c r="M18" s="53" t="s">
        <v>691</v>
      </c>
      <c r="N18" s="74">
        <v>0.89558759283515432</v>
      </c>
      <c r="O18" s="245">
        <v>3.55</v>
      </c>
      <c r="P18" s="75">
        <v>0.36993999999999999</v>
      </c>
      <c r="Q18" s="245">
        <v>10.5</v>
      </c>
      <c r="R18" s="75">
        <v>0.89</v>
      </c>
      <c r="S18" s="246">
        <v>18700</v>
      </c>
      <c r="T18" s="246">
        <v>17939</v>
      </c>
      <c r="U18" s="246">
        <v>54142</v>
      </c>
      <c r="V18" s="246">
        <v>601</v>
      </c>
      <c r="W18" s="246">
        <v>3157</v>
      </c>
      <c r="X18" s="246">
        <v>11632</v>
      </c>
      <c r="Y18" s="246">
        <v>25075</v>
      </c>
      <c r="Z18" s="246">
        <v>2156.9</v>
      </c>
      <c r="AA18" s="245">
        <v>105.1</v>
      </c>
      <c r="AB18" s="245">
        <v>99.5</v>
      </c>
      <c r="AC18" s="245">
        <v>504.3</v>
      </c>
      <c r="AD18" s="246">
        <v>49537</v>
      </c>
      <c r="AE18" s="245">
        <v>11.324999999999999</v>
      </c>
      <c r="AF18" s="245">
        <v>25.21</v>
      </c>
      <c r="AG18" s="245">
        <v>354.75</v>
      </c>
      <c r="AH18" s="245">
        <v>54</v>
      </c>
      <c r="AI18" s="245">
        <v>11.4</v>
      </c>
      <c r="AJ18" s="245">
        <v>19.5</v>
      </c>
      <c r="AK18" s="245">
        <v>1.04</v>
      </c>
      <c r="AL18" s="245">
        <v>39.86</v>
      </c>
      <c r="AM18" s="245">
        <v>393.79</v>
      </c>
      <c r="AN18" s="75">
        <v>8.6969999999999992</v>
      </c>
      <c r="AO18" s="75">
        <v>47.8</v>
      </c>
      <c r="AP18" s="75">
        <v>2.242</v>
      </c>
      <c r="AQ18" s="75">
        <v>3.02</v>
      </c>
      <c r="AR18" s="75">
        <v>0.13300000000000001</v>
      </c>
      <c r="AS18" s="75">
        <v>0.06</v>
      </c>
      <c r="AT18" s="75">
        <v>1.1000000000000001</v>
      </c>
      <c r="AU18" s="75">
        <v>0.441</v>
      </c>
      <c r="AV18" s="75">
        <v>2.6819999999999999</v>
      </c>
      <c r="AW18" s="245">
        <v>613.17999999999995</v>
      </c>
      <c r="AX18" s="245">
        <v>16.625</v>
      </c>
      <c r="AY18" s="245">
        <v>32.427</v>
      </c>
      <c r="AZ18" s="75">
        <v>3.9590000000000001</v>
      </c>
      <c r="BA18" s="75">
        <v>16.14</v>
      </c>
      <c r="BB18" s="75">
        <v>3.0790000000000002</v>
      </c>
      <c r="BC18" s="75">
        <v>0.749</v>
      </c>
      <c r="BD18" s="75">
        <v>2.2450000000000001</v>
      </c>
      <c r="BE18" s="75">
        <v>0.31</v>
      </c>
      <c r="BF18" s="75">
        <v>1.665</v>
      </c>
      <c r="BG18" s="75">
        <v>0.33200000000000002</v>
      </c>
      <c r="BH18" s="75">
        <v>0.89600000000000002</v>
      </c>
      <c r="BI18" s="75">
        <v>0.13200000000000001</v>
      </c>
      <c r="BJ18" s="75">
        <v>0.82399999999999995</v>
      </c>
      <c r="BK18" s="75">
        <v>0.123</v>
      </c>
      <c r="BL18" s="75">
        <v>1.375</v>
      </c>
      <c r="BM18" s="75">
        <v>0.14399999999999999</v>
      </c>
      <c r="BN18" s="75">
        <v>34.557000000000002</v>
      </c>
      <c r="BO18" s="75">
        <v>0.2</v>
      </c>
      <c r="BP18" s="75">
        <v>95.3</v>
      </c>
      <c r="BQ18" s="75">
        <v>20.309999999999999</v>
      </c>
      <c r="BR18" s="75">
        <v>2.3069999999999999</v>
      </c>
      <c r="BS18" s="75">
        <v>0.71799999999999997</v>
      </c>
      <c r="BT18" s="39"/>
    </row>
    <row r="19" spans="1:72">
      <c r="A19" s="53" t="s">
        <v>117</v>
      </c>
      <c r="B19" s="53" t="s">
        <v>118</v>
      </c>
      <c r="C19" s="155" t="s">
        <v>339</v>
      </c>
      <c r="D19" s="53">
        <v>0.25645200000000001</v>
      </c>
      <c r="E19" s="53">
        <v>34.722082999999998</v>
      </c>
      <c r="F19" s="53" t="s">
        <v>372</v>
      </c>
      <c r="G19" s="53" t="s">
        <v>330</v>
      </c>
      <c r="H19" s="116" t="s">
        <v>347</v>
      </c>
      <c r="I19" s="154" t="s">
        <v>371</v>
      </c>
      <c r="J19" s="116" t="s">
        <v>687</v>
      </c>
      <c r="K19" s="53" t="s">
        <v>365</v>
      </c>
      <c r="L19" s="53" t="s">
        <v>685</v>
      </c>
      <c r="M19" s="53" t="s">
        <v>691</v>
      </c>
      <c r="N19" s="74">
        <v>0.94319626960582603</v>
      </c>
      <c r="O19" s="245">
        <v>3.3</v>
      </c>
      <c r="P19" s="75">
        <v>0.84839000000000009</v>
      </c>
      <c r="Q19" s="245">
        <v>10.3</v>
      </c>
      <c r="R19" s="75">
        <v>0.48</v>
      </c>
      <c r="S19" s="246">
        <v>18071</v>
      </c>
      <c r="T19" s="246">
        <v>17601</v>
      </c>
      <c r="U19" s="246">
        <v>52613</v>
      </c>
      <c r="V19" s="246">
        <v>605</v>
      </c>
      <c r="W19" s="246">
        <v>5874</v>
      </c>
      <c r="X19" s="246">
        <v>11415</v>
      </c>
      <c r="Y19" s="246">
        <v>25494</v>
      </c>
      <c r="Z19" s="246">
        <v>2087.9</v>
      </c>
      <c r="AA19" s="245">
        <v>101.7</v>
      </c>
      <c r="AB19" s="245">
        <v>102.6</v>
      </c>
      <c r="AC19" s="245">
        <v>501.1</v>
      </c>
      <c r="AD19" s="246">
        <v>49977</v>
      </c>
      <c r="AE19" s="245">
        <v>15.317</v>
      </c>
      <c r="AF19" s="245">
        <v>28.94</v>
      </c>
      <c r="AG19" s="245">
        <v>590.9</v>
      </c>
      <c r="AH19" s="245">
        <v>54</v>
      </c>
      <c r="AI19" s="245">
        <v>11.34</v>
      </c>
      <c r="AJ19" s="245">
        <v>20.399999999999999</v>
      </c>
      <c r="AK19" s="245">
        <v>1.19</v>
      </c>
      <c r="AL19" s="245">
        <v>39.53</v>
      </c>
      <c r="AM19" s="245">
        <v>387.15</v>
      </c>
      <c r="AN19" s="75">
        <v>8.8350000000000009</v>
      </c>
      <c r="AO19" s="75">
        <v>43.09</v>
      </c>
      <c r="AP19" s="75">
        <v>2.2679999999999998</v>
      </c>
      <c r="AQ19" s="75">
        <v>3.18</v>
      </c>
      <c r="AR19" s="75">
        <v>0.128</v>
      </c>
      <c r="AS19" s="75">
        <v>5.0999999999999997E-2</v>
      </c>
      <c r="AT19" s="75">
        <v>0.85</v>
      </c>
      <c r="AU19" s="75">
        <v>0.38100000000000001</v>
      </c>
      <c r="AV19" s="75">
        <v>2.4140000000000001</v>
      </c>
      <c r="AW19" s="245">
        <v>605.96</v>
      </c>
      <c r="AX19" s="245">
        <v>16.010000000000002</v>
      </c>
      <c r="AY19" s="245">
        <v>31.888000000000002</v>
      </c>
      <c r="AZ19" s="75">
        <v>3.9319999999999999</v>
      </c>
      <c r="BA19" s="75">
        <v>15.88</v>
      </c>
      <c r="BB19" s="75">
        <v>3.1429999999999998</v>
      </c>
      <c r="BC19" s="75">
        <v>0.745</v>
      </c>
      <c r="BD19" s="75">
        <v>2.2210000000000001</v>
      </c>
      <c r="BE19" s="75">
        <v>0.30599999999999999</v>
      </c>
      <c r="BF19" s="75">
        <v>1.698</v>
      </c>
      <c r="BG19" s="75">
        <v>0.32500000000000001</v>
      </c>
      <c r="BH19" s="75">
        <v>0.879</v>
      </c>
      <c r="BI19" s="75">
        <v>0.125</v>
      </c>
      <c r="BJ19" s="75">
        <v>0.82</v>
      </c>
      <c r="BK19" s="75">
        <v>0.13</v>
      </c>
      <c r="BL19" s="75">
        <v>1.3049999999999999</v>
      </c>
      <c r="BM19" s="75">
        <v>0.14599999999999999</v>
      </c>
      <c r="BN19" s="75">
        <v>34.613999999999997</v>
      </c>
      <c r="BO19" s="75">
        <v>0.20200000000000001</v>
      </c>
      <c r="BP19" s="75">
        <v>76.599999999999994</v>
      </c>
      <c r="BQ19" s="75">
        <v>26.68</v>
      </c>
      <c r="BR19" s="75">
        <v>2.1360000000000001</v>
      </c>
      <c r="BS19" s="75">
        <v>0.65100000000000002</v>
      </c>
      <c r="BT19" s="39"/>
    </row>
    <row r="20" spans="1:72">
      <c r="A20" s="53" t="s">
        <v>119</v>
      </c>
      <c r="B20" s="53" t="s">
        <v>120</v>
      </c>
      <c r="C20" s="155" t="s">
        <v>339</v>
      </c>
      <c r="D20" s="53">
        <v>0.25726700000000002</v>
      </c>
      <c r="E20" s="53">
        <v>34.722675000000002</v>
      </c>
      <c r="F20" s="53" t="s">
        <v>372</v>
      </c>
      <c r="G20" s="53" t="s">
        <v>330</v>
      </c>
      <c r="H20" s="116" t="s">
        <v>347</v>
      </c>
      <c r="I20" s="154" t="s">
        <v>371</v>
      </c>
      <c r="J20" s="116" t="s">
        <v>687</v>
      </c>
      <c r="K20" s="53" t="s">
        <v>366</v>
      </c>
      <c r="L20" s="53" t="s">
        <v>684</v>
      </c>
      <c r="M20" s="53" t="s">
        <v>683</v>
      </c>
      <c r="N20" s="74">
        <v>1.8706675529389669</v>
      </c>
      <c r="O20" s="245">
        <v>3.48</v>
      </c>
      <c r="P20" s="75">
        <v>1.8359799999999999</v>
      </c>
      <c r="Q20" s="245">
        <v>13.6</v>
      </c>
      <c r="R20" s="75">
        <v>1</v>
      </c>
      <c r="S20" s="246">
        <v>14813</v>
      </c>
      <c r="T20" s="246">
        <v>17318</v>
      </c>
      <c r="U20" s="246">
        <v>57634</v>
      </c>
      <c r="V20" s="246">
        <v>668</v>
      </c>
      <c r="W20" s="246">
        <v>5537</v>
      </c>
      <c r="X20" s="246">
        <v>10494</v>
      </c>
      <c r="Y20" s="246">
        <v>25654</v>
      </c>
      <c r="Z20" s="246">
        <v>2946.6</v>
      </c>
      <c r="AA20" s="245">
        <v>131.1</v>
      </c>
      <c r="AB20" s="245">
        <v>290.5</v>
      </c>
      <c r="AC20" s="245">
        <v>663.5</v>
      </c>
      <c r="AD20" s="246">
        <v>56823</v>
      </c>
      <c r="AE20" s="245">
        <v>34.079000000000001</v>
      </c>
      <c r="AF20" s="245">
        <v>83.97</v>
      </c>
      <c r="AG20" s="245">
        <v>244.75</v>
      </c>
      <c r="AH20" s="245">
        <v>84</v>
      </c>
      <c r="AI20" s="245">
        <v>13.09</v>
      </c>
      <c r="AJ20" s="245">
        <v>9.3000000000000007</v>
      </c>
      <c r="AK20" s="245">
        <v>0.99</v>
      </c>
      <c r="AL20" s="245">
        <v>45.62</v>
      </c>
      <c r="AM20" s="245">
        <v>336.81</v>
      </c>
      <c r="AN20" s="75">
        <v>10.884</v>
      </c>
      <c r="AO20" s="75">
        <v>68.53</v>
      </c>
      <c r="AP20" s="75">
        <v>7.8419999999999996</v>
      </c>
      <c r="AQ20" s="75">
        <v>2.71</v>
      </c>
      <c r="AR20" s="75">
        <v>0.05</v>
      </c>
      <c r="AS20" s="75">
        <v>6.2E-2</v>
      </c>
      <c r="AT20" s="75">
        <v>1.99</v>
      </c>
      <c r="AU20" s="75">
        <v>0.59599999999999997</v>
      </c>
      <c r="AV20" s="75">
        <v>2.4390000000000001</v>
      </c>
      <c r="AW20" s="245">
        <v>521.37</v>
      </c>
      <c r="AX20" s="245">
        <v>18.032</v>
      </c>
      <c r="AY20" s="245">
        <v>41.058</v>
      </c>
      <c r="AZ20" s="75">
        <v>4.577</v>
      </c>
      <c r="BA20" s="75">
        <v>18.86</v>
      </c>
      <c r="BB20" s="75">
        <v>3.7240000000000002</v>
      </c>
      <c r="BC20" s="75">
        <v>0.86</v>
      </c>
      <c r="BD20" s="75">
        <v>2.7650000000000001</v>
      </c>
      <c r="BE20" s="75">
        <v>0.38700000000000001</v>
      </c>
      <c r="BF20" s="75">
        <v>2.0710000000000002</v>
      </c>
      <c r="BG20" s="75">
        <v>0.41899999999999998</v>
      </c>
      <c r="BH20" s="75">
        <v>1.1739999999999999</v>
      </c>
      <c r="BI20" s="75">
        <v>0.17299999999999999</v>
      </c>
      <c r="BJ20" s="75">
        <v>1.0720000000000001</v>
      </c>
      <c r="BK20" s="75">
        <v>0.16200000000000001</v>
      </c>
      <c r="BL20" s="75">
        <v>1.915</v>
      </c>
      <c r="BM20" s="75">
        <v>0.45600000000000002</v>
      </c>
      <c r="BN20" s="75">
        <v>13.372</v>
      </c>
      <c r="BO20" s="75">
        <v>0.19600000000000001</v>
      </c>
      <c r="BP20" s="75">
        <v>27.7</v>
      </c>
      <c r="BQ20" s="75">
        <v>29.66</v>
      </c>
      <c r="BR20" s="75">
        <v>3.0419999999999998</v>
      </c>
      <c r="BS20" s="75">
        <v>1.018</v>
      </c>
      <c r="BT20" s="39"/>
    </row>
    <row r="21" spans="1:72" s="63" customFormat="1">
      <c r="A21" s="53" t="s">
        <v>121</v>
      </c>
      <c r="B21" s="53" t="s">
        <v>122</v>
      </c>
      <c r="C21" s="155" t="s">
        <v>339</v>
      </c>
      <c r="D21" s="78">
        <v>0.31583600000000001</v>
      </c>
      <c r="E21" s="78">
        <v>34.649163999999999</v>
      </c>
      <c r="F21" s="78" t="s">
        <v>350</v>
      </c>
      <c r="G21" s="53" t="s">
        <v>330</v>
      </c>
      <c r="H21" s="116" t="s">
        <v>347</v>
      </c>
      <c r="I21" s="154" t="s">
        <v>371</v>
      </c>
      <c r="J21" s="39" t="s">
        <v>688</v>
      </c>
      <c r="K21" s="53" t="s">
        <v>369</v>
      </c>
      <c r="L21" s="53" t="s">
        <v>685</v>
      </c>
      <c r="M21" s="53" t="s">
        <v>691</v>
      </c>
      <c r="N21" s="74">
        <v>0.87531608636455227</v>
      </c>
      <c r="O21" s="245">
        <v>7.86</v>
      </c>
      <c r="P21" s="75">
        <v>4.2978700000000005</v>
      </c>
      <c r="Q21" s="245">
        <v>14.3</v>
      </c>
      <c r="R21" s="75">
        <v>0.89</v>
      </c>
      <c r="S21" s="246">
        <v>16236</v>
      </c>
      <c r="T21" s="246">
        <v>20336</v>
      </c>
      <c r="U21" s="246">
        <v>53281</v>
      </c>
      <c r="V21" s="246">
        <v>779</v>
      </c>
      <c r="W21" s="246">
        <v>9501</v>
      </c>
      <c r="X21" s="246">
        <v>12345</v>
      </c>
      <c r="Y21" s="246">
        <v>32995</v>
      </c>
      <c r="Z21" s="246">
        <v>2532</v>
      </c>
      <c r="AA21" s="245">
        <v>120.8</v>
      </c>
      <c r="AB21" s="245">
        <v>138.19999999999999</v>
      </c>
      <c r="AC21" s="245">
        <v>734.8</v>
      </c>
      <c r="AD21" s="246">
        <v>58195</v>
      </c>
      <c r="AE21" s="245">
        <v>34.69</v>
      </c>
      <c r="AF21" s="245">
        <v>51.9</v>
      </c>
      <c r="AG21" s="245">
        <v>408.4</v>
      </c>
      <c r="AH21" s="245">
        <v>141</v>
      </c>
      <c r="AI21" s="245">
        <v>11.49</v>
      </c>
      <c r="AJ21" s="245">
        <v>19.7</v>
      </c>
      <c r="AK21" s="245">
        <v>1.1499999999999999</v>
      </c>
      <c r="AL21" s="245">
        <v>42.04</v>
      </c>
      <c r="AM21" s="245">
        <v>396.88</v>
      </c>
      <c r="AN21" s="75">
        <v>12.24</v>
      </c>
      <c r="AO21" s="75">
        <v>46.39</v>
      </c>
      <c r="AP21" s="75">
        <v>9.2490000000000006</v>
      </c>
      <c r="AQ21" s="75">
        <v>4.5599999999999996</v>
      </c>
      <c r="AR21" s="75">
        <v>0.115</v>
      </c>
      <c r="AS21" s="75">
        <v>0.14099999999999999</v>
      </c>
      <c r="AT21" s="75">
        <v>1.1599999999999999</v>
      </c>
      <c r="AU21" s="75">
        <v>0.51700000000000002</v>
      </c>
      <c r="AV21" s="75">
        <v>3.0830000000000002</v>
      </c>
      <c r="AW21" s="245">
        <v>626.55999999999995</v>
      </c>
      <c r="AX21" s="245">
        <v>25.702999999999999</v>
      </c>
      <c r="AY21" s="245">
        <v>50.822000000000003</v>
      </c>
      <c r="AZ21" s="75">
        <v>5.8940000000000001</v>
      </c>
      <c r="BA21" s="75">
        <v>23.23</v>
      </c>
      <c r="BB21" s="75">
        <v>4.3259999999999996</v>
      </c>
      <c r="BC21" s="75">
        <v>1.024</v>
      </c>
      <c r="BD21" s="75">
        <v>3.2429999999999999</v>
      </c>
      <c r="BE21" s="75">
        <v>0.42199999999999999</v>
      </c>
      <c r="BF21" s="75">
        <v>2.3879999999999999</v>
      </c>
      <c r="BG21" s="75">
        <v>0.45300000000000001</v>
      </c>
      <c r="BH21" s="75">
        <v>1.2370000000000001</v>
      </c>
      <c r="BI21" s="75">
        <v>0.18099999999999999</v>
      </c>
      <c r="BJ21" s="75">
        <v>1.0669999999999999</v>
      </c>
      <c r="BK21" s="75">
        <v>0.16900000000000001</v>
      </c>
      <c r="BL21" s="75">
        <v>1.3620000000000001</v>
      </c>
      <c r="BM21" s="75">
        <v>0.314</v>
      </c>
      <c r="BN21" s="75">
        <v>27.62</v>
      </c>
      <c r="BO21" s="75">
        <v>0.219</v>
      </c>
      <c r="BP21" s="75">
        <v>93.4</v>
      </c>
      <c r="BQ21" s="75">
        <v>44.1</v>
      </c>
      <c r="BR21" s="75">
        <v>3.5859999999999999</v>
      </c>
      <c r="BS21" s="75">
        <v>0.98899999999999999</v>
      </c>
      <c r="BT21" s="62"/>
    </row>
    <row r="22" spans="1:72" s="63" customFormat="1">
      <c r="A22" s="53" t="s">
        <v>123</v>
      </c>
      <c r="B22" s="53" t="s">
        <v>124</v>
      </c>
      <c r="C22" s="155" t="s">
        <v>339</v>
      </c>
      <c r="D22" s="78">
        <v>0.31583600000000001</v>
      </c>
      <c r="E22" s="78">
        <v>34.649163999999999</v>
      </c>
      <c r="F22" s="309" t="s">
        <v>350</v>
      </c>
      <c r="G22" s="198" t="s">
        <v>330</v>
      </c>
      <c r="H22" s="116" t="s">
        <v>347</v>
      </c>
      <c r="I22" s="154" t="s">
        <v>371</v>
      </c>
      <c r="J22" s="39" t="s">
        <v>688</v>
      </c>
      <c r="K22" s="53" t="s">
        <v>369</v>
      </c>
      <c r="L22" s="53" t="s">
        <v>685</v>
      </c>
      <c r="M22" s="53" t="s">
        <v>691</v>
      </c>
      <c r="N22" s="74">
        <v>4.2531120331946966</v>
      </c>
      <c r="O22" s="245">
        <v>5.93</v>
      </c>
      <c r="P22" s="75">
        <v>0.27227999999999997</v>
      </c>
      <c r="Q22" s="245">
        <v>13.5</v>
      </c>
      <c r="R22" s="75">
        <v>2.4700000000000002</v>
      </c>
      <c r="S22" s="246">
        <v>1590</v>
      </c>
      <c r="T22" s="246">
        <v>1449</v>
      </c>
      <c r="U22" s="246">
        <v>68960</v>
      </c>
      <c r="V22" s="246">
        <v>717</v>
      </c>
      <c r="W22" s="246">
        <v>370</v>
      </c>
      <c r="X22" s="246">
        <v>15124</v>
      </c>
      <c r="Y22" s="246" t="s">
        <v>125</v>
      </c>
      <c r="Z22" s="246">
        <v>1675.2</v>
      </c>
      <c r="AA22" s="245">
        <v>309.2</v>
      </c>
      <c r="AB22" s="245">
        <v>387.2</v>
      </c>
      <c r="AC22" s="245">
        <v>4042.9</v>
      </c>
      <c r="AD22" s="246">
        <v>132612</v>
      </c>
      <c r="AE22" s="245">
        <v>68.06</v>
      </c>
      <c r="AF22" s="245">
        <v>82.46</v>
      </c>
      <c r="AG22" s="245">
        <v>182.71</v>
      </c>
      <c r="AH22" s="245">
        <v>303</v>
      </c>
      <c r="AI22" s="245">
        <v>17.899999999999999</v>
      </c>
      <c r="AJ22" s="245">
        <v>454</v>
      </c>
      <c r="AK22" s="245">
        <v>3.5</v>
      </c>
      <c r="AL22" s="245">
        <v>56.32</v>
      </c>
      <c r="AM22" s="245">
        <v>54.5</v>
      </c>
      <c r="AN22" s="75">
        <v>22.370999999999999</v>
      </c>
      <c r="AO22" s="75">
        <v>151.03</v>
      </c>
      <c r="AP22" s="75">
        <v>23.492999999999999</v>
      </c>
      <c r="AQ22" s="75">
        <v>20.34</v>
      </c>
      <c r="AR22" s="75">
        <v>0.59599999999999997</v>
      </c>
      <c r="AS22" s="75">
        <v>0.58799999999999997</v>
      </c>
      <c r="AT22" s="75">
        <v>1.91</v>
      </c>
      <c r="AU22" s="75">
        <v>19.510999999999999</v>
      </c>
      <c r="AV22" s="75">
        <v>3.5760000000000001</v>
      </c>
      <c r="AW22" s="245">
        <v>540.76</v>
      </c>
      <c r="AX22" s="245">
        <v>42.048999999999999</v>
      </c>
      <c r="AY22" s="245">
        <v>165.55500000000001</v>
      </c>
      <c r="AZ22" s="75">
        <v>7.5270000000000001</v>
      </c>
      <c r="BA22" s="75">
        <v>27.47</v>
      </c>
      <c r="BB22" s="75">
        <v>5.4569999999999999</v>
      </c>
      <c r="BC22" s="75">
        <v>1.2410000000000001</v>
      </c>
      <c r="BD22" s="75">
        <v>4.7469999999999999</v>
      </c>
      <c r="BE22" s="75">
        <v>0.75900000000000001</v>
      </c>
      <c r="BF22" s="75">
        <v>4.5</v>
      </c>
      <c r="BG22" s="75">
        <v>0.88200000000000001</v>
      </c>
      <c r="BH22" s="75">
        <v>2.4550000000000001</v>
      </c>
      <c r="BI22" s="75">
        <v>0.38600000000000001</v>
      </c>
      <c r="BJ22" s="75">
        <v>2.4329999999999998</v>
      </c>
      <c r="BK22" s="75">
        <v>0.37</v>
      </c>
      <c r="BL22" s="75">
        <v>3.6429999999999998</v>
      </c>
      <c r="BM22" s="75">
        <v>1.244</v>
      </c>
      <c r="BN22" s="75">
        <v>14.798999999999999</v>
      </c>
      <c r="BO22" s="75">
        <v>1.6180000000000001</v>
      </c>
      <c r="BP22" s="75">
        <v>131.4</v>
      </c>
      <c r="BQ22" s="75">
        <v>0.74</v>
      </c>
      <c r="BR22" s="75">
        <v>5.2939999999999996</v>
      </c>
      <c r="BS22" s="75">
        <v>2.9489999999999998</v>
      </c>
      <c r="BT22" s="62"/>
    </row>
    <row r="23" spans="1:72" s="63" customFormat="1">
      <c r="A23" s="53" t="s">
        <v>126</v>
      </c>
      <c r="B23" s="53" t="s">
        <v>127</v>
      </c>
      <c r="C23" s="155" t="s">
        <v>339</v>
      </c>
      <c r="D23" s="78">
        <v>0.31583600000000001</v>
      </c>
      <c r="E23" s="78">
        <v>34.649163999999999</v>
      </c>
      <c r="F23" s="78" t="s">
        <v>350</v>
      </c>
      <c r="G23" s="53" t="s">
        <v>330</v>
      </c>
      <c r="H23" s="116" t="s">
        <v>347</v>
      </c>
      <c r="I23" s="154" t="s">
        <v>371</v>
      </c>
      <c r="J23" s="39" t="s">
        <v>688</v>
      </c>
      <c r="K23" s="53" t="s">
        <v>369</v>
      </c>
      <c r="L23" s="53" t="s">
        <v>685</v>
      </c>
      <c r="M23" s="53" t="s">
        <v>691</v>
      </c>
      <c r="N23" s="74">
        <v>0.79406001856242359</v>
      </c>
      <c r="O23" s="245">
        <v>7.73</v>
      </c>
      <c r="P23" s="75">
        <v>1.8449099999999998</v>
      </c>
      <c r="Q23" s="245">
        <v>13.5</v>
      </c>
      <c r="R23" s="75">
        <v>0.73</v>
      </c>
      <c r="S23" s="246">
        <v>17178</v>
      </c>
      <c r="T23" s="246">
        <v>20696</v>
      </c>
      <c r="U23" s="246">
        <v>54702</v>
      </c>
      <c r="V23" s="246">
        <v>685</v>
      </c>
      <c r="W23" s="246">
        <v>8571</v>
      </c>
      <c r="X23" s="246">
        <v>11893</v>
      </c>
      <c r="Y23" s="246">
        <v>31890</v>
      </c>
      <c r="Z23" s="246">
        <v>2509.8000000000002</v>
      </c>
      <c r="AA23" s="245">
        <v>119.8</v>
      </c>
      <c r="AB23" s="245">
        <v>128.6</v>
      </c>
      <c r="AC23" s="245">
        <v>628.1</v>
      </c>
      <c r="AD23" s="246">
        <v>56591</v>
      </c>
      <c r="AE23" s="245">
        <v>31.574999999999999</v>
      </c>
      <c r="AF23" s="245">
        <v>49.89</v>
      </c>
      <c r="AG23" s="245">
        <v>499.22</v>
      </c>
      <c r="AH23" s="245">
        <v>140</v>
      </c>
      <c r="AI23" s="245">
        <v>11.47</v>
      </c>
      <c r="AJ23" s="245">
        <v>21.5</v>
      </c>
      <c r="AK23" s="245">
        <v>1.1599999999999999</v>
      </c>
      <c r="AL23" s="245">
        <v>41.18</v>
      </c>
      <c r="AM23" s="245">
        <v>353.46</v>
      </c>
      <c r="AN23" s="75">
        <v>9.8919999999999995</v>
      </c>
      <c r="AO23" s="75">
        <v>43.17</v>
      </c>
      <c r="AP23" s="75">
        <v>3.3119999999999998</v>
      </c>
      <c r="AQ23" s="75">
        <v>4.41</v>
      </c>
      <c r="AR23" s="75">
        <v>7.2999999999999995E-2</v>
      </c>
      <c r="AS23" s="75">
        <v>0.14299999999999999</v>
      </c>
      <c r="AT23" s="75">
        <v>1.3</v>
      </c>
      <c r="AU23" s="75">
        <v>0.48</v>
      </c>
      <c r="AV23" s="75">
        <v>2.8849999999999998</v>
      </c>
      <c r="AW23" s="245">
        <v>571.86</v>
      </c>
      <c r="AX23" s="245">
        <v>18.213999999999999</v>
      </c>
      <c r="AY23" s="245">
        <v>36.99</v>
      </c>
      <c r="AZ23" s="75">
        <v>4.4740000000000002</v>
      </c>
      <c r="BA23" s="75">
        <v>18.18</v>
      </c>
      <c r="BB23" s="75">
        <v>3.5219999999999998</v>
      </c>
      <c r="BC23" s="75">
        <v>0.79200000000000004</v>
      </c>
      <c r="BD23" s="75">
        <v>2.5489999999999999</v>
      </c>
      <c r="BE23" s="75">
        <v>0.34699999999999998</v>
      </c>
      <c r="BF23" s="75">
        <v>1.865</v>
      </c>
      <c r="BG23" s="75">
        <v>0.371</v>
      </c>
      <c r="BH23" s="75">
        <v>1.0369999999999999</v>
      </c>
      <c r="BI23" s="75">
        <v>0.155</v>
      </c>
      <c r="BJ23" s="75">
        <v>0.93400000000000005</v>
      </c>
      <c r="BK23" s="75">
        <v>0.14199999999999999</v>
      </c>
      <c r="BL23" s="75">
        <v>1.31</v>
      </c>
      <c r="BM23" s="75">
        <v>0.19800000000000001</v>
      </c>
      <c r="BN23" s="75">
        <v>29.606000000000002</v>
      </c>
      <c r="BO23" s="75">
        <v>0.20200000000000001</v>
      </c>
      <c r="BP23" s="75">
        <v>115.7</v>
      </c>
      <c r="BQ23" s="75">
        <v>43</v>
      </c>
      <c r="BR23" s="75">
        <v>2.831</v>
      </c>
      <c r="BS23" s="75">
        <v>0.82799999999999996</v>
      </c>
      <c r="BT23" s="62"/>
    </row>
    <row r="24" spans="1:72" s="52" customFormat="1">
      <c r="A24" s="53" t="s">
        <v>128</v>
      </c>
      <c r="B24" s="53" t="s">
        <v>129</v>
      </c>
      <c r="C24" s="155" t="s">
        <v>339</v>
      </c>
      <c r="D24" s="53">
        <v>0.31583600000000001</v>
      </c>
      <c r="E24" s="53">
        <v>34.649163999999999</v>
      </c>
      <c r="F24" s="53" t="s">
        <v>350</v>
      </c>
      <c r="G24" s="53" t="s">
        <v>330</v>
      </c>
      <c r="H24" s="116" t="s">
        <v>347</v>
      </c>
      <c r="I24" s="154" t="s">
        <v>371</v>
      </c>
      <c r="J24" s="39" t="s">
        <v>688</v>
      </c>
      <c r="K24" s="53" t="s">
        <v>365</v>
      </c>
      <c r="L24" s="53" t="s">
        <v>685</v>
      </c>
      <c r="M24" s="53" t="s">
        <v>691</v>
      </c>
      <c r="N24" s="74">
        <v>3.6973344797938408</v>
      </c>
      <c r="O24" s="245">
        <v>6.06</v>
      </c>
      <c r="P24" s="75">
        <v>0.52349000000000001</v>
      </c>
      <c r="Q24" s="245">
        <v>13</v>
      </c>
      <c r="R24" s="75">
        <v>2.04</v>
      </c>
      <c r="S24" s="246">
        <v>1918</v>
      </c>
      <c r="T24" s="246">
        <v>1782</v>
      </c>
      <c r="U24" s="246">
        <v>65252</v>
      </c>
      <c r="V24" s="246">
        <v>697</v>
      </c>
      <c r="W24" s="246">
        <v>603</v>
      </c>
      <c r="X24" s="246">
        <v>14747</v>
      </c>
      <c r="Y24" s="246">
        <v>1448</v>
      </c>
      <c r="Z24" s="246">
        <v>1704.4</v>
      </c>
      <c r="AA24" s="245">
        <v>297.5</v>
      </c>
      <c r="AB24" s="245">
        <v>370.7</v>
      </c>
      <c r="AC24" s="245">
        <v>3711.9</v>
      </c>
      <c r="AD24" s="246">
        <v>126523</v>
      </c>
      <c r="AE24" s="245">
        <v>67.268000000000001</v>
      </c>
      <c r="AF24" s="245">
        <v>80.97</v>
      </c>
      <c r="AG24" s="245">
        <v>183.43</v>
      </c>
      <c r="AH24" s="245">
        <v>301</v>
      </c>
      <c r="AI24" s="245">
        <v>16.989999999999998</v>
      </c>
      <c r="AJ24" s="245">
        <v>440</v>
      </c>
      <c r="AK24" s="245">
        <v>3.5</v>
      </c>
      <c r="AL24" s="245">
        <v>53.58</v>
      </c>
      <c r="AM24" s="245">
        <v>57.87</v>
      </c>
      <c r="AN24" s="75">
        <v>21.798999999999999</v>
      </c>
      <c r="AO24" s="75">
        <v>144.25</v>
      </c>
      <c r="AP24" s="75">
        <v>22.564</v>
      </c>
      <c r="AQ24" s="75">
        <v>20.87</v>
      </c>
      <c r="AR24" s="75">
        <v>0.67500000000000004</v>
      </c>
      <c r="AS24" s="75">
        <v>0.628</v>
      </c>
      <c r="AT24" s="75">
        <v>1.77</v>
      </c>
      <c r="AU24" s="75">
        <v>18.425999999999998</v>
      </c>
      <c r="AV24" s="75">
        <v>3.52</v>
      </c>
      <c r="AW24" s="245">
        <v>498.17</v>
      </c>
      <c r="AX24" s="245">
        <v>39.005000000000003</v>
      </c>
      <c r="AY24" s="245">
        <v>140.447</v>
      </c>
      <c r="AZ24" s="75">
        <v>7.2450000000000001</v>
      </c>
      <c r="BA24" s="75">
        <v>26.54</v>
      </c>
      <c r="BB24" s="75">
        <v>5.452</v>
      </c>
      <c r="BC24" s="75">
        <v>1.248</v>
      </c>
      <c r="BD24" s="75">
        <v>4.6509999999999998</v>
      </c>
      <c r="BE24" s="75">
        <v>0.74199999999999999</v>
      </c>
      <c r="BF24" s="75">
        <v>4.4020000000000001</v>
      </c>
      <c r="BG24" s="75">
        <v>0.85699999999999998</v>
      </c>
      <c r="BH24" s="75">
        <v>2.4300000000000002</v>
      </c>
      <c r="BI24" s="75">
        <v>0.36299999999999999</v>
      </c>
      <c r="BJ24" s="75">
        <v>2.34</v>
      </c>
      <c r="BK24" s="75">
        <v>0.35399999999999998</v>
      </c>
      <c r="BL24" s="75">
        <v>3.5840000000000001</v>
      </c>
      <c r="BM24" s="75">
        <v>1.216</v>
      </c>
      <c r="BN24" s="75">
        <v>15.074</v>
      </c>
      <c r="BO24" s="75">
        <v>1.5129999999999999</v>
      </c>
      <c r="BP24" s="75">
        <v>124.3</v>
      </c>
      <c r="BQ24" s="75">
        <v>1.76</v>
      </c>
      <c r="BR24" s="75">
        <v>5.7469999999999999</v>
      </c>
      <c r="BS24" s="75">
        <v>2.8050000000000002</v>
      </c>
      <c r="BT24" s="248"/>
    </row>
    <row r="25" spans="1:72" s="52" customFormat="1">
      <c r="A25" s="53" t="s">
        <v>130</v>
      </c>
      <c r="B25" s="53" t="s">
        <v>131</v>
      </c>
      <c r="C25" s="155" t="s">
        <v>339</v>
      </c>
      <c r="D25" s="53">
        <v>0.31583600000000001</v>
      </c>
      <c r="E25" s="53">
        <v>34.649163999999999</v>
      </c>
      <c r="F25" s="53" t="s">
        <v>350</v>
      </c>
      <c r="G25" s="53" t="s">
        <v>330</v>
      </c>
      <c r="H25" s="116" t="s">
        <v>347</v>
      </c>
      <c r="I25" s="154" t="s">
        <v>371</v>
      </c>
      <c r="J25" s="39" t="s">
        <v>688</v>
      </c>
      <c r="K25" s="53" t="s">
        <v>365</v>
      </c>
      <c r="L25" s="53" t="s">
        <v>685</v>
      </c>
      <c r="M25" s="53" t="s">
        <v>691</v>
      </c>
      <c r="N25" s="74">
        <v>0.97556609684054996</v>
      </c>
      <c r="O25" s="245">
        <v>7.63</v>
      </c>
      <c r="P25" s="162">
        <v>2.0906000000000002</v>
      </c>
      <c r="Q25" s="245">
        <v>13</v>
      </c>
      <c r="R25" s="75">
        <v>0.64</v>
      </c>
      <c r="S25" s="246">
        <v>16805</v>
      </c>
      <c r="T25" s="246">
        <v>20546</v>
      </c>
      <c r="U25" s="246">
        <v>53755</v>
      </c>
      <c r="V25" s="246">
        <v>705</v>
      </c>
      <c r="W25" s="246">
        <v>9066</v>
      </c>
      <c r="X25" s="246">
        <v>11470</v>
      </c>
      <c r="Y25" s="246">
        <v>32840</v>
      </c>
      <c r="Z25" s="246">
        <v>2464.6999999999998</v>
      </c>
      <c r="AA25" s="245">
        <v>118.8</v>
      </c>
      <c r="AB25" s="245">
        <v>132.1</v>
      </c>
      <c r="AC25" s="245">
        <v>647.29999999999995</v>
      </c>
      <c r="AD25" s="246">
        <v>56966</v>
      </c>
      <c r="AE25" s="245">
        <v>32.588000000000001</v>
      </c>
      <c r="AF25" s="245">
        <v>50.08</v>
      </c>
      <c r="AG25" s="245">
        <v>459.23</v>
      </c>
      <c r="AH25" s="245">
        <v>123</v>
      </c>
      <c r="AI25" s="245">
        <v>12.01</v>
      </c>
      <c r="AJ25" s="245">
        <v>20.7</v>
      </c>
      <c r="AK25" s="245">
        <v>1.1599999999999999</v>
      </c>
      <c r="AL25" s="245">
        <v>40.39</v>
      </c>
      <c r="AM25" s="245">
        <v>359.13</v>
      </c>
      <c r="AN25" s="75">
        <v>10.574</v>
      </c>
      <c r="AO25" s="75">
        <v>45.14</v>
      </c>
      <c r="AP25" s="75">
        <v>4.8760000000000003</v>
      </c>
      <c r="AQ25" s="75">
        <v>4.58</v>
      </c>
      <c r="AR25" s="75">
        <v>5.6000000000000001E-2</v>
      </c>
      <c r="AS25" s="75">
        <v>0.14599999999999999</v>
      </c>
      <c r="AT25" s="75">
        <v>1.24</v>
      </c>
      <c r="AU25" s="75">
        <v>0.53400000000000003</v>
      </c>
      <c r="AV25" s="75">
        <v>2.7519999999999998</v>
      </c>
      <c r="AW25" s="245">
        <v>571.62</v>
      </c>
      <c r="AX25" s="245">
        <v>19.815999999999999</v>
      </c>
      <c r="AY25" s="245">
        <v>39.947000000000003</v>
      </c>
      <c r="AZ25" s="75">
        <v>4.79</v>
      </c>
      <c r="BA25" s="75">
        <v>19.18</v>
      </c>
      <c r="BB25" s="75">
        <v>3.6459999999999999</v>
      </c>
      <c r="BC25" s="75">
        <v>0.85599999999999998</v>
      </c>
      <c r="BD25" s="75">
        <v>2.7749999999999999</v>
      </c>
      <c r="BE25" s="75">
        <v>0.35299999999999998</v>
      </c>
      <c r="BF25" s="75">
        <v>2.0179999999999998</v>
      </c>
      <c r="BG25" s="75">
        <v>0.39500000000000002</v>
      </c>
      <c r="BH25" s="75">
        <v>1.06</v>
      </c>
      <c r="BI25" s="75">
        <v>0.156</v>
      </c>
      <c r="BJ25" s="75">
        <v>0.98699999999999999</v>
      </c>
      <c r="BK25" s="75">
        <v>0.151</v>
      </c>
      <c r="BL25" s="75">
        <v>1.349</v>
      </c>
      <c r="BM25" s="75">
        <v>0.222</v>
      </c>
      <c r="BN25" s="75">
        <v>29.442</v>
      </c>
      <c r="BO25" s="75">
        <v>0.188</v>
      </c>
      <c r="BP25" s="75">
        <v>99.4</v>
      </c>
      <c r="BQ25" s="75">
        <v>43.6</v>
      </c>
      <c r="BR25" s="75">
        <v>2.899</v>
      </c>
      <c r="BS25" s="75">
        <v>0.87</v>
      </c>
      <c r="BT25" s="248"/>
    </row>
    <row r="26" spans="1:72" s="52" customFormat="1">
      <c r="A26" s="53" t="s">
        <v>132</v>
      </c>
      <c r="B26" s="53" t="s">
        <v>133</v>
      </c>
      <c r="C26" s="155" t="s">
        <v>339</v>
      </c>
      <c r="D26" s="53">
        <v>0.31578899999999999</v>
      </c>
      <c r="E26" s="53">
        <v>34.648187999999998</v>
      </c>
      <c r="F26" s="53" t="s">
        <v>350</v>
      </c>
      <c r="G26" s="53" t="s">
        <v>330</v>
      </c>
      <c r="H26" s="116" t="s">
        <v>347</v>
      </c>
      <c r="I26" s="154" t="s">
        <v>371</v>
      </c>
      <c r="J26" s="39" t="s">
        <v>688</v>
      </c>
      <c r="K26" s="53" t="s">
        <v>367</v>
      </c>
      <c r="L26" s="53" t="s">
        <v>684</v>
      </c>
      <c r="M26" s="53" t="s">
        <v>683</v>
      </c>
      <c r="N26" s="74">
        <v>2.86233044964237</v>
      </c>
      <c r="O26" s="245">
        <v>5.08</v>
      </c>
      <c r="P26" s="162">
        <v>5.6399999999999999E-2</v>
      </c>
      <c r="Q26" s="245">
        <v>14.1</v>
      </c>
      <c r="R26" s="75">
        <v>1.64</v>
      </c>
      <c r="S26" s="246">
        <v>24249</v>
      </c>
      <c r="T26" s="246">
        <v>3303</v>
      </c>
      <c r="U26" s="246">
        <v>76102</v>
      </c>
      <c r="V26" s="246">
        <v>478</v>
      </c>
      <c r="W26" s="246">
        <v>120</v>
      </c>
      <c r="X26" s="246">
        <v>23134</v>
      </c>
      <c r="Y26" s="246">
        <v>9378</v>
      </c>
      <c r="Z26" s="246">
        <v>2673.4</v>
      </c>
      <c r="AA26" s="245">
        <v>60.8</v>
      </c>
      <c r="AB26" s="245">
        <v>48.1</v>
      </c>
      <c r="AC26" s="245">
        <v>633.5</v>
      </c>
      <c r="AD26" s="246">
        <v>26008</v>
      </c>
      <c r="AE26" s="245">
        <v>13.172000000000001</v>
      </c>
      <c r="AF26" s="245">
        <v>19.02</v>
      </c>
      <c r="AG26" s="245">
        <v>9.73</v>
      </c>
      <c r="AH26" s="245">
        <v>41</v>
      </c>
      <c r="AI26" s="245">
        <v>16.7</v>
      </c>
      <c r="AJ26" s="245">
        <v>1.4</v>
      </c>
      <c r="AK26" s="245">
        <v>0.2</v>
      </c>
      <c r="AL26" s="245">
        <v>60.93</v>
      </c>
      <c r="AM26" s="245">
        <v>504.26</v>
      </c>
      <c r="AN26" s="75">
        <v>9.31</v>
      </c>
      <c r="AO26" s="75">
        <v>62.31</v>
      </c>
      <c r="AP26" s="75">
        <v>12.492000000000001</v>
      </c>
      <c r="AQ26" s="75">
        <v>0.59</v>
      </c>
      <c r="AR26" s="75">
        <v>3.5000000000000003E-2</v>
      </c>
      <c r="AS26" s="75">
        <v>3.1E-2</v>
      </c>
      <c r="AT26" s="75">
        <v>1.4</v>
      </c>
      <c r="AU26" s="75">
        <v>9.7000000000000003E-2</v>
      </c>
      <c r="AV26" s="75">
        <v>1.4590000000000001</v>
      </c>
      <c r="AW26" s="245">
        <v>1113.94</v>
      </c>
      <c r="AX26" s="245">
        <v>27.832000000000001</v>
      </c>
      <c r="AY26" s="245">
        <v>69.070999999999998</v>
      </c>
      <c r="AZ26" s="75">
        <v>6.2249999999999996</v>
      </c>
      <c r="BA26" s="75">
        <v>23.78</v>
      </c>
      <c r="BB26" s="75">
        <v>4.0949999999999998</v>
      </c>
      <c r="BC26" s="75">
        <v>0.97799999999999998</v>
      </c>
      <c r="BD26" s="75">
        <v>2.7170000000000001</v>
      </c>
      <c r="BE26" s="75">
        <v>0.35499999999999998</v>
      </c>
      <c r="BF26" s="75">
        <v>1.778</v>
      </c>
      <c r="BG26" s="75">
        <v>0.34100000000000003</v>
      </c>
      <c r="BH26" s="75">
        <v>0.92600000000000005</v>
      </c>
      <c r="BI26" s="75">
        <v>0.13800000000000001</v>
      </c>
      <c r="BJ26" s="75">
        <v>0.83799999999999997</v>
      </c>
      <c r="BK26" s="75">
        <v>0.121</v>
      </c>
      <c r="BL26" s="75">
        <v>1.8440000000000001</v>
      </c>
      <c r="BM26" s="75">
        <v>0.78800000000000003</v>
      </c>
      <c r="BN26" s="75">
        <v>0.68100000000000005</v>
      </c>
      <c r="BO26" s="75">
        <v>0.313</v>
      </c>
      <c r="BP26" s="75">
        <v>16.7</v>
      </c>
      <c r="BQ26" s="75">
        <v>0.41</v>
      </c>
      <c r="BR26" s="75">
        <v>5.3090000000000002</v>
      </c>
      <c r="BS26" s="75">
        <v>2.1880000000000002</v>
      </c>
      <c r="BT26" s="248"/>
    </row>
    <row r="27" spans="1:72">
      <c r="A27" s="53" t="s">
        <v>134</v>
      </c>
      <c r="B27" s="53" t="s">
        <v>135</v>
      </c>
      <c r="C27" s="155" t="s">
        <v>340</v>
      </c>
      <c r="D27" s="53">
        <v>0.25193900000000002</v>
      </c>
      <c r="E27" s="53">
        <v>34.723801000000002</v>
      </c>
      <c r="F27" s="53" t="s">
        <v>372</v>
      </c>
      <c r="G27" s="53" t="s">
        <v>330</v>
      </c>
      <c r="H27" s="116" t="s">
        <v>347</v>
      </c>
      <c r="I27" s="154" t="s">
        <v>371</v>
      </c>
      <c r="J27" s="39" t="s">
        <v>688</v>
      </c>
      <c r="K27" s="53" t="s">
        <v>367</v>
      </c>
      <c r="L27" s="53" t="s">
        <v>684</v>
      </c>
      <c r="M27" s="53" t="s">
        <v>683</v>
      </c>
      <c r="N27" s="74">
        <v>6.1727193067862345</v>
      </c>
      <c r="O27" s="245">
        <v>4.62</v>
      </c>
      <c r="P27" s="162">
        <v>4.8073999999999995</v>
      </c>
      <c r="Q27" s="245">
        <v>13.4</v>
      </c>
      <c r="R27" s="75">
        <v>1.52</v>
      </c>
      <c r="S27" s="246">
        <v>1879</v>
      </c>
      <c r="T27" s="246">
        <v>2933</v>
      </c>
      <c r="U27" s="246">
        <v>72603</v>
      </c>
      <c r="V27" s="246">
        <v>846</v>
      </c>
      <c r="W27" s="246">
        <v>309</v>
      </c>
      <c r="X27" s="246">
        <v>5925</v>
      </c>
      <c r="Y27" s="246">
        <v>2282</v>
      </c>
      <c r="Z27" s="246">
        <v>6109.8</v>
      </c>
      <c r="AA27" s="245">
        <v>200.2</v>
      </c>
      <c r="AB27" s="245">
        <v>312.3</v>
      </c>
      <c r="AC27" s="245">
        <v>3529</v>
      </c>
      <c r="AD27" s="246">
        <v>86803</v>
      </c>
      <c r="AE27" s="245">
        <v>59.094999999999999</v>
      </c>
      <c r="AF27" s="245">
        <v>115.55</v>
      </c>
      <c r="AG27" s="245">
        <v>116.02</v>
      </c>
      <c r="AH27" s="245">
        <v>93</v>
      </c>
      <c r="AI27" s="245">
        <v>17.53</v>
      </c>
      <c r="AJ27" s="245">
        <v>7.4</v>
      </c>
      <c r="AK27" s="245">
        <v>1.1100000000000001</v>
      </c>
      <c r="AL27" s="245">
        <v>54.23</v>
      </c>
      <c r="AM27" s="245">
        <v>45.87</v>
      </c>
      <c r="AN27" s="75">
        <v>29.547999999999998</v>
      </c>
      <c r="AO27" s="75">
        <v>204.6</v>
      </c>
      <c r="AP27" s="75">
        <v>44.095999999999997</v>
      </c>
      <c r="AQ27" s="75">
        <v>3.34</v>
      </c>
      <c r="AR27" s="75">
        <v>0.188</v>
      </c>
      <c r="AS27" s="75">
        <v>0.29399999999999998</v>
      </c>
      <c r="AT27" s="75">
        <v>2.34</v>
      </c>
      <c r="AU27" s="75">
        <v>0.66400000000000003</v>
      </c>
      <c r="AV27" s="75">
        <v>2.8690000000000002</v>
      </c>
      <c r="AW27" s="245">
        <v>304.16000000000003</v>
      </c>
      <c r="AX27" s="245">
        <v>45.433999999999997</v>
      </c>
      <c r="AY27" s="245">
        <v>100.018</v>
      </c>
      <c r="AZ27" s="75">
        <v>9.1430000000000007</v>
      </c>
      <c r="BA27" s="75">
        <v>34.090000000000003</v>
      </c>
      <c r="BB27" s="75">
        <v>6.5179999999999998</v>
      </c>
      <c r="BC27" s="75">
        <v>1.3480000000000001</v>
      </c>
      <c r="BD27" s="75">
        <v>5.6420000000000003</v>
      </c>
      <c r="BE27" s="75">
        <v>0.88900000000000001</v>
      </c>
      <c r="BF27" s="75">
        <v>5.3170000000000002</v>
      </c>
      <c r="BG27" s="75">
        <v>1.1000000000000001</v>
      </c>
      <c r="BH27" s="75">
        <v>3.0470000000000002</v>
      </c>
      <c r="BI27" s="75">
        <v>0.47599999999999998</v>
      </c>
      <c r="BJ27" s="75">
        <v>2.847</v>
      </c>
      <c r="BK27" s="75">
        <v>0.41899999999999998</v>
      </c>
      <c r="BL27" s="75">
        <v>5.3680000000000003</v>
      </c>
      <c r="BM27" s="75">
        <v>2.5059999999999998</v>
      </c>
      <c r="BN27" s="75">
        <v>3.4049999999999998</v>
      </c>
      <c r="BO27" s="75">
        <v>0.57899999999999996</v>
      </c>
      <c r="BP27" s="75">
        <v>15.9</v>
      </c>
      <c r="BQ27" s="75">
        <v>19.87</v>
      </c>
      <c r="BR27" s="75">
        <v>8.2119999999999997</v>
      </c>
      <c r="BS27" s="75">
        <v>2.4670000000000001</v>
      </c>
      <c r="BT27" s="39"/>
    </row>
    <row r="28" spans="1:72" s="63" customFormat="1">
      <c r="A28" s="53" t="s">
        <v>136</v>
      </c>
      <c r="B28" s="53" t="s">
        <v>137</v>
      </c>
      <c r="C28" s="155" t="s">
        <v>340</v>
      </c>
      <c r="D28" s="53">
        <v>0.25163200000000002</v>
      </c>
      <c r="E28" s="53">
        <v>34.723951</v>
      </c>
      <c r="F28" s="53" t="s">
        <v>372</v>
      </c>
      <c r="G28" s="53" t="s">
        <v>330</v>
      </c>
      <c r="H28" s="116" t="s">
        <v>347</v>
      </c>
      <c r="I28" s="154" t="s">
        <v>371</v>
      </c>
      <c r="J28" s="39" t="s">
        <v>688</v>
      </c>
      <c r="K28" s="53" t="s">
        <v>369</v>
      </c>
      <c r="L28" s="53" t="s">
        <v>685</v>
      </c>
      <c r="M28" s="53" t="s">
        <v>691</v>
      </c>
      <c r="N28" s="74">
        <v>2.0524864699274352</v>
      </c>
      <c r="O28" s="245">
        <v>8.24</v>
      </c>
      <c r="P28" s="162">
        <v>2.1796000000000002</v>
      </c>
      <c r="Q28" s="245">
        <v>10.4</v>
      </c>
      <c r="R28" s="75">
        <v>1.65</v>
      </c>
      <c r="S28" s="246">
        <v>13948</v>
      </c>
      <c r="T28" s="246">
        <v>11609</v>
      </c>
      <c r="U28" s="246">
        <v>59548</v>
      </c>
      <c r="V28" s="246">
        <v>561</v>
      </c>
      <c r="W28" s="246">
        <v>990</v>
      </c>
      <c r="X28" s="246">
        <v>12883</v>
      </c>
      <c r="Y28" s="246">
        <v>22373</v>
      </c>
      <c r="Z28" s="246">
        <v>2553.9</v>
      </c>
      <c r="AA28" s="245">
        <v>119.8</v>
      </c>
      <c r="AB28" s="245">
        <v>247.2</v>
      </c>
      <c r="AC28" s="245">
        <v>1093.5</v>
      </c>
      <c r="AD28" s="246">
        <v>45704</v>
      </c>
      <c r="AE28" s="245">
        <v>32.073</v>
      </c>
      <c r="AF28" s="245">
        <v>58.95</v>
      </c>
      <c r="AG28" s="245">
        <v>65.69</v>
      </c>
      <c r="AH28" s="245">
        <v>109</v>
      </c>
      <c r="AI28" s="245">
        <v>13.2</v>
      </c>
      <c r="AJ28" s="245">
        <v>622</v>
      </c>
      <c r="AK28" s="245">
        <v>0.39</v>
      </c>
      <c r="AL28" s="245">
        <v>46.41</v>
      </c>
      <c r="AM28" s="245">
        <v>247.82</v>
      </c>
      <c r="AN28" s="75">
        <v>13.103999999999999</v>
      </c>
      <c r="AO28" s="75">
        <v>89</v>
      </c>
      <c r="AP28" s="75">
        <v>9.327</v>
      </c>
      <c r="AQ28" s="75">
        <v>2.0699999999999998</v>
      </c>
      <c r="AR28" s="75">
        <v>0.22</v>
      </c>
      <c r="AS28" s="75">
        <v>0.46</v>
      </c>
      <c r="AT28" s="75">
        <v>1.04</v>
      </c>
      <c r="AU28" s="75">
        <v>1.8009999999999999</v>
      </c>
      <c r="AV28" s="75">
        <v>1.84</v>
      </c>
      <c r="AW28" s="245">
        <v>551.34</v>
      </c>
      <c r="AX28" s="245">
        <v>26.488</v>
      </c>
      <c r="AY28" s="245">
        <v>66.548000000000002</v>
      </c>
      <c r="AZ28" s="75">
        <v>6.19</v>
      </c>
      <c r="BA28" s="75">
        <v>24.61</v>
      </c>
      <c r="BB28" s="75">
        <v>4.5369999999999999</v>
      </c>
      <c r="BC28" s="75">
        <v>1.105</v>
      </c>
      <c r="BD28" s="75">
        <v>3.3180000000000001</v>
      </c>
      <c r="BE28" s="75">
        <v>0.45900000000000002</v>
      </c>
      <c r="BF28" s="75">
        <v>2.5110000000000001</v>
      </c>
      <c r="BG28" s="75">
        <v>0.47599999999999998</v>
      </c>
      <c r="BH28" s="75">
        <v>1.2889999999999999</v>
      </c>
      <c r="BI28" s="75">
        <v>0.191</v>
      </c>
      <c r="BJ28" s="75">
        <v>1.2210000000000001</v>
      </c>
      <c r="BK28" s="75">
        <v>0.189</v>
      </c>
      <c r="BL28" s="75">
        <v>2.4449999999999998</v>
      </c>
      <c r="BM28" s="75">
        <v>0.52900000000000003</v>
      </c>
      <c r="BN28" s="75">
        <v>10.821</v>
      </c>
      <c r="BO28" s="75">
        <v>0.27400000000000002</v>
      </c>
      <c r="BP28" s="75">
        <v>39</v>
      </c>
      <c r="BQ28" s="75">
        <v>20.47</v>
      </c>
      <c r="BR28" s="75">
        <v>4.3310000000000004</v>
      </c>
      <c r="BS28" s="75">
        <v>1.216</v>
      </c>
      <c r="BT28" s="62"/>
    </row>
    <row r="29" spans="1:72">
      <c r="A29" s="53" t="s">
        <v>138</v>
      </c>
      <c r="B29" s="53" t="s">
        <v>139</v>
      </c>
      <c r="C29" s="155" t="s">
        <v>340</v>
      </c>
      <c r="D29" s="53">
        <v>0.25232199999999999</v>
      </c>
      <c r="E29" s="53">
        <v>34.723750000000003</v>
      </c>
      <c r="F29" s="53" t="s">
        <v>372</v>
      </c>
      <c r="G29" s="53" t="s">
        <v>330</v>
      </c>
      <c r="H29" s="116" t="s">
        <v>347</v>
      </c>
      <c r="I29" s="154" t="s">
        <v>371</v>
      </c>
      <c r="J29" s="116" t="s">
        <v>687</v>
      </c>
      <c r="K29" s="53" t="s">
        <v>366</v>
      </c>
      <c r="L29" s="53" t="s">
        <v>684</v>
      </c>
      <c r="M29" s="53" t="s">
        <v>683</v>
      </c>
      <c r="N29" s="74">
        <v>6.7778490485355318</v>
      </c>
      <c r="O29" s="245">
        <v>5.29</v>
      </c>
      <c r="P29" s="162">
        <v>6.2413999999999996</v>
      </c>
      <c r="Q29" s="245">
        <v>18</v>
      </c>
      <c r="R29" s="75">
        <v>1.86</v>
      </c>
      <c r="S29" s="246">
        <v>1086</v>
      </c>
      <c r="T29" s="246">
        <v>2273</v>
      </c>
      <c r="U29" s="246">
        <v>88477</v>
      </c>
      <c r="V29" s="246">
        <v>890</v>
      </c>
      <c r="W29" s="246">
        <v>553</v>
      </c>
      <c r="X29" s="246">
        <v>5651</v>
      </c>
      <c r="Y29" s="246">
        <v>1263</v>
      </c>
      <c r="Z29" s="246">
        <v>6724.6</v>
      </c>
      <c r="AA29" s="245">
        <v>240.4</v>
      </c>
      <c r="AB29" s="245">
        <v>367.7</v>
      </c>
      <c r="AC29" s="245">
        <v>2148.3000000000002</v>
      </c>
      <c r="AD29" s="246">
        <v>104156</v>
      </c>
      <c r="AE29" s="245">
        <v>55.423999999999999</v>
      </c>
      <c r="AF29" s="245">
        <v>135.74</v>
      </c>
      <c r="AG29" s="245">
        <v>168.6</v>
      </c>
      <c r="AH29" s="245">
        <v>93</v>
      </c>
      <c r="AI29" s="245">
        <v>21.49</v>
      </c>
      <c r="AJ29" s="245">
        <v>11.9</v>
      </c>
      <c r="AK29" s="245">
        <v>1.26</v>
      </c>
      <c r="AL29" s="245">
        <v>60.93</v>
      </c>
      <c r="AM29" s="245">
        <v>29.38</v>
      </c>
      <c r="AN29" s="75">
        <v>21.327000000000002</v>
      </c>
      <c r="AO29" s="75">
        <v>241.16</v>
      </c>
      <c r="AP29" s="75">
        <v>52.359000000000002</v>
      </c>
      <c r="AQ29" s="75">
        <v>3.93</v>
      </c>
      <c r="AR29" s="75">
        <v>0.115</v>
      </c>
      <c r="AS29" s="75">
        <v>0.128</v>
      </c>
      <c r="AT29" s="75">
        <v>2.82</v>
      </c>
      <c r="AU29" s="75">
        <v>0.879</v>
      </c>
      <c r="AV29" s="75">
        <v>3.47</v>
      </c>
      <c r="AW29" s="245">
        <v>297</v>
      </c>
      <c r="AX29" s="245">
        <v>30.744</v>
      </c>
      <c r="AY29" s="245">
        <v>108.431</v>
      </c>
      <c r="AZ29" s="75">
        <v>7.702</v>
      </c>
      <c r="BA29" s="75">
        <v>30.64</v>
      </c>
      <c r="BB29" s="75">
        <v>6.25</v>
      </c>
      <c r="BC29" s="75">
        <v>1.2749999999999999</v>
      </c>
      <c r="BD29" s="75">
        <v>4.8929999999999998</v>
      </c>
      <c r="BE29" s="75">
        <v>0.77900000000000003</v>
      </c>
      <c r="BF29" s="75">
        <v>4.6920000000000002</v>
      </c>
      <c r="BG29" s="75">
        <v>0.93400000000000005</v>
      </c>
      <c r="BH29" s="75">
        <v>2.6949999999999998</v>
      </c>
      <c r="BI29" s="75">
        <v>0.42799999999999999</v>
      </c>
      <c r="BJ29" s="75">
        <v>2.7930000000000001</v>
      </c>
      <c r="BK29" s="75">
        <v>0.41499999999999998</v>
      </c>
      <c r="BL29" s="75">
        <v>6.3330000000000002</v>
      </c>
      <c r="BM29" s="75">
        <v>2.97</v>
      </c>
      <c r="BN29" s="75">
        <v>3.2160000000000002</v>
      </c>
      <c r="BO29" s="75">
        <v>0.55100000000000005</v>
      </c>
      <c r="BP29" s="75">
        <v>15.9</v>
      </c>
      <c r="BQ29" s="75">
        <v>17.690000000000001</v>
      </c>
      <c r="BR29" s="75">
        <v>9.3089999999999993</v>
      </c>
      <c r="BS29" s="75">
        <v>2.496</v>
      </c>
      <c r="BT29" s="39"/>
    </row>
    <row r="30" spans="1:72">
      <c r="A30" s="53" t="s">
        <v>140</v>
      </c>
      <c r="B30" s="53" t="s">
        <v>141</v>
      </c>
      <c r="C30" s="155" t="s">
        <v>340</v>
      </c>
      <c r="D30" s="53">
        <v>0.25163200000000002</v>
      </c>
      <c r="E30" s="53">
        <v>34.723951</v>
      </c>
      <c r="F30" s="53" t="s">
        <v>372</v>
      </c>
      <c r="G30" s="53" t="s">
        <v>330</v>
      </c>
      <c r="H30" s="116" t="s">
        <v>347</v>
      </c>
      <c r="I30" s="154" t="s">
        <v>371</v>
      </c>
      <c r="J30" s="116" t="s">
        <v>687</v>
      </c>
      <c r="K30" s="53" t="s">
        <v>365</v>
      </c>
      <c r="L30" s="53" t="s">
        <v>685</v>
      </c>
      <c r="M30" s="53" t="s">
        <v>691</v>
      </c>
      <c r="N30" s="74">
        <v>0.61279873938557605</v>
      </c>
      <c r="O30" s="245">
        <v>6.75</v>
      </c>
      <c r="P30" s="162">
        <v>1.7581</v>
      </c>
      <c r="Q30" s="245">
        <v>6.5</v>
      </c>
      <c r="R30" s="75">
        <v>0.36</v>
      </c>
      <c r="S30" s="246">
        <v>2154</v>
      </c>
      <c r="T30" s="246">
        <v>1050</v>
      </c>
      <c r="U30" s="246">
        <v>17726</v>
      </c>
      <c r="V30" s="246">
        <v>83</v>
      </c>
      <c r="W30" s="246">
        <v>1144</v>
      </c>
      <c r="X30" s="246">
        <v>5245</v>
      </c>
      <c r="Y30" s="246">
        <v>1707</v>
      </c>
      <c r="Z30" s="246">
        <v>561.1</v>
      </c>
      <c r="AA30" s="245">
        <v>20</v>
      </c>
      <c r="AB30" s="245">
        <v>76.599999999999994</v>
      </c>
      <c r="AC30" s="245">
        <v>220.3</v>
      </c>
      <c r="AD30" s="246">
        <v>9669</v>
      </c>
      <c r="AE30" s="245">
        <v>10.417</v>
      </c>
      <c r="AF30" s="245">
        <v>11.36</v>
      </c>
      <c r="AG30" s="245">
        <v>12.03</v>
      </c>
      <c r="AH30" s="245">
        <v>40</v>
      </c>
      <c r="AI30" s="245">
        <v>4.71</v>
      </c>
      <c r="AJ30" s="245">
        <v>831.3</v>
      </c>
      <c r="AK30" s="245">
        <v>0.15</v>
      </c>
      <c r="AL30" s="245">
        <v>21.64</v>
      </c>
      <c r="AM30" s="245">
        <v>34.630000000000003</v>
      </c>
      <c r="AN30" s="75">
        <v>4.2709999999999999</v>
      </c>
      <c r="AO30" s="75">
        <v>28.03</v>
      </c>
      <c r="AP30" s="75">
        <v>2.798</v>
      </c>
      <c r="AQ30" s="75">
        <v>1.1599999999999999</v>
      </c>
      <c r="AR30" s="75">
        <v>0.76600000000000001</v>
      </c>
      <c r="AS30" s="75">
        <v>0.222</v>
      </c>
      <c r="AT30" s="75">
        <v>0.45</v>
      </c>
      <c r="AU30" s="75">
        <v>1.502</v>
      </c>
      <c r="AV30" s="75">
        <v>0.97</v>
      </c>
      <c r="AW30" s="245">
        <v>181.24</v>
      </c>
      <c r="AX30" s="245">
        <v>13.723000000000001</v>
      </c>
      <c r="AY30" s="245">
        <v>19.565000000000001</v>
      </c>
      <c r="AZ30" s="75">
        <v>2.556</v>
      </c>
      <c r="BA30" s="75">
        <v>8.84</v>
      </c>
      <c r="BB30" s="75">
        <v>1.4079999999999999</v>
      </c>
      <c r="BC30" s="75">
        <v>0.317</v>
      </c>
      <c r="BD30" s="75">
        <v>1.07</v>
      </c>
      <c r="BE30" s="75">
        <v>0.15</v>
      </c>
      <c r="BF30" s="75">
        <v>0.82199999999999995</v>
      </c>
      <c r="BG30" s="75">
        <v>0.16400000000000001</v>
      </c>
      <c r="BH30" s="75">
        <v>0.45800000000000002</v>
      </c>
      <c r="BI30" s="75">
        <v>7.3999999999999996E-2</v>
      </c>
      <c r="BJ30" s="75">
        <v>0.45500000000000002</v>
      </c>
      <c r="BK30" s="75">
        <v>6.4000000000000001E-2</v>
      </c>
      <c r="BL30" s="75">
        <v>0.85299999999999998</v>
      </c>
      <c r="BM30" s="75">
        <v>0.189</v>
      </c>
      <c r="BN30" s="75">
        <v>19.896000000000001</v>
      </c>
      <c r="BO30" s="75">
        <v>0.16300000000000001</v>
      </c>
      <c r="BP30" s="75">
        <v>36.4</v>
      </c>
      <c r="BQ30" s="75">
        <v>1.66</v>
      </c>
      <c r="BR30" s="75">
        <v>3.2320000000000002</v>
      </c>
      <c r="BS30" s="75">
        <v>1.161</v>
      </c>
      <c r="BT30" s="39"/>
    </row>
    <row r="31" spans="1:72">
      <c r="A31" s="53" t="s">
        <v>142</v>
      </c>
      <c r="B31" s="53" t="s">
        <v>143</v>
      </c>
      <c r="C31" s="155" t="s">
        <v>340</v>
      </c>
      <c r="D31" s="53">
        <v>0.25163200000000002</v>
      </c>
      <c r="E31" s="53">
        <v>34.723951</v>
      </c>
      <c r="F31" s="53" t="s">
        <v>372</v>
      </c>
      <c r="G31" s="53" t="s">
        <v>330</v>
      </c>
      <c r="H31" s="116" t="s">
        <v>347</v>
      </c>
      <c r="I31" s="154" t="s">
        <v>371</v>
      </c>
      <c r="J31" s="116" t="s">
        <v>687</v>
      </c>
      <c r="K31" s="53" t="s">
        <v>365</v>
      </c>
      <c r="L31" s="53" t="s">
        <v>685</v>
      </c>
      <c r="M31" s="53" t="s">
        <v>691</v>
      </c>
      <c r="N31" s="74">
        <v>0.6478873239434878</v>
      </c>
      <c r="O31" s="245">
        <v>6.83</v>
      </c>
      <c r="P31" s="162">
        <v>1.7239</v>
      </c>
      <c r="Q31" s="245">
        <v>5.8</v>
      </c>
      <c r="R31" s="75">
        <v>0.37</v>
      </c>
      <c r="S31" s="246">
        <v>2144</v>
      </c>
      <c r="T31" s="246">
        <v>967</v>
      </c>
      <c r="U31" s="246">
        <v>16497</v>
      </c>
      <c r="V31" s="246">
        <v>73</v>
      </c>
      <c r="W31" s="246">
        <v>1183</v>
      </c>
      <c r="X31" s="246">
        <v>5018</v>
      </c>
      <c r="Y31" s="246">
        <v>1561</v>
      </c>
      <c r="Z31" s="246">
        <v>525</v>
      </c>
      <c r="AA31" s="245">
        <v>18</v>
      </c>
      <c r="AB31" s="245">
        <v>68.599999999999994</v>
      </c>
      <c r="AC31" s="245">
        <v>182</v>
      </c>
      <c r="AD31" s="246">
        <v>8561</v>
      </c>
      <c r="AE31" s="245">
        <v>8.9390000000000001</v>
      </c>
      <c r="AF31" s="245">
        <v>10.43</v>
      </c>
      <c r="AG31" s="245">
        <v>10.8</v>
      </c>
      <c r="AH31" s="245">
        <v>40</v>
      </c>
      <c r="AI31" s="245">
        <v>4.17</v>
      </c>
      <c r="AJ31" s="245">
        <v>780.8</v>
      </c>
      <c r="AK31" s="245">
        <v>0.13</v>
      </c>
      <c r="AL31" s="245">
        <v>20.88</v>
      </c>
      <c r="AM31" s="245">
        <v>33.229999999999997</v>
      </c>
      <c r="AN31" s="75">
        <v>3.875</v>
      </c>
      <c r="AO31" s="75">
        <v>25.94</v>
      </c>
      <c r="AP31" s="75">
        <v>2.7170000000000001</v>
      </c>
      <c r="AQ31" s="75">
        <v>1.03</v>
      </c>
      <c r="AR31" s="75">
        <v>1.429</v>
      </c>
      <c r="AS31" s="75">
        <v>0.16400000000000001</v>
      </c>
      <c r="AT31" s="75">
        <v>0.41</v>
      </c>
      <c r="AU31" s="75">
        <v>1.4710000000000001</v>
      </c>
      <c r="AV31" s="75">
        <v>0.89100000000000001</v>
      </c>
      <c r="AW31" s="245">
        <v>171.56</v>
      </c>
      <c r="AX31" s="245">
        <v>13.281000000000001</v>
      </c>
      <c r="AY31" s="245">
        <v>18.817</v>
      </c>
      <c r="AZ31" s="75">
        <v>2.4</v>
      </c>
      <c r="BA31" s="75">
        <v>8.32</v>
      </c>
      <c r="BB31" s="75">
        <v>1.353</v>
      </c>
      <c r="BC31" s="75">
        <v>0.29399999999999998</v>
      </c>
      <c r="BD31" s="75">
        <v>0.96099999999999997</v>
      </c>
      <c r="BE31" s="75">
        <v>0.13800000000000001</v>
      </c>
      <c r="BF31" s="75">
        <v>0.77</v>
      </c>
      <c r="BG31" s="75">
        <v>0.154</v>
      </c>
      <c r="BH31" s="75">
        <v>0.438</v>
      </c>
      <c r="BI31" s="75">
        <v>6.6000000000000003E-2</v>
      </c>
      <c r="BJ31" s="75">
        <v>0.41199999999999998</v>
      </c>
      <c r="BK31" s="75">
        <v>6.5000000000000002E-2</v>
      </c>
      <c r="BL31" s="75">
        <v>0.82399999999999995</v>
      </c>
      <c r="BM31" s="75">
        <v>0.18099999999999999</v>
      </c>
      <c r="BN31" s="75">
        <v>20.206</v>
      </c>
      <c r="BO31" s="75">
        <v>0.16500000000000001</v>
      </c>
      <c r="BP31" s="75">
        <v>35.9</v>
      </c>
      <c r="BQ31" s="75">
        <v>1.47</v>
      </c>
      <c r="BR31" s="75">
        <v>3.3839999999999999</v>
      </c>
      <c r="BS31" s="75">
        <v>1.1779999999999999</v>
      </c>
      <c r="BT31" s="39"/>
    </row>
    <row r="32" spans="1:72">
      <c r="A32" s="53" t="s">
        <v>144</v>
      </c>
      <c r="B32" s="53" t="s">
        <v>145</v>
      </c>
      <c r="C32" s="155" t="s">
        <v>340</v>
      </c>
      <c r="D32" s="53">
        <v>0.25722099999999998</v>
      </c>
      <c r="E32" s="53">
        <v>34.724355000000003</v>
      </c>
      <c r="F32" s="53" t="s">
        <v>373</v>
      </c>
      <c r="G32" s="53" t="s">
        <v>330</v>
      </c>
      <c r="H32" s="116" t="s">
        <v>347</v>
      </c>
      <c r="I32" s="154" t="s">
        <v>371</v>
      </c>
      <c r="J32" s="116" t="s">
        <v>687</v>
      </c>
      <c r="K32" s="53" t="s">
        <v>370</v>
      </c>
      <c r="L32" s="53" t="s">
        <v>684</v>
      </c>
      <c r="M32" s="53" t="s">
        <v>683</v>
      </c>
      <c r="N32" s="74">
        <v>5.455537370431049</v>
      </c>
      <c r="O32" s="245">
        <v>7.07</v>
      </c>
      <c r="P32" s="162">
        <v>9.7700000000000009E-2</v>
      </c>
      <c r="Q32" s="245">
        <v>10.8</v>
      </c>
      <c r="R32" s="75">
        <v>1.58</v>
      </c>
      <c r="S32" s="246">
        <v>7678</v>
      </c>
      <c r="T32" s="246">
        <v>3178</v>
      </c>
      <c r="U32" s="246">
        <v>61419</v>
      </c>
      <c r="V32" s="246">
        <v>479</v>
      </c>
      <c r="W32" s="246">
        <v>251</v>
      </c>
      <c r="X32" s="246">
        <v>21312</v>
      </c>
      <c r="Y32" s="246">
        <v>7198</v>
      </c>
      <c r="Z32" s="246">
        <v>3719.5</v>
      </c>
      <c r="AA32" s="245">
        <v>130.1</v>
      </c>
      <c r="AB32" s="245">
        <v>288.39999999999998</v>
      </c>
      <c r="AC32" s="245">
        <v>1529.2</v>
      </c>
      <c r="AD32" s="246">
        <v>57018</v>
      </c>
      <c r="AE32" s="245">
        <v>32.055999999999997</v>
      </c>
      <c r="AF32" s="245">
        <v>52.75</v>
      </c>
      <c r="AG32" s="245">
        <v>58.27</v>
      </c>
      <c r="AH32" s="245">
        <v>586</v>
      </c>
      <c r="AI32" s="245">
        <v>13.9</v>
      </c>
      <c r="AJ32" s="245">
        <v>4.9000000000000004</v>
      </c>
      <c r="AK32" s="245">
        <v>0.57999999999999996</v>
      </c>
      <c r="AL32" s="245">
        <v>92.74</v>
      </c>
      <c r="AM32" s="245">
        <v>166</v>
      </c>
      <c r="AN32" s="75">
        <v>13.728999999999999</v>
      </c>
      <c r="AO32" s="75">
        <v>125.15</v>
      </c>
      <c r="AP32" s="75">
        <v>25.986999999999998</v>
      </c>
      <c r="AQ32" s="75">
        <v>1.96</v>
      </c>
      <c r="AR32" s="75">
        <v>7.8E-2</v>
      </c>
      <c r="AS32" s="75">
        <v>0.16500000000000001</v>
      </c>
      <c r="AT32" s="75">
        <v>18.11</v>
      </c>
      <c r="AU32" s="75">
        <v>3.6840000000000002</v>
      </c>
      <c r="AV32" s="75">
        <v>2.5299999999999998</v>
      </c>
      <c r="AW32" s="245">
        <v>709.69</v>
      </c>
      <c r="AX32" s="245">
        <v>26.302</v>
      </c>
      <c r="AY32" s="245">
        <v>75.658000000000001</v>
      </c>
      <c r="AZ32" s="75">
        <v>5.4260000000000002</v>
      </c>
      <c r="BA32" s="75">
        <v>20.14</v>
      </c>
      <c r="BB32" s="75">
        <v>3.7639999999999998</v>
      </c>
      <c r="BC32" s="75">
        <v>0.86199999999999999</v>
      </c>
      <c r="BD32" s="75">
        <v>3.01</v>
      </c>
      <c r="BE32" s="75">
        <v>0.47099999999999997</v>
      </c>
      <c r="BF32" s="75">
        <v>2.593</v>
      </c>
      <c r="BG32" s="75">
        <v>0.51400000000000001</v>
      </c>
      <c r="BH32" s="75">
        <v>1.456</v>
      </c>
      <c r="BI32" s="75">
        <v>0.223</v>
      </c>
      <c r="BJ32" s="75">
        <v>1.4</v>
      </c>
      <c r="BK32" s="75">
        <v>0.21099999999999999</v>
      </c>
      <c r="BL32" s="75">
        <v>3.35</v>
      </c>
      <c r="BM32" s="75">
        <v>1.5349999999999999</v>
      </c>
      <c r="BN32" s="75">
        <v>1.7869999999999999</v>
      </c>
      <c r="BO32" s="75">
        <v>0.44600000000000001</v>
      </c>
      <c r="BP32" s="75">
        <v>36.200000000000003</v>
      </c>
      <c r="BQ32" s="75">
        <v>0.69</v>
      </c>
      <c r="BR32" s="75">
        <v>6.2409999999999997</v>
      </c>
      <c r="BS32" s="75">
        <v>1.649</v>
      </c>
      <c r="BT32" s="39"/>
    </row>
    <row r="33" spans="1:72">
      <c r="A33" s="53" t="s">
        <v>146</v>
      </c>
      <c r="B33" s="53" t="s">
        <v>147</v>
      </c>
      <c r="C33" s="155" t="s">
        <v>340</v>
      </c>
      <c r="D33" s="53">
        <v>0.25722099999999998</v>
      </c>
      <c r="E33" s="53">
        <v>34.724355000000003</v>
      </c>
      <c r="F33" s="53" t="s">
        <v>373</v>
      </c>
      <c r="G33" s="53" t="s">
        <v>330</v>
      </c>
      <c r="H33" s="116" t="s">
        <v>347</v>
      </c>
      <c r="I33" s="154" t="s">
        <v>371</v>
      </c>
      <c r="J33" s="116" t="s">
        <v>687</v>
      </c>
      <c r="K33" s="53" t="s">
        <v>368</v>
      </c>
      <c r="L33" s="53" t="s">
        <v>684</v>
      </c>
      <c r="M33" s="53" t="s">
        <v>683</v>
      </c>
      <c r="N33" s="74">
        <v>13.157069704253136</v>
      </c>
      <c r="O33" s="245">
        <v>5.07</v>
      </c>
      <c r="P33" s="162">
        <v>3.7010000000000001</v>
      </c>
      <c r="Q33" s="245">
        <v>12.4</v>
      </c>
      <c r="R33" s="75">
        <v>1.65</v>
      </c>
      <c r="S33" s="246">
        <v>5058</v>
      </c>
      <c r="T33" s="246">
        <v>4247</v>
      </c>
      <c r="U33" s="246">
        <v>65960</v>
      </c>
      <c r="V33" s="246">
        <v>951</v>
      </c>
      <c r="W33" s="246">
        <v>653</v>
      </c>
      <c r="X33" s="246">
        <v>15056</v>
      </c>
      <c r="Y33" s="246">
        <v>5783</v>
      </c>
      <c r="Z33" s="246">
        <v>3736.5</v>
      </c>
      <c r="AA33" s="245">
        <v>118.4</v>
      </c>
      <c r="AB33" s="245">
        <v>215</v>
      </c>
      <c r="AC33" s="245">
        <v>1629.2</v>
      </c>
      <c r="AD33" s="246">
        <v>62430</v>
      </c>
      <c r="AE33" s="245">
        <v>28.847999999999999</v>
      </c>
      <c r="AF33" s="245">
        <v>55.17</v>
      </c>
      <c r="AG33" s="245">
        <v>87.69</v>
      </c>
      <c r="AH33" s="245">
        <v>541</v>
      </c>
      <c r="AI33" s="245">
        <v>15.41</v>
      </c>
      <c r="AJ33" s="245">
        <v>12.2</v>
      </c>
      <c r="AK33" s="245">
        <v>0.73</v>
      </c>
      <c r="AL33" s="245">
        <v>73.03</v>
      </c>
      <c r="AM33" s="245">
        <v>142.52000000000001</v>
      </c>
      <c r="AN33" s="75">
        <v>14.725</v>
      </c>
      <c r="AO33" s="75">
        <v>127.34</v>
      </c>
      <c r="AP33" s="75">
        <v>25.829000000000001</v>
      </c>
      <c r="AQ33" s="75">
        <v>3.63</v>
      </c>
      <c r="AR33" s="75">
        <v>9.8000000000000004E-2</v>
      </c>
      <c r="AS33" s="75">
        <v>1.401</v>
      </c>
      <c r="AT33" s="75">
        <v>13.26</v>
      </c>
      <c r="AU33" s="75">
        <v>4.5599999999999996</v>
      </c>
      <c r="AV33" s="75">
        <v>2.448</v>
      </c>
      <c r="AW33" s="245">
        <v>636.5</v>
      </c>
      <c r="AX33" s="245">
        <v>28.233000000000001</v>
      </c>
      <c r="AY33" s="245">
        <v>81.677000000000007</v>
      </c>
      <c r="AZ33" s="75">
        <v>5.6189999999999998</v>
      </c>
      <c r="BA33" s="75">
        <v>20.82</v>
      </c>
      <c r="BB33" s="75">
        <v>3.851</v>
      </c>
      <c r="BC33" s="75">
        <v>0.88200000000000001</v>
      </c>
      <c r="BD33" s="75">
        <v>3.1619999999999999</v>
      </c>
      <c r="BE33" s="75">
        <v>0.48899999999999999</v>
      </c>
      <c r="BF33" s="75">
        <v>2.6760000000000002</v>
      </c>
      <c r="BG33" s="75">
        <v>0.53600000000000003</v>
      </c>
      <c r="BH33" s="75">
        <v>1.498</v>
      </c>
      <c r="BI33" s="75">
        <v>0.23</v>
      </c>
      <c r="BJ33" s="75">
        <v>1.4379999999999999</v>
      </c>
      <c r="BK33" s="75">
        <v>0.219</v>
      </c>
      <c r="BL33" s="75">
        <v>3.3620000000000001</v>
      </c>
      <c r="BM33" s="75">
        <v>1.496</v>
      </c>
      <c r="BN33" s="75">
        <v>2.6920000000000002</v>
      </c>
      <c r="BO33" s="75">
        <v>0.504</v>
      </c>
      <c r="BP33" s="75">
        <v>242.5</v>
      </c>
      <c r="BQ33" s="75">
        <v>1.01</v>
      </c>
      <c r="BR33" s="75">
        <v>11.731999999999999</v>
      </c>
      <c r="BS33" s="75">
        <v>1.907</v>
      </c>
      <c r="BT33" s="39"/>
    </row>
    <row r="34" spans="1:72">
      <c r="A34" s="53" t="s">
        <v>148</v>
      </c>
      <c r="B34" s="53" t="s">
        <v>149</v>
      </c>
      <c r="C34" s="155" t="s">
        <v>340</v>
      </c>
      <c r="D34" s="53">
        <v>0.26547500000000002</v>
      </c>
      <c r="E34" s="53">
        <v>34.728920000000002</v>
      </c>
      <c r="F34" s="53" t="s">
        <v>373</v>
      </c>
      <c r="G34" s="53" t="s">
        <v>330</v>
      </c>
      <c r="H34" s="116" t="s">
        <v>347</v>
      </c>
      <c r="I34" s="154" t="s">
        <v>371</v>
      </c>
      <c r="J34" s="116" t="s">
        <v>687</v>
      </c>
      <c r="K34" s="53" t="s">
        <v>370</v>
      </c>
      <c r="L34" s="53" t="s">
        <v>684</v>
      </c>
      <c r="M34" s="53" t="s">
        <v>683</v>
      </c>
      <c r="N34" s="74">
        <v>9.2577234086669513</v>
      </c>
      <c r="O34" s="245">
        <v>5.93</v>
      </c>
      <c r="P34" s="162">
        <v>8.3000000000000004E-2</v>
      </c>
      <c r="Q34" s="245">
        <v>19.899999999999999</v>
      </c>
      <c r="R34" s="75">
        <v>3.14</v>
      </c>
      <c r="S34" s="246">
        <v>3565</v>
      </c>
      <c r="T34" s="246">
        <v>3764</v>
      </c>
      <c r="U34" s="246">
        <v>78911</v>
      </c>
      <c r="V34" s="246">
        <v>713</v>
      </c>
      <c r="W34" s="246">
        <v>291</v>
      </c>
      <c r="X34" s="246">
        <v>13333</v>
      </c>
      <c r="Y34" s="246">
        <v>4652</v>
      </c>
      <c r="Z34" s="246">
        <v>5737.5</v>
      </c>
      <c r="AA34" s="245">
        <v>150.6</v>
      </c>
      <c r="AB34" s="245">
        <v>1195.9000000000001</v>
      </c>
      <c r="AC34" s="245">
        <v>2036.3</v>
      </c>
      <c r="AD34" s="246">
        <v>85091</v>
      </c>
      <c r="AE34" s="245">
        <v>65.412000000000006</v>
      </c>
      <c r="AF34" s="245">
        <v>369.65</v>
      </c>
      <c r="AG34" s="245">
        <v>53.95</v>
      </c>
      <c r="AH34" s="245">
        <v>102</v>
      </c>
      <c r="AI34" s="245">
        <v>19.010000000000002</v>
      </c>
      <c r="AJ34" s="245">
        <v>4.8</v>
      </c>
      <c r="AK34" s="245">
        <v>0.84</v>
      </c>
      <c r="AL34" s="245">
        <v>79.19</v>
      </c>
      <c r="AM34" s="245">
        <v>124.18</v>
      </c>
      <c r="AN34" s="75">
        <v>26.207999999999998</v>
      </c>
      <c r="AO34" s="75">
        <v>279.18</v>
      </c>
      <c r="AP34" s="75">
        <v>50.406999999999996</v>
      </c>
      <c r="AQ34" s="75">
        <v>3.16</v>
      </c>
      <c r="AR34" s="75">
        <v>6.4000000000000001E-2</v>
      </c>
      <c r="AS34" s="75">
        <v>0.14699999999999999</v>
      </c>
      <c r="AT34" s="75">
        <v>2.57</v>
      </c>
      <c r="AU34" s="75">
        <v>0.55300000000000005</v>
      </c>
      <c r="AV34" s="75">
        <v>3.1520000000000001</v>
      </c>
      <c r="AW34" s="245">
        <v>565.53</v>
      </c>
      <c r="AX34" s="245">
        <v>40.204999999999998</v>
      </c>
      <c r="AY34" s="245">
        <v>118.54900000000001</v>
      </c>
      <c r="AZ34" s="75">
        <v>8.16</v>
      </c>
      <c r="BA34" s="75">
        <v>31.29</v>
      </c>
      <c r="BB34" s="75">
        <v>6.2370000000000001</v>
      </c>
      <c r="BC34" s="75">
        <v>1.319</v>
      </c>
      <c r="BD34" s="75">
        <v>5.1959999999999997</v>
      </c>
      <c r="BE34" s="75">
        <v>0.81299999999999994</v>
      </c>
      <c r="BF34" s="75">
        <v>4.7229999999999999</v>
      </c>
      <c r="BG34" s="75">
        <v>0.96499999999999997</v>
      </c>
      <c r="BH34" s="75">
        <v>2.84</v>
      </c>
      <c r="BI34" s="75">
        <v>0.40300000000000002</v>
      </c>
      <c r="BJ34" s="75">
        <v>2.544</v>
      </c>
      <c r="BK34" s="75">
        <v>0.40400000000000003</v>
      </c>
      <c r="BL34" s="75">
        <v>6.7679999999999998</v>
      </c>
      <c r="BM34" s="75">
        <v>2.871</v>
      </c>
      <c r="BN34" s="75">
        <v>1.504</v>
      </c>
      <c r="BO34" s="75">
        <v>0.501</v>
      </c>
      <c r="BP34" s="75">
        <v>17.5</v>
      </c>
      <c r="BQ34" s="75">
        <v>0.21</v>
      </c>
      <c r="BR34" s="75">
        <v>8.9949999999999992</v>
      </c>
      <c r="BS34" s="75">
        <v>2.1960000000000002</v>
      </c>
      <c r="BT34" s="39"/>
    </row>
    <row r="35" spans="1:72">
      <c r="A35" s="53" t="s">
        <v>150</v>
      </c>
      <c r="B35" s="53" t="s">
        <v>151</v>
      </c>
      <c r="C35" s="155" t="s">
        <v>340</v>
      </c>
      <c r="D35" s="53">
        <v>0.26495800000000003</v>
      </c>
      <c r="E35" s="53">
        <v>34.729039</v>
      </c>
      <c r="F35" s="53" t="s">
        <v>373</v>
      </c>
      <c r="G35" s="53" t="s">
        <v>330</v>
      </c>
      <c r="H35" s="116" t="s">
        <v>347</v>
      </c>
      <c r="I35" s="154" t="s">
        <v>371</v>
      </c>
      <c r="J35" s="116" t="s">
        <v>687</v>
      </c>
      <c r="K35" s="53" t="s">
        <v>368</v>
      </c>
      <c r="L35" s="53" t="s">
        <v>684</v>
      </c>
      <c r="M35" s="53" t="s">
        <v>683</v>
      </c>
      <c r="N35" s="74">
        <v>10.397422126745614</v>
      </c>
      <c r="O35" s="245">
        <v>5.04</v>
      </c>
      <c r="P35" s="162">
        <v>6.5500000000000003E-2</v>
      </c>
      <c r="Q35" s="245">
        <v>23.5</v>
      </c>
      <c r="R35" s="75">
        <v>3.52</v>
      </c>
      <c r="S35" s="246">
        <v>1277</v>
      </c>
      <c r="T35" s="246">
        <v>4987</v>
      </c>
      <c r="U35" s="246">
        <v>87451</v>
      </c>
      <c r="V35" s="246">
        <v>943</v>
      </c>
      <c r="W35" s="246">
        <v>358</v>
      </c>
      <c r="X35" s="246">
        <v>9636</v>
      </c>
      <c r="Y35" s="246">
        <v>2645</v>
      </c>
      <c r="Z35" s="246">
        <v>7015.8</v>
      </c>
      <c r="AA35" s="245">
        <v>213.6</v>
      </c>
      <c r="AB35" s="245">
        <v>1682.3</v>
      </c>
      <c r="AC35" s="245">
        <v>2617.1</v>
      </c>
      <c r="AD35" s="246">
        <v>115982</v>
      </c>
      <c r="AE35" s="245">
        <v>78.509</v>
      </c>
      <c r="AF35" s="245">
        <v>444.96</v>
      </c>
      <c r="AG35" s="245">
        <v>63.17</v>
      </c>
      <c r="AH35" s="245">
        <v>120</v>
      </c>
      <c r="AI35" s="245">
        <v>21.9</v>
      </c>
      <c r="AJ35" s="245">
        <v>8.3000000000000007</v>
      </c>
      <c r="AK35" s="245">
        <v>1.28</v>
      </c>
      <c r="AL35" s="245">
        <v>93.52</v>
      </c>
      <c r="AM35" s="245">
        <v>65.08</v>
      </c>
      <c r="AN35" s="75">
        <v>28.934999999999999</v>
      </c>
      <c r="AO35" s="75">
        <v>327.49</v>
      </c>
      <c r="AP35" s="75">
        <v>57.622</v>
      </c>
      <c r="AQ35" s="75">
        <v>3.18</v>
      </c>
      <c r="AR35" s="75">
        <v>7.3999999999999996E-2</v>
      </c>
      <c r="AS35" s="75">
        <v>0.18</v>
      </c>
      <c r="AT35" s="75">
        <v>2.82</v>
      </c>
      <c r="AU35" s="75">
        <v>0.67800000000000005</v>
      </c>
      <c r="AV35" s="75">
        <v>3.9220000000000002</v>
      </c>
      <c r="AW35" s="245">
        <v>410.57</v>
      </c>
      <c r="AX35" s="245">
        <v>43.802</v>
      </c>
      <c r="AY35" s="245">
        <v>122.55</v>
      </c>
      <c r="AZ35" s="75">
        <v>9.0169999999999995</v>
      </c>
      <c r="BA35" s="75">
        <v>34.29</v>
      </c>
      <c r="BB35" s="75">
        <v>6.819</v>
      </c>
      <c r="BC35" s="75">
        <v>1.4970000000000001</v>
      </c>
      <c r="BD35" s="75">
        <v>5.694</v>
      </c>
      <c r="BE35" s="75">
        <v>0.91</v>
      </c>
      <c r="BF35" s="75">
        <v>5.2759999999999998</v>
      </c>
      <c r="BG35" s="75">
        <v>1.0629999999999999</v>
      </c>
      <c r="BH35" s="75">
        <v>2.97</v>
      </c>
      <c r="BI35" s="75">
        <v>0.45100000000000001</v>
      </c>
      <c r="BJ35" s="75">
        <v>2.8159999999999998</v>
      </c>
      <c r="BK35" s="75">
        <v>0.42499999999999999</v>
      </c>
      <c r="BL35" s="75">
        <v>7.8609999999999998</v>
      </c>
      <c r="BM35" s="75">
        <v>3.222</v>
      </c>
      <c r="BN35" s="75">
        <v>1.879</v>
      </c>
      <c r="BO35" s="75">
        <v>0.53300000000000003</v>
      </c>
      <c r="BP35" s="75">
        <v>22</v>
      </c>
      <c r="BQ35" s="75">
        <v>0.19</v>
      </c>
      <c r="BR35" s="75">
        <v>10.243</v>
      </c>
      <c r="BS35" s="75">
        <v>2.3149999999999999</v>
      </c>
      <c r="BT35" s="39"/>
    </row>
    <row r="36" spans="1:72">
      <c r="A36" s="53" t="s">
        <v>152</v>
      </c>
      <c r="B36" s="53" t="s">
        <v>153</v>
      </c>
      <c r="C36" s="155" t="s">
        <v>340</v>
      </c>
      <c r="D36" s="53">
        <v>0.21160000000000001</v>
      </c>
      <c r="E36" s="53">
        <v>34.72974</v>
      </c>
      <c r="F36" s="53" t="s">
        <v>351</v>
      </c>
      <c r="G36" s="53" t="s">
        <v>330</v>
      </c>
      <c r="H36" s="116" t="s">
        <v>347</v>
      </c>
      <c r="I36" s="154" t="s">
        <v>371</v>
      </c>
      <c r="J36" s="116" t="s">
        <v>687</v>
      </c>
      <c r="K36" s="53" t="s">
        <v>361</v>
      </c>
      <c r="L36" s="53" t="s">
        <v>685</v>
      </c>
      <c r="M36" s="53" t="s">
        <v>690</v>
      </c>
      <c r="N36" s="74">
        <v>2.1358647285674781</v>
      </c>
      <c r="O36" s="245">
        <v>6.38</v>
      </c>
      <c r="P36" s="162">
        <v>0.31709999999999999</v>
      </c>
      <c r="Q36" s="245">
        <v>13.1</v>
      </c>
      <c r="R36" s="75">
        <v>1.37</v>
      </c>
      <c r="S36" s="246">
        <v>7430</v>
      </c>
      <c r="T36" s="246">
        <v>8714</v>
      </c>
      <c r="U36" s="246">
        <v>55357</v>
      </c>
      <c r="V36" s="246">
        <v>408</v>
      </c>
      <c r="W36" s="246">
        <v>69</v>
      </c>
      <c r="X36" s="246">
        <v>16851</v>
      </c>
      <c r="Y36" s="246">
        <v>3252</v>
      </c>
      <c r="Z36" s="246">
        <v>2709</v>
      </c>
      <c r="AA36" s="245">
        <v>122.7</v>
      </c>
      <c r="AB36" s="245">
        <v>263.89999999999998</v>
      </c>
      <c r="AC36" s="245">
        <v>954.8</v>
      </c>
      <c r="AD36" s="246">
        <v>39916</v>
      </c>
      <c r="AE36" s="245">
        <v>27.289000000000001</v>
      </c>
      <c r="AF36" s="245">
        <v>76.84</v>
      </c>
      <c r="AG36" s="245">
        <v>39.130000000000003</v>
      </c>
      <c r="AH36" s="245">
        <v>77</v>
      </c>
      <c r="AI36" s="245">
        <v>12.4</v>
      </c>
      <c r="AJ36" s="245">
        <v>225.5</v>
      </c>
      <c r="AK36" s="245">
        <v>0.16</v>
      </c>
      <c r="AL36" s="245">
        <v>70.599999999999994</v>
      </c>
      <c r="AM36" s="245">
        <v>120.46</v>
      </c>
      <c r="AN36" s="75">
        <v>11.648999999999999</v>
      </c>
      <c r="AO36" s="75">
        <v>103.33</v>
      </c>
      <c r="AP36" s="75">
        <v>8.9870000000000001</v>
      </c>
      <c r="AQ36" s="75">
        <v>1.1399999999999999</v>
      </c>
      <c r="AR36" s="75">
        <v>0.437</v>
      </c>
      <c r="AS36" s="75">
        <v>0.185</v>
      </c>
      <c r="AT36" s="75">
        <v>1.02</v>
      </c>
      <c r="AU36" s="75">
        <v>0.83699999999999997</v>
      </c>
      <c r="AV36" s="75">
        <v>1.77</v>
      </c>
      <c r="AW36" s="245">
        <v>626.86</v>
      </c>
      <c r="AX36" s="245">
        <v>20.184000000000001</v>
      </c>
      <c r="AY36" s="245">
        <v>47.915999999999997</v>
      </c>
      <c r="AZ36" s="75">
        <v>4.7270000000000003</v>
      </c>
      <c r="BA36" s="75">
        <v>18.53</v>
      </c>
      <c r="BB36" s="75">
        <v>3.5009999999999999</v>
      </c>
      <c r="BC36" s="75">
        <v>0.83799999999999997</v>
      </c>
      <c r="BD36" s="75">
        <v>2.6970000000000001</v>
      </c>
      <c r="BE36" s="75">
        <v>0.40400000000000003</v>
      </c>
      <c r="BF36" s="75">
        <v>2.2229999999999999</v>
      </c>
      <c r="BG36" s="75">
        <v>0.45500000000000002</v>
      </c>
      <c r="BH36" s="75">
        <v>1.3009999999999999</v>
      </c>
      <c r="BI36" s="75">
        <v>0.186</v>
      </c>
      <c r="BJ36" s="75">
        <v>1.153</v>
      </c>
      <c r="BK36" s="75">
        <v>0.17100000000000001</v>
      </c>
      <c r="BL36" s="75">
        <v>2.9159999999999999</v>
      </c>
      <c r="BM36" s="75">
        <v>0.54900000000000004</v>
      </c>
      <c r="BN36" s="75">
        <v>3.9780000000000002</v>
      </c>
      <c r="BO36" s="75">
        <v>0.32</v>
      </c>
      <c r="BP36" s="75">
        <v>42.6</v>
      </c>
      <c r="BQ36" s="75">
        <v>0.67</v>
      </c>
      <c r="BR36" s="75">
        <v>4.7130000000000001</v>
      </c>
      <c r="BS36" s="75">
        <v>1.399</v>
      </c>
      <c r="BT36" s="39"/>
    </row>
    <row r="37" spans="1:72">
      <c r="A37" s="53" t="s">
        <v>154</v>
      </c>
      <c r="B37" s="53" t="s">
        <v>155</v>
      </c>
      <c r="C37" s="155" t="s">
        <v>340</v>
      </c>
      <c r="D37" s="53">
        <v>0.20325199999999999</v>
      </c>
      <c r="E37" s="53">
        <v>34.716146999999999</v>
      </c>
      <c r="F37" s="53" t="s">
        <v>351</v>
      </c>
      <c r="G37" s="53" t="s">
        <v>330</v>
      </c>
      <c r="H37" s="116" t="s">
        <v>347</v>
      </c>
      <c r="I37" s="154" t="s">
        <v>371</v>
      </c>
      <c r="J37" s="116" t="s">
        <v>687</v>
      </c>
      <c r="K37" s="53" t="s">
        <v>367</v>
      </c>
      <c r="L37" s="53" t="s">
        <v>684</v>
      </c>
      <c r="M37" s="53" t="s">
        <v>683</v>
      </c>
      <c r="N37" s="74">
        <v>4.8658963214247404</v>
      </c>
      <c r="O37" s="245">
        <v>4.91</v>
      </c>
      <c r="P37" s="162">
        <v>21.142099999999999</v>
      </c>
      <c r="Q37" s="245">
        <v>14.3</v>
      </c>
      <c r="R37" s="75">
        <v>2.35</v>
      </c>
      <c r="S37" s="246">
        <v>1584</v>
      </c>
      <c r="T37" s="246">
        <v>3863</v>
      </c>
      <c r="U37" s="246">
        <v>75968</v>
      </c>
      <c r="V37" s="246">
        <v>729</v>
      </c>
      <c r="W37" s="246">
        <v>192</v>
      </c>
      <c r="X37" s="246">
        <v>11896</v>
      </c>
      <c r="Y37" s="246">
        <v>1207</v>
      </c>
      <c r="Z37" s="246">
        <v>4616.2</v>
      </c>
      <c r="AA37" s="245">
        <v>163.1</v>
      </c>
      <c r="AB37" s="245">
        <v>257.3</v>
      </c>
      <c r="AC37" s="245">
        <v>1966.6</v>
      </c>
      <c r="AD37" s="246">
        <v>60259</v>
      </c>
      <c r="AE37" s="245">
        <v>48.146999999999998</v>
      </c>
      <c r="AF37" s="245">
        <v>77.98</v>
      </c>
      <c r="AG37" s="245">
        <v>45.16</v>
      </c>
      <c r="AH37" s="245">
        <v>88</v>
      </c>
      <c r="AI37" s="245">
        <v>17.059999999999999</v>
      </c>
      <c r="AJ37" s="245">
        <v>24.4</v>
      </c>
      <c r="AK37" s="245">
        <v>0.76</v>
      </c>
      <c r="AL37" s="245">
        <v>68.19</v>
      </c>
      <c r="AM37" s="245">
        <v>44.87</v>
      </c>
      <c r="AN37" s="75">
        <v>17.513000000000002</v>
      </c>
      <c r="AO37" s="75">
        <v>168.56</v>
      </c>
      <c r="AP37" s="75">
        <v>23.808</v>
      </c>
      <c r="AQ37" s="75">
        <v>1.73</v>
      </c>
      <c r="AR37" s="75">
        <v>6.7000000000000004E-2</v>
      </c>
      <c r="AS37" s="75">
        <v>0.11700000000000001</v>
      </c>
      <c r="AT37" s="75">
        <v>1.71</v>
      </c>
      <c r="AU37" s="75">
        <v>0.73199999999999998</v>
      </c>
      <c r="AV37" s="75">
        <v>1.597</v>
      </c>
      <c r="AW37" s="245">
        <v>519.21</v>
      </c>
      <c r="AX37" s="245">
        <v>30.827999999999999</v>
      </c>
      <c r="AY37" s="245">
        <v>90.091999999999999</v>
      </c>
      <c r="AZ37" s="75">
        <v>6.266</v>
      </c>
      <c r="BA37" s="75">
        <v>23.31</v>
      </c>
      <c r="BB37" s="75">
        <v>4.4530000000000003</v>
      </c>
      <c r="BC37" s="75">
        <v>0.99299999999999999</v>
      </c>
      <c r="BD37" s="75">
        <v>3.6110000000000002</v>
      </c>
      <c r="BE37" s="75">
        <v>0.55500000000000005</v>
      </c>
      <c r="BF37" s="75">
        <v>3.1219999999999999</v>
      </c>
      <c r="BG37" s="75">
        <v>0.627</v>
      </c>
      <c r="BH37" s="75">
        <v>1.7889999999999999</v>
      </c>
      <c r="BI37" s="75">
        <v>0.26400000000000001</v>
      </c>
      <c r="BJ37" s="75">
        <v>1.6930000000000001</v>
      </c>
      <c r="BK37" s="75">
        <v>0.252</v>
      </c>
      <c r="BL37" s="75">
        <v>4.4669999999999996</v>
      </c>
      <c r="BM37" s="75">
        <v>1.3580000000000001</v>
      </c>
      <c r="BN37" s="75">
        <v>2.21</v>
      </c>
      <c r="BO37" s="75">
        <v>0.435</v>
      </c>
      <c r="BP37" s="75">
        <v>17.899999999999999</v>
      </c>
      <c r="BQ37" s="75">
        <v>0.14000000000000001</v>
      </c>
      <c r="BR37" s="75">
        <v>7.0629999999999997</v>
      </c>
      <c r="BS37" s="75">
        <v>2.0699999999999998</v>
      </c>
      <c r="BT37" s="39"/>
    </row>
    <row r="38" spans="1:72" s="52" customFormat="1">
      <c r="A38" s="53" t="s">
        <v>156</v>
      </c>
      <c r="B38" s="53" t="s">
        <v>157</v>
      </c>
      <c r="C38" s="155" t="s">
        <v>340</v>
      </c>
      <c r="D38" s="53">
        <v>0.20340800000000001</v>
      </c>
      <c r="E38" s="53">
        <v>34.71658</v>
      </c>
      <c r="F38" s="53" t="s">
        <v>351</v>
      </c>
      <c r="G38" s="53" t="s">
        <v>330</v>
      </c>
      <c r="H38" s="116" t="s">
        <v>347</v>
      </c>
      <c r="I38" s="154" t="s">
        <v>371</v>
      </c>
      <c r="J38" s="116" t="s">
        <v>687</v>
      </c>
      <c r="K38" s="53" t="s">
        <v>366</v>
      </c>
      <c r="L38" s="53" t="s">
        <v>684</v>
      </c>
      <c r="M38" s="53" t="s">
        <v>683</v>
      </c>
      <c r="N38" s="74">
        <v>8.2427536231884986</v>
      </c>
      <c r="O38" s="245">
        <v>6.88</v>
      </c>
      <c r="P38" s="162">
        <v>5.1158999999999999</v>
      </c>
      <c r="Q38" s="245">
        <v>12.5</v>
      </c>
      <c r="R38" s="75">
        <v>1.89</v>
      </c>
      <c r="S38" s="246">
        <v>2381</v>
      </c>
      <c r="T38" s="246">
        <v>3516</v>
      </c>
      <c r="U38" s="246">
        <v>63340</v>
      </c>
      <c r="V38" s="246">
        <v>858</v>
      </c>
      <c r="W38" s="246">
        <v>330</v>
      </c>
      <c r="X38" s="246">
        <v>11203</v>
      </c>
      <c r="Y38" s="246">
        <v>2753</v>
      </c>
      <c r="Z38" s="246">
        <v>4072.2</v>
      </c>
      <c r="AA38" s="245">
        <v>164.7</v>
      </c>
      <c r="AB38" s="245">
        <v>264.2</v>
      </c>
      <c r="AC38" s="245">
        <v>2871.9</v>
      </c>
      <c r="AD38" s="246">
        <v>64365</v>
      </c>
      <c r="AE38" s="245">
        <v>46.469000000000001</v>
      </c>
      <c r="AF38" s="245">
        <v>65.59</v>
      </c>
      <c r="AG38" s="245">
        <v>46.75</v>
      </c>
      <c r="AH38" s="245">
        <v>96</v>
      </c>
      <c r="AI38" s="245">
        <v>15.34</v>
      </c>
      <c r="AJ38" s="245">
        <v>19.8</v>
      </c>
      <c r="AK38" s="245">
        <v>0.76</v>
      </c>
      <c r="AL38" s="245">
        <v>67.36</v>
      </c>
      <c r="AM38" s="245">
        <v>59.72</v>
      </c>
      <c r="AN38" s="75">
        <v>21.195</v>
      </c>
      <c r="AO38" s="75">
        <v>174.44</v>
      </c>
      <c r="AP38" s="75">
        <v>25.89</v>
      </c>
      <c r="AQ38" s="75">
        <v>2.2799999999999998</v>
      </c>
      <c r="AR38" s="75">
        <v>0.107</v>
      </c>
      <c r="AS38" s="75">
        <v>0.17</v>
      </c>
      <c r="AT38" s="75">
        <v>1.71</v>
      </c>
      <c r="AU38" s="75">
        <v>0.874</v>
      </c>
      <c r="AV38" s="75">
        <v>1.3420000000000001</v>
      </c>
      <c r="AW38" s="245">
        <v>644.52</v>
      </c>
      <c r="AX38" s="245">
        <v>39.734999999999999</v>
      </c>
      <c r="AY38" s="245">
        <v>102.40300000000001</v>
      </c>
      <c r="AZ38" s="75">
        <v>8.0579999999999998</v>
      </c>
      <c r="BA38" s="75">
        <v>30.03</v>
      </c>
      <c r="BB38" s="75">
        <v>5.3289999999999997</v>
      </c>
      <c r="BC38" s="75">
        <v>1.196</v>
      </c>
      <c r="BD38" s="75">
        <v>4.46</v>
      </c>
      <c r="BE38" s="75">
        <v>0.68899999999999995</v>
      </c>
      <c r="BF38" s="75">
        <v>3.9769999999999999</v>
      </c>
      <c r="BG38" s="75">
        <v>0.80100000000000005</v>
      </c>
      <c r="BH38" s="75">
        <v>2.218</v>
      </c>
      <c r="BI38" s="75">
        <v>0.33600000000000002</v>
      </c>
      <c r="BJ38" s="75">
        <v>2.0529999999999999</v>
      </c>
      <c r="BK38" s="75">
        <v>0.311</v>
      </c>
      <c r="BL38" s="75">
        <v>4.5750000000000002</v>
      </c>
      <c r="BM38" s="75">
        <v>1.409</v>
      </c>
      <c r="BN38" s="75">
        <v>2.1509999999999998</v>
      </c>
      <c r="BO38" s="75">
        <v>0.46600000000000003</v>
      </c>
      <c r="BP38" s="75">
        <v>21.6</v>
      </c>
      <c r="BQ38" s="75">
        <v>0.13</v>
      </c>
      <c r="BR38" s="75">
        <v>6.8109999999999999</v>
      </c>
      <c r="BS38" s="75">
        <v>1.966</v>
      </c>
      <c r="BT38" s="248"/>
    </row>
    <row r="39" spans="1:72">
      <c r="A39" s="53" t="s">
        <v>158</v>
      </c>
      <c r="B39" s="53" t="s">
        <v>159</v>
      </c>
      <c r="C39" s="155" t="s">
        <v>340</v>
      </c>
      <c r="D39" s="53">
        <v>0.20325199999999999</v>
      </c>
      <c r="E39" s="53">
        <v>34.716146999999999</v>
      </c>
      <c r="F39" s="53" t="s">
        <v>351</v>
      </c>
      <c r="G39" s="53" t="s">
        <v>330</v>
      </c>
      <c r="H39" s="116" t="s">
        <v>347</v>
      </c>
      <c r="I39" s="154" t="s">
        <v>371</v>
      </c>
      <c r="J39" s="116" t="s">
        <v>687</v>
      </c>
      <c r="K39" s="53" t="s">
        <v>364</v>
      </c>
      <c r="L39" s="53" t="s">
        <v>685</v>
      </c>
      <c r="M39" s="53" t="s">
        <v>690</v>
      </c>
      <c r="N39" s="74">
        <v>2.1944529106978945</v>
      </c>
      <c r="O39" s="245">
        <v>5.23</v>
      </c>
      <c r="P39" s="162">
        <v>10.0997</v>
      </c>
      <c r="Q39" s="245">
        <v>17.100000000000001</v>
      </c>
      <c r="R39" s="75">
        <v>1.1200000000000001</v>
      </c>
      <c r="S39" s="246">
        <v>3057</v>
      </c>
      <c r="T39" s="246">
        <v>15260</v>
      </c>
      <c r="U39" s="246">
        <v>78068</v>
      </c>
      <c r="V39" s="246">
        <v>479</v>
      </c>
      <c r="W39" s="246" t="s">
        <v>160</v>
      </c>
      <c r="X39" s="246">
        <v>16277</v>
      </c>
      <c r="Y39" s="246">
        <v>4632</v>
      </c>
      <c r="Z39" s="246">
        <v>3915.5</v>
      </c>
      <c r="AA39" s="245">
        <v>168.4</v>
      </c>
      <c r="AB39" s="245">
        <v>237.3</v>
      </c>
      <c r="AC39" s="245">
        <v>1356.3</v>
      </c>
      <c r="AD39" s="246">
        <v>62417</v>
      </c>
      <c r="AE39" s="245">
        <v>35.829000000000001</v>
      </c>
      <c r="AF39" s="245">
        <v>112.46</v>
      </c>
      <c r="AG39" s="245">
        <v>47.87</v>
      </c>
      <c r="AH39" s="245">
        <v>94</v>
      </c>
      <c r="AI39" s="245">
        <v>16.86</v>
      </c>
      <c r="AJ39" s="245">
        <v>27.1</v>
      </c>
      <c r="AK39" s="245">
        <v>0.04</v>
      </c>
      <c r="AL39" s="245">
        <v>76.010000000000005</v>
      </c>
      <c r="AM39" s="245">
        <v>116.47</v>
      </c>
      <c r="AN39" s="75">
        <v>16.47</v>
      </c>
      <c r="AO39" s="75">
        <v>78.53</v>
      </c>
      <c r="AP39" s="75">
        <v>4.077</v>
      </c>
      <c r="AQ39" s="75">
        <v>0.49</v>
      </c>
      <c r="AR39" s="75">
        <v>6.5000000000000002E-2</v>
      </c>
      <c r="AS39" s="75">
        <v>0.121</v>
      </c>
      <c r="AT39" s="75">
        <v>0.93</v>
      </c>
      <c r="AU39" s="75">
        <v>0.81200000000000006</v>
      </c>
      <c r="AV39" s="75">
        <v>2.0089999999999999</v>
      </c>
      <c r="AW39" s="245">
        <v>897.03</v>
      </c>
      <c r="AX39" s="245">
        <v>24.347000000000001</v>
      </c>
      <c r="AY39" s="245">
        <v>54.167000000000002</v>
      </c>
      <c r="AZ39" s="75">
        <v>6.1369999999999996</v>
      </c>
      <c r="BA39" s="75">
        <v>25.17</v>
      </c>
      <c r="BB39" s="75">
        <v>4.9690000000000003</v>
      </c>
      <c r="BC39" s="75">
        <v>1.337</v>
      </c>
      <c r="BD39" s="75">
        <v>3.98</v>
      </c>
      <c r="BE39" s="75">
        <v>0.56599999999999995</v>
      </c>
      <c r="BF39" s="75">
        <v>3.1880000000000002</v>
      </c>
      <c r="BG39" s="75">
        <v>0.60899999999999999</v>
      </c>
      <c r="BH39" s="75">
        <v>1.649</v>
      </c>
      <c r="BI39" s="75">
        <v>0.24199999999999999</v>
      </c>
      <c r="BJ39" s="75">
        <v>1.397</v>
      </c>
      <c r="BK39" s="75">
        <v>0.20799999999999999</v>
      </c>
      <c r="BL39" s="75">
        <v>2.3279999999999998</v>
      </c>
      <c r="BM39" s="75">
        <v>0.27</v>
      </c>
      <c r="BN39" s="75">
        <v>3.1989999999999998</v>
      </c>
      <c r="BO39" s="75">
        <v>0.27600000000000002</v>
      </c>
      <c r="BP39" s="75">
        <v>9.6</v>
      </c>
      <c r="BQ39" s="75">
        <v>0.06</v>
      </c>
      <c r="BR39" s="75">
        <v>4.0999999999999996</v>
      </c>
      <c r="BS39" s="75">
        <v>1.405</v>
      </c>
      <c r="BT39" s="39"/>
    </row>
    <row r="40" spans="1:72">
      <c r="A40" s="53" t="s">
        <v>161</v>
      </c>
      <c r="B40" s="53" t="s">
        <v>162</v>
      </c>
      <c r="C40" s="155" t="s">
        <v>343</v>
      </c>
      <c r="D40" s="53">
        <v>0.18987899999999999</v>
      </c>
      <c r="E40" s="53">
        <v>34.735692999999998</v>
      </c>
      <c r="F40" s="53" t="s">
        <v>352</v>
      </c>
      <c r="G40" s="53" t="s">
        <v>330</v>
      </c>
      <c r="H40" s="116" t="s">
        <v>347</v>
      </c>
      <c r="I40" s="154" t="s">
        <v>371</v>
      </c>
      <c r="J40" s="116" t="s">
        <v>687</v>
      </c>
      <c r="K40" s="53" t="s">
        <v>364</v>
      </c>
      <c r="L40" s="53" t="s">
        <v>685</v>
      </c>
      <c r="M40" s="53" t="s">
        <v>690</v>
      </c>
      <c r="N40" s="74">
        <v>3.7608584568216132</v>
      </c>
      <c r="O40" s="245">
        <v>4.84</v>
      </c>
      <c r="P40" s="162">
        <v>4.7550999999999997</v>
      </c>
      <c r="Q40" s="245">
        <v>15.2</v>
      </c>
      <c r="R40" s="75">
        <v>1.93</v>
      </c>
      <c r="S40" s="246">
        <v>7136</v>
      </c>
      <c r="T40" s="246">
        <v>8507</v>
      </c>
      <c r="U40" s="246">
        <v>78182</v>
      </c>
      <c r="V40" s="246">
        <v>468</v>
      </c>
      <c r="W40" s="246">
        <v>207</v>
      </c>
      <c r="X40" s="246">
        <v>23682</v>
      </c>
      <c r="Y40" s="246">
        <v>2290</v>
      </c>
      <c r="Z40" s="246">
        <v>3687.2</v>
      </c>
      <c r="AA40" s="245">
        <v>106</v>
      </c>
      <c r="AB40" s="245">
        <v>152.9</v>
      </c>
      <c r="AC40" s="245">
        <v>878.4</v>
      </c>
      <c r="AD40" s="246">
        <v>39016</v>
      </c>
      <c r="AE40" s="245">
        <v>20.568999999999999</v>
      </c>
      <c r="AF40" s="245">
        <v>58.27</v>
      </c>
      <c r="AG40" s="245">
        <v>37.47</v>
      </c>
      <c r="AH40" s="245">
        <v>127</v>
      </c>
      <c r="AI40" s="245">
        <v>17.73</v>
      </c>
      <c r="AJ40" s="245">
        <v>23.4</v>
      </c>
      <c r="AK40" s="245">
        <v>0.11</v>
      </c>
      <c r="AL40" s="245">
        <v>109.86</v>
      </c>
      <c r="AM40" s="245">
        <v>103.76</v>
      </c>
      <c r="AN40" s="75">
        <v>25.376000000000001</v>
      </c>
      <c r="AO40" s="75">
        <v>153.02000000000001</v>
      </c>
      <c r="AP40" s="75">
        <v>8.9489999999999998</v>
      </c>
      <c r="AQ40" s="75">
        <v>1.1399999999999999</v>
      </c>
      <c r="AR40" s="75">
        <v>0.10100000000000001</v>
      </c>
      <c r="AS40" s="75">
        <v>0.28599999999999998</v>
      </c>
      <c r="AT40" s="75">
        <v>1.88</v>
      </c>
      <c r="AU40" s="75">
        <v>0.64500000000000002</v>
      </c>
      <c r="AV40" s="75">
        <v>1.99</v>
      </c>
      <c r="AW40" s="245">
        <v>686.72</v>
      </c>
      <c r="AX40" s="245">
        <v>54.354999999999997</v>
      </c>
      <c r="AY40" s="245">
        <v>137.77000000000001</v>
      </c>
      <c r="AZ40" s="75">
        <v>13.372999999999999</v>
      </c>
      <c r="BA40" s="75">
        <v>51.74</v>
      </c>
      <c r="BB40" s="75">
        <v>9.0050000000000008</v>
      </c>
      <c r="BC40" s="75">
        <v>2.1</v>
      </c>
      <c r="BD40" s="75">
        <v>6.5720000000000001</v>
      </c>
      <c r="BE40" s="75">
        <v>0.96</v>
      </c>
      <c r="BF40" s="75">
        <v>4.7149999999999999</v>
      </c>
      <c r="BG40" s="75">
        <v>0.98499999999999999</v>
      </c>
      <c r="BH40" s="75">
        <v>2.5259999999999998</v>
      </c>
      <c r="BI40" s="75">
        <v>0.35499999999999998</v>
      </c>
      <c r="BJ40" s="75">
        <v>2.1709999999999998</v>
      </c>
      <c r="BK40" s="75">
        <v>0.32900000000000001</v>
      </c>
      <c r="BL40" s="75">
        <v>4.5910000000000002</v>
      </c>
      <c r="BM40" s="75">
        <v>0.56699999999999995</v>
      </c>
      <c r="BN40" s="75">
        <v>1.397</v>
      </c>
      <c r="BO40" s="75">
        <v>0.54700000000000004</v>
      </c>
      <c r="BP40" s="75">
        <v>40.200000000000003</v>
      </c>
      <c r="BQ40" s="75">
        <v>0.17</v>
      </c>
      <c r="BR40" s="75">
        <v>9.5069999999999997</v>
      </c>
      <c r="BS40" s="75">
        <v>2.754</v>
      </c>
      <c r="BT40" s="39"/>
    </row>
    <row r="41" spans="1:72">
      <c r="A41" s="53" t="s">
        <v>163</v>
      </c>
      <c r="B41" s="39" t="s">
        <v>164</v>
      </c>
      <c r="C41" s="155" t="s">
        <v>343</v>
      </c>
      <c r="D41" s="53">
        <v>0.18987899999999999</v>
      </c>
      <c r="E41" s="53">
        <v>34.735692999999998</v>
      </c>
      <c r="F41" s="53" t="s">
        <v>352</v>
      </c>
      <c r="G41" s="53" t="s">
        <v>330</v>
      </c>
      <c r="H41" s="116" t="s">
        <v>347</v>
      </c>
      <c r="I41" s="154" t="s">
        <v>371</v>
      </c>
      <c r="J41" s="116" t="s">
        <v>687</v>
      </c>
      <c r="K41" s="53" t="s">
        <v>366</v>
      </c>
      <c r="L41" s="53" t="s">
        <v>684</v>
      </c>
      <c r="M41" s="53" t="s">
        <v>683</v>
      </c>
      <c r="N41" s="74">
        <v>7.2622107969151912</v>
      </c>
      <c r="O41" s="245">
        <v>6</v>
      </c>
      <c r="P41" s="162">
        <v>1.1142999999999998</v>
      </c>
      <c r="Q41" s="245">
        <v>11.1</v>
      </c>
      <c r="R41" s="75">
        <v>1.34</v>
      </c>
      <c r="S41" s="246">
        <v>6176</v>
      </c>
      <c r="T41" s="246">
        <v>4278</v>
      </c>
      <c r="U41" s="246">
        <v>59726</v>
      </c>
      <c r="V41" s="246">
        <v>896</v>
      </c>
      <c r="W41" s="246">
        <v>334</v>
      </c>
      <c r="X41" s="246">
        <v>12799</v>
      </c>
      <c r="Y41" s="246">
        <v>4118</v>
      </c>
      <c r="Z41" s="246">
        <v>4065.2</v>
      </c>
      <c r="AA41" s="245">
        <v>129.9</v>
      </c>
      <c r="AB41" s="245">
        <v>195.3</v>
      </c>
      <c r="AC41" s="245">
        <v>2048.4</v>
      </c>
      <c r="AD41" s="246">
        <v>49268</v>
      </c>
      <c r="AE41" s="245">
        <v>46.427</v>
      </c>
      <c r="AF41" s="245">
        <v>62.01</v>
      </c>
      <c r="AG41" s="245">
        <v>46.9</v>
      </c>
      <c r="AH41" s="245">
        <v>125</v>
      </c>
      <c r="AI41" s="245">
        <v>14.19</v>
      </c>
      <c r="AJ41" s="245">
        <v>43.3</v>
      </c>
      <c r="AK41" s="245">
        <v>0.69</v>
      </c>
      <c r="AL41" s="245">
        <v>76.81</v>
      </c>
      <c r="AM41" s="245">
        <v>89.55</v>
      </c>
      <c r="AN41" s="75">
        <v>20.395</v>
      </c>
      <c r="AO41" s="75">
        <v>157.6</v>
      </c>
      <c r="AP41" s="75">
        <v>23.838000000000001</v>
      </c>
      <c r="AQ41" s="75">
        <v>2.14</v>
      </c>
      <c r="AR41" s="75">
        <v>0.16200000000000001</v>
      </c>
      <c r="AS41" s="75">
        <v>0.27700000000000002</v>
      </c>
      <c r="AT41" s="75">
        <v>1.79</v>
      </c>
      <c r="AU41" s="75">
        <v>0.79700000000000004</v>
      </c>
      <c r="AV41" s="75">
        <v>1.7689999999999999</v>
      </c>
      <c r="AW41" s="245">
        <v>492.35</v>
      </c>
      <c r="AX41" s="245">
        <v>38.076000000000001</v>
      </c>
      <c r="AY41" s="245">
        <v>84.120999999999995</v>
      </c>
      <c r="AZ41" s="75">
        <v>7.7220000000000004</v>
      </c>
      <c r="BA41" s="75">
        <v>28.81</v>
      </c>
      <c r="BB41" s="75">
        <v>5.1310000000000002</v>
      </c>
      <c r="BC41" s="75">
        <v>1.1180000000000001</v>
      </c>
      <c r="BD41" s="75">
        <v>4.1420000000000003</v>
      </c>
      <c r="BE41" s="75">
        <v>0.65900000000000003</v>
      </c>
      <c r="BF41" s="75">
        <v>3.4460000000000002</v>
      </c>
      <c r="BG41" s="75">
        <v>0.72</v>
      </c>
      <c r="BH41" s="75">
        <v>1.9810000000000001</v>
      </c>
      <c r="BI41" s="75">
        <v>0.30199999999999999</v>
      </c>
      <c r="BJ41" s="75">
        <v>1.8260000000000001</v>
      </c>
      <c r="BK41" s="75">
        <v>0.26200000000000001</v>
      </c>
      <c r="BL41" s="75">
        <v>4.3520000000000003</v>
      </c>
      <c r="BM41" s="75">
        <v>1.3360000000000001</v>
      </c>
      <c r="BN41" s="75">
        <v>1.655</v>
      </c>
      <c r="BO41" s="75">
        <v>0.53900000000000003</v>
      </c>
      <c r="BP41" s="75">
        <v>30.5</v>
      </c>
      <c r="BQ41" s="75">
        <v>1.21</v>
      </c>
      <c r="BR41" s="75">
        <v>7.4580000000000002</v>
      </c>
      <c r="BS41" s="75">
        <v>1.915</v>
      </c>
      <c r="BT41" s="39"/>
    </row>
    <row r="42" spans="1:72">
      <c r="A42" s="53" t="s">
        <v>165</v>
      </c>
      <c r="B42" s="39" t="s">
        <v>166</v>
      </c>
      <c r="C42" s="155" t="s">
        <v>343</v>
      </c>
      <c r="D42" s="53">
        <v>0.18987899999999999</v>
      </c>
      <c r="E42" s="53">
        <v>34.735692999999998</v>
      </c>
      <c r="F42" s="53" t="s">
        <v>352</v>
      </c>
      <c r="G42" s="53" t="s">
        <v>330</v>
      </c>
      <c r="H42" s="116" t="s">
        <v>347</v>
      </c>
      <c r="I42" s="154" t="s">
        <v>371</v>
      </c>
      <c r="J42" s="116" t="s">
        <v>687</v>
      </c>
      <c r="K42" s="53" t="s">
        <v>367</v>
      </c>
      <c r="L42" s="53" t="s">
        <v>684</v>
      </c>
      <c r="M42" s="53" t="s">
        <v>683</v>
      </c>
      <c r="N42" s="74">
        <v>8.8580246913578371</v>
      </c>
      <c r="O42" s="245">
        <v>7.15</v>
      </c>
      <c r="P42" s="162">
        <v>0.27560000000000001</v>
      </c>
      <c r="Q42" s="245">
        <v>12.3</v>
      </c>
      <c r="R42" s="75">
        <v>1.61</v>
      </c>
      <c r="S42" s="246">
        <v>1824</v>
      </c>
      <c r="T42" s="246">
        <v>3503</v>
      </c>
      <c r="U42" s="246">
        <v>63434</v>
      </c>
      <c r="V42" s="246">
        <v>1378</v>
      </c>
      <c r="W42" s="246">
        <v>372</v>
      </c>
      <c r="X42" s="246">
        <v>12987</v>
      </c>
      <c r="Y42" s="246">
        <v>6670</v>
      </c>
      <c r="Z42" s="246">
        <v>4203.3</v>
      </c>
      <c r="AA42" s="245">
        <v>125.7</v>
      </c>
      <c r="AB42" s="245">
        <v>196.5</v>
      </c>
      <c r="AC42" s="245">
        <v>2473.1</v>
      </c>
      <c r="AD42" s="246">
        <v>50932</v>
      </c>
      <c r="AE42" s="245">
        <v>48.817999999999998</v>
      </c>
      <c r="AF42" s="245">
        <v>62.32</v>
      </c>
      <c r="AG42" s="245">
        <v>51.04</v>
      </c>
      <c r="AH42" s="245">
        <v>160</v>
      </c>
      <c r="AI42" s="245">
        <v>15.08</v>
      </c>
      <c r="AJ42" s="245">
        <v>23.8</v>
      </c>
      <c r="AK42" s="245">
        <v>0.85</v>
      </c>
      <c r="AL42" s="245">
        <v>105.62</v>
      </c>
      <c r="AM42" s="245">
        <v>76.489999999999995</v>
      </c>
      <c r="AN42" s="75">
        <v>22.303000000000001</v>
      </c>
      <c r="AO42" s="75">
        <v>189.02</v>
      </c>
      <c r="AP42" s="75">
        <v>30.327999999999999</v>
      </c>
      <c r="AQ42" s="75">
        <v>1.97</v>
      </c>
      <c r="AR42" s="75">
        <v>0.10100000000000001</v>
      </c>
      <c r="AS42" s="75">
        <v>0.32900000000000001</v>
      </c>
      <c r="AT42" s="75">
        <v>2.0699999999999998</v>
      </c>
      <c r="AU42" s="75">
        <v>0.70299999999999996</v>
      </c>
      <c r="AV42" s="75">
        <v>2.35</v>
      </c>
      <c r="AW42" s="245">
        <v>498.95</v>
      </c>
      <c r="AX42" s="245">
        <v>43.232999999999997</v>
      </c>
      <c r="AY42" s="245">
        <v>102.176</v>
      </c>
      <c r="AZ42" s="75">
        <v>8.2240000000000002</v>
      </c>
      <c r="BA42" s="75">
        <v>30.47</v>
      </c>
      <c r="BB42" s="75">
        <v>5.5730000000000004</v>
      </c>
      <c r="BC42" s="75">
        <v>1.1839999999999999</v>
      </c>
      <c r="BD42" s="75">
        <v>4.5380000000000003</v>
      </c>
      <c r="BE42" s="75">
        <v>0.71699999999999997</v>
      </c>
      <c r="BF42" s="75">
        <v>3.8570000000000002</v>
      </c>
      <c r="BG42" s="75">
        <v>0.79700000000000004</v>
      </c>
      <c r="BH42" s="75">
        <v>2.1989999999999998</v>
      </c>
      <c r="BI42" s="75">
        <v>0.33300000000000002</v>
      </c>
      <c r="BJ42" s="75">
        <v>1.974</v>
      </c>
      <c r="BK42" s="75">
        <v>0.29799999999999999</v>
      </c>
      <c r="BL42" s="75">
        <v>5.0830000000000002</v>
      </c>
      <c r="BM42" s="75">
        <v>1.6850000000000001</v>
      </c>
      <c r="BN42" s="75">
        <v>1.5920000000000001</v>
      </c>
      <c r="BO42" s="75">
        <v>0.69699999999999995</v>
      </c>
      <c r="BP42" s="75">
        <v>27.9</v>
      </c>
      <c r="BQ42" s="75">
        <v>0.55000000000000004</v>
      </c>
      <c r="BR42" s="75">
        <v>9.4049999999999994</v>
      </c>
      <c r="BS42" s="75">
        <v>2.2949999999999999</v>
      </c>
      <c r="BT42" s="39"/>
    </row>
    <row r="43" spans="1:72">
      <c r="A43" s="53" t="s">
        <v>167</v>
      </c>
      <c r="B43" s="39" t="s">
        <v>168</v>
      </c>
      <c r="C43" s="155" t="s">
        <v>343</v>
      </c>
      <c r="D43" s="53">
        <v>0.187274</v>
      </c>
      <c r="E43" s="53">
        <v>34.735595000000004</v>
      </c>
      <c r="F43" s="53" t="s">
        <v>353</v>
      </c>
      <c r="G43" s="53" t="s">
        <v>330</v>
      </c>
      <c r="H43" s="116" t="s">
        <v>347</v>
      </c>
      <c r="I43" s="154" t="s">
        <v>371</v>
      </c>
      <c r="J43" s="116" t="s">
        <v>687</v>
      </c>
      <c r="K43" s="53" t="s">
        <v>361</v>
      </c>
      <c r="L43" s="53" t="s">
        <v>685</v>
      </c>
      <c r="M43" s="53" t="s">
        <v>690</v>
      </c>
      <c r="N43" s="74">
        <v>5.2996117116171231</v>
      </c>
      <c r="O43" s="245">
        <v>6.79</v>
      </c>
      <c r="P43" s="162">
        <v>4.4250999999999996</v>
      </c>
      <c r="Q43" s="245">
        <v>14.1</v>
      </c>
      <c r="R43" s="75">
        <v>1.69</v>
      </c>
      <c r="S43" s="246">
        <v>6198</v>
      </c>
      <c r="T43" s="246">
        <v>4906</v>
      </c>
      <c r="U43" s="246">
        <v>69339</v>
      </c>
      <c r="V43" s="246">
        <v>733</v>
      </c>
      <c r="W43" s="246">
        <v>551</v>
      </c>
      <c r="X43" s="246">
        <v>9507</v>
      </c>
      <c r="Y43" s="246">
        <v>5402</v>
      </c>
      <c r="Z43" s="246">
        <v>5110</v>
      </c>
      <c r="AA43" s="245">
        <v>152.9</v>
      </c>
      <c r="AB43" s="245">
        <v>224</v>
      </c>
      <c r="AC43" s="245">
        <v>3150</v>
      </c>
      <c r="AD43" s="246">
        <v>58223</v>
      </c>
      <c r="AE43" s="245">
        <v>68.807000000000002</v>
      </c>
      <c r="AF43" s="245">
        <v>71.64</v>
      </c>
      <c r="AG43" s="245">
        <v>68.67</v>
      </c>
      <c r="AH43" s="245">
        <v>228</v>
      </c>
      <c r="AI43" s="245">
        <v>17.21</v>
      </c>
      <c r="AJ43" s="245">
        <v>216.6</v>
      </c>
      <c r="AK43" s="245">
        <v>0.86</v>
      </c>
      <c r="AL43" s="245">
        <v>69.19</v>
      </c>
      <c r="AM43" s="245">
        <v>83.76</v>
      </c>
      <c r="AN43" s="75">
        <v>26.111000000000001</v>
      </c>
      <c r="AO43" s="75">
        <v>212.29</v>
      </c>
      <c r="AP43" s="75">
        <v>37.576000000000001</v>
      </c>
      <c r="AQ43" s="75">
        <v>2.84</v>
      </c>
      <c r="AR43" s="75">
        <v>0.35499999999999998</v>
      </c>
      <c r="AS43" s="75">
        <v>0.29299999999999998</v>
      </c>
      <c r="AT43" s="75">
        <v>2.0499999999999998</v>
      </c>
      <c r="AU43" s="75">
        <v>0.82499999999999996</v>
      </c>
      <c r="AV43" s="75">
        <v>2.1850000000000001</v>
      </c>
      <c r="AW43" s="245">
        <v>463.51</v>
      </c>
      <c r="AX43" s="245">
        <v>47.703000000000003</v>
      </c>
      <c r="AY43" s="245">
        <v>111.648</v>
      </c>
      <c r="AZ43" s="75">
        <v>9.4380000000000006</v>
      </c>
      <c r="BA43" s="75">
        <v>35.85</v>
      </c>
      <c r="BB43" s="75">
        <v>6.6040000000000001</v>
      </c>
      <c r="BC43" s="75">
        <v>1.508</v>
      </c>
      <c r="BD43" s="75">
        <v>5.5570000000000004</v>
      </c>
      <c r="BE43" s="75">
        <v>0.83099999999999996</v>
      </c>
      <c r="BF43" s="75">
        <v>4.5880000000000001</v>
      </c>
      <c r="BG43" s="75">
        <v>0.92800000000000005</v>
      </c>
      <c r="BH43" s="75">
        <v>2.6360000000000001</v>
      </c>
      <c r="BI43" s="75">
        <v>0.36499999999999999</v>
      </c>
      <c r="BJ43" s="75">
        <v>2.3039999999999998</v>
      </c>
      <c r="BK43" s="75">
        <v>0.33900000000000002</v>
      </c>
      <c r="BL43" s="75">
        <v>5.5789999999999997</v>
      </c>
      <c r="BM43" s="75">
        <v>2.0920000000000001</v>
      </c>
      <c r="BN43" s="75">
        <v>2.137</v>
      </c>
      <c r="BO43" s="75">
        <v>0.60299999999999998</v>
      </c>
      <c r="BP43" s="75">
        <v>31.9</v>
      </c>
      <c r="BQ43" s="75">
        <v>0.24</v>
      </c>
      <c r="BR43" s="75">
        <v>8.35</v>
      </c>
      <c r="BS43" s="75">
        <v>2.0739999999999998</v>
      </c>
      <c r="BT43" s="39"/>
    </row>
    <row r="44" spans="1:72">
      <c r="A44" s="53" t="s">
        <v>169</v>
      </c>
      <c r="B44" s="39" t="s">
        <v>170</v>
      </c>
      <c r="C44" s="155" t="s">
        <v>343</v>
      </c>
      <c r="D44" s="53">
        <v>0.18729499999999999</v>
      </c>
      <c r="E44" s="53">
        <v>34.736308999999999</v>
      </c>
      <c r="F44" s="53" t="s">
        <v>353</v>
      </c>
      <c r="G44" s="53" t="s">
        <v>330</v>
      </c>
      <c r="H44" s="116" t="s">
        <v>347</v>
      </c>
      <c r="I44" s="154" t="s">
        <v>371</v>
      </c>
      <c r="J44" s="116" t="s">
        <v>687</v>
      </c>
      <c r="K44" s="53" t="s">
        <v>366</v>
      </c>
      <c r="L44" s="53" t="s">
        <v>684</v>
      </c>
      <c r="M44" s="53" t="s">
        <v>683</v>
      </c>
      <c r="N44" s="74">
        <v>4.4946025515210906</v>
      </c>
      <c r="O44" s="245">
        <v>7.63</v>
      </c>
      <c r="P44" s="162">
        <v>0.35620000000000002</v>
      </c>
      <c r="Q44" s="245">
        <v>15.9</v>
      </c>
      <c r="R44" s="75">
        <v>1.68</v>
      </c>
      <c r="S44" s="246">
        <v>3337</v>
      </c>
      <c r="T44" s="246">
        <v>4345</v>
      </c>
      <c r="U44" s="246">
        <v>75504</v>
      </c>
      <c r="V44" s="246">
        <v>914</v>
      </c>
      <c r="W44" s="246">
        <v>331</v>
      </c>
      <c r="X44" s="246">
        <v>14914</v>
      </c>
      <c r="Y44" s="246">
        <v>7499</v>
      </c>
      <c r="Z44" s="246">
        <v>4809.5</v>
      </c>
      <c r="AA44" s="245">
        <v>142.80000000000001</v>
      </c>
      <c r="AB44" s="245">
        <v>189</v>
      </c>
      <c r="AC44" s="245">
        <v>2085.5</v>
      </c>
      <c r="AD44" s="246">
        <v>57120</v>
      </c>
      <c r="AE44" s="245">
        <v>48.594999999999999</v>
      </c>
      <c r="AF44" s="245">
        <v>65.5</v>
      </c>
      <c r="AG44" s="245">
        <v>62.94</v>
      </c>
      <c r="AH44" s="245">
        <v>204</v>
      </c>
      <c r="AI44" s="245">
        <v>18.22</v>
      </c>
      <c r="AJ44" s="245">
        <v>49.2</v>
      </c>
      <c r="AK44" s="245">
        <v>0.81</v>
      </c>
      <c r="AL44" s="245">
        <v>93.51</v>
      </c>
      <c r="AM44" s="245">
        <v>81.739999999999995</v>
      </c>
      <c r="AN44" s="75">
        <v>23.419</v>
      </c>
      <c r="AO44" s="75">
        <v>222.43</v>
      </c>
      <c r="AP44" s="75">
        <v>37.555999999999997</v>
      </c>
      <c r="AQ44" s="75">
        <v>2.41</v>
      </c>
      <c r="AR44" s="75">
        <v>0.13</v>
      </c>
      <c r="AS44" s="75">
        <v>0.24</v>
      </c>
      <c r="AT44" s="75">
        <v>2.3199999999999998</v>
      </c>
      <c r="AU44" s="75">
        <v>0.75800000000000001</v>
      </c>
      <c r="AV44" s="75">
        <v>2.4319999999999999</v>
      </c>
      <c r="AW44" s="245">
        <v>453.3</v>
      </c>
      <c r="AX44" s="245">
        <v>45.326000000000001</v>
      </c>
      <c r="AY44" s="245">
        <v>103.699</v>
      </c>
      <c r="AZ44" s="75">
        <v>8.9649999999999999</v>
      </c>
      <c r="BA44" s="75">
        <v>33.68</v>
      </c>
      <c r="BB44" s="75">
        <v>5.907</v>
      </c>
      <c r="BC44" s="75">
        <v>1.2529999999999999</v>
      </c>
      <c r="BD44" s="75">
        <v>4.7939999999999996</v>
      </c>
      <c r="BE44" s="75">
        <v>0.73499999999999999</v>
      </c>
      <c r="BF44" s="75">
        <v>4.0869999999999997</v>
      </c>
      <c r="BG44" s="75">
        <v>0.83199999999999996</v>
      </c>
      <c r="BH44" s="75">
        <v>2.2930000000000001</v>
      </c>
      <c r="BI44" s="75">
        <v>0.34300000000000003</v>
      </c>
      <c r="BJ44" s="75">
        <v>2.1339999999999999</v>
      </c>
      <c r="BK44" s="75">
        <v>0.309</v>
      </c>
      <c r="BL44" s="75">
        <v>5.835</v>
      </c>
      <c r="BM44" s="75">
        <v>2.109</v>
      </c>
      <c r="BN44" s="75">
        <v>2.1880000000000002</v>
      </c>
      <c r="BO44" s="75">
        <v>0.61</v>
      </c>
      <c r="BP44" s="75">
        <v>24.9</v>
      </c>
      <c r="BQ44" s="75">
        <v>0.31</v>
      </c>
      <c r="BR44" s="75">
        <v>9.5519999999999996</v>
      </c>
      <c r="BS44" s="75">
        <v>2.3450000000000002</v>
      </c>
      <c r="BT44" s="39"/>
    </row>
    <row r="45" spans="1:72">
      <c r="A45" s="53" t="s">
        <v>171</v>
      </c>
      <c r="B45" s="39" t="s">
        <v>172</v>
      </c>
      <c r="C45" s="155" t="s">
        <v>343</v>
      </c>
      <c r="D45" s="53">
        <v>0.187274</v>
      </c>
      <c r="E45" s="53">
        <v>34.735595000000004</v>
      </c>
      <c r="F45" s="53" t="s">
        <v>353</v>
      </c>
      <c r="G45" s="53" t="s">
        <v>330</v>
      </c>
      <c r="H45" s="116" t="s">
        <v>347</v>
      </c>
      <c r="I45" s="154" t="s">
        <v>371</v>
      </c>
      <c r="J45" s="116" t="s">
        <v>687</v>
      </c>
      <c r="K45" s="53" t="s">
        <v>364</v>
      </c>
      <c r="L45" s="53" t="s">
        <v>685</v>
      </c>
      <c r="M45" s="53" t="s">
        <v>690</v>
      </c>
      <c r="N45" s="74">
        <v>2.2657054582904612</v>
      </c>
      <c r="O45" s="245">
        <v>6.39</v>
      </c>
      <c r="P45" s="162">
        <v>0.30880000000000002</v>
      </c>
      <c r="Q45" s="245">
        <v>20.7</v>
      </c>
      <c r="R45" s="75">
        <v>1.28</v>
      </c>
      <c r="S45" s="246">
        <v>24812</v>
      </c>
      <c r="T45" s="246">
        <v>16136</v>
      </c>
      <c r="U45" s="246">
        <v>80033</v>
      </c>
      <c r="V45" s="246">
        <v>1140</v>
      </c>
      <c r="W45" s="246">
        <v>37</v>
      </c>
      <c r="X45" s="246">
        <v>18096</v>
      </c>
      <c r="Y45" s="246">
        <v>15509</v>
      </c>
      <c r="Z45" s="246">
        <v>4866</v>
      </c>
      <c r="AA45" s="245">
        <v>175.2</v>
      </c>
      <c r="AB45" s="245">
        <v>169.1</v>
      </c>
      <c r="AC45" s="245">
        <v>2634.4</v>
      </c>
      <c r="AD45" s="246">
        <v>59388</v>
      </c>
      <c r="AE45" s="245">
        <v>98.016999999999996</v>
      </c>
      <c r="AF45" s="245">
        <v>119.61</v>
      </c>
      <c r="AG45" s="245">
        <v>140.11000000000001</v>
      </c>
      <c r="AH45" s="245">
        <v>126</v>
      </c>
      <c r="AI45" s="245">
        <v>17.2</v>
      </c>
      <c r="AJ45" s="245">
        <v>74</v>
      </c>
      <c r="AK45" s="245">
        <v>0.04</v>
      </c>
      <c r="AL45" s="245">
        <v>49.45</v>
      </c>
      <c r="AM45" s="245">
        <v>350.05</v>
      </c>
      <c r="AN45" s="75">
        <v>19.574000000000002</v>
      </c>
      <c r="AO45" s="75">
        <v>134.5</v>
      </c>
      <c r="AP45" s="75">
        <v>6.0010000000000003</v>
      </c>
      <c r="AQ45" s="75">
        <v>1.22</v>
      </c>
      <c r="AR45" s="75">
        <v>0.12</v>
      </c>
      <c r="AS45" s="75">
        <v>0.253</v>
      </c>
      <c r="AT45" s="75">
        <v>1.81</v>
      </c>
      <c r="AU45" s="75">
        <v>0.879</v>
      </c>
      <c r="AV45" s="75">
        <v>2.2480000000000002</v>
      </c>
      <c r="AW45" s="245">
        <v>824.09</v>
      </c>
      <c r="AX45" s="245">
        <v>55.143999999999998</v>
      </c>
      <c r="AY45" s="245">
        <v>150.77099999999999</v>
      </c>
      <c r="AZ45" s="75">
        <v>12.654999999999999</v>
      </c>
      <c r="BA45" s="75">
        <v>48.99</v>
      </c>
      <c r="BB45" s="75">
        <v>8.2040000000000006</v>
      </c>
      <c r="BC45" s="75">
        <v>1.829</v>
      </c>
      <c r="BD45" s="75">
        <v>5.516</v>
      </c>
      <c r="BE45" s="75">
        <v>0.73099999999999998</v>
      </c>
      <c r="BF45" s="75">
        <v>3.7530000000000001</v>
      </c>
      <c r="BG45" s="75">
        <v>0.73899999999999999</v>
      </c>
      <c r="BH45" s="75">
        <v>1.962</v>
      </c>
      <c r="BI45" s="75">
        <v>0.27500000000000002</v>
      </c>
      <c r="BJ45" s="75">
        <v>1.708</v>
      </c>
      <c r="BK45" s="75">
        <v>0.255</v>
      </c>
      <c r="BL45" s="75">
        <v>3.718</v>
      </c>
      <c r="BM45" s="75">
        <v>0.36299999999999999</v>
      </c>
      <c r="BN45" s="75">
        <v>4.05</v>
      </c>
      <c r="BO45" s="75">
        <v>0.26200000000000001</v>
      </c>
      <c r="BP45" s="75">
        <v>40.200000000000003</v>
      </c>
      <c r="BQ45" s="75">
        <v>0.17</v>
      </c>
      <c r="BR45" s="75">
        <v>5.8090000000000002</v>
      </c>
      <c r="BS45" s="75">
        <v>1.5449999999999999</v>
      </c>
      <c r="BT45" s="39"/>
    </row>
    <row r="46" spans="1:72">
      <c r="A46" s="53" t="s">
        <v>173</v>
      </c>
      <c r="B46" s="39" t="s">
        <v>174</v>
      </c>
      <c r="C46" s="155" t="s">
        <v>343</v>
      </c>
      <c r="D46" s="53">
        <v>0.18729000000000001</v>
      </c>
      <c r="E46" s="53">
        <v>34.736308999999999</v>
      </c>
      <c r="F46" s="53" t="s">
        <v>353</v>
      </c>
      <c r="G46" s="53" t="s">
        <v>330</v>
      </c>
      <c r="H46" s="116" t="s">
        <v>347</v>
      </c>
      <c r="I46" s="154" t="s">
        <v>371</v>
      </c>
      <c r="J46" s="116" t="s">
        <v>687</v>
      </c>
      <c r="K46" s="53" t="s">
        <v>361</v>
      </c>
      <c r="L46" s="53" t="s">
        <v>685</v>
      </c>
      <c r="M46" s="53" t="s">
        <v>690</v>
      </c>
      <c r="N46" s="74">
        <v>2.1136642694264753</v>
      </c>
      <c r="O46" s="245">
        <v>7.12</v>
      </c>
      <c r="P46" s="162">
        <v>1.2711999999999999</v>
      </c>
      <c r="Q46" s="245">
        <v>11.5</v>
      </c>
      <c r="R46" s="75">
        <v>1.24</v>
      </c>
      <c r="S46" s="246">
        <v>11481</v>
      </c>
      <c r="T46" s="246">
        <v>6812</v>
      </c>
      <c r="U46" s="246">
        <v>50348</v>
      </c>
      <c r="V46" s="246">
        <v>525</v>
      </c>
      <c r="W46" s="246">
        <v>405</v>
      </c>
      <c r="X46" s="246">
        <v>11540</v>
      </c>
      <c r="Y46" s="246">
        <v>4879</v>
      </c>
      <c r="Z46" s="246">
        <v>3017.6</v>
      </c>
      <c r="AA46" s="245">
        <v>107.7</v>
      </c>
      <c r="AB46" s="245">
        <v>192.9</v>
      </c>
      <c r="AC46" s="245">
        <v>1359.2</v>
      </c>
      <c r="AD46" s="246">
        <v>38318</v>
      </c>
      <c r="AE46" s="245">
        <v>37.563000000000002</v>
      </c>
      <c r="AF46" s="245">
        <v>60.94</v>
      </c>
      <c r="AG46" s="245">
        <v>53</v>
      </c>
      <c r="AH46" s="245">
        <v>72</v>
      </c>
      <c r="AI46" s="245">
        <v>11.3</v>
      </c>
      <c r="AJ46" s="245">
        <v>263.2</v>
      </c>
      <c r="AK46" s="245">
        <v>0.28000000000000003</v>
      </c>
      <c r="AL46" s="245">
        <v>46.26</v>
      </c>
      <c r="AM46" s="245">
        <v>136.38999999999999</v>
      </c>
      <c r="AN46" s="75">
        <v>13.611000000000001</v>
      </c>
      <c r="AO46" s="75">
        <v>115.51</v>
      </c>
      <c r="AP46" s="75">
        <v>12.8</v>
      </c>
      <c r="AQ46" s="75">
        <v>1.95</v>
      </c>
      <c r="AR46" s="75">
        <v>0.432</v>
      </c>
      <c r="AS46" s="75">
        <v>0.22500000000000001</v>
      </c>
      <c r="AT46" s="75">
        <v>1.26</v>
      </c>
      <c r="AU46" s="75">
        <v>1.0620000000000001</v>
      </c>
      <c r="AV46" s="75">
        <v>1.294</v>
      </c>
      <c r="AW46" s="245">
        <v>452.91</v>
      </c>
      <c r="AX46" s="245">
        <v>28.145</v>
      </c>
      <c r="AY46" s="245">
        <v>68.304000000000002</v>
      </c>
      <c r="AZ46" s="75">
        <v>6.2649999999999997</v>
      </c>
      <c r="BA46" s="75">
        <v>24.24</v>
      </c>
      <c r="BB46" s="75">
        <v>4.3490000000000002</v>
      </c>
      <c r="BC46" s="75">
        <v>1.032</v>
      </c>
      <c r="BD46" s="75">
        <v>3.339</v>
      </c>
      <c r="BE46" s="75">
        <v>0.48099999999999998</v>
      </c>
      <c r="BF46" s="75">
        <v>2.5099999999999998</v>
      </c>
      <c r="BG46" s="75">
        <v>0.52400000000000002</v>
      </c>
      <c r="BH46" s="75">
        <v>1.4159999999999999</v>
      </c>
      <c r="BI46" s="75">
        <v>0.20799999999999999</v>
      </c>
      <c r="BJ46" s="75">
        <v>1.244</v>
      </c>
      <c r="BK46" s="75">
        <v>0.186</v>
      </c>
      <c r="BL46" s="75">
        <v>3.181</v>
      </c>
      <c r="BM46" s="75">
        <v>0.72199999999999998</v>
      </c>
      <c r="BN46" s="75">
        <v>3.9830000000000001</v>
      </c>
      <c r="BO46" s="75">
        <v>0.32800000000000001</v>
      </c>
      <c r="BP46" s="75">
        <v>30</v>
      </c>
      <c r="BQ46" s="75">
        <v>0.38</v>
      </c>
      <c r="BR46" s="75">
        <v>5.1310000000000002</v>
      </c>
      <c r="BS46" s="75">
        <v>1.3879999999999999</v>
      </c>
      <c r="BT46" s="39"/>
    </row>
    <row r="47" spans="1:72">
      <c r="A47" s="53" t="s">
        <v>175</v>
      </c>
      <c r="B47" s="39" t="s">
        <v>176</v>
      </c>
      <c r="C47" s="155" t="s">
        <v>343</v>
      </c>
      <c r="D47" s="53">
        <v>0.187274</v>
      </c>
      <c r="E47" s="53">
        <v>34.735595000000004</v>
      </c>
      <c r="F47" s="53" t="s">
        <v>353</v>
      </c>
      <c r="G47" s="53" t="s">
        <v>330</v>
      </c>
      <c r="H47" s="116" t="s">
        <v>347</v>
      </c>
      <c r="I47" s="154" t="s">
        <v>371</v>
      </c>
      <c r="J47" s="116" t="s">
        <v>687</v>
      </c>
      <c r="K47" s="53" t="s">
        <v>367</v>
      </c>
      <c r="L47" s="53" t="s">
        <v>684</v>
      </c>
      <c r="M47" s="53" t="s">
        <v>683</v>
      </c>
      <c r="N47" s="74">
        <v>2.5391575055938898</v>
      </c>
      <c r="O47" s="245">
        <v>6.67</v>
      </c>
      <c r="P47" s="162">
        <v>0.51829999999999998</v>
      </c>
      <c r="Q47" s="245">
        <v>12</v>
      </c>
      <c r="R47" s="75">
        <v>1.39</v>
      </c>
      <c r="S47" s="246">
        <v>11391</v>
      </c>
      <c r="T47" s="246">
        <v>6835</v>
      </c>
      <c r="U47" s="246">
        <v>55560</v>
      </c>
      <c r="V47" s="246">
        <v>534</v>
      </c>
      <c r="W47" s="246">
        <v>149</v>
      </c>
      <c r="X47" s="246">
        <v>11477</v>
      </c>
      <c r="Y47" s="246">
        <v>4337</v>
      </c>
      <c r="Z47" s="246">
        <v>3170.7</v>
      </c>
      <c r="AA47" s="245">
        <v>113.3</v>
      </c>
      <c r="AB47" s="245">
        <v>195.9</v>
      </c>
      <c r="AC47" s="245">
        <v>1441.4</v>
      </c>
      <c r="AD47" s="246">
        <v>39162</v>
      </c>
      <c r="AE47" s="245">
        <v>40.555</v>
      </c>
      <c r="AF47" s="245">
        <v>66.92</v>
      </c>
      <c r="AG47" s="245">
        <v>58.43</v>
      </c>
      <c r="AH47" s="245">
        <v>88</v>
      </c>
      <c r="AI47" s="245">
        <v>11.99</v>
      </c>
      <c r="AJ47" s="245">
        <v>209.7</v>
      </c>
      <c r="AK47" s="245">
        <v>0.25</v>
      </c>
      <c r="AL47" s="245">
        <v>47.95</v>
      </c>
      <c r="AM47" s="245">
        <v>130.12</v>
      </c>
      <c r="AN47" s="75">
        <v>14.603999999999999</v>
      </c>
      <c r="AO47" s="75">
        <v>118.49</v>
      </c>
      <c r="AP47" s="75">
        <v>13.898999999999999</v>
      </c>
      <c r="AQ47" s="75">
        <v>2</v>
      </c>
      <c r="AR47" s="75">
        <v>0.32100000000000001</v>
      </c>
      <c r="AS47" s="75">
        <v>0.25900000000000001</v>
      </c>
      <c r="AT47" s="75">
        <v>1.32</v>
      </c>
      <c r="AU47" s="75">
        <v>0.98199999999999998</v>
      </c>
      <c r="AV47" s="75">
        <v>1.462</v>
      </c>
      <c r="AW47" s="245">
        <v>451.98</v>
      </c>
      <c r="AX47" s="245">
        <v>28.786999999999999</v>
      </c>
      <c r="AY47" s="245">
        <v>70.572999999999993</v>
      </c>
      <c r="AZ47" s="75">
        <v>6.3620000000000001</v>
      </c>
      <c r="BA47" s="75">
        <v>24.86</v>
      </c>
      <c r="BB47" s="75">
        <v>4.6920000000000002</v>
      </c>
      <c r="BC47" s="75">
        <v>1.0640000000000001</v>
      </c>
      <c r="BD47" s="75">
        <v>3.4159999999999999</v>
      </c>
      <c r="BE47" s="75">
        <v>0.51</v>
      </c>
      <c r="BF47" s="75">
        <v>2.6949999999999998</v>
      </c>
      <c r="BG47" s="75">
        <v>0.54</v>
      </c>
      <c r="BH47" s="75">
        <v>1.504</v>
      </c>
      <c r="BI47" s="75">
        <v>0.22</v>
      </c>
      <c r="BJ47" s="75">
        <v>1.37</v>
      </c>
      <c r="BK47" s="75">
        <v>0.20399999999999999</v>
      </c>
      <c r="BL47" s="75">
        <v>3.2829999999999999</v>
      </c>
      <c r="BM47" s="75">
        <v>0.80700000000000005</v>
      </c>
      <c r="BN47" s="75">
        <v>4.2140000000000004</v>
      </c>
      <c r="BO47" s="75">
        <v>0.317</v>
      </c>
      <c r="BP47" s="75">
        <v>37.1</v>
      </c>
      <c r="BQ47" s="75">
        <v>0.39</v>
      </c>
      <c r="BR47" s="75">
        <v>5.14</v>
      </c>
      <c r="BS47" s="75">
        <v>1.427</v>
      </c>
      <c r="BT47" s="39"/>
    </row>
    <row r="48" spans="1:72">
      <c r="A48" s="53" t="s">
        <v>177</v>
      </c>
      <c r="B48" s="39" t="s">
        <v>178</v>
      </c>
      <c r="C48" s="155" t="s">
        <v>343</v>
      </c>
      <c r="D48" s="53">
        <v>0.18890100000000001</v>
      </c>
      <c r="E48" s="53">
        <v>34.740020999999999</v>
      </c>
      <c r="F48" s="53" t="s">
        <v>354</v>
      </c>
      <c r="G48" s="53" t="s">
        <v>330</v>
      </c>
      <c r="H48" s="116" t="s">
        <v>347</v>
      </c>
      <c r="I48" s="154" t="s">
        <v>371</v>
      </c>
      <c r="J48" s="116" t="s">
        <v>687</v>
      </c>
      <c r="K48" s="53" t="s">
        <v>364</v>
      </c>
      <c r="L48" s="53" t="s">
        <v>685</v>
      </c>
      <c r="M48" s="53" t="s">
        <v>690</v>
      </c>
      <c r="N48" s="74">
        <v>2.8474506578946759</v>
      </c>
      <c r="O48" s="245">
        <v>6.24</v>
      </c>
      <c r="P48" s="162">
        <v>1.937705</v>
      </c>
      <c r="Q48" s="245">
        <v>25.6</v>
      </c>
      <c r="R48" s="75">
        <v>1.29</v>
      </c>
      <c r="S48" s="246">
        <v>19091</v>
      </c>
      <c r="T48" s="246">
        <v>19461</v>
      </c>
      <c r="U48" s="246">
        <v>76580</v>
      </c>
      <c r="V48" s="246">
        <v>718</v>
      </c>
      <c r="W48" s="246" t="s">
        <v>160</v>
      </c>
      <c r="X48" s="246">
        <v>12018</v>
      </c>
      <c r="Y48" s="246">
        <v>9259</v>
      </c>
      <c r="Z48" s="246">
        <v>3314.8</v>
      </c>
      <c r="AA48" s="245">
        <v>136.1</v>
      </c>
      <c r="AB48" s="245">
        <v>278</v>
      </c>
      <c r="AC48" s="245">
        <v>1216.5999999999999</v>
      </c>
      <c r="AD48" s="246">
        <v>49022</v>
      </c>
      <c r="AE48" s="245">
        <v>42.793999999999997</v>
      </c>
      <c r="AF48" s="245">
        <v>138.27000000000001</v>
      </c>
      <c r="AG48" s="245">
        <v>69.72</v>
      </c>
      <c r="AH48" s="245">
        <v>103</v>
      </c>
      <c r="AI48" s="245">
        <v>15.69</v>
      </c>
      <c r="AJ48" s="245">
        <v>24.7</v>
      </c>
      <c r="AK48" s="245">
        <v>0.03</v>
      </c>
      <c r="AL48" s="245">
        <v>35.409999999999997</v>
      </c>
      <c r="AM48" s="245">
        <v>270.47000000000003</v>
      </c>
      <c r="AN48" s="75">
        <v>14.887</v>
      </c>
      <c r="AO48" s="75">
        <v>125.88</v>
      </c>
      <c r="AP48" s="75">
        <v>4.6639999999999997</v>
      </c>
      <c r="AQ48" s="75">
        <v>0.69</v>
      </c>
      <c r="AR48" s="75">
        <v>9.4E-2</v>
      </c>
      <c r="AS48" s="75">
        <v>9.7000000000000003E-2</v>
      </c>
      <c r="AT48" s="75">
        <v>1.07</v>
      </c>
      <c r="AU48" s="75">
        <v>0.22900000000000001</v>
      </c>
      <c r="AV48" s="75">
        <v>2.008</v>
      </c>
      <c r="AW48" s="245">
        <v>645.53</v>
      </c>
      <c r="AX48" s="245">
        <v>33.005000000000003</v>
      </c>
      <c r="AY48" s="245">
        <v>75.759</v>
      </c>
      <c r="AZ48" s="75">
        <v>8.0069999999999997</v>
      </c>
      <c r="BA48" s="75">
        <v>31.61</v>
      </c>
      <c r="BB48" s="75">
        <v>5.9459999999999997</v>
      </c>
      <c r="BC48" s="75">
        <v>1.431</v>
      </c>
      <c r="BD48" s="75">
        <v>4.1619999999999999</v>
      </c>
      <c r="BE48" s="75">
        <v>0.57699999999999996</v>
      </c>
      <c r="BF48" s="75">
        <v>2.8690000000000002</v>
      </c>
      <c r="BG48" s="75">
        <v>0.56200000000000006</v>
      </c>
      <c r="BH48" s="75">
        <v>1.5149999999999999</v>
      </c>
      <c r="BI48" s="75">
        <v>0.217</v>
      </c>
      <c r="BJ48" s="75">
        <v>1.353</v>
      </c>
      <c r="BK48" s="75">
        <v>0.20799999999999999</v>
      </c>
      <c r="BL48" s="75">
        <v>3.669</v>
      </c>
      <c r="BM48" s="75">
        <v>0.32900000000000001</v>
      </c>
      <c r="BN48" s="75">
        <v>3.2490000000000001</v>
      </c>
      <c r="BO48" s="75">
        <v>0.19500000000000001</v>
      </c>
      <c r="BP48" s="75">
        <v>21</v>
      </c>
      <c r="BQ48" s="75">
        <v>0.1</v>
      </c>
      <c r="BR48" s="75">
        <v>6.1289999999999996</v>
      </c>
      <c r="BS48" s="75">
        <v>2.13</v>
      </c>
      <c r="BT48" s="39"/>
    </row>
    <row r="49" spans="1:72">
      <c r="A49" s="53" t="s">
        <v>179</v>
      </c>
      <c r="B49" s="39" t="s">
        <v>180</v>
      </c>
      <c r="C49" s="155" t="s">
        <v>343</v>
      </c>
      <c r="D49" s="53">
        <v>0.18871499999999999</v>
      </c>
      <c r="E49" s="53">
        <v>34.740102</v>
      </c>
      <c r="F49" s="53" t="s">
        <v>354</v>
      </c>
      <c r="G49" s="53" t="s">
        <v>330</v>
      </c>
      <c r="H49" s="116" t="s">
        <v>347</v>
      </c>
      <c r="I49" s="154" t="s">
        <v>371</v>
      </c>
      <c r="J49" s="116" t="s">
        <v>687</v>
      </c>
      <c r="K49" s="53" t="s">
        <v>367</v>
      </c>
      <c r="L49" s="53" t="s">
        <v>684</v>
      </c>
      <c r="M49" s="53" t="s">
        <v>683</v>
      </c>
      <c r="N49" s="74">
        <v>6.003544528134479</v>
      </c>
      <c r="O49" s="245">
        <v>5.09</v>
      </c>
      <c r="P49" s="162">
        <v>0.385405</v>
      </c>
      <c r="Q49" s="245">
        <v>10</v>
      </c>
      <c r="R49" s="75">
        <v>2.37</v>
      </c>
      <c r="S49" s="246">
        <v>1321</v>
      </c>
      <c r="T49" s="246">
        <v>2696</v>
      </c>
      <c r="U49" s="246">
        <v>79984</v>
      </c>
      <c r="V49" s="246">
        <v>702</v>
      </c>
      <c r="W49" s="246">
        <v>215</v>
      </c>
      <c r="X49" s="246">
        <v>9327</v>
      </c>
      <c r="Y49" s="246">
        <v>1344</v>
      </c>
      <c r="Z49" s="246">
        <v>5407.8</v>
      </c>
      <c r="AA49" s="245">
        <v>161.1</v>
      </c>
      <c r="AB49" s="245">
        <v>471.8</v>
      </c>
      <c r="AC49" s="245">
        <v>2504.8000000000002</v>
      </c>
      <c r="AD49" s="246">
        <v>70999</v>
      </c>
      <c r="AE49" s="245">
        <v>73.376999999999995</v>
      </c>
      <c r="AF49" s="245">
        <v>136.09</v>
      </c>
      <c r="AG49" s="245">
        <v>63.42</v>
      </c>
      <c r="AH49" s="245">
        <v>113</v>
      </c>
      <c r="AI49" s="245">
        <v>18.03</v>
      </c>
      <c r="AJ49" s="245">
        <v>10.6</v>
      </c>
      <c r="AK49" s="245">
        <v>0.92</v>
      </c>
      <c r="AL49" s="245">
        <v>62.08</v>
      </c>
      <c r="AM49" s="245">
        <v>35.409999999999997</v>
      </c>
      <c r="AN49" s="75">
        <v>20.288</v>
      </c>
      <c r="AO49" s="75">
        <v>195.91</v>
      </c>
      <c r="AP49" s="75">
        <v>30.722999999999999</v>
      </c>
      <c r="AQ49" s="75">
        <v>2.25</v>
      </c>
      <c r="AR49" s="75">
        <v>7.0999999999999994E-2</v>
      </c>
      <c r="AS49" s="75">
        <v>0.159</v>
      </c>
      <c r="AT49" s="75">
        <v>1.93</v>
      </c>
      <c r="AU49" s="75">
        <v>0.59199999999999997</v>
      </c>
      <c r="AV49" s="75">
        <v>1.7529999999999999</v>
      </c>
      <c r="AW49" s="245">
        <v>396.01</v>
      </c>
      <c r="AX49" s="245">
        <v>36.026000000000003</v>
      </c>
      <c r="AY49" s="245">
        <v>109.01600000000001</v>
      </c>
      <c r="AZ49" s="75">
        <v>7.3460000000000001</v>
      </c>
      <c r="BA49" s="75">
        <v>27.56</v>
      </c>
      <c r="BB49" s="75">
        <v>5.07</v>
      </c>
      <c r="BC49" s="75">
        <v>1.1060000000000001</v>
      </c>
      <c r="BD49" s="75">
        <v>3.9820000000000002</v>
      </c>
      <c r="BE49" s="75">
        <v>0.64400000000000002</v>
      </c>
      <c r="BF49" s="75">
        <v>3.7280000000000002</v>
      </c>
      <c r="BG49" s="75">
        <v>0.745</v>
      </c>
      <c r="BH49" s="75">
        <v>2.1080000000000001</v>
      </c>
      <c r="BI49" s="75">
        <v>0.317</v>
      </c>
      <c r="BJ49" s="75">
        <v>1.94</v>
      </c>
      <c r="BK49" s="75">
        <v>0.313</v>
      </c>
      <c r="BL49" s="75">
        <v>5.2439999999999998</v>
      </c>
      <c r="BM49" s="75">
        <v>1.71</v>
      </c>
      <c r="BN49" s="75">
        <v>1.4390000000000001</v>
      </c>
      <c r="BO49" s="75">
        <v>0.55800000000000005</v>
      </c>
      <c r="BP49" s="75">
        <v>21</v>
      </c>
      <c r="BQ49" s="75">
        <v>0.13</v>
      </c>
      <c r="BR49" s="75">
        <v>8.4939999999999998</v>
      </c>
      <c r="BS49" s="75">
        <v>2.31</v>
      </c>
      <c r="BT49" s="39"/>
    </row>
    <row r="50" spans="1:72">
      <c r="A50" s="53" t="s">
        <v>181</v>
      </c>
      <c r="B50" s="39" t="s">
        <v>182</v>
      </c>
      <c r="C50" s="155" t="s">
        <v>343</v>
      </c>
      <c r="D50" s="53">
        <v>0.18934699999999999</v>
      </c>
      <c r="E50" s="53">
        <v>34.740495000000003</v>
      </c>
      <c r="F50" s="53" t="s">
        <v>354</v>
      </c>
      <c r="G50" s="53" t="s">
        <v>330</v>
      </c>
      <c r="H50" s="116" t="s">
        <v>347</v>
      </c>
      <c r="I50" s="154" t="s">
        <v>371</v>
      </c>
      <c r="J50" s="116" t="s">
        <v>687</v>
      </c>
      <c r="K50" s="53" t="s">
        <v>361</v>
      </c>
      <c r="L50" s="53" t="s">
        <v>685</v>
      </c>
      <c r="M50" s="53" t="s">
        <v>690</v>
      </c>
      <c r="N50" s="74">
        <v>2.7698373583044367</v>
      </c>
      <c r="O50" s="245">
        <v>6.91</v>
      </c>
      <c r="P50" s="162">
        <v>0.16346500000000003</v>
      </c>
      <c r="Q50" s="245">
        <v>15.3</v>
      </c>
      <c r="R50" s="75">
        <v>1.99</v>
      </c>
      <c r="S50" s="246">
        <v>17337</v>
      </c>
      <c r="T50" s="246">
        <v>13367</v>
      </c>
      <c r="U50" s="246">
        <v>73565</v>
      </c>
      <c r="V50" s="246">
        <v>406</v>
      </c>
      <c r="W50" s="246">
        <v>29</v>
      </c>
      <c r="X50" s="246">
        <v>17506</v>
      </c>
      <c r="Y50" s="246">
        <v>7354</v>
      </c>
      <c r="Z50" s="246">
        <v>3526.7</v>
      </c>
      <c r="AA50" s="245">
        <v>130.6</v>
      </c>
      <c r="AB50" s="245">
        <v>241.4</v>
      </c>
      <c r="AC50" s="245">
        <v>1280.5</v>
      </c>
      <c r="AD50" s="246">
        <v>45145</v>
      </c>
      <c r="AE50" s="245">
        <v>39.579000000000001</v>
      </c>
      <c r="AF50" s="245">
        <v>146.26</v>
      </c>
      <c r="AG50" s="245">
        <v>53.13</v>
      </c>
      <c r="AH50" s="245">
        <v>103</v>
      </c>
      <c r="AI50" s="245">
        <v>15.42</v>
      </c>
      <c r="AJ50" s="245">
        <v>102.2</v>
      </c>
      <c r="AK50" s="245">
        <v>7.0000000000000007E-2</v>
      </c>
      <c r="AL50" s="245">
        <v>65.510000000000005</v>
      </c>
      <c r="AM50" s="245">
        <v>231.23</v>
      </c>
      <c r="AN50" s="75">
        <v>14.281000000000001</v>
      </c>
      <c r="AO50" s="75">
        <v>146.16</v>
      </c>
      <c r="AP50" s="75">
        <v>5.375</v>
      </c>
      <c r="AQ50" s="75">
        <v>0.75</v>
      </c>
      <c r="AR50" s="75">
        <v>0.35</v>
      </c>
      <c r="AS50" s="75">
        <v>0.14099999999999999</v>
      </c>
      <c r="AT50" s="75">
        <v>1.1200000000000001</v>
      </c>
      <c r="AU50" s="75">
        <v>0.44500000000000001</v>
      </c>
      <c r="AV50" s="75">
        <v>1.659</v>
      </c>
      <c r="AW50" s="245">
        <v>728.73</v>
      </c>
      <c r="AX50" s="245">
        <v>34.536999999999999</v>
      </c>
      <c r="AY50" s="245">
        <v>85.941000000000003</v>
      </c>
      <c r="AZ50" s="75">
        <v>8.2859999999999996</v>
      </c>
      <c r="BA50" s="75">
        <v>32.56</v>
      </c>
      <c r="BB50" s="75">
        <v>5.79</v>
      </c>
      <c r="BC50" s="75">
        <v>1.4390000000000001</v>
      </c>
      <c r="BD50" s="75">
        <v>3.8690000000000002</v>
      </c>
      <c r="BE50" s="75">
        <v>0.51700000000000002</v>
      </c>
      <c r="BF50" s="75">
        <v>2.5979999999999999</v>
      </c>
      <c r="BG50" s="75">
        <v>0.51400000000000001</v>
      </c>
      <c r="BH50" s="75">
        <v>1.3839999999999999</v>
      </c>
      <c r="BI50" s="75">
        <v>0.20699999999999999</v>
      </c>
      <c r="BJ50" s="75">
        <v>1.2410000000000001</v>
      </c>
      <c r="BK50" s="75">
        <v>0.20200000000000001</v>
      </c>
      <c r="BL50" s="75">
        <v>4.2089999999999996</v>
      </c>
      <c r="BM50" s="75">
        <v>0.34</v>
      </c>
      <c r="BN50" s="75">
        <v>4.327</v>
      </c>
      <c r="BO50" s="75">
        <v>0.28899999999999998</v>
      </c>
      <c r="BP50" s="75">
        <v>28.6</v>
      </c>
      <c r="BQ50" s="75">
        <v>0.21</v>
      </c>
      <c r="BR50" s="75">
        <v>6.9180000000000001</v>
      </c>
      <c r="BS50" s="75">
        <v>1.877</v>
      </c>
      <c r="BT50" s="39"/>
    </row>
    <row r="51" spans="1:72">
      <c r="A51" s="53" t="s">
        <v>183</v>
      </c>
      <c r="B51" s="39" t="s">
        <v>184</v>
      </c>
      <c r="C51" s="155" t="s">
        <v>343</v>
      </c>
      <c r="D51" s="53">
        <v>0.19486300000000001</v>
      </c>
      <c r="E51" s="53">
        <v>34.750653</v>
      </c>
      <c r="F51" s="53" t="s">
        <v>355</v>
      </c>
      <c r="G51" s="53" t="s">
        <v>330</v>
      </c>
      <c r="H51" s="116" t="s">
        <v>347</v>
      </c>
      <c r="I51" s="154" t="s">
        <v>371</v>
      </c>
      <c r="J51" s="116" t="s">
        <v>687</v>
      </c>
      <c r="K51" s="53" t="s">
        <v>366</v>
      </c>
      <c r="L51" s="53" t="s">
        <v>684</v>
      </c>
      <c r="M51" s="53" t="s">
        <v>683</v>
      </c>
      <c r="N51" s="74">
        <v>4.2234751409533464</v>
      </c>
      <c r="O51" s="245">
        <v>6.78</v>
      </c>
      <c r="P51" s="162">
        <v>6.8764050000000001</v>
      </c>
      <c r="Q51" s="245">
        <v>8.1</v>
      </c>
      <c r="R51" s="75">
        <v>1.67</v>
      </c>
      <c r="S51" s="246">
        <v>5709</v>
      </c>
      <c r="T51" s="246">
        <v>2606</v>
      </c>
      <c r="U51" s="246">
        <v>49617</v>
      </c>
      <c r="V51" s="246">
        <v>459</v>
      </c>
      <c r="W51" s="246">
        <v>170</v>
      </c>
      <c r="X51" s="246">
        <v>16824</v>
      </c>
      <c r="Y51" s="246">
        <v>4107</v>
      </c>
      <c r="Z51" s="246">
        <v>2236.9</v>
      </c>
      <c r="AA51" s="245">
        <v>90.3</v>
      </c>
      <c r="AB51" s="245">
        <v>106.8</v>
      </c>
      <c r="AC51" s="245">
        <v>1524</v>
      </c>
      <c r="AD51" s="246">
        <v>39675</v>
      </c>
      <c r="AE51" s="245">
        <v>30.815000000000001</v>
      </c>
      <c r="AF51" s="245">
        <v>25.82</v>
      </c>
      <c r="AG51" s="245">
        <v>36.86</v>
      </c>
      <c r="AH51" s="245">
        <v>74</v>
      </c>
      <c r="AI51" s="245">
        <v>12.48</v>
      </c>
      <c r="AJ51" s="245">
        <v>190.9</v>
      </c>
      <c r="AK51" s="245">
        <v>0.44</v>
      </c>
      <c r="AL51" s="245">
        <v>69.48</v>
      </c>
      <c r="AM51" s="245">
        <v>99.67</v>
      </c>
      <c r="AN51" s="75">
        <v>13.788</v>
      </c>
      <c r="AO51" s="75">
        <v>128.54</v>
      </c>
      <c r="AP51" s="75">
        <v>21.285</v>
      </c>
      <c r="AQ51" s="75">
        <v>1.71</v>
      </c>
      <c r="AR51" s="75">
        <v>1.407</v>
      </c>
      <c r="AS51" s="75">
        <v>0.308</v>
      </c>
      <c r="AT51" s="75">
        <v>1.34</v>
      </c>
      <c r="AU51" s="75">
        <v>1.4430000000000001</v>
      </c>
      <c r="AV51" s="75">
        <v>2.0150000000000001</v>
      </c>
      <c r="AW51" s="245">
        <v>483.83</v>
      </c>
      <c r="AX51" s="245">
        <v>32.28</v>
      </c>
      <c r="AY51" s="245">
        <v>72.456000000000003</v>
      </c>
      <c r="AZ51" s="75">
        <v>6.61</v>
      </c>
      <c r="BA51" s="75">
        <v>23.88</v>
      </c>
      <c r="BB51" s="75">
        <v>4.0419999999999998</v>
      </c>
      <c r="BC51" s="75">
        <v>0.87</v>
      </c>
      <c r="BD51" s="75">
        <v>3.0960000000000001</v>
      </c>
      <c r="BE51" s="75">
        <v>0.45900000000000002</v>
      </c>
      <c r="BF51" s="75">
        <v>2.5169999999999999</v>
      </c>
      <c r="BG51" s="75">
        <v>0.51400000000000001</v>
      </c>
      <c r="BH51" s="75">
        <v>1.478</v>
      </c>
      <c r="BI51" s="75">
        <v>0.22700000000000001</v>
      </c>
      <c r="BJ51" s="75">
        <v>1.4359999999999999</v>
      </c>
      <c r="BK51" s="75">
        <v>0.214</v>
      </c>
      <c r="BL51" s="75">
        <v>3.4180000000000001</v>
      </c>
      <c r="BM51" s="75">
        <v>1.2909999999999999</v>
      </c>
      <c r="BN51" s="75">
        <v>8.7059999999999995</v>
      </c>
      <c r="BO51" s="75">
        <v>0.34300000000000003</v>
      </c>
      <c r="BP51" s="75">
        <v>50.4</v>
      </c>
      <c r="BQ51" s="75">
        <v>0.25</v>
      </c>
      <c r="BR51" s="75">
        <v>8.09</v>
      </c>
      <c r="BS51" s="75">
        <v>1.954</v>
      </c>
      <c r="BT51" s="39"/>
    </row>
    <row r="52" spans="1:72">
      <c r="A52" s="53" t="s">
        <v>185</v>
      </c>
      <c r="B52" s="39" t="s">
        <v>186</v>
      </c>
      <c r="C52" s="155" t="s">
        <v>343</v>
      </c>
      <c r="D52" s="53">
        <v>0.19508500000000001</v>
      </c>
      <c r="E52" s="53">
        <v>34.751396</v>
      </c>
      <c r="F52" s="53" t="s">
        <v>355</v>
      </c>
      <c r="G52" s="53" t="s">
        <v>330</v>
      </c>
      <c r="H52" s="116" t="s">
        <v>347</v>
      </c>
      <c r="I52" s="154" t="s">
        <v>371</v>
      </c>
      <c r="J52" s="116" t="s">
        <v>687</v>
      </c>
      <c r="K52" s="53" t="s">
        <v>367</v>
      </c>
      <c r="L52" s="53" t="s">
        <v>684</v>
      </c>
      <c r="M52" s="53" t="s">
        <v>683</v>
      </c>
      <c r="N52" s="74">
        <v>8.1114808652245731</v>
      </c>
      <c r="O52" s="245">
        <v>5.49</v>
      </c>
      <c r="P52" s="162">
        <v>16.768075</v>
      </c>
      <c r="Q52" s="245">
        <v>13.4</v>
      </c>
      <c r="R52" s="75">
        <v>2.48</v>
      </c>
      <c r="S52" s="246">
        <v>1137</v>
      </c>
      <c r="T52" s="246">
        <v>2880</v>
      </c>
      <c r="U52" s="246">
        <v>74130</v>
      </c>
      <c r="V52" s="246">
        <v>838</v>
      </c>
      <c r="W52" s="246">
        <v>314</v>
      </c>
      <c r="X52" s="246">
        <v>13693</v>
      </c>
      <c r="Y52" s="246">
        <v>2335</v>
      </c>
      <c r="Z52" s="246">
        <v>4126.6000000000004</v>
      </c>
      <c r="AA52" s="245">
        <v>149.80000000000001</v>
      </c>
      <c r="AB52" s="245">
        <v>102.1</v>
      </c>
      <c r="AC52" s="245">
        <v>2400.4</v>
      </c>
      <c r="AD52" s="246">
        <v>59908</v>
      </c>
      <c r="AE52" s="245">
        <v>53.79</v>
      </c>
      <c r="AF52" s="245">
        <v>44.34</v>
      </c>
      <c r="AG52" s="245">
        <v>65.62</v>
      </c>
      <c r="AH52" s="245">
        <v>103</v>
      </c>
      <c r="AI52" s="245">
        <v>17.079999999999998</v>
      </c>
      <c r="AJ52" s="245">
        <v>103.2</v>
      </c>
      <c r="AK52" s="245">
        <v>1</v>
      </c>
      <c r="AL52" s="245">
        <v>85.56</v>
      </c>
      <c r="AM52" s="245">
        <v>37.909999999999997</v>
      </c>
      <c r="AN52" s="75">
        <v>26.234999999999999</v>
      </c>
      <c r="AO52" s="75">
        <v>249.9</v>
      </c>
      <c r="AP52" s="75">
        <v>33.438000000000002</v>
      </c>
      <c r="AQ52" s="75">
        <v>2.2599999999999998</v>
      </c>
      <c r="AR52" s="75">
        <v>0.13500000000000001</v>
      </c>
      <c r="AS52" s="75">
        <v>0.26300000000000001</v>
      </c>
      <c r="AT52" s="75">
        <v>1.79</v>
      </c>
      <c r="AU52" s="75">
        <v>1.635</v>
      </c>
      <c r="AV52" s="75">
        <v>2.7250000000000001</v>
      </c>
      <c r="AW52" s="245">
        <v>481.64</v>
      </c>
      <c r="AX52" s="245">
        <v>48.177999999999997</v>
      </c>
      <c r="AY52" s="245">
        <v>100.02500000000001</v>
      </c>
      <c r="AZ52" s="75">
        <v>9.3330000000000002</v>
      </c>
      <c r="BA52" s="75">
        <v>34.979999999999997</v>
      </c>
      <c r="BB52" s="75">
        <v>6.0910000000000002</v>
      </c>
      <c r="BC52" s="75">
        <v>1.3089999999999999</v>
      </c>
      <c r="BD52" s="75">
        <v>5.0369999999999999</v>
      </c>
      <c r="BE52" s="75">
        <v>0.79700000000000004</v>
      </c>
      <c r="BF52" s="75">
        <v>4.4489999999999998</v>
      </c>
      <c r="BG52" s="75">
        <v>0.99</v>
      </c>
      <c r="BH52" s="75">
        <v>2.6930000000000001</v>
      </c>
      <c r="BI52" s="75">
        <v>0.41199999999999998</v>
      </c>
      <c r="BJ52" s="75">
        <v>2.6</v>
      </c>
      <c r="BK52" s="75">
        <v>0.38500000000000001</v>
      </c>
      <c r="BL52" s="75">
        <v>6.3979999999999997</v>
      </c>
      <c r="BM52" s="75">
        <v>1.851</v>
      </c>
      <c r="BN52" s="75">
        <v>3.6520000000000001</v>
      </c>
      <c r="BO52" s="75">
        <v>0.40500000000000003</v>
      </c>
      <c r="BP52" s="75">
        <v>38.799999999999997</v>
      </c>
      <c r="BQ52" s="75">
        <v>0.24</v>
      </c>
      <c r="BR52" s="75">
        <v>9.234</v>
      </c>
      <c r="BS52" s="75">
        <v>2.5990000000000002</v>
      </c>
      <c r="BT52" s="39"/>
    </row>
    <row r="53" spans="1:72">
      <c r="A53" s="53" t="s">
        <v>187</v>
      </c>
      <c r="B53" s="39" t="s">
        <v>188</v>
      </c>
      <c r="C53" s="155" t="s">
        <v>343</v>
      </c>
      <c r="D53" s="53">
        <v>0.19523199999999999</v>
      </c>
      <c r="E53" s="53">
        <v>34.751345000000001</v>
      </c>
      <c r="F53" s="53" t="s">
        <v>355</v>
      </c>
      <c r="G53" s="53" t="s">
        <v>330</v>
      </c>
      <c r="H53" s="116" t="s">
        <v>347</v>
      </c>
      <c r="I53" s="154" t="s">
        <v>371</v>
      </c>
      <c r="J53" s="116" t="s">
        <v>687</v>
      </c>
      <c r="K53" s="53" t="s">
        <v>361</v>
      </c>
      <c r="L53" s="53" t="s">
        <v>685</v>
      </c>
      <c r="M53" s="53" t="s">
        <v>690</v>
      </c>
      <c r="N53" s="74">
        <v>3.0004559963521675</v>
      </c>
      <c r="O53" s="245">
        <v>6.25</v>
      </c>
      <c r="P53" s="162">
        <v>0.17497499999999999</v>
      </c>
      <c r="Q53" s="245">
        <v>8.9</v>
      </c>
      <c r="R53" s="75">
        <v>3.27</v>
      </c>
      <c r="S53" s="246">
        <v>773</v>
      </c>
      <c r="T53" s="246">
        <v>4465</v>
      </c>
      <c r="U53" s="246">
        <v>80232</v>
      </c>
      <c r="V53" s="246">
        <v>650</v>
      </c>
      <c r="W53" s="246">
        <v>84</v>
      </c>
      <c r="X53" s="246">
        <v>24725</v>
      </c>
      <c r="Y53" s="246">
        <v>1602</v>
      </c>
      <c r="Z53" s="246">
        <v>1287.5</v>
      </c>
      <c r="AA53" s="245">
        <v>158.30000000000001</v>
      </c>
      <c r="AB53" s="245">
        <v>101.1</v>
      </c>
      <c r="AC53" s="245">
        <v>1253</v>
      </c>
      <c r="AD53" s="246">
        <v>63987</v>
      </c>
      <c r="AE53" s="245">
        <v>37.814999999999998</v>
      </c>
      <c r="AF53" s="245">
        <v>46.71</v>
      </c>
      <c r="AG53" s="245">
        <v>98.65</v>
      </c>
      <c r="AH53" s="245">
        <v>209</v>
      </c>
      <c r="AI53" s="245">
        <v>16.71</v>
      </c>
      <c r="AJ53" s="245">
        <v>417.1</v>
      </c>
      <c r="AK53" s="245">
        <v>0.26</v>
      </c>
      <c r="AL53" s="245">
        <v>99.42</v>
      </c>
      <c r="AM53" s="245">
        <v>30.57</v>
      </c>
      <c r="AN53" s="75">
        <v>16.321000000000002</v>
      </c>
      <c r="AO53" s="75">
        <v>122.93</v>
      </c>
      <c r="AP53" s="75">
        <v>7.37</v>
      </c>
      <c r="AQ53" s="75">
        <v>2.34</v>
      </c>
      <c r="AR53" s="75">
        <v>1.0249999999999999</v>
      </c>
      <c r="AS53" s="75">
        <v>0.68400000000000005</v>
      </c>
      <c r="AT53" s="75">
        <v>1.17</v>
      </c>
      <c r="AU53" s="75">
        <v>2.6850000000000001</v>
      </c>
      <c r="AV53" s="75">
        <v>3.6669999999999998</v>
      </c>
      <c r="AW53" s="245">
        <v>614.39</v>
      </c>
      <c r="AX53" s="245">
        <v>28.853000000000002</v>
      </c>
      <c r="AY53" s="245">
        <v>71.22</v>
      </c>
      <c r="AZ53" s="75">
        <v>6.3239999999999998</v>
      </c>
      <c r="BA53" s="75">
        <v>24.38</v>
      </c>
      <c r="BB53" s="75">
        <v>4.2489999999999997</v>
      </c>
      <c r="BC53" s="75">
        <v>1.1060000000000001</v>
      </c>
      <c r="BD53" s="75">
        <v>3.3820000000000001</v>
      </c>
      <c r="BE53" s="75">
        <v>0.52300000000000002</v>
      </c>
      <c r="BF53" s="75">
        <v>2.87</v>
      </c>
      <c r="BG53" s="75">
        <v>0.59599999999999997</v>
      </c>
      <c r="BH53" s="75">
        <v>1.754</v>
      </c>
      <c r="BI53" s="75">
        <v>0.26100000000000001</v>
      </c>
      <c r="BJ53" s="75">
        <v>1.7090000000000001</v>
      </c>
      <c r="BK53" s="75">
        <v>0.26100000000000001</v>
      </c>
      <c r="BL53" s="75">
        <v>3.3809999999999998</v>
      </c>
      <c r="BM53" s="75">
        <v>0.44</v>
      </c>
      <c r="BN53" s="75">
        <v>7.2089999999999996</v>
      </c>
      <c r="BO53" s="75">
        <v>0.502</v>
      </c>
      <c r="BP53" s="75">
        <v>196.9</v>
      </c>
      <c r="BQ53" s="75">
        <v>0.48</v>
      </c>
      <c r="BR53" s="75">
        <v>5.5069999999999997</v>
      </c>
      <c r="BS53" s="75">
        <v>2.198</v>
      </c>
      <c r="BT53" s="39"/>
    </row>
    <row r="54" spans="1:72">
      <c r="A54" s="53" t="s">
        <v>189</v>
      </c>
      <c r="B54" s="39" t="s">
        <v>190</v>
      </c>
      <c r="C54" s="155" t="s">
        <v>343</v>
      </c>
      <c r="D54" s="53">
        <v>0.19523199999999999</v>
      </c>
      <c r="E54" s="53">
        <v>34.751345000000001</v>
      </c>
      <c r="F54" s="53" t="s">
        <v>355</v>
      </c>
      <c r="G54" s="53" t="s">
        <v>330</v>
      </c>
      <c r="H54" s="116" t="s">
        <v>347</v>
      </c>
      <c r="I54" s="154" t="s">
        <v>371</v>
      </c>
      <c r="J54" s="116" t="s">
        <v>687</v>
      </c>
      <c r="K54" s="53" t="s">
        <v>364</v>
      </c>
      <c r="L54" s="53" t="s">
        <v>685</v>
      </c>
      <c r="M54" s="53" t="s">
        <v>690</v>
      </c>
      <c r="N54" s="74">
        <v>2.2415827207549928</v>
      </c>
      <c r="O54" s="245">
        <v>6.76</v>
      </c>
      <c r="P54" s="162">
        <v>1.7446950000000001</v>
      </c>
      <c r="Q54" s="245">
        <v>20.2</v>
      </c>
      <c r="R54" s="75">
        <v>1.91</v>
      </c>
      <c r="S54" s="246">
        <v>3113</v>
      </c>
      <c r="T54" s="246">
        <v>12639</v>
      </c>
      <c r="U54" s="246">
        <v>68224</v>
      </c>
      <c r="V54" s="246">
        <v>1034</v>
      </c>
      <c r="W54" s="246">
        <v>44</v>
      </c>
      <c r="X54" s="246">
        <v>21795</v>
      </c>
      <c r="Y54" s="246">
        <v>5365</v>
      </c>
      <c r="Z54" s="246">
        <v>944.1</v>
      </c>
      <c r="AA54" s="245">
        <v>136.30000000000001</v>
      </c>
      <c r="AB54" s="245">
        <v>179.7</v>
      </c>
      <c r="AC54" s="245">
        <v>1518.2</v>
      </c>
      <c r="AD54" s="246">
        <v>55524</v>
      </c>
      <c r="AE54" s="245">
        <v>53.372</v>
      </c>
      <c r="AF54" s="245">
        <v>94.92</v>
      </c>
      <c r="AG54" s="245">
        <v>85.97</v>
      </c>
      <c r="AH54" s="245">
        <v>318</v>
      </c>
      <c r="AI54" s="245">
        <v>14.22</v>
      </c>
      <c r="AJ54" s="245">
        <v>424.9</v>
      </c>
      <c r="AK54" s="245">
        <v>0.1</v>
      </c>
      <c r="AL54" s="245">
        <v>84.21</v>
      </c>
      <c r="AM54" s="245">
        <v>64.599999999999994</v>
      </c>
      <c r="AN54" s="75">
        <v>12.32</v>
      </c>
      <c r="AO54" s="75">
        <v>112.5</v>
      </c>
      <c r="AP54" s="75">
        <v>1.7350000000000001</v>
      </c>
      <c r="AQ54" s="75">
        <v>2.17</v>
      </c>
      <c r="AR54" s="75">
        <v>0.86799999999999999</v>
      </c>
      <c r="AS54" s="75">
        <v>1.3129999999999999</v>
      </c>
      <c r="AT54" s="75">
        <v>0.62</v>
      </c>
      <c r="AU54" s="75">
        <v>2.7330000000000001</v>
      </c>
      <c r="AV54" s="75">
        <v>3.5870000000000002</v>
      </c>
      <c r="AW54" s="245">
        <v>579.57000000000005</v>
      </c>
      <c r="AX54" s="245">
        <v>38.347000000000001</v>
      </c>
      <c r="AY54" s="245">
        <v>87.099000000000004</v>
      </c>
      <c r="AZ54" s="75">
        <v>9.1059999999999999</v>
      </c>
      <c r="BA54" s="75">
        <v>35.81</v>
      </c>
      <c r="BB54" s="75">
        <v>6.07</v>
      </c>
      <c r="BC54" s="75">
        <v>1.6519999999999999</v>
      </c>
      <c r="BD54" s="75">
        <v>4.0170000000000003</v>
      </c>
      <c r="BE54" s="75">
        <v>0.52400000000000002</v>
      </c>
      <c r="BF54" s="75">
        <v>2.492</v>
      </c>
      <c r="BG54" s="75">
        <v>0.46100000000000002</v>
      </c>
      <c r="BH54" s="75">
        <v>1.238</v>
      </c>
      <c r="BI54" s="75">
        <v>0.17499999999999999</v>
      </c>
      <c r="BJ54" s="75">
        <v>1.103</v>
      </c>
      <c r="BK54" s="75">
        <v>0.16900000000000001</v>
      </c>
      <c r="BL54" s="75">
        <v>2.8260000000000001</v>
      </c>
      <c r="BM54" s="75">
        <v>9.9000000000000005E-2</v>
      </c>
      <c r="BN54" s="75">
        <v>13.941000000000001</v>
      </c>
      <c r="BO54" s="75">
        <v>0.41299999999999998</v>
      </c>
      <c r="BP54" s="75">
        <v>258.89999999999998</v>
      </c>
      <c r="BQ54" s="75">
        <v>0.43</v>
      </c>
      <c r="BR54" s="75">
        <v>4.13</v>
      </c>
      <c r="BS54" s="75">
        <v>2.016</v>
      </c>
      <c r="BT54" s="39"/>
    </row>
    <row r="55" spans="1:72">
      <c r="A55" s="53" t="s">
        <v>191</v>
      </c>
      <c r="B55" s="39" t="s">
        <v>192</v>
      </c>
      <c r="C55" s="155" t="s">
        <v>343</v>
      </c>
      <c r="D55" s="53">
        <v>0.19523199999999999</v>
      </c>
      <c r="E55" s="53">
        <v>34.751345000000001</v>
      </c>
      <c r="F55" s="53" t="s">
        <v>355</v>
      </c>
      <c r="G55" s="53" t="s">
        <v>330</v>
      </c>
      <c r="H55" s="116" t="s">
        <v>347</v>
      </c>
      <c r="I55" s="154" t="s">
        <v>371</v>
      </c>
      <c r="J55" s="116" t="s">
        <v>687</v>
      </c>
      <c r="K55" s="53" t="s">
        <v>365</v>
      </c>
      <c r="L55" s="53" t="s">
        <v>685</v>
      </c>
      <c r="M55" s="53" t="s">
        <v>691</v>
      </c>
      <c r="N55" s="74">
        <v>2.6552053486150178</v>
      </c>
      <c r="O55" s="245">
        <v>6.7</v>
      </c>
      <c r="P55" s="162">
        <v>3.4227149999999997</v>
      </c>
      <c r="Q55" s="245">
        <v>8.6</v>
      </c>
      <c r="R55" s="75">
        <v>1.27</v>
      </c>
      <c r="S55" s="246">
        <v>1249</v>
      </c>
      <c r="T55" s="246">
        <v>6269</v>
      </c>
      <c r="U55" s="246">
        <v>37847</v>
      </c>
      <c r="V55" s="246">
        <v>351</v>
      </c>
      <c r="W55" s="246">
        <v>167</v>
      </c>
      <c r="X55" s="246">
        <v>12748</v>
      </c>
      <c r="Y55" s="246">
        <v>2064</v>
      </c>
      <c r="Z55" s="246">
        <v>854.3</v>
      </c>
      <c r="AA55" s="245">
        <v>79.2</v>
      </c>
      <c r="AB55" s="245">
        <v>273.5</v>
      </c>
      <c r="AC55" s="245">
        <v>717.5</v>
      </c>
      <c r="AD55" s="246">
        <v>31464</v>
      </c>
      <c r="AE55" s="245">
        <v>20.853000000000002</v>
      </c>
      <c r="AF55" s="245">
        <v>45.78</v>
      </c>
      <c r="AG55" s="245">
        <v>51.68</v>
      </c>
      <c r="AH55" s="245">
        <v>194</v>
      </c>
      <c r="AI55" s="245">
        <v>9.3800000000000008</v>
      </c>
      <c r="AJ55" s="245">
        <v>1211.4000000000001</v>
      </c>
      <c r="AK55" s="245">
        <v>0.12</v>
      </c>
      <c r="AL55" s="245">
        <v>50.76</v>
      </c>
      <c r="AM55" s="245">
        <v>32.369999999999997</v>
      </c>
      <c r="AN55" s="75">
        <v>7.8490000000000002</v>
      </c>
      <c r="AO55" s="75">
        <v>62.45</v>
      </c>
      <c r="AP55" s="75">
        <v>4.1479999999999997</v>
      </c>
      <c r="AQ55" s="75">
        <v>1.88</v>
      </c>
      <c r="AR55" s="75">
        <v>2.786</v>
      </c>
      <c r="AS55" s="75">
        <v>0.79800000000000004</v>
      </c>
      <c r="AT55" s="75">
        <v>0.79</v>
      </c>
      <c r="AU55" s="75">
        <v>2.331</v>
      </c>
      <c r="AV55" s="75">
        <v>2.1269999999999998</v>
      </c>
      <c r="AW55" s="245">
        <v>331.47</v>
      </c>
      <c r="AX55" s="245">
        <v>17.457000000000001</v>
      </c>
      <c r="AY55" s="245">
        <v>33.784999999999997</v>
      </c>
      <c r="AZ55" s="75">
        <v>3.746</v>
      </c>
      <c r="BA55" s="75">
        <v>14.34</v>
      </c>
      <c r="BB55" s="75">
        <v>2.5750000000000002</v>
      </c>
      <c r="BC55" s="75">
        <v>0.66500000000000004</v>
      </c>
      <c r="BD55" s="75">
        <v>1.9259999999999999</v>
      </c>
      <c r="BE55" s="75">
        <v>0.26700000000000002</v>
      </c>
      <c r="BF55" s="75">
        <v>1.423</v>
      </c>
      <c r="BG55" s="75">
        <v>0.29199999999999998</v>
      </c>
      <c r="BH55" s="75">
        <v>0.81399999999999995</v>
      </c>
      <c r="BI55" s="75">
        <v>0.11700000000000001</v>
      </c>
      <c r="BJ55" s="75">
        <v>0.79300000000000004</v>
      </c>
      <c r="BK55" s="75">
        <v>0.121</v>
      </c>
      <c r="BL55" s="75">
        <v>1.726</v>
      </c>
      <c r="BM55" s="75">
        <v>0.22900000000000001</v>
      </c>
      <c r="BN55" s="75">
        <v>13.914999999999999</v>
      </c>
      <c r="BO55" s="75">
        <v>0.24199999999999999</v>
      </c>
      <c r="BP55" s="75">
        <v>224.2</v>
      </c>
      <c r="BQ55" s="75">
        <v>0.49</v>
      </c>
      <c r="BR55" s="75">
        <v>3.0489999999999999</v>
      </c>
      <c r="BS55" s="75">
        <v>1.268</v>
      </c>
      <c r="BT55" s="39"/>
    </row>
    <row r="56" spans="1:72">
      <c r="A56" s="53" t="s">
        <v>193</v>
      </c>
      <c r="B56" s="39" t="s">
        <v>194</v>
      </c>
      <c r="C56" s="155" t="s">
        <v>341</v>
      </c>
      <c r="D56" s="53">
        <v>0.22437199999999999</v>
      </c>
      <c r="E56" s="53">
        <v>34.800359999999998</v>
      </c>
      <c r="F56" s="53" t="s">
        <v>356</v>
      </c>
      <c r="G56" s="53" t="s">
        <v>330</v>
      </c>
      <c r="H56" s="116" t="s">
        <v>347</v>
      </c>
      <c r="I56" s="154" t="s">
        <v>371</v>
      </c>
      <c r="J56" s="116" t="s">
        <v>687</v>
      </c>
      <c r="K56" s="53" t="s">
        <v>364</v>
      </c>
      <c r="L56" s="53" t="s">
        <v>685</v>
      </c>
      <c r="M56" s="53" t="s">
        <v>690</v>
      </c>
      <c r="N56" s="74">
        <v>2.2292993630572435</v>
      </c>
      <c r="O56" s="245">
        <v>6.84</v>
      </c>
      <c r="P56" s="162">
        <v>2.1389849999999999</v>
      </c>
      <c r="Q56" s="245">
        <v>21</v>
      </c>
      <c r="R56" s="75">
        <v>2.1800000000000002</v>
      </c>
      <c r="S56" s="246">
        <v>2920</v>
      </c>
      <c r="T56" s="246">
        <v>12009</v>
      </c>
      <c r="U56" s="246">
        <v>62311</v>
      </c>
      <c r="V56" s="246">
        <v>1029</v>
      </c>
      <c r="W56" s="246">
        <v>66</v>
      </c>
      <c r="X56" s="246">
        <v>21534</v>
      </c>
      <c r="Y56" s="246">
        <v>5355</v>
      </c>
      <c r="Z56" s="246">
        <v>934.6</v>
      </c>
      <c r="AA56" s="245">
        <v>137.19999999999999</v>
      </c>
      <c r="AB56" s="245">
        <v>178.7</v>
      </c>
      <c r="AC56" s="245">
        <v>1520.3</v>
      </c>
      <c r="AD56" s="246">
        <v>55520</v>
      </c>
      <c r="AE56" s="245">
        <v>46.975999999999999</v>
      </c>
      <c r="AF56" s="245">
        <v>91.52</v>
      </c>
      <c r="AG56" s="245">
        <v>87.49</v>
      </c>
      <c r="AH56" s="245">
        <v>312</v>
      </c>
      <c r="AI56" s="245">
        <v>14.38</v>
      </c>
      <c r="AJ56" s="245">
        <v>442.1</v>
      </c>
      <c r="AK56" s="245">
        <v>0.11</v>
      </c>
      <c r="AL56" s="245">
        <v>83.4</v>
      </c>
      <c r="AM56" s="245">
        <v>64.400000000000006</v>
      </c>
      <c r="AN56" s="75">
        <v>12.301</v>
      </c>
      <c r="AO56" s="75">
        <v>111.52</v>
      </c>
      <c r="AP56" s="75">
        <v>1.716</v>
      </c>
      <c r="AQ56" s="75">
        <v>2.02</v>
      </c>
      <c r="AR56" s="75">
        <v>0.77500000000000002</v>
      </c>
      <c r="AS56" s="75">
        <v>1.39</v>
      </c>
      <c r="AT56" s="75">
        <v>0.6</v>
      </c>
      <c r="AU56" s="75">
        <v>2.6949999999999998</v>
      </c>
      <c r="AV56" s="75">
        <v>3.581</v>
      </c>
      <c r="AW56" s="245">
        <v>569.71</v>
      </c>
      <c r="AX56" s="245">
        <v>37.024999999999999</v>
      </c>
      <c r="AY56" s="245">
        <v>85.665000000000006</v>
      </c>
      <c r="AZ56" s="75">
        <v>8.9480000000000004</v>
      </c>
      <c r="BA56" s="75">
        <v>34.5</v>
      </c>
      <c r="BB56" s="75">
        <v>5.8639999999999999</v>
      </c>
      <c r="BC56" s="75">
        <v>1.5920000000000001</v>
      </c>
      <c r="BD56" s="75">
        <v>4.0339999999999998</v>
      </c>
      <c r="BE56" s="75">
        <v>0.51700000000000002</v>
      </c>
      <c r="BF56" s="75">
        <v>2.4609999999999999</v>
      </c>
      <c r="BG56" s="75">
        <v>0.47199999999999998</v>
      </c>
      <c r="BH56" s="75">
        <v>1.22</v>
      </c>
      <c r="BI56" s="75">
        <v>0.17100000000000001</v>
      </c>
      <c r="BJ56" s="75">
        <v>1.085</v>
      </c>
      <c r="BK56" s="75">
        <v>0.161</v>
      </c>
      <c r="BL56" s="75">
        <v>2.8540000000000001</v>
      </c>
      <c r="BM56" s="75">
        <v>0.1</v>
      </c>
      <c r="BN56" s="75">
        <v>14.353</v>
      </c>
      <c r="BO56" s="75">
        <v>0.42299999999999999</v>
      </c>
      <c r="BP56" s="75">
        <v>265.5</v>
      </c>
      <c r="BQ56" s="75">
        <v>0.46</v>
      </c>
      <c r="BR56" s="75">
        <v>3.9769999999999999</v>
      </c>
      <c r="BS56" s="75">
        <v>1.9950000000000001</v>
      </c>
      <c r="BT56" s="39"/>
    </row>
    <row r="57" spans="1:72">
      <c r="A57" s="53" t="s">
        <v>195</v>
      </c>
      <c r="B57" s="39" t="s">
        <v>196</v>
      </c>
      <c r="C57" s="155" t="s">
        <v>341</v>
      </c>
      <c r="D57" s="53">
        <v>0.22437199999999999</v>
      </c>
      <c r="E57" s="53">
        <v>34.800359999999998</v>
      </c>
      <c r="F57" s="53" t="s">
        <v>356</v>
      </c>
      <c r="G57" s="53" t="s">
        <v>330</v>
      </c>
      <c r="H57" s="116" t="s">
        <v>347</v>
      </c>
      <c r="I57" s="154" t="s">
        <v>371</v>
      </c>
      <c r="J57" s="116" t="s">
        <v>687</v>
      </c>
      <c r="K57" s="53" t="s">
        <v>367</v>
      </c>
      <c r="L57" s="53" t="s">
        <v>684</v>
      </c>
      <c r="M57" s="53" t="s">
        <v>683</v>
      </c>
      <c r="N57" s="74">
        <v>5.8238318801698581</v>
      </c>
      <c r="O57" s="245">
        <v>4.67</v>
      </c>
      <c r="P57" s="162">
        <v>0.24368499999999998</v>
      </c>
      <c r="Q57" s="245">
        <v>15.6</v>
      </c>
      <c r="R57" s="75">
        <v>1.84</v>
      </c>
      <c r="S57" s="246">
        <v>2140</v>
      </c>
      <c r="T57" s="246">
        <v>4406</v>
      </c>
      <c r="U57" s="246">
        <v>84117</v>
      </c>
      <c r="V57" s="246">
        <v>689</v>
      </c>
      <c r="W57" s="246">
        <v>215</v>
      </c>
      <c r="X57" s="246">
        <v>8329</v>
      </c>
      <c r="Y57" s="246">
        <v>2915</v>
      </c>
      <c r="Z57" s="246">
        <v>7715.8</v>
      </c>
      <c r="AA57" s="245">
        <v>191.6</v>
      </c>
      <c r="AB57" s="245">
        <v>319.7</v>
      </c>
      <c r="AC57" s="245">
        <v>2382.9</v>
      </c>
      <c r="AD57" s="246">
        <v>76066</v>
      </c>
      <c r="AE57" s="245">
        <v>55.857999999999997</v>
      </c>
      <c r="AF57" s="245">
        <v>76.709999999999994</v>
      </c>
      <c r="AG57" s="245">
        <v>96.3</v>
      </c>
      <c r="AH57" s="245">
        <v>78</v>
      </c>
      <c r="AI57" s="245">
        <v>19.64</v>
      </c>
      <c r="AJ57" s="245">
        <v>39.299999999999997</v>
      </c>
      <c r="AK57" s="245">
        <v>1.08</v>
      </c>
      <c r="AL57" s="245">
        <v>60.3</v>
      </c>
      <c r="AM57" s="245">
        <v>67.86</v>
      </c>
      <c r="AN57" s="75">
        <v>34.445</v>
      </c>
      <c r="AO57" s="75">
        <v>219.56</v>
      </c>
      <c r="AP57" s="75">
        <v>39.597000000000001</v>
      </c>
      <c r="AQ57" s="75">
        <v>2.35</v>
      </c>
      <c r="AR57" s="75">
        <v>9.0999999999999998E-2</v>
      </c>
      <c r="AS57" s="75">
        <v>0.17399999999999999</v>
      </c>
      <c r="AT57" s="75">
        <v>2.2599999999999998</v>
      </c>
      <c r="AU57" s="75">
        <v>2.6040000000000001</v>
      </c>
      <c r="AV57" s="75">
        <v>5.4340000000000002</v>
      </c>
      <c r="AW57" s="245">
        <v>391.1</v>
      </c>
      <c r="AX57" s="245">
        <v>60.777000000000001</v>
      </c>
      <c r="AY57" s="245">
        <v>109.21599999999999</v>
      </c>
      <c r="AZ57" s="75">
        <v>11.933999999999999</v>
      </c>
      <c r="BA57" s="75">
        <v>45.12</v>
      </c>
      <c r="BB57" s="75">
        <v>8.2059999999999995</v>
      </c>
      <c r="BC57" s="75">
        <v>1.7949999999999999</v>
      </c>
      <c r="BD57" s="75">
        <v>6.95</v>
      </c>
      <c r="BE57" s="75">
        <v>1.0529999999999999</v>
      </c>
      <c r="BF57" s="75">
        <v>5.8529999999999998</v>
      </c>
      <c r="BG57" s="75">
        <v>1.2110000000000001</v>
      </c>
      <c r="BH57" s="75">
        <v>3.3519999999999999</v>
      </c>
      <c r="BI57" s="75">
        <v>0.496</v>
      </c>
      <c r="BJ57" s="75">
        <v>3.05</v>
      </c>
      <c r="BK57" s="75">
        <v>0.46200000000000002</v>
      </c>
      <c r="BL57" s="75">
        <v>5.7149999999999999</v>
      </c>
      <c r="BM57" s="75">
        <v>2.2320000000000002</v>
      </c>
      <c r="BN57" s="75">
        <v>1.7390000000000001</v>
      </c>
      <c r="BO57" s="75">
        <v>0.40200000000000002</v>
      </c>
      <c r="BP57" s="75">
        <v>18.100000000000001</v>
      </c>
      <c r="BQ57" s="75">
        <v>0.33</v>
      </c>
      <c r="BR57" s="75">
        <v>8.6989999999999998</v>
      </c>
      <c r="BS57" s="75">
        <v>2.3170000000000002</v>
      </c>
      <c r="BT57" s="39"/>
    </row>
    <row r="58" spans="1:72">
      <c r="A58" s="53" t="s">
        <v>197</v>
      </c>
      <c r="B58" s="39" t="s">
        <v>198</v>
      </c>
      <c r="C58" s="155" t="s">
        <v>341</v>
      </c>
      <c r="D58" s="53">
        <v>0.224914</v>
      </c>
      <c r="E58" s="53">
        <v>34.799691000000003</v>
      </c>
      <c r="F58" s="53" t="s">
        <v>356</v>
      </c>
      <c r="G58" s="53" t="s">
        <v>330</v>
      </c>
      <c r="H58" s="116" t="s">
        <v>347</v>
      </c>
      <c r="I58" s="154" t="s">
        <v>371</v>
      </c>
      <c r="J58" s="116" t="s">
        <v>687</v>
      </c>
      <c r="K58" s="53" t="s">
        <v>366</v>
      </c>
      <c r="L58" s="53" t="s">
        <v>684</v>
      </c>
      <c r="M58" s="53" t="s">
        <v>683</v>
      </c>
      <c r="N58" s="74">
        <v>2.1474963335430521</v>
      </c>
      <c r="O58" s="245">
        <v>7.09</v>
      </c>
      <c r="P58" s="162">
        <v>5.1894999999999997E-2</v>
      </c>
      <c r="Q58" s="245">
        <v>14.8</v>
      </c>
      <c r="R58" s="75">
        <v>1.67</v>
      </c>
      <c r="S58" s="246">
        <v>17685</v>
      </c>
      <c r="T58" s="246">
        <v>13702</v>
      </c>
      <c r="U58" s="246">
        <v>79555</v>
      </c>
      <c r="V58" s="246">
        <v>331</v>
      </c>
      <c r="W58" s="246">
        <v>59</v>
      </c>
      <c r="X58" s="246">
        <v>17112</v>
      </c>
      <c r="Y58" s="246">
        <v>18642</v>
      </c>
      <c r="Z58" s="246">
        <v>3708.6</v>
      </c>
      <c r="AA58" s="245">
        <v>135.5</v>
      </c>
      <c r="AB58" s="245">
        <v>190.6</v>
      </c>
      <c r="AC58" s="245">
        <v>1100.0999999999999</v>
      </c>
      <c r="AD58" s="246">
        <v>51559</v>
      </c>
      <c r="AE58" s="245">
        <v>40.031999999999996</v>
      </c>
      <c r="AF58" s="245">
        <v>95.66</v>
      </c>
      <c r="AG58" s="245">
        <v>118.13</v>
      </c>
      <c r="AH58" s="245">
        <v>61</v>
      </c>
      <c r="AI58" s="245">
        <v>17.02</v>
      </c>
      <c r="AJ58" s="245">
        <v>36.799999999999997</v>
      </c>
      <c r="AK58" s="245">
        <v>0.16</v>
      </c>
      <c r="AL58" s="245">
        <v>56.63</v>
      </c>
      <c r="AM58" s="245">
        <v>339.87</v>
      </c>
      <c r="AN58" s="75">
        <v>15.885</v>
      </c>
      <c r="AO58" s="75">
        <v>97.18</v>
      </c>
      <c r="AP58" s="75">
        <v>7.819</v>
      </c>
      <c r="AQ58" s="75">
        <v>0.64</v>
      </c>
      <c r="AR58" s="75">
        <v>0.10299999999999999</v>
      </c>
      <c r="AS58" s="75">
        <v>8.5000000000000006E-2</v>
      </c>
      <c r="AT58" s="75">
        <v>1.1100000000000001</v>
      </c>
      <c r="AU58" s="75">
        <v>2.1389999999999998</v>
      </c>
      <c r="AV58" s="75">
        <v>2.915</v>
      </c>
      <c r="AW58" s="245">
        <v>683.64</v>
      </c>
      <c r="AX58" s="245">
        <v>30.867000000000001</v>
      </c>
      <c r="AY58" s="245">
        <v>74.926000000000002</v>
      </c>
      <c r="AZ58" s="75">
        <v>7.0369999999999999</v>
      </c>
      <c r="BA58" s="75">
        <v>27.64</v>
      </c>
      <c r="BB58" s="75">
        <v>4.9119999999999999</v>
      </c>
      <c r="BC58" s="75">
        <v>1.2629999999999999</v>
      </c>
      <c r="BD58" s="75">
        <v>3.7170000000000001</v>
      </c>
      <c r="BE58" s="75">
        <v>0.53900000000000003</v>
      </c>
      <c r="BF58" s="75">
        <v>2.8540000000000001</v>
      </c>
      <c r="BG58" s="75">
        <v>0.61599999999999999</v>
      </c>
      <c r="BH58" s="75">
        <v>1.6919999999999999</v>
      </c>
      <c r="BI58" s="75">
        <v>0.25700000000000001</v>
      </c>
      <c r="BJ58" s="75">
        <v>1.6180000000000001</v>
      </c>
      <c r="BK58" s="75">
        <v>0.254</v>
      </c>
      <c r="BL58" s="75">
        <v>2.82</v>
      </c>
      <c r="BM58" s="75">
        <v>0.50600000000000001</v>
      </c>
      <c r="BN58" s="75">
        <v>1.494</v>
      </c>
      <c r="BO58" s="75">
        <v>0.245</v>
      </c>
      <c r="BP58" s="75">
        <v>8.5</v>
      </c>
      <c r="BQ58" s="75">
        <v>0.68</v>
      </c>
      <c r="BR58" s="75">
        <v>5.64</v>
      </c>
      <c r="BS58" s="75">
        <v>1.407</v>
      </c>
      <c r="BT58" s="39"/>
    </row>
    <row r="59" spans="1:72">
      <c r="A59" s="53" t="s">
        <v>199</v>
      </c>
      <c r="B59" s="39" t="s">
        <v>200</v>
      </c>
      <c r="C59" s="155" t="s">
        <v>341</v>
      </c>
      <c r="D59" s="53">
        <v>0.224914</v>
      </c>
      <c r="E59" s="53">
        <v>34.799691000000003</v>
      </c>
      <c r="F59" s="53" t="s">
        <v>356</v>
      </c>
      <c r="G59" s="53" t="s">
        <v>330</v>
      </c>
      <c r="H59" s="116" t="s">
        <v>347</v>
      </c>
      <c r="I59" s="154" t="s">
        <v>371</v>
      </c>
      <c r="J59" s="116" t="s">
        <v>687</v>
      </c>
      <c r="K59" s="53" t="s">
        <v>367</v>
      </c>
      <c r="L59" s="53" t="s">
        <v>684</v>
      </c>
      <c r="M59" s="53" t="s">
        <v>683</v>
      </c>
      <c r="N59" s="74">
        <v>2.214963764417591</v>
      </c>
      <c r="O59" s="245">
        <v>5.41</v>
      </c>
      <c r="P59" s="162">
        <v>7.5795000000000001E-2</v>
      </c>
      <c r="Q59" s="245">
        <v>13.8</v>
      </c>
      <c r="R59" s="75">
        <v>1.3</v>
      </c>
      <c r="S59" s="246">
        <v>21681</v>
      </c>
      <c r="T59" s="246">
        <v>15299</v>
      </c>
      <c r="U59" s="246">
        <v>82421</v>
      </c>
      <c r="V59" s="246">
        <v>516</v>
      </c>
      <c r="W59" s="246">
        <v>43</v>
      </c>
      <c r="X59" s="246">
        <v>15173</v>
      </c>
      <c r="Y59" s="246">
        <v>22248</v>
      </c>
      <c r="Z59" s="246">
        <v>3514.5</v>
      </c>
      <c r="AA59" s="245">
        <v>143.6</v>
      </c>
      <c r="AB59" s="245">
        <v>210.8</v>
      </c>
      <c r="AC59" s="245">
        <v>1161.0999999999999</v>
      </c>
      <c r="AD59" s="246">
        <v>51924</v>
      </c>
      <c r="AE59" s="245">
        <v>44.988999999999997</v>
      </c>
      <c r="AF59" s="245">
        <v>93.97</v>
      </c>
      <c r="AG59" s="245">
        <v>120.84</v>
      </c>
      <c r="AH59" s="245">
        <v>65</v>
      </c>
      <c r="AI59" s="245">
        <v>16.260000000000002</v>
      </c>
      <c r="AJ59" s="245">
        <v>45.5</v>
      </c>
      <c r="AK59" s="245">
        <v>0.14000000000000001</v>
      </c>
      <c r="AL59" s="245">
        <v>48.14</v>
      </c>
      <c r="AM59" s="245">
        <v>414.04</v>
      </c>
      <c r="AN59" s="75">
        <v>15.727</v>
      </c>
      <c r="AO59" s="75">
        <v>91.06</v>
      </c>
      <c r="AP59" s="75">
        <v>5.8360000000000003</v>
      </c>
      <c r="AQ59" s="75">
        <v>0.64</v>
      </c>
      <c r="AR59" s="75">
        <v>9.6000000000000002E-2</v>
      </c>
      <c r="AS59" s="75">
        <v>7.1999999999999995E-2</v>
      </c>
      <c r="AT59" s="75">
        <v>1.06</v>
      </c>
      <c r="AU59" s="75">
        <v>2.319</v>
      </c>
      <c r="AV59" s="75">
        <v>2.4300000000000002</v>
      </c>
      <c r="AW59" s="245">
        <v>659.47</v>
      </c>
      <c r="AX59" s="245">
        <v>30.73</v>
      </c>
      <c r="AY59" s="245">
        <v>74.194999999999993</v>
      </c>
      <c r="AZ59" s="75">
        <v>7.085</v>
      </c>
      <c r="BA59" s="75">
        <v>28.17</v>
      </c>
      <c r="BB59" s="75">
        <v>4.95</v>
      </c>
      <c r="BC59" s="75">
        <v>1.28</v>
      </c>
      <c r="BD59" s="75">
        <v>3.69</v>
      </c>
      <c r="BE59" s="75">
        <v>0.51900000000000002</v>
      </c>
      <c r="BF59" s="75">
        <v>2.8450000000000002</v>
      </c>
      <c r="BG59" s="75">
        <v>0.58799999999999997</v>
      </c>
      <c r="BH59" s="75">
        <v>1.66</v>
      </c>
      <c r="BI59" s="75">
        <v>0.249</v>
      </c>
      <c r="BJ59" s="75">
        <v>1.5009999999999999</v>
      </c>
      <c r="BK59" s="75">
        <v>0.23300000000000001</v>
      </c>
      <c r="BL59" s="75">
        <v>2.61</v>
      </c>
      <c r="BM59" s="75">
        <v>0.38</v>
      </c>
      <c r="BN59" s="75">
        <v>1.7729999999999999</v>
      </c>
      <c r="BO59" s="75">
        <v>0.23699999999999999</v>
      </c>
      <c r="BP59" s="75">
        <v>8.6</v>
      </c>
      <c r="BQ59" s="75">
        <v>0.75</v>
      </c>
      <c r="BR59" s="75">
        <v>4.83</v>
      </c>
      <c r="BS59" s="75">
        <v>1.25</v>
      </c>
      <c r="BT59" s="39"/>
    </row>
    <row r="60" spans="1:72">
      <c r="A60" s="53" t="s">
        <v>201</v>
      </c>
      <c r="B60" s="39" t="s">
        <v>202</v>
      </c>
      <c r="C60" s="155" t="s">
        <v>341</v>
      </c>
      <c r="D60" s="53">
        <v>0.21770700000000001</v>
      </c>
      <c r="E60" s="53">
        <v>34.802644000000001</v>
      </c>
      <c r="F60" s="53" t="s">
        <v>356</v>
      </c>
      <c r="G60" s="53" t="s">
        <v>330</v>
      </c>
      <c r="H60" s="116" t="s">
        <v>347</v>
      </c>
      <c r="I60" s="154" t="s">
        <v>371</v>
      </c>
      <c r="J60" s="116" t="s">
        <v>687</v>
      </c>
      <c r="K60" s="53" t="s">
        <v>365</v>
      </c>
      <c r="L60" s="53" t="s">
        <v>685</v>
      </c>
      <c r="M60" s="53" t="s">
        <v>691</v>
      </c>
      <c r="N60" s="74">
        <v>1.432610744580594</v>
      </c>
      <c r="O60" s="245">
        <v>5.14</v>
      </c>
      <c r="P60" s="162">
        <v>0.35456499999999996</v>
      </c>
      <c r="Q60" s="245">
        <v>2.7</v>
      </c>
      <c r="R60" s="75">
        <v>0.85</v>
      </c>
      <c r="S60" s="246">
        <v>5027</v>
      </c>
      <c r="T60" s="246">
        <v>1376</v>
      </c>
      <c r="U60" s="246">
        <v>20414</v>
      </c>
      <c r="V60" s="246">
        <v>129</v>
      </c>
      <c r="W60" s="246">
        <v>112</v>
      </c>
      <c r="X60" s="246">
        <v>8477</v>
      </c>
      <c r="Y60" s="246">
        <v>1820</v>
      </c>
      <c r="Z60" s="246">
        <v>1199</v>
      </c>
      <c r="AA60" s="245">
        <v>45</v>
      </c>
      <c r="AB60" s="245">
        <v>67.099999999999994</v>
      </c>
      <c r="AC60" s="245">
        <v>388.8</v>
      </c>
      <c r="AD60" s="246">
        <v>17448</v>
      </c>
      <c r="AE60" s="245">
        <v>8.02</v>
      </c>
      <c r="AF60" s="245">
        <v>9.07</v>
      </c>
      <c r="AG60" s="245">
        <v>43.26</v>
      </c>
      <c r="AH60" s="245">
        <v>36</v>
      </c>
      <c r="AI60" s="245">
        <v>4.4400000000000004</v>
      </c>
      <c r="AJ60" s="245">
        <v>51.4</v>
      </c>
      <c r="AK60" s="245">
        <v>0.42</v>
      </c>
      <c r="AL60" s="245">
        <v>27.79</v>
      </c>
      <c r="AM60" s="245">
        <v>79.040000000000006</v>
      </c>
      <c r="AN60" s="75">
        <v>4.3719999999999999</v>
      </c>
      <c r="AO60" s="75">
        <v>44.72</v>
      </c>
      <c r="AP60" s="75">
        <v>4.2590000000000003</v>
      </c>
      <c r="AQ60" s="75">
        <v>1.1499999999999999</v>
      </c>
      <c r="AR60" s="75">
        <v>0.57199999999999995</v>
      </c>
      <c r="AS60" s="75">
        <v>0.127</v>
      </c>
      <c r="AT60" s="75">
        <v>0.86</v>
      </c>
      <c r="AU60" s="75">
        <v>1.02</v>
      </c>
      <c r="AV60" s="75">
        <v>1.1379999999999999</v>
      </c>
      <c r="AW60" s="245">
        <v>371.84</v>
      </c>
      <c r="AX60" s="245">
        <v>10.617000000000001</v>
      </c>
      <c r="AY60" s="245">
        <v>50.393999999999998</v>
      </c>
      <c r="AZ60" s="75">
        <v>2.2090000000000001</v>
      </c>
      <c r="BA60" s="75">
        <v>8.15</v>
      </c>
      <c r="BB60" s="75">
        <v>1.4470000000000001</v>
      </c>
      <c r="BC60" s="75">
        <v>0.32700000000000001</v>
      </c>
      <c r="BD60" s="75">
        <v>1.04</v>
      </c>
      <c r="BE60" s="75">
        <v>0.154</v>
      </c>
      <c r="BF60" s="75">
        <v>0.86399999999999999</v>
      </c>
      <c r="BG60" s="75">
        <v>0.17599999999999999</v>
      </c>
      <c r="BH60" s="75">
        <v>0.498</v>
      </c>
      <c r="BI60" s="75">
        <v>8.4000000000000005E-2</v>
      </c>
      <c r="BJ60" s="75">
        <v>0.54500000000000004</v>
      </c>
      <c r="BK60" s="75">
        <v>8.5000000000000006E-2</v>
      </c>
      <c r="BL60" s="75">
        <v>1.3580000000000001</v>
      </c>
      <c r="BM60" s="75">
        <v>0.28399999999999997</v>
      </c>
      <c r="BN60" s="75">
        <v>1.796</v>
      </c>
      <c r="BO60" s="75">
        <v>0.186</v>
      </c>
      <c r="BP60" s="75">
        <v>27.8</v>
      </c>
      <c r="BQ60" s="75">
        <v>6.54</v>
      </c>
      <c r="BR60" s="75">
        <v>3.6859999999999999</v>
      </c>
      <c r="BS60" s="75">
        <v>1.206</v>
      </c>
      <c r="BT60" s="39"/>
    </row>
    <row r="61" spans="1:72">
      <c r="A61" s="53" t="s">
        <v>203</v>
      </c>
      <c r="B61" s="39" t="s">
        <v>204</v>
      </c>
      <c r="C61" s="155" t="s">
        <v>341</v>
      </c>
      <c r="D61" s="53">
        <v>0.21768199999999999</v>
      </c>
      <c r="E61" s="53">
        <v>34.802346</v>
      </c>
      <c r="F61" s="53" t="s">
        <v>356</v>
      </c>
      <c r="G61" s="53" t="s">
        <v>330</v>
      </c>
      <c r="H61" s="116" t="s">
        <v>347</v>
      </c>
      <c r="I61" s="154" t="s">
        <v>371</v>
      </c>
      <c r="J61" s="116" t="s">
        <v>687</v>
      </c>
      <c r="K61" s="53" t="s">
        <v>367</v>
      </c>
      <c r="L61" s="53" t="s">
        <v>684</v>
      </c>
      <c r="M61" s="53" t="s">
        <v>683</v>
      </c>
      <c r="N61" s="74">
        <v>3.3010870649248023</v>
      </c>
      <c r="O61" s="245">
        <v>4.75</v>
      </c>
      <c r="P61" s="162">
        <v>0.45981499999999997</v>
      </c>
      <c r="Q61" s="245">
        <v>6.7</v>
      </c>
      <c r="R61" s="75">
        <v>1.1000000000000001</v>
      </c>
      <c r="S61" s="246">
        <v>1679</v>
      </c>
      <c r="T61" s="246">
        <v>1905</v>
      </c>
      <c r="U61" s="246">
        <v>52200</v>
      </c>
      <c r="V61" s="246">
        <v>604</v>
      </c>
      <c r="W61" s="246">
        <v>178</v>
      </c>
      <c r="X61" s="246">
        <v>17386</v>
      </c>
      <c r="Y61" s="246">
        <v>1502</v>
      </c>
      <c r="Z61" s="246">
        <v>2684.8</v>
      </c>
      <c r="AA61" s="245">
        <v>59.9</v>
      </c>
      <c r="AB61" s="245">
        <v>55.5</v>
      </c>
      <c r="AC61" s="245">
        <v>1174.2</v>
      </c>
      <c r="AD61" s="246">
        <v>24261</v>
      </c>
      <c r="AE61" s="245">
        <v>17.417999999999999</v>
      </c>
      <c r="AF61" s="245">
        <v>15.18</v>
      </c>
      <c r="AG61" s="245">
        <v>34.42</v>
      </c>
      <c r="AH61" s="245">
        <v>60</v>
      </c>
      <c r="AI61" s="245">
        <v>11.72</v>
      </c>
      <c r="AJ61" s="245">
        <v>11.5</v>
      </c>
      <c r="AK61" s="245">
        <v>0.59</v>
      </c>
      <c r="AL61" s="245">
        <v>76.14</v>
      </c>
      <c r="AM61" s="245">
        <v>54.92</v>
      </c>
      <c r="AN61" s="75">
        <v>11.391999999999999</v>
      </c>
      <c r="AO61" s="75">
        <v>128.44999999999999</v>
      </c>
      <c r="AP61" s="75">
        <v>18.826000000000001</v>
      </c>
      <c r="AQ61" s="75">
        <v>1.73</v>
      </c>
      <c r="AR61" s="75">
        <v>0.104</v>
      </c>
      <c r="AS61" s="75">
        <v>9.2999999999999999E-2</v>
      </c>
      <c r="AT61" s="75">
        <v>1.64</v>
      </c>
      <c r="AU61" s="75">
        <v>0.996</v>
      </c>
      <c r="AV61" s="75">
        <v>2.84</v>
      </c>
      <c r="AW61" s="245">
        <v>599.80999999999995</v>
      </c>
      <c r="AX61" s="245">
        <v>27.695</v>
      </c>
      <c r="AY61" s="245">
        <v>69.09</v>
      </c>
      <c r="AZ61" s="75">
        <v>5.0110000000000001</v>
      </c>
      <c r="BA61" s="75">
        <v>18.239999999999998</v>
      </c>
      <c r="BB61" s="75">
        <v>3.1280000000000001</v>
      </c>
      <c r="BC61" s="75">
        <v>0.65900000000000003</v>
      </c>
      <c r="BD61" s="75">
        <v>2.3929999999999998</v>
      </c>
      <c r="BE61" s="75">
        <v>0.36099999999999999</v>
      </c>
      <c r="BF61" s="75">
        <v>2.036</v>
      </c>
      <c r="BG61" s="75">
        <v>0.40799999999999997</v>
      </c>
      <c r="BH61" s="75">
        <v>1.163</v>
      </c>
      <c r="BI61" s="75">
        <v>0.17599999999999999</v>
      </c>
      <c r="BJ61" s="75">
        <v>1.177</v>
      </c>
      <c r="BK61" s="75">
        <v>0.183</v>
      </c>
      <c r="BL61" s="75">
        <v>3.6720000000000002</v>
      </c>
      <c r="BM61" s="75">
        <v>1.075</v>
      </c>
      <c r="BN61" s="75">
        <v>1.7150000000000001</v>
      </c>
      <c r="BO61" s="75">
        <v>0.44</v>
      </c>
      <c r="BP61" s="75">
        <v>17.100000000000001</v>
      </c>
      <c r="BQ61" s="75">
        <v>0.26</v>
      </c>
      <c r="BR61" s="75">
        <v>8.9779999999999998</v>
      </c>
      <c r="BS61" s="75">
        <v>2.2599999999999998</v>
      </c>
      <c r="BT61" s="39"/>
    </row>
    <row r="62" spans="1:72">
      <c r="A62" s="53" t="s">
        <v>205</v>
      </c>
      <c r="B62" s="39" t="s">
        <v>206</v>
      </c>
      <c r="C62" s="155" t="s">
        <v>341</v>
      </c>
      <c r="D62" s="53">
        <v>0.21768199999999999</v>
      </c>
      <c r="E62" s="53">
        <v>34.802346</v>
      </c>
      <c r="F62" s="53" t="s">
        <v>356</v>
      </c>
      <c r="G62" s="53" t="s">
        <v>330</v>
      </c>
      <c r="H62" s="116" t="s">
        <v>347</v>
      </c>
      <c r="I62" s="154" t="s">
        <v>371</v>
      </c>
      <c r="J62" s="116" t="s">
        <v>687</v>
      </c>
      <c r="K62" s="53" t="s">
        <v>361</v>
      </c>
      <c r="L62" s="53" t="s">
        <v>685</v>
      </c>
      <c r="M62" s="53" t="s">
        <v>690</v>
      </c>
      <c r="N62" s="74">
        <v>3.5826771653543794</v>
      </c>
      <c r="O62" s="245">
        <v>4.75</v>
      </c>
      <c r="P62" s="162">
        <v>1.5039950000000002</v>
      </c>
      <c r="Q62" s="245">
        <v>6.7</v>
      </c>
      <c r="R62" s="75">
        <v>0.82</v>
      </c>
      <c r="S62" s="246">
        <v>1860</v>
      </c>
      <c r="T62" s="246">
        <v>1820</v>
      </c>
      <c r="U62" s="246">
        <v>40880</v>
      </c>
      <c r="V62" s="246">
        <v>351</v>
      </c>
      <c r="W62" s="246">
        <v>155</v>
      </c>
      <c r="X62" s="246">
        <v>11964</v>
      </c>
      <c r="Y62" s="246">
        <v>1420</v>
      </c>
      <c r="Z62" s="246">
        <v>1976.5</v>
      </c>
      <c r="AA62" s="245">
        <v>65.3</v>
      </c>
      <c r="AB62" s="245">
        <v>112.5</v>
      </c>
      <c r="AC62" s="245">
        <v>1016.9</v>
      </c>
      <c r="AD62" s="246">
        <v>24113</v>
      </c>
      <c r="AE62" s="245">
        <v>16.132000000000001</v>
      </c>
      <c r="AF62" s="245">
        <v>17.73</v>
      </c>
      <c r="AG62" s="245">
        <v>57.54</v>
      </c>
      <c r="AH62" s="245">
        <v>45</v>
      </c>
      <c r="AI62" s="245">
        <v>9.7100000000000009</v>
      </c>
      <c r="AJ62" s="245">
        <v>44.5</v>
      </c>
      <c r="AK62" s="245">
        <v>0.54</v>
      </c>
      <c r="AL62" s="245">
        <v>53.63</v>
      </c>
      <c r="AM62" s="245">
        <v>51.32</v>
      </c>
      <c r="AN62" s="75">
        <v>10.198</v>
      </c>
      <c r="AO62" s="75">
        <v>94.69</v>
      </c>
      <c r="AP62" s="75">
        <v>13.506</v>
      </c>
      <c r="AQ62" s="75">
        <v>1.75</v>
      </c>
      <c r="AR62" s="75">
        <v>0.89300000000000002</v>
      </c>
      <c r="AS62" s="75">
        <v>0.11600000000000001</v>
      </c>
      <c r="AT62" s="75">
        <v>1.46</v>
      </c>
      <c r="AU62" s="75">
        <v>1.1100000000000001</v>
      </c>
      <c r="AV62" s="75">
        <v>2.3540000000000001</v>
      </c>
      <c r="AW62" s="245">
        <v>439.86</v>
      </c>
      <c r="AX62" s="245">
        <v>24.751999999999999</v>
      </c>
      <c r="AY62" s="245">
        <v>84.338999999999999</v>
      </c>
      <c r="AZ62" s="75">
        <v>4.6790000000000003</v>
      </c>
      <c r="BA62" s="75">
        <v>17.190000000000001</v>
      </c>
      <c r="BB62" s="75">
        <v>2.9590000000000001</v>
      </c>
      <c r="BC62" s="75">
        <v>0.624</v>
      </c>
      <c r="BD62" s="75">
        <v>2.23</v>
      </c>
      <c r="BE62" s="75">
        <v>0.315</v>
      </c>
      <c r="BF62" s="75">
        <v>1.871</v>
      </c>
      <c r="BG62" s="75">
        <v>0.36899999999999999</v>
      </c>
      <c r="BH62" s="75">
        <v>1.0449999999999999</v>
      </c>
      <c r="BI62" s="75">
        <v>0.157</v>
      </c>
      <c r="BJ62" s="75">
        <v>0.98599999999999999</v>
      </c>
      <c r="BK62" s="75">
        <v>0.14899999999999999</v>
      </c>
      <c r="BL62" s="75">
        <v>2.746</v>
      </c>
      <c r="BM62" s="75">
        <v>0.76900000000000002</v>
      </c>
      <c r="BN62" s="75">
        <v>2.359</v>
      </c>
      <c r="BO62" s="75">
        <v>0.33200000000000002</v>
      </c>
      <c r="BP62" s="75">
        <v>36.299999999999997</v>
      </c>
      <c r="BQ62" s="75">
        <v>12.01</v>
      </c>
      <c r="BR62" s="75">
        <v>6.9939999999999998</v>
      </c>
      <c r="BS62" s="75">
        <v>1.8160000000000001</v>
      </c>
      <c r="BT62" s="39"/>
    </row>
    <row r="63" spans="1:72">
      <c r="A63" s="53" t="s">
        <v>207</v>
      </c>
      <c r="B63" s="39" t="s">
        <v>208</v>
      </c>
      <c r="C63" s="155" t="s">
        <v>341</v>
      </c>
      <c r="D63" s="53">
        <v>0.21768199999999999</v>
      </c>
      <c r="E63" s="53">
        <v>34.802346</v>
      </c>
      <c r="F63" s="53" t="s">
        <v>356</v>
      </c>
      <c r="G63" s="53" t="s">
        <v>330</v>
      </c>
      <c r="H63" s="116" t="s">
        <v>347</v>
      </c>
      <c r="I63" s="154" t="s">
        <v>371</v>
      </c>
      <c r="J63" s="116" t="s">
        <v>687</v>
      </c>
      <c r="K63" s="53" t="s">
        <v>366</v>
      </c>
      <c r="L63" s="53" t="s">
        <v>684</v>
      </c>
      <c r="M63" s="53" t="s">
        <v>683</v>
      </c>
      <c r="N63" s="74">
        <v>3.7090311312032322</v>
      </c>
      <c r="O63" s="245">
        <v>7.07</v>
      </c>
      <c r="P63" s="162">
        <v>0.55713499999999994</v>
      </c>
      <c r="Q63" s="245">
        <v>4.3</v>
      </c>
      <c r="R63" s="75">
        <v>1.17</v>
      </c>
      <c r="S63" s="246">
        <v>4440</v>
      </c>
      <c r="T63" s="246">
        <v>2499</v>
      </c>
      <c r="U63" s="246">
        <v>36607</v>
      </c>
      <c r="V63" s="246">
        <v>498</v>
      </c>
      <c r="W63" s="246">
        <v>301</v>
      </c>
      <c r="X63" s="246">
        <v>13025</v>
      </c>
      <c r="Y63" s="246">
        <v>1884</v>
      </c>
      <c r="Z63" s="246">
        <v>1836.4</v>
      </c>
      <c r="AA63" s="245">
        <v>50.9</v>
      </c>
      <c r="AB63" s="245">
        <v>72.599999999999994</v>
      </c>
      <c r="AC63" s="245">
        <v>687.1</v>
      </c>
      <c r="AD63" s="246">
        <v>23588</v>
      </c>
      <c r="AE63" s="245">
        <v>11.095000000000001</v>
      </c>
      <c r="AF63" s="245">
        <v>12.14</v>
      </c>
      <c r="AG63" s="245">
        <v>39.61</v>
      </c>
      <c r="AH63" s="245">
        <v>66</v>
      </c>
      <c r="AI63" s="245">
        <v>7.99</v>
      </c>
      <c r="AJ63" s="245">
        <v>57.9</v>
      </c>
      <c r="AK63" s="245">
        <v>0.49</v>
      </c>
      <c r="AL63" s="245">
        <v>50.07</v>
      </c>
      <c r="AM63" s="245">
        <v>67.819999999999993</v>
      </c>
      <c r="AN63" s="75">
        <v>7.8479999999999999</v>
      </c>
      <c r="AO63" s="75">
        <v>88.67</v>
      </c>
      <c r="AP63" s="75">
        <v>10.215999999999999</v>
      </c>
      <c r="AQ63" s="75">
        <v>1.26</v>
      </c>
      <c r="AR63" s="75">
        <v>1.008</v>
      </c>
      <c r="AS63" s="75">
        <v>0.36799999999999999</v>
      </c>
      <c r="AT63" s="75">
        <v>1.45</v>
      </c>
      <c r="AU63" s="75">
        <v>0.93600000000000005</v>
      </c>
      <c r="AV63" s="75">
        <v>1.7390000000000001</v>
      </c>
      <c r="AW63" s="245">
        <v>413.4</v>
      </c>
      <c r="AX63" s="245">
        <v>16.731999999999999</v>
      </c>
      <c r="AY63" s="245">
        <v>48.427999999999997</v>
      </c>
      <c r="AZ63" s="75">
        <v>3.319</v>
      </c>
      <c r="BA63" s="75">
        <v>12.02</v>
      </c>
      <c r="BB63" s="75">
        <v>2.1720000000000002</v>
      </c>
      <c r="BC63" s="75">
        <v>0.46100000000000002</v>
      </c>
      <c r="BD63" s="75">
        <v>1.669</v>
      </c>
      <c r="BE63" s="75">
        <v>0.247</v>
      </c>
      <c r="BF63" s="75">
        <v>1.371</v>
      </c>
      <c r="BG63" s="75">
        <v>0.28199999999999997</v>
      </c>
      <c r="BH63" s="75">
        <v>0.83499999999999996</v>
      </c>
      <c r="BI63" s="75">
        <v>0.127</v>
      </c>
      <c r="BJ63" s="75">
        <v>0.82699999999999996</v>
      </c>
      <c r="BK63" s="75">
        <v>0.13300000000000001</v>
      </c>
      <c r="BL63" s="75">
        <v>2.4820000000000002</v>
      </c>
      <c r="BM63" s="75">
        <v>0.65</v>
      </c>
      <c r="BN63" s="75">
        <v>1.855</v>
      </c>
      <c r="BO63" s="75">
        <v>0.251</v>
      </c>
      <c r="BP63" s="75">
        <v>28.7</v>
      </c>
      <c r="BQ63" s="75">
        <v>6.14</v>
      </c>
      <c r="BR63" s="75">
        <v>5.1970000000000001</v>
      </c>
      <c r="BS63" s="75">
        <v>1.48</v>
      </c>
      <c r="BT63" s="39"/>
    </row>
    <row r="64" spans="1:72">
      <c r="A64" s="53" t="s">
        <v>209</v>
      </c>
      <c r="B64" s="39" t="s">
        <v>210</v>
      </c>
      <c r="C64" s="155" t="s">
        <v>341</v>
      </c>
      <c r="D64" s="53">
        <v>0.16381399999999999</v>
      </c>
      <c r="E64" s="53">
        <v>34.761139</v>
      </c>
      <c r="F64" s="53" t="s">
        <v>357</v>
      </c>
      <c r="G64" s="53" t="s">
        <v>330</v>
      </c>
      <c r="H64" s="116" t="s">
        <v>347</v>
      </c>
      <c r="I64" s="154" t="s">
        <v>371</v>
      </c>
      <c r="J64" s="116" t="s">
        <v>687</v>
      </c>
      <c r="K64" s="53" t="s">
        <v>361</v>
      </c>
      <c r="L64" s="53" t="s">
        <v>685</v>
      </c>
      <c r="M64" s="53" t="s">
        <v>690</v>
      </c>
      <c r="N64" s="74">
        <v>2.8591011455986926</v>
      </c>
      <c r="O64" s="245">
        <v>5.28</v>
      </c>
      <c r="P64" s="162">
        <v>0.13077499999999997</v>
      </c>
      <c r="Q64" s="245">
        <v>15.8</v>
      </c>
      <c r="R64" s="75">
        <v>1.06</v>
      </c>
      <c r="S64" s="246">
        <v>703</v>
      </c>
      <c r="T64" s="246">
        <v>2037</v>
      </c>
      <c r="U64" s="246">
        <v>38075</v>
      </c>
      <c r="V64" s="246">
        <v>279</v>
      </c>
      <c r="W64" s="246">
        <v>153</v>
      </c>
      <c r="X64" s="246">
        <v>5774</v>
      </c>
      <c r="Y64" s="246">
        <v>1207</v>
      </c>
      <c r="Z64" s="246">
        <v>1624.6</v>
      </c>
      <c r="AA64" s="245">
        <v>65.2</v>
      </c>
      <c r="AB64" s="245">
        <v>207.7</v>
      </c>
      <c r="AC64" s="245">
        <v>1072.4000000000001</v>
      </c>
      <c r="AD64" s="246">
        <v>26248</v>
      </c>
      <c r="AE64" s="245">
        <v>35.881</v>
      </c>
      <c r="AF64" s="245">
        <v>66.37</v>
      </c>
      <c r="AG64" s="245">
        <v>26.33</v>
      </c>
      <c r="AH64" s="245">
        <v>96</v>
      </c>
      <c r="AI64" s="245">
        <v>10.07</v>
      </c>
      <c r="AJ64" s="245">
        <v>57.8</v>
      </c>
      <c r="AK64" s="245">
        <v>0.4</v>
      </c>
      <c r="AL64" s="245">
        <v>37.31</v>
      </c>
      <c r="AM64" s="245">
        <v>21.32</v>
      </c>
      <c r="AN64" s="75">
        <v>12.358000000000001</v>
      </c>
      <c r="AO64" s="75">
        <v>122.14</v>
      </c>
      <c r="AP64" s="75">
        <v>27.571999999999999</v>
      </c>
      <c r="AQ64" s="75">
        <v>2.14</v>
      </c>
      <c r="AR64" s="75">
        <v>0.34599999999999997</v>
      </c>
      <c r="AS64" s="75">
        <v>9.2999999999999999E-2</v>
      </c>
      <c r="AT64" s="75">
        <v>1.41</v>
      </c>
      <c r="AU64" s="75">
        <v>0.39600000000000002</v>
      </c>
      <c r="AV64" s="75">
        <v>2.1309999999999998</v>
      </c>
      <c r="AW64" s="245">
        <v>194.77</v>
      </c>
      <c r="AX64" s="245">
        <v>23.373999999999999</v>
      </c>
      <c r="AY64" s="245">
        <v>78.941999999999993</v>
      </c>
      <c r="AZ64" s="75">
        <v>4.8659999999999997</v>
      </c>
      <c r="BA64" s="75">
        <v>17.670000000000002</v>
      </c>
      <c r="BB64" s="75">
        <v>3.335</v>
      </c>
      <c r="BC64" s="75">
        <v>0.64</v>
      </c>
      <c r="BD64" s="75">
        <v>2.5680000000000001</v>
      </c>
      <c r="BE64" s="75">
        <v>0.42</v>
      </c>
      <c r="BF64" s="75">
        <v>2.4279999999999999</v>
      </c>
      <c r="BG64" s="75">
        <v>0.47</v>
      </c>
      <c r="BH64" s="75">
        <v>1.401</v>
      </c>
      <c r="BI64" s="75">
        <v>0.20699999999999999</v>
      </c>
      <c r="BJ64" s="75">
        <v>1.3080000000000001</v>
      </c>
      <c r="BK64" s="75">
        <v>0.19600000000000001</v>
      </c>
      <c r="BL64" s="75">
        <v>3.2360000000000002</v>
      </c>
      <c r="BM64" s="75">
        <v>1.536</v>
      </c>
      <c r="BN64" s="75">
        <v>2.8039999999999998</v>
      </c>
      <c r="BO64" s="75">
        <v>0.33500000000000002</v>
      </c>
      <c r="BP64" s="75">
        <v>18.600000000000001</v>
      </c>
      <c r="BQ64" s="75">
        <v>1.28</v>
      </c>
      <c r="BR64" s="75">
        <v>6.3280000000000003</v>
      </c>
      <c r="BS64" s="75">
        <v>1.736</v>
      </c>
      <c r="BT64" s="39"/>
    </row>
    <row r="65" spans="1:72">
      <c r="A65" s="53" t="s">
        <v>211</v>
      </c>
      <c r="B65" s="39" t="s">
        <v>212</v>
      </c>
      <c r="C65" s="155" t="s">
        <v>341</v>
      </c>
      <c r="D65" s="53">
        <v>0.16381399999999999</v>
      </c>
      <c r="E65" s="53">
        <v>34.761139</v>
      </c>
      <c r="F65" s="53" t="s">
        <v>357</v>
      </c>
      <c r="G65" s="53" t="s">
        <v>330</v>
      </c>
      <c r="H65" s="116" t="s">
        <v>347</v>
      </c>
      <c r="I65" s="154" t="s">
        <v>371</v>
      </c>
      <c r="J65" s="116" t="s">
        <v>687</v>
      </c>
      <c r="K65" s="53" t="s">
        <v>367</v>
      </c>
      <c r="L65" s="53" t="s">
        <v>684</v>
      </c>
      <c r="M65" s="53" t="s">
        <v>683</v>
      </c>
      <c r="N65" s="74">
        <v>4.8925556408286983</v>
      </c>
      <c r="O65" s="245">
        <v>4.05</v>
      </c>
      <c r="P65" s="162">
        <v>0.46534500000000001</v>
      </c>
      <c r="Q65" s="245">
        <v>17.899999999999999</v>
      </c>
      <c r="R65" s="75">
        <v>1.46</v>
      </c>
      <c r="S65" s="246">
        <v>924</v>
      </c>
      <c r="T65" s="246">
        <v>1604</v>
      </c>
      <c r="U65" s="246">
        <v>76593</v>
      </c>
      <c r="V65" s="246">
        <v>539</v>
      </c>
      <c r="W65" s="246">
        <v>210</v>
      </c>
      <c r="X65" s="246">
        <v>9360</v>
      </c>
      <c r="Y65" s="246" t="s">
        <v>125</v>
      </c>
      <c r="Z65" s="246">
        <v>3640.2</v>
      </c>
      <c r="AA65" s="245">
        <v>108.1</v>
      </c>
      <c r="AB65" s="245">
        <v>135.19999999999999</v>
      </c>
      <c r="AC65" s="245">
        <v>1484.8</v>
      </c>
      <c r="AD65" s="246">
        <v>42852</v>
      </c>
      <c r="AE65" s="245">
        <v>27.745999999999999</v>
      </c>
      <c r="AF65" s="245">
        <v>40.54</v>
      </c>
      <c r="AG65" s="245">
        <v>31.05</v>
      </c>
      <c r="AH65" s="245">
        <v>53</v>
      </c>
      <c r="AI65" s="245">
        <v>18.920000000000002</v>
      </c>
      <c r="AJ65" s="245">
        <v>55</v>
      </c>
      <c r="AK65" s="245">
        <v>0.83</v>
      </c>
      <c r="AL65" s="245">
        <v>71.59</v>
      </c>
      <c r="AM65" s="245">
        <v>26.86</v>
      </c>
      <c r="AN65" s="75">
        <v>21.332000000000001</v>
      </c>
      <c r="AO65" s="75">
        <v>295.75</v>
      </c>
      <c r="AP65" s="75">
        <v>68.061000000000007</v>
      </c>
      <c r="AQ65" s="75">
        <v>3.3</v>
      </c>
      <c r="AR65" s="75">
        <v>0.1</v>
      </c>
      <c r="AS65" s="75">
        <v>0.06</v>
      </c>
      <c r="AT65" s="75">
        <v>3.03</v>
      </c>
      <c r="AU65" s="75">
        <v>0.377</v>
      </c>
      <c r="AV65" s="75">
        <v>3.831</v>
      </c>
      <c r="AW65" s="245">
        <v>278.55</v>
      </c>
      <c r="AX65" s="245">
        <v>39.765999999999998</v>
      </c>
      <c r="AY65" s="245">
        <v>133.66900000000001</v>
      </c>
      <c r="AZ65" s="75">
        <v>8.3620000000000001</v>
      </c>
      <c r="BA65" s="75">
        <v>30.35</v>
      </c>
      <c r="BB65" s="75">
        <v>5.8860000000000001</v>
      </c>
      <c r="BC65" s="75">
        <v>1.04</v>
      </c>
      <c r="BD65" s="75">
        <v>4.6059999999999999</v>
      </c>
      <c r="BE65" s="75">
        <v>0.75600000000000001</v>
      </c>
      <c r="BF65" s="75">
        <v>4.3680000000000003</v>
      </c>
      <c r="BG65" s="75">
        <v>0.872</v>
      </c>
      <c r="BH65" s="75">
        <v>2.577</v>
      </c>
      <c r="BI65" s="75">
        <v>0.38100000000000001</v>
      </c>
      <c r="BJ65" s="75">
        <v>2.452</v>
      </c>
      <c r="BK65" s="75">
        <v>0.373</v>
      </c>
      <c r="BL65" s="75">
        <v>7.2910000000000004</v>
      </c>
      <c r="BM65" s="75">
        <v>3.7610000000000001</v>
      </c>
      <c r="BN65" s="75">
        <v>2.3069999999999999</v>
      </c>
      <c r="BO65" s="75">
        <v>0.58699999999999997</v>
      </c>
      <c r="BP65" s="75">
        <v>23.5</v>
      </c>
      <c r="BQ65" s="75">
        <v>0.32</v>
      </c>
      <c r="BR65" s="75">
        <v>13.191000000000001</v>
      </c>
      <c r="BS65" s="75">
        <v>3.282</v>
      </c>
      <c r="BT65" s="39"/>
    </row>
    <row r="66" spans="1:72">
      <c r="A66" s="53" t="s">
        <v>213</v>
      </c>
      <c r="B66" s="39" t="s">
        <v>214</v>
      </c>
      <c r="C66" s="155" t="s">
        <v>341</v>
      </c>
      <c r="D66" s="53">
        <v>0.16381399999999999</v>
      </c>
      <c r="E66" s="53">
        <v>34.761139</v>
      </c>
      <c r="F66" s="53" t="s">
        <v>357</v>
      </c>
      <c r="G66" s="53" t="s">
        <v>330</v>
      </c>
      <c r="H66" s="116" t="s">
        <v>347</v>
      </c>
      <c r="I66" s="154" t="s">
        <v>371</v>
      </c>
      <c r="J66" s="116" t="s">
        <v>687</v>
      </c>
      <c r="K66" s="53" t="s">
        <v>365</v>
      </c>
      <c r="L66" s="53" t="s">
        <v>685</v>
      </c>
      <c r="M66" s="53" t="s">
        <v>691</v>
      </c>
      <c r="N66" s="74">
        <v>0.41701417848183764</v>
      </c>
      <c r="O66" s="245">
        <v>6.35</v>
      </c>
      <c r="P66" s="162">
        <v>7.3565000000000005E-2</v>
      </c>
      <c r="Q66" s="245">
        <v>10.9</v>
      </c>
      <c r="R66" s="75">
        <v>0.4</v>
      </c>
      <c r="S66" s="246">
        <v>406</v>
      </c>
      <c r="T66" s="246">
        <v>1127</v>
      </c>
      <c r="U66" s="246">
        <v>5717</v>
      </c>
      <c r="V66" s="246">
        <v>71</v>
      </c>
      <c r="W66" s="246">
        <v>27</v>
      </c>
      <c r="X66" s="246">
        <v>1070</v>
      </c>
      <c r="Y66" s="246" t="s">
        <v>125</v>
      </c>
      <c r="Z66" s="246">
        <v>152.9</v>
      </c>
      <c r="AA66" s="245">
        <v>16</v>
      </c>
      <c r="AB66" s="245">
        <v>141.69999999999999</v>
      </c>
      <c r="AC66" s="245">
        <v>754</v>
      </c>
      <c r="AD66" s="246">
        <v>9537</v>
      </c>
      <c r="AE66" s="245">
        <v>45.680999999999997</v>
      </c>
      <c r="AF66" s="245">
        <v>54.66</v>
      </c>
      <c r="AG66" s="245">
        <v>15.99</v>
      </c>
      <c r="AH66" s="245">
        <v>27</v>
      </c>
      <c r="AI66" s="245">
        <v>1.51</v>
      </c>
      <c r="AJ66" s="245">
        <v>19.3</v>
      </c>
      <c r="AK66" s="245">
        <v>0.16</v>
      </c>
      <c r="AL66" s="245">
        <v>5.0999999999999996</v>
      </c>
      <c r="AM66" s="245">
        <v>10.5</v>
      </c>
      <c r="AN66" s="75">
        <v>1.5580000000000001</v>
      </c>
      <c r="AO66" s="75">
        <v>9.5500000000000007</v>
      </c>
      <c r="AP66" s="75">
        <v>1.0960000000000001</v>
      </c>
      <c r="AQ66" s="75">
        <v>1.17</v>
      </c>
      <c r="AR66" s="75">
        <v>0.20300000000000001</v>
      </c>
      <c r="AS66" s="75">
        <v>4.4999999999999998E-2</v>
      </c>
      <c r="AT66" s="75">
        <v>0.15</v>
      </c>
      <c r="AU66" s="75">
        <v>0.23</v>
      </c>
      <c r="AV66" s="75">
        <v>0.47699999999999998</v>
      </c>
      <c r="AW66" s="245">
        <v>67.760000000000005</v>
      </c>
      <c r="AX66" s="245">
        <v>3.0739999999999998</v>
      </c>
      <c r="AY66" s="245">
        <v>36.829000000000001</v>
      </c>
      <c r="AZ66" s="75">
        <v>0.70899999999999996</v>
      </c>
      <c r="BA66" s="75">
        <v>2.58</v>
      </c>
      <c r="BB66" s="75">
        <v>0.53500000000000003</v>
      </c>
      <c r="BC66" s="75">
        <v>0.122</v>
      </c>
      <c r="BD66" s="75">
        <v>0.41099999999999998</v>
      </c>
      <c r="BE66" s="75">
        <v>6.4000000000000001E-2</v>
      </c>
      <c r="BF66" s="75">
        <v>0.34399999999999997</v>
      </c>
      <c r="BG66" s="75">
        <v>6.6000000000000003E-2</v>
      </c>
      <c r="BH66" s="75">
        <v>0.183</v>
      </c>
      <c r="BI66" s="75">
        <v>2.5999999999999999E-2</v>
      </c>
      <c r="BJ66" s="75">
        <v>0.16800000000000001</v>
      </c>
      <c r="BK66" s="75">
        <v>2.5000000000000001E-2</v>
      </c>
      <c r="BL66" s="75">
        <v>0.26600000000000001</v>
      </c>
      <c r="BM66" s="75">
        <v>5.8999999999999997E-2</v>
      </c>
      <c r="BN66" s="75">
        <v>1.4450000000000001</v>
      </c>
      <c r="BO66" s="75">
        <v>8.1000000000000003E-2</v>
      </c>
      <c r="BP66" s="75">
        <v>17.399999999999999</v>
      </c>
      <c r="BQ66" s="75">
        <v>1.08</v>
      </c>
      <c r="BR66" s="75">
        <v>0.82899999999999996</v>
      </c>
      <c r="BS66" s="75">
        <v>0.36699999999999999</v>
      </c>
      <c r="BT66" s="39"/>
    </row>
    <row r="67" spans="1:72">
      <c r="A67" s="53" t="s">
        <v>215</v>
      </c>
      <c r="B67" s="39" t="s">
        <v>216</v>
      </c>
      <c r="C67" s="155" t="s">
        <v>341</v>
      </c>
      <c r="D67" s="53">
        <v>0.16381399999999999</v>
      </c>
      <c r="E67" s="53">
        <v>34.761139</v>
      </c>
      <c r="F67" s="53" t="s">
        <v>357</v>
      </c>
      <c r="G67" s="53" t="s">
        <v>330</v>
      </c>
      <c r="H67" s="116" t="s">
        <v>347</v>
      </c>
      <c r="I67" s="154" t="s">
        <v>371</v>
      </c>
      <c r="J67" s="116" t="s">
        <v>687</v>
      </c>
      <c r="K67" s="53" t="s">
        <v>364</v>
      </c>
      <c r="L67" s="53" t="s">
        <v>685</v>
      </c>
      <c r="M67" s="53" t="s">
        <v>690</v>
      </c>
      <c r="N67" s="74">
        <v>0.50834452330695423</v>
      </c>
      <c r="O67" s="245">
        <v>6.66</v>
      </c>
      <c r="P67" s="162">
        <v>0.16572500000000001</v>
      </c>
      <c r="Q67" s="245">
        <v>7.8</v>
      </c>
      <c r="R67" s="75">
        <v>7.0000000000000007E-2</v>
      </c>
      <c r="S67" s="246">
        <v>244</v>
      </c>
      <c r="T67" s="246">
        <v>618</v>
      </c>
      <c r="U67" s="246">
        <v>3779</v>
      </c>
      <c r="V67" s="246">
        <v>40</v>
      </c>
      <c r="W67" s="246">
        <v>20</v>
      </c>
      <c r="X67" s="246">
        <v>802</v>
      </c>
      <c r="Y67" s="246" t="s">
        <v>125</v>
      </c>
      <c r="Z67" s="246">
        <v>101.9</v>
      </c>
      <c r="AA67" s="245">
        <v>9.4</v>
      </c>
      <c r="AB67" s="245">
        <v>208.7</v>
      </c>
      <c r="AC67" s="245">
        <v>491.7</v>
      </c>
      <c r="AD67" s="246">
        <v>6452</v>
      </c>
      <c r="AE67" s="245">
        <v>34.491</v>
      </c>
      <c r="AF67" s="245">
        <v>44.84</v>
      </c>
      <c r="AG67" s="245">
        <v>11.15</v>
      </c>
      <c r="AH67" s="245">
        <v>14</v>
      </c>
      <c r="AI67" s="245">
        <v>1.05</v>
      </c>
      <c r="AJ67" s="245">
        <v>8.6999999999999993</v>
      </c>
      <c r="AK67" s="245">
        <v>0.04</v>
      </c>
      <c r="AL67" s="245">
        <v>3.77</v>
      </c>
      <c r="AM67" s="245">
        <v>7.35</v>
      </c>
      <c r="AN67" s="75">
        <v>0.93</v>
      </c>
      <c r="AO67" s="75">
        <v>6.06</v>
      </c>
      <c r="AP67" s="75">
        <v>0.94599999999999995</v>
      </c>
      <c r="AQ67" s="75">
        <v>1.6</v>
      </c>
      <c r="AR67" s="75">
        <v>0.39200000000000002</v>
      </c>
      <c r="AS67" s="75">
        <v>3.1E-2</v>
      </c>
      <c r="AT67" s="75">
        <v>0.2</v>
      </c>
      <c r="AU67" s="75">
        <v>0.20100000000000001</v>
      </c>
      <c r="AV67" s="75">
        <v>0.39100000000000001</v>
      </c>
      <c r="AW67" s="245">
        <v>39.200000000000003</v>
      </c>
      <c r="AX67" s="245">
        <v>2.016</v>
      </c>
      <c r="AY67" s="245">
        <v>14.324999999999999</v>
      </c>
      <c r="AZ67" s="75">
        <v>0.45400000000000001</v>
      </c>
      <c r="BA67" s="75">
        <v>1.64</v>
      </c>
      <c r="BB67" s="75">
        <v>0.34</v>
      </c>
      <c r="BC67" s="75">
        <v>7.3999999999999996E-2</v>
      </c>
      <c r="BD67" s="75">
        <v>0.25</v>
      </c>
      <c r="BE67" s="75">
        <v>3.5999999999999997E-2</v>
      </c>
      <c r="BF67" s="75">
        <v>0.20899999999999999</v>
      </c>
      <c r="BG67" s="75">
        <v>4.1000000000000002E-2</v>
      </c>
      <c r="BH67" s="75">
        <v>0.11</v>
      </c>
      <c r="BI67" s="75">
        <v>1.4E-2</v>
      </c>
      <c r="BJ67" s="75">
        <v>9.5000000000000001E-2</v>
      </c>
      <c r="BK67" s="75">
        <v>1.7999999999999999E-2</v>
      </c>
      <c r="BL67" s="75">
        <v>0.17100000000000001</v>
      </c>
      <c r="BM67" s="75">
        <v>4.7E-2</v>
      </c>
      <c r="BN67" s="75">
        <v>1.8049999999999999</v>
      </c>
      <c r="BO67" s="75">
        <v>5.0999999999999997E-2</v>
      </c>
      <c r="BP67" s="75">
        <v>6.8</v>
      </c>
      <c r="BQ67" s="75">
        <v>0.67</v>
      </c>
      <c r="BR67" s="75">
        <v>0.59299999999999997</v>
      </c>
      <c r="BS67" s="75">
        <v>0.214</v>
      </c>
      <c r="BT67" s="39"/>
    </row>
    <row r="68" spans="1:72">
      <c r="A68" s="53" t="s">
        <v>217</v>
      </c>
      <c r="B68" s="39" t="s">
        <v>218</v>
      </c>
      <c r="C68" s="155" t="s">
        <v>341</v>
      </c>
      <c r="D68" s="53">
        <v>0.17374600000000001</v>
      </c>
      <c r="E68" s="53">
        <v>34.768698000000001</v>
      </c>
      <c r="F68" s="53" t="s">
        <v>358</v>
      </c>
      <c r="G68" s="53" t="s">
        <v>330</v>
      </c>
      <c r="H68" s="116" t="s">
        <v>347</v>
      </c>
      <c r="I68" s="154" t="s">
        <v>371</v>
      </c>
      <c r="J68" s="116" t="s">
        <v>687</v>
      </c>
      <c r="K68" s="53" t="s">
        <v>365</v>
      </c>
      <c r="L68" s="53" t="s">
        <v>685</v>
      </c>
      <c r="M68" s="53" t="s">
        <v>691</v>
      </c>
      <c r="N68" s="74">
        <v>1.758569299552692</v>
      </c>
      <c r="O68" s="245">
        <v>6.36</v>
      </c>
      <c r="P68" s="162">
        <v>0.30123499999999998</v>
      </c>
      <c r="Q68" s="245">
        <v>11.4</v>
      </c>
      <c r="R68" s="75">
        <v>0.71</v>
      </c>
      <c r="S68" s="246">
        <v>513</v>
      </c>
      <c r="T68" s="246">
        <v>9391</v>
      </c>
      <c r="U68" s="246">
        <v>24631</v>
      </c>
      <c r="V68" s="246">
        <v>385</v>
      </c>
      <c r="W68" s="246">
        <v>123</v>
      </c>
      <c r="X68" s="246">
        <v>4816</v>
      </c>
      <c r="Y68" s="246">
        <v>1190</v>
      </c>
      <c r="Z68" s="246">
        <v>831.3</v>
      </c>
      <c r="AA68" s="245">
        <v>69.599999999999994</v>
      </c>
      <c r="AB68" s="245">
        <v>427.2</v>
      </c>
      <c r="AC68" s="245">
        <v>800.3</v>
      </c>
      <c r="AD68" s="246">
        <v>24933</v>
      </c>
      <c r="AE68" s="245">
        <v>40.81</v>
      </c>
      <c r="AF68" s="245">
        <v>173.06</v>
      </c>
      <c r="AG68" s="245">
        <v>25.43</v>
      </c>
      <c r="AH68" s="245">
        <v>69</v>
      </c>
      <c r="AI68" s="245">
        <v>5.73</v>
      </c>
      <c r="AJ68" s="245">
        <v>251.9</v>
      </c>
      <c r="AK68" s="245">
        <v>0.17</v>
      </c>
      <c r="AL68" s="245">
        <v>18.98</v>
      </c>
      <c r="AM68" s="245">
        <v>14.1</v>
      </c>
      <c r="AN68" s="75">
        <v>5.2080000000000002</v>
      </c>
      <c r="AO68" s="75">
        <v>38.32</v>
      </c>
      <c r="AP68" s="75">
        <v>3.2330000000000001</v>
      </c>
      <c r="AQ68" s="75">
        <v>0.59</v>
      </c>
      <c r="AR68" s="75">
        <v>0.29199999999999998</v>
      </c>
      <c r="AS68" s="75">
        <v>0.14899999999999999</v>
      </c>
      <c r="AT68" s="75">
        <v>0.81</v>
      </c>
      <c r="AU68" s="75">
        <v>0.76800000000000002</v>
      </c>
      <c r="AV68" s="75">
        <v>0.55400000000000005</v>
      </c>
      <c r="AW68" s="245">
        <v>187.44</v>
      </c>
      <c r="AX68" s="245">
        <v>7.9480000000000004</v>
      </c>
      <c r="AY68" s="245">
        <v>23.001000000000001</v>
      </c>
      <c r="AZ68" s="75">
        <v>1.887</v>
      </c>
      <c r="BA68" s="75">
        <v>7.37</v>
      </c>
      <c r="BB68" s="75">
        <v>1.514</v>
      </c>
      <c r="BC68" s="75">
        <v>0.36699999999999999</v>
      </c>
      <c r="BD68" s="75">
        <v>1.1830000000000001</v>
      </c>
      <c r="BE68" s="75">
        <v>0.17299999999999999</v>
      </c>
      <c r="BF68" s="75">
        <v>1</v>
      </c>
      <c r="BG68" s="75">
        <v>0.2</v>
      </c>
      <c r="BH68" s="75">
        <v>0.57099999999999995</v>
      </c>
      <c r="BI68" s="75">
        <v>8.8999999999999996E-2</v>
      </c>
      <c r="BJ68" s="75">
        <v>0.502</v>
      </c>
      <c r="BK68" s="75">
        <v>8.3000000000000004E-2</v>
      </c>
      <c r="BL68" s="75">
        <v>1.05</v>
      </c>
      <c r="BM68" s="75">
        <v>0.188</v>
      </c>
      <c r="BN68" s="75">
        <v>1.9390000000000001</v>
      </c>
      <c r="BO68" s="75">
        <v>0.128</v>
      </c>
      <c r="BP68" s="75">
        <v>11.6</v>
      </c>
      <c r="BQ68" s="75">
        <v>0.24</v>
      </c>
      <c r="BR68" s="75">
        <v>1.897</v>
      </c>
      <c r="BS68" s="75">
        <v>0.501</v>
      </c>
      <c r="BT68" s="39"/>
    </row>
    <row r="69" spans="1:72">
      <c r="A69" s="53" t="s">
        <v>219</v>
      </c>
      <c r="B69" s="39" t="s">
        <v>220</v>
      </c>
      <c r="C69" s="155" t="s">
        <v>341</v>
      </c>
      <c r="D69" s="53">
        <v>0.17374600000000001</v>
      </c>
      <c r="E69" s="53">
        <v>34.768698000000001</v>
      </c>
      <c r="F69" s="53" t="s">
        <v>358</v>
      </c>
      <c r="G69" s="53" t="s">
        <v>330</v>
      </c>
      <c r="H69" s="116" t="s">
        <v>347</v>
      </c>
      <c r="I69" s="154" t="s">
        <v>371</v>
      </c>
      <c r="J69" s="116" t="s">
        <v>687</v>
      </c>
      <c r="K69" s="53" t="s">
        <v>364</v>
      </c>
      <c r="L69" s="53" t="s">
        <v>685</v>
      </c>
      <c r="M69" s="53" t="s">
        <v>690</v>
      </c>
      <c r="N69" s="74">
        <v>0.86320706814237358</v>
      </c>
      <c r="O69" s="245">
        <v>7.8</v>
      </c>
      <c r="P69" s="162">
        <v>8.9385000000000006E-2</v>
      </c>
      <c r="Q69" s="245">
        <v>6.5</v>
      </c>
      <c r="R69" s="75">
        <v>0.2</v>
      </c>
      <c r="S69" s="246">
        <v>215</v>
      </c>
      <c r="T69" s="246">
        <v>4588</v>
      </c>
      <c r="U69" s="246">
        <v>12552</v>
      </c>
      <c r="V69" s="246">
        <v>179</v>
      </c>
      <c r="W69" s="246">
        <v>116</v>
      </c>
      <c r="X69" s="246">
        <v>3280</v>
      </c>
      <c r="Y69" s="246">
        <v>1338</v>
      </c>
      <c r="Z69" s="246">
        <v>419.1</v>
      </c>
      <c r="AA69" s="245">
        <v>34</v>
      </c>
      <c r="AB69" s="245">
        <v>280.2</v>
      </c>
      <c r="AC69" s="245">
        <v>348.2</v>
      </c>
      <c r="AD69" s="246">
        <v>12169</v>
      </c>
      <c r="AE69" s="245">
        <v>11.292</v>
      </c>
      <c r="AF69" s="245">
        <v>65.91</v>
      </c>
      <c r="AG69" s="245">
        <v>10.08</v>
      </c>
      <c r="AH69" s="245">
        <v>25</v>
      </c>
      <c r="AI69" s="245">
        <v>2.91</v>
      </c>
      <c r="AJ69" s="245">
        <v>97.4</v>
      </c>
      <c r="AK69" s="245">
        <v>0.08</v>
      </c>
      <c r="AL69" s="245">
        <v>11.43</v>
      </c>
      <c r="AM69" s="245">
        <v>11.91</v>
      </c>
      <c r="AN69" s="75">
        <v>2.4910000000000001</v>
      </c>
      <c r="AO69" s="75">
        <v>16.899999999999999</v>
      </c>
      <c r="AP69" s="75">
        <v>1.569</v>
      </c>
      <c r="AQ69" s="75">
        <v>0.42</v>
      </c>
      <c r="AR69" s="75">
        <v>0.317</v>
      </c>
      <c r="AS69" s="75">
        <v>7.5999999999999998E-2</v>
      </c>
      <c r="AT69" s="75">
        <v>0.38</v>
      </c>
      <c r="AU69" s="75">
        <v>0.50800000000000001</v>
      </c>
      <c r="AV69" s="75">
        <v>0.26600000000000001</v>
      </c>
      <c r="AW69" s="245">
        <v>99.77</v>
      </c>
      <c r="AX69" s="245">
        <v>3.4540000000000002</v>
      </c>
      <c r="AY69" s="245">
        <v>8.3439999999999994</v>
      </c>
      <c r="AZ69" s="75">
        <v>0.80300000000000005</v>
      </c>
      <c r="BA69" s="75">
        <v>3.09</v>
      </c>
      <c r="BB69" s="75">
        <v>0.64900000000000002</v>
      </c>
      <c r="BC69" s="75">
        <v>0.17899999999999999</v>
      </c>
      <c r="BD69" s="75">
        <v>0.56100000000000005</v>
      </c>
      <c r="BE69" s="75">
        <v>7.8E-2</v>
      </c>
      <c r="BF69" s="75">
        <v>0.46300000000000002</v>
      </c>
      <c r="BG69" s="75">
        <v>9.6000000000000002E-2</v>
      </c>
      <c r="BH69" s="75">
        <v>0.26100000000000001</v>
      </c>
      <c r="BI69" s="75">
        <v>3.6999999999999998E-2</v>
      </c>
      <c r="BJ69" s="75">
        <v>0.24</v>
      </c>
      <c r="BK69" s="75">
        <v>3.9E-2</v>
      </c>
      <c r="BL69" s="75">
        <v>0.48899999999999999</v>
      </c>
      <c r="BM69" s="75">
        <v>8.7999999999999995E-2</v>
      </c>
      <c r="BN69" s="75">
        <v>0.98</v>
      </c>
      <c r="BO69" s="75">
        <v>0.06</v>
      </c>
      <c r="BP69" s="75">
        <v>91.6</v>
      </c>
      <c r="BQ69" s="75">
        <v>0.15</v>
      </c>
      <c r="BR69" s="75">
        <v>0.752</v>
      </c>
      <c r="BS69" s="75">
        <v>0.20799999999999999</v>
      </c>
      <c r="BT69" s="39"/>
    </row>
    <row r="70" spans="1:72">
      <c r="A70" s="53" t="s">
        <v>221</v>
      </c>
      <c r="B70" s="39" t="s">
        <v>222</v>
      </c>
      <c r="C70" s="155" t="s">
        <v>341</v>
      </c>
      <c r="D70" s="53">
        <v>0.17374600000000001</v>
      </c>
      <c r="E70" s="53">
        <v>34.768698000000001</v>
      </c>
      <c r="F70" s="53" t="s">
        <v>358</v>
      </c>
      <c r="G70" s="53" t="s">
        <v>330</v>
      </c>
      <c r="H70" s="116" t="s">
        <v>347</v>
      </c>
      <c r="I70" s="154" t="s">
        <v>371</v>
      </c>
      <c r="J70" s="116" t="s">
        <v>687</v>
      </c>
      <c r="K70" s="53" t="s">
        <v>361</v>
      </c>
      <c r="L70" s="53" t="s">
        <v>685</v>
      </c>
      <c r="M70" s="53" t="s">
        <v>690</v>
      </c>
      <c r="N70" s="74">
        <v>6.1854616092421733</v>
      </c>
      <c r="O70" s="245">
        <v>6.17</v>
      </c>
      <c r="P70" s="162">
        <v>0.450735</v>
      </c>
      <c r="Q70" s="245">
        <v>14.5</v>
      </c>
      <c r="R70" s="75">
        <v>1.89</v>
      </c>
      <c r="S70" s="246">
        <v>1680</v>
      </c>
      <c r="T70" s="246">
        <v>21131</v>
      </c>
      <c r="U70" s="246">
        <v>61623</v>
      </c>
      <c r="V70" s="246">
        <v>906</v>
      </c>
      <c r="W70" s="246">
        <v>312</v>
      </c>
      <c r="X70" s="246">
        <v>10601</v>
      </c>
      <c r="Y70" s="246">
        <v>2313</v>
      </c>
      <c r="Z70" s="246">
        <v>2665.7</v>
      </c>
      <c r="AA70" s="245">
        <v>104.1</v>
      </c>
      <c r="AB70" s="245">
        <v>574.79999999999995</v>
      </c>
      <c r="AC70" s="245">
        <v>1524.9</v>
      </c>
      <c r="AD70" s="246">
        <v>53774</v>
      </c>
      <c r="AE70" s="245">
        <v>57.935000000000002</v>
      </c>
      <c r="AF70" s="245">
        <v>357.86</v>
      </c>
      <c r="AG70" s="245">
        <v>43.14</v>
      </c>
      <c r="AH70" s="245">
        <v>106</v>
      </c>
      <c r="AI70" s="245">
        <v>13.86</v>
      </c>
      <c r="AJ70" s="245">
        <v>145.30000000000001</v>
      </c>
      <c r="AK70" s="245">
        <v>0.82</v>
      </c>
      <c r="AL70" s="245">
        <v>49.99</v>
      </c>
      <c r="AM70" s="245">
        <v>34.82</v>
      </c>
      <c r="AN70" s="75">
        <v>13.879</v>
      </c>
      <c r="AO70" s="75">
        <v>181.8</v>
      </c>
      <c r="AP70" s="75">
        <v>21.716000000000001</v>
      </c>
      <c r="AQ70" s="75">
        <v>1.69</v>
      </c>
      <c r="AR70" s="75">
        <v>0.38100000000000001</v>
      </c>
      <c r="AS70" s="75">
        <v>0.14499999999999999</v>
      </c>
      <c r="AT70" s="75">
        <v>1.87</v>
      </c>
      <c r="AU70" s="75">
        <v>0.498</v>
      </c>
      <c r="AV70" s="75">
        <v>1.526</v>
      </c>
      <c r="AW70" s="245">
        <v>395.97</v>
      </c>
      <c r="AX70" s="245">
        <v>27.387</v>
      </c>
      <c r="AY70" s="245">
        <v>73.03</v>
      </c>
      <c r="AZ70" s="75">
        <v>5.61</v>
      </c>
      <c r="BA70" s="75">
        <v>20.66</v>
      </c>
      <c r="BB70" s="75">
        <v>3.6859999999999999</v>
      </c>
      <c r="BC70" s="75">
        <v>0.8</v>
      </c>
      <c r="BD70" s="75">
        <v>2.9849999999999999</v>
      </c>
      <c r="BE70" s="75">
        <v>0.46400000000000002</v>
      </c>
      <c r="BF70" s="75">
        <v>2.6509999999999998</v>
      </c>
      <c r="BG70" s="75">
        <v>0.53300000000000003</v>
      </c>
      <c r="BH70" s="75">
        <v>1.49</v>
      </c>
      <c r="BI70" s="75">
        <v>0.23499999999999999</v>
      </c>
      <c r="BJ70" s="75">
        <v>1.5089999999999999</v>
      </c>
      <c r="BK70" s="75">
        <v>0.24</v>
      </c>
      <c r="BL70" s="75">
        <v>4.992</v>
      </c>
      <c r="BM70" s="75">
        <v>1.278</v>
      </c>
      <c r="BN70" s="75">
        <v>1.7110000000000001</v>
      </c>
      <c r="BO70" s="75">
        <v>0.38100000000000001</v>
      </c>
      <c r="BP70" s="75">
        <v>29</v>
      </c>
      <c r="BQ70" s="75">
        <v>0.54</v>
      </c>
      <c r="BR70" s="75">
        <v>9.2249999999999996</v>
      </c>
      <c r="BS70" s="75">
        <v>2.165</v>
      </c>
      <c r="BT70" s="39"/>
    </row>
    <row r="71" spans="1:72">
      <c r="A71" s="53" t="s">
        <v>223</v>
      </c>
      <c r="B71" s="39" t="s">
        <v>224</v>
      </c>
      <c r="C71" s="155" t="s">
        <v>341</v>
      </c>
      <c r="D71" s="53">
        <v>0.17374600000000001</v>
      </c>
      <c r="E71" s="53">
        <v>34.768698000000001</v>
      </c>
      <c r="F71" s="53" t="s">
        <v>358</v>
      </c>
      <c r="G71" s="53" t="s">
        <v>330</v>
      </c>
      <c r="H71" s="116" t="s">
        <v>347</v>
      </c>
      <c r="I71" s="154" t="s">
        <v>371</v>
      </c>
      <c r="J71" s="116" t="s">
        <v>687</v>
      </c>
      <c r="K71" s="53" t="s">
        <v>366</v>
      </c>
      <c r="L71" s="53" t="s">
        <v>684</v>
      </c>
      <c r="M71" s="53" t="s">
        <v>683</v>
      </c>
      <c r="N71" s="74">
        <v>6.8718753063425249</v>
      </c>
      <c r="O71" s="245">
        <v>5.7</v>
      </c>
      <c r="P71" s="162">
        <v>1.6044850000000002</v>
      </c>
      <c r="Q71" s="245">
        <v>15.7</v>
      </c>
      <c r="R71" s="75">
        <v>2.34</v>
      </c>
      <c r="S71" s="246">
        <v>2407</v>
      </c>
      <c r="T71" s="246">
        <v>22095</v>
      </c>
      <c r="U71" s="246">
        <v>65140</v>
      </c>
      <c r="V71" s="246">
        <v>1112</v>
      </c>
      <c r="W71" s="246">
        <v>473</v>
      </c>
      <c r="X71" s="246">
        <v>9117</v>
      </c>
      <c r="Y71" s="246">
        <v>2953</v>
      </c>
      <c r="Z71" s="246">
        <v>2935.3</v>
      </c>
      <c r="AA71" s="245">
        <v>129.80000000000001</v>
      </c>
      <c r="AB71" s="245">
        <v>648.6</v>
      </c>
      <c r="AC71" s="245">
        <v>1885.1</v>
      </c>
      <c r="AD71" s="246">
        <v>61244</v>
      </c>
      <c r="AE71" s="245">
        <v>76.626999999999995</v>
      </c>
      <c r="AF71" s="245">
        <v>375.29</v>
      </c>
      <c r="AG71" s="245">
        <v>48.42</v>
      </c>
      <c r="AH71" s="245">
        <v>138</v>
      </c>
      <c r="AI71" s="245">
        <v>14.87</v>
      </c>
      <c r="AJ71" s="245">
        <v>42.2</v>
      </c>
      <c r="AK71" s="245">
        <v>0.87</v>
      </c>
      <c r="AL71" s="245">
        <v>49.18</v>
      </c>
      <c r="AM71" s="245">
        <v>45.31</v>
      </c>
      <c r="AN71" s="75">
        <v>19.471</v>
      </c>
      <c r="AO71" s="75">
        <v>192.46</v>
      </c>
      <c r="AP71" s="75">
        <v>31.623999999999999</v>
      </c>
      <c r="AQ71" s="75">
        <v>1.73</v>
      </c>
      <c r="AR71" s="75">
        <v>8.7999999999999995E-2</v>
      </c>
      <c r="AS71" s="75">
        <v>0.16800000000000001</v>
      </c>
      <c r="AT71" s="75">
        <v>1.87</v>
      </c>
      <c r="AU71" s="75">
        <v>0.54600000000000004</v>
      </c>
      <c r="AV71" s="75">
        <v>2.161</v>
      </c>
      <c r="AW71" s="245">
        <v>355.74</v>
      </c>
      <c r="AX71" s="245">
        <v>35.817999999999998</v>
      </c>
      <c r="AY71" s="245">
        <v>101.238</v>
      </c>
      <c r="AZ71" s="75">
        <v>7.3940000000000001</v>
      </c>
      <c r="BA71" s="75">
        <v>27.71</v>
      </c>
      <c r="BB71" s="75">
        <v>5.1340000000000003</v>
      </c>
      <c r="BC71" s="75">
        <v>1.081</v>
      </c>
      <c r="BD71" s="75">
        <v>4.0490000000000004</v>
      </c>
      <c r="BE71" s="75">
        <v>0.626</v>
      </c>
      <c r="BF71" s="75">
        <v>3.61</v>
      </c>
      <c r="BG71" s="75">
        <v>0.70199999999999996</v>
      </c>
      <c r="BH71" s="75">
        <v>2.044</v>
      </c>
      <c r="BI71" s="75">
        <v>0.31</v>
      </c>
      <c r="BJ71" s="75">
        <v>1.958</v>
      </c>
      <c r="BK71" s="75">
        <v>0.28699999999999998</v>
      </c>
      <c r="BL71" s="75">
        <v>5.1669999999999998</v>
      </c>
      <c r="BM71" s="75">
        <v>1.7949999999999999</v>
      </c>
      <c r="BN71" s="75">
        <v>1.337</v>
      </c>
      <c r="BO71" s="75">
        <v>0.41</v>
      </c>
      <c r="BP71" s="75">
        <v>24.2</v>
      </c>
      <c r="BQ71" s="75">
        <v>0.2</v>
      </c>
      <c r="BR71" s="75">
        <v>8.4290000000000003</v>
      </c>
      <c r="BS71" s="75">
        <v>2.0139999999999998</v>
      </c>
      <c r="BT71" s="39"/>
    </row>
    <row r="72" spans="1:72">
      <c r="A72" s="53" t="s">
        <v>225</v>
      </c>
      <c r="B72" s="39" t="s">
        <v>226</v>
      </c>
      <c r="C72" s="155" t="s">
        <v>341</v>
      </c>
      <c r="D72" s="53">
        <v>0.17394000000000001</v>
      </c>
      <c r="E72" s="53">
        <v>34.769052000000002</v>
      </c>
      <c r="F72" s="53" t="s">
        <v>358</v>
      </c>
      <c r="G72" s="53" t="s">
        <v>330</v>
      </c>
      <c r="H72" s="116" t="s">
        <v>347</v>
      </c>
      <c r="I72" s="154" t="s">
        <v>371</v>
      </c>
      <c r="J72" s="116" t="s">
        <v>687</v>
      </c>
      <c r="K72" s="53" t="s">
        <v>367</v>
      </c>
      <c r="L72" s="53" t="s">
        <v>684</v>
      </c>
      <c r="M72" s="53" t="s">
        <v>683</v>
      </c>
      <c r="N72" s="74">
        <v>9.8862888826238109</v>
      </c>
      <c r="O72" s="245">
        <v>5.74</v>
      </c>
      <c r="P72" s="162">
        <v>1.0580050000000001</v>
      </c>
      <c r="Q72" s="245">
        <v>13.7</v>
      </c>
      <c r="R72" s="75">
        <v>2.08</v>
      </c>
      <c r="S72" s="246">
        <v>1595</v>
      </c>
      <c r="T72" s="246">
        <v>30155</v>
      </c>
      <c r="U72" s="246">
        <v>57853</v>
      </c>
      <c r="V72" s="246">
        <v>2356</v>
      </c>
      <c r="W72" s="246">
        <v>557</v>
      </c>
      <c r="X72" s="246">
        <v>7710</v>
      </c>
      <c r="Y72" s="246">
        <v>4584</v>
      </c>
      <c r="Z72" s="246">
        <v>2948.1</v>
      </c>
      <c r="AA72" s="245">
        <v>117.9</v>
      </c>
      <c r="AB72" s="245">
        <v>748.3</v>
      </c>
      <c r="AC72" s="245">
        <v>2023.4</v>
      </c>
      <c r="AD72" s="246">
        <v>59326</v>
      </c>
      <c r="AE72" s="245">
        <v>61.274000000000001</v>
      </c>
      <c r="AF72" s="245">
        <v>459.85</v>
      </c>
      <c r="AG72" s="245">
        <v>51.51</v>
      </c>
      <c r="AH72" s="245">
        <v>289</v>
      </c>
      <c r="AI72" s="245">
        <v>12.36</v>
      </c>
      <c r="AJ72" s="245">
        <v>31.3</v>
      </c>
      <c r="AK72" s="245">
        <v>0.77</v>
      </c>
      <c r="AL72" s="245">
        <v>52.87</v>
      </c>
      <c r="AM72" s="245">
        <v>51.31</v>
      </c>
      <c r="AN72" s="75">
        <v>14.804</v>
      </c>
      <c r="AO72" s="75">
        <v>161.22</v>
      </c>
      <c r="AP72" s="75">
        <v>23.177</v>
      </c>
      <c r="AQ72" s="75">
        <v>1.54</v>
      </c>
      <c r="AR72" s="75">
        <v>8.2000000000000003E-2</v>
      </c>
      <c r="AS72" s="75">
        <v>0.29799999999999999</v>
      </c>
      <c r="AT72" s="75">
        <v>1.76</v>
      </c>
      <c r="AU72" s="75">
        <v>0.505</v>
      </c>
      <c r="AV72" s="75">
        <v>1.5049999999999999</v>
      </c>
      <c r="AW72" s="245">
        <v>340.96</v>
      </c>
      <c r="AX72" s="245">
        <v>27.146000000000001</v>
      </c>
      <c r="AY72" s="245">
        <v>84.221000000000004</v>
      </c>
      <c r="AZ72" s="75">
        <v>5.6109999999999998</v>
      </c>
      <c r="BA72" s="75">
        <v>21.08</v>
      </c>
      <c r="BB72" s="75">
        <v>3.9670000000000001</v>
      </c>
      <c r="BC72" s="75">
        <v>0.83499999999999996</v>
      </c>
      <c r="BD72" s="75">
        <v>3.081</v>
      </c>
      <c r="BE72" s="75">
        <v>0.48099999999999998</v>
      </c>
      <c r="BF72" s="75">
        <v>2.8050000000000002</v>
      </c>
      <c r="BG72" s="75">
        <v>0.55600000000000005</v>
      </c>
      <c r="BH72" s="75">
        <v>1.585</v>
      </c>
      <c r="BI72" s="75">
        <v>0.251</v>
      </c>
      <c r="BJ72" s="75">
        <v>1.5920000000000001</v>
      </c>
      <c r="BK72" s="75">
        <v>0.249</v>
      </c>
      <c r="BL72" s="75">
        <v>4.4420000000000002</v>
      </c>
      <c r="BM72" s="75">
        <v>1.3360000000000001</v>
      </c>
      <c r="BN72" s="75">
        <v>0.93700000000000006</v>
      </c>
      <c r="BO72" s="75">
        <v>0.33800000000000002</v>
      </c>
      <c r="BP72" s="75">
        <v>38.799999999999997</v>
      </c>
      <c r="BQ72" s="75">
        <v>0.17</v>
      </c>
      <c r="BR72" s="75">
        <v>7.2439999999999998</v>
      </c>
      <c r="BS72" s="75">
        <v>1.7689999999999999</v>
      </c>
      <c r="BT72" s="39"/>
    </row>
    <row r="73" spans="1:72">
      <c r="A73" s="53" t="s">
        <v>227</v>
      </c>
      <c r="B73" s="39" t="s">
        <v>228</v>
      </c>
      <c r="C73" s="155" t="s">
        <v>341</v>
      </c>
      <c r="D73" s="53">
        <v>0.10542700000000001</v>
      </c>
      <c r="E73" s="53">
        <v>34.698397999999997</v>
      </c>
      <c r="F73" s="53" t="s">
        <v>359</v>
      </c>
      <c r="G73" s="53" t="s">
        <v>334</v>
      </c>
      <c r="H73" s="116" t="s">
        <v>347</v>
      </c>
      <c r="I73" s="154" t="s">
        <v>371</v>
      </c>
      <c r="J73" s="116" t="s">
        <v>687</v>
      </c>
      <c r="K73" s="53" t="s">
        <v>364</v>
      </c>
      <c r="L73" s="53" t="s">
        <v>685</v>
      </c>
      <c r="M73" s="53" t="s">
        <v>690</v>
      </c>
      <c r="N73" s="74">
        <v>1.4122394082042182</v>
      </c>
      <c r="O73" s="245">
        <v>4.1900000000000004</v>
      </c>
      <c r="P73" s="162">
        <v>3.3985000000000001E-2</v>
      </c>
      <c r="Q73" s="245">
        <v>36.6</v>
      </c>
      <c r="R73" s="75">
        <v>2.64</v>
      </c>
      <c r="S73" s="246">
        <v>6306</v>
      </c>
      <c r="T73" s="246">
        <v>1418</v>
      </c>
      <c r="U73" s="246">
        <v>124639</v>
      </c>
      <c r="V73" s="246">
        <v>529</v>
      </c>
      <c r="W73" s="246">
        <v>79</v>
      </c>
      <c r="X73" s="246">
        <v>29045</v>
      </c>
      <c r="Y73" s="246">
        <v>2276</v>
      </c>
      <c r="Z73" s="246">
        <v>2634.2</v>
      </c>
      <c r="AA73" s="245">
        <v>184.7</v>
      </c>
      <c r="AB73" s="245">
        <v>250.7</v>
      </c>
      <c r="AC73" s="245">
        <v>745.8</v>
      </c>
      <c r="AD73" s="246">
        <v>48904</v>
      </c>
      <c r="AE73" s="245">
        <v>54.61</v>
      </c>
      <c r="AF73" s="245">
        <v>124.68</v>
      </c>
      <c r="AG73" s="245">
        <v>100.88</v>
      </c>
      <c r="AH73" s="245">
        <v>169</v>
      </c>
      <c r="AI73" s="245">
        <v>24.29</v>
      </c>
      <c r="AJ73" s="245">
        <v>847.1</v>
      </c>
      <c r="AK73" s="245">
        <v>0.3</v>
      </c>
      <c r="AL73" s="245">
        <v>125.56</v>
      </c>
      <c r="AM73" s="245">
        <v>164.64</v>
      </c>
      <c r="AN73" s="75">
        <v>79.929000000000002</v>
      </c>
      <c r="AO73" s="75">
        <v>131.22999999999999</v>
      </c>
      <c r="AP73" s="75">
        <v>8.8930000000000007</v>
      </c>
      <c r="AQ73" s="75">
        <v>4.51</v>
      </c>
      <c r="AR73" s="75">
        <v>0.92</v>
      </c>
      <c r="AS73" s="75">
        <v>0.753</v>
      </c>
      <c r="AT73" s="75">
        <v>2.2799999999999998</v>
      </c>
      <c r="AU73" s="75">
        <v>8.6129999999999995</v>
      </c>
      <c r="AV73" s="75">
        <v>8.25</v>
      </c>
      <c r="AW73" s="245">
        <v>401.42</v>
      </c>
      <c r="AX73" s="245">
        <v>179.268</v>
      </c>
      <c r="AY73" s="245">
        <v>85.373999999999995</v>
      </c>
      <c r="AZ73" s="75">
        <v>35.316000000000003</v>
      </c>
      <c r="BA73" s="75">
        <v>130.06</v>
      </c>
      <c r="BB73" s="75">
        <v>22.911999999999999</v>
      </c>
      <c r="BC73" s="75">
        <v>4.3040000000000003</v>
      </c>
      <c r="BD73" s="75">
        <v>18.061</v>
      </c>
      <c r="BE73" s="75">
        <v>2.5659999999999998</v>
      </c>
      <c r="BF73" s="75">
        <v>13.374000000000001</v>
      </c>
      <c r="BG73" s="75">
        <v>2.6480000000000001</v>
      </c>
      <c r="BH73" s="75">
        <v>7.077</v>
      </c>
      <c r="BI73" s="75">
        <v>0.97</v>
      </c>
      <c r="BJ73" s="75">
        <v>5.6749999999999998</v>
      </c>
      <c r="BK73" s="75">
        <v>0.86199999999999999</v>
      </c>
      <c r="BL73" s="75">
        <v>3.96</v>
      </c>
      <c r="BM73" s="75">
        <v>0.59299999999999997</v>
      </c>
      <c r="BN73" s="75">
        <v>17.361000000000001</v>
      </c>
      <c r="BO73" s="75">
        <v>1.1359999999999999</v>
      </c>
      <c r="BP73" s="75">
        <v>290.39999999999998</v>
      </c>
      <c r="BQ73" s="75">
        <v>1.18</v>
      </c>
      <c r="BR73" s="75">
        <v>12.128</v>
      </c>
      <c r="BS73" s="75">
        <v>5.9960000000000004</v>
      </c>
      <c r="BT73" s="39"/>
    </row>
    <row r="74" spans="1:72">
      <c r="A74" s="53" t="s">
        <v>229</v>
      </c>
      <c r="B74" s="39" t="s">
        <v>230</v>
      </c>
      <c r="C74" s="155" t="s">
        <v>341</v>
      </c>
      <c r="D74" s="53">
        <v>0.10542700000000001</v>
      </c>
      <c r="E74" s="53">
        <v>34.698397999999997</v>
      </c>
      <c r="F74" s="53" t="s">
        <v>359</v>
      </c>
      <c r="G74" s="53" t="s">
        <v>334</v>
      </c>
      <c r="H74" s="116" t="s">
        <v>347</v>
      </c>
      <c r="I74" s="154" t="s">
        <v>371</v>
      </c>
      <c r="J74" s="116" t="s">
        <v>687</v>
      </c>
      <c r="K74" s="53" t="s">
        <v>361</v>
      </c>
      <c r="L74" s="53" t="s">
        <v>685</v>
      </c>
      <c r="M74" s="53" t="s">
        <v>690</v>
      </c>
      <c r="N74" s="74">
        <v>1.8823063205863249</v>
      </c>
      <c r="O74" s="245">
        <v>6.28</v>
      </c>
      <c r="P74" s="162">
        <v>0.159215</v>
      </c>
      <c r="Q74" s="245">
        <v>42.7</v>
      </c>
      <c r="R74" s="75">
        <v>2.39</v>
      </c>
      <c r="S74" s="246">
        <v>6738</v>
      </c>
      <c r="T74" s="246">
        <v>1193</v>
      </c>
      <c r="U74" s="246">
        <v>107760</v>
      </c>
      <c r="V74" s="246">
        <v>443</v>
      </c>
      <c r="W74" s="246">
        <v>135</v>
      </c>
      <c r="X74" s="246">
        <v>25557</v>
      </c>
      <c r="Y74" s="246">
        <v>3448</v>
      </c>
      <c r="Z74" s="246">
        <v>2535.4</v>
      </c>
      <c r="AA74" s="245">
        <v>171.5</v>
      </c>
      <c r="AB74" s="245">
        <v>248.5</v>
      </c>
      <c r="AC74" s="245">
        <v>728.6</v>
      </c>
      <c r="AD74" s="246">
        <v>45948</v>
      </c>
      <c r="AE74" s="245">
        <v>45.417999999999999</v>
      </c>
      <c r="AF74" s="245">
        <v>105.19</v>
      </c>
      <c r="AG74" s="245">
        <v>73.150000000000006</v>
      </c>
      <c r="AH74" s="245">
        <v>109</v>
      </c>
      <c r="AI74" s="245">
        <v>23.49</v>
      </c>
      <c r="AJ74" s="245">
        <v>575.70000000000005</v>
      </c>
      <c r="AK74" s="245">
        <v>0.28000000000000003</v>
      </c>
      <c r="AL74" s="245">
        <v>106.81</v>
      </c>
      <c r="AM74" s="245">
        <v>177.08</v>
      </c>
      <c r="AN74" s="75">
        <v>58.497999999999998</v>
      </c>
      <c r="AO74" s="75">
        <v>137.91999999999999</v>
      </c>
      <c r="AP74" s="75">
        <v>11.327</v>
      </c>
      <c r="AQ74" s="75">
        <v>3.45</v>
      </c>
      <c r="AR74" s="75">
        <v>0.81100000000000005</v>
      </c>
      <c r="AS74" s="75">
        <v>0.45800000000000002</v>
      </c>
      <c r="AT74" s="75">
        <v>2.13</v>
      </c>
      <c r="AU74" s="75">
        <v>5.7030000000000003</v>
      </c>
      <c r="AV74" s="75">
        <v>7.4119999999999999</v>
      </c>
      <c r="AW74" s="245">
        <v>402.78</v>
      </c>
      <c r="AX74" s="245">
        <v>109.23399999999999</v>
      </c>
      <c r="AY74" s="245">
        <v>88.372</v>
      </c>
      <c r="AZ74" s="75">
        <v>22.356000000000002</v>
      </c>
      <c r="BA74" s="75">
        <v>83.91</v>
      </c>
      <c r="BB74" s="75">
        <v>15.31</v>
      </c>
      <c r="BC74" s="75">
        <v>3.08</v>
      </c>
      <c r="BD74" s="75">
        <v>12.465</v>
      </c>
      <c r="BE74" s="75">
        <v>1.83</v>
      </c>
      <c r="BF74" s="75">
        <v>9.3919999999999995</v>
      </c>
      <c r="BG74" s="75">
        <v>1.978</v>
      </c>
      <c r="BH74" s="75">
        <v>5.4189999999999996</v>
      </c>
      <c r="BI74" s="75">
        <v>0.76100000000000001</v>
      </c>
      <c r="BJ74" s="75">
        <v>4.4290000000000003</v>
      </c>
      <c r="BK74" s="75">
        <v>0.69</v>
      </c>
      <c r="BL74" s="75">
        <v>4.1520000000000001</v>
      </c>
      <c r="BM74" s="75">
        <v>0.69899999999999995</v>
      </c>
      <c r="BN74" s="75">
        <v>13.776</v>
      </c>
      <c r="BO74" s="75">
        <v>0.96499999999999997</v>
      </c>
      <c r="BP74" s="75">
        <v>140.19999999999999</v>
      </c>
      <c r="BQ74" s="75">
        <v>0.82</v>
      </c>
      <c r="BR74" s="75">
        <v>11.849</v>
      </c>
      <c r="BS74" s="75">
        <v>5.4470000000000001</v>
      </c>
      <c r="BT74" s="39"/>
    </row>
    <row r="75" spans="1:72">
      <c r="A75" s="53" t="s">
        <v>231</v>
      </c>
      <c r="B75" s="39" t="s">
        <v>232</v>
      </c>
      <c r="C75" s="155" t="s">
        <v>341</v>
      </c>
      <c r="D75" s="53">
        <v>0.105117</v>
      </c>
      <c r="E75" s="53">
        <v>34.698954000000001</v>
      </c>
      <c r="F75" s="53" t="s">
        <v>359</v>
      </c>
      <c r="G75" s="53" t="s">
        <v>334</v>
      </c>
      <c r="H75" s="116" t="s">
        <v>347</v>
      </c>
      <c r="I75" s="154" t="s">
        <v>371</v>
      </c>
      <c r="J75" s="116" t="s">
        <v>687</v>
      </c>
      <c r="K75" s="53" t="s">
        <v>366</v>
      </c>
      <c r="L75" s="53" t="s">
        <v>684</v>
      </c>
      <c r="M75" s="53" t="s">
        <v>683</v>
      </c>
      <c r="N75" s="74">
        <v>3.6588530403945003</v>
      </c>
      <c r="O75" s="245">
        <v>5.87</v>
      </c>
      <c r="P75" s="162">
        <v>1.294535</v>
      </c>
      <c r="Q75" s="245">
        <v>31.6</v>
      </c>
      <c r="R75" s="75">
        <v>1.68</v>
      </c>
      <c r="S75" s="246">
        <v>5356</v>
      </c>
      <c r="T75" s="246">
        <v>2599</v>
      </c>
      <c r="U75" s="246">
        <v>82629</v>
      </c>
      <c r="V75" s="246">
        <v>484</v>
      </c>
      <c r="W75" s="246">
        <v>907</v>
      </c>
      <c r="X75" s="246">
        <v>17357</v>
      </c>
      <c r="Y75" s="246">
        <v>3363</v>
      </c>
      <c r="Z75" s="246">
        <v>2075.1999999999998</v>
      </c>
      <c r="AA75" s="245">
        <v>125.4</v>
      </c>
      <c r="AB75" s="245">
        <v>191.6</v>
      </c>
      <c r="AC75" s="245">
        <v>1218.4000000000001</v>
      </c>
      <c r="AD75" s="246">
        <v>40284</v>
      </c>
      <c r="AE75" s="245">
        <v>39.499000000000002</v>
      </c>
      <c r="AF75" s="245">
        <v>72.87</v>
      </c>
      <c r="AG75" s="245">
        <v>46.11</v>
      </c>
      <c r="AH75" s="245">
        <v>117</v>
      </c>
      <c r="AI75" s="245">
        <v>18.149999999999999</v>
      </c>
      <c r="AJ75" s="245">
        <v>1347.5</v>
      </c>
      <c r="AK75" s="245">
        <v>0.54</v>
      </c>
      <c r="AL75" s="245">
        <v>78.510000000000005</v>
      </c>
      <c r="AM75" s="245">
        <v>132.36000000000001</v>
      </c>
      <c r="AN75" s="75">
        <v>29.013999999999999</v>
      </c>
      <c r="AO75" s="75">
        <v>149.02000000000001</v>
      </c>
      <c r="AP75" s="75">
        <v>19.939</v>
      </c>
      <c r="AQ75" s="75">
        <v>3.35</v>
      </c>
      <c r="AR75" s="75">
        <v>11.06</v>
      </c>
      <c r="AS75" s="75">
        <v>0.67700000000000005</v>
      </c>
      <c r="AT75" s="75">
        <v>1.9</v>
      </c>
      <c r="AU75" s="75">
        <v>4.0010000000000003</v>
      </c>
      <c r="AV75" s="75">
        <v>4.5579999999999998</v>
      </c>
      <c r="AW75" s="245">
        <v>378.84</v>
      </c>
      <c r="AX75" s="245">
        <v>57.765000000000001</v>
      </c>
      <c r="AY75" s="245">
        <v>90.84</v>
      </c>
      <c r="AZ75" s="75">
        <v>11.849</v>
      </c>
      <c r="BA75" s="75">
        <v>43.96</v>
      </c>
      <c r="BB75" s="75">
        <v>8.0269999999999992</v>
      </c>
      <c r="BC75" s="75">
        <v>1.603</v>
      </c>
      <c r="BD75" s="75">
        <v>6.4269999999999996</v>
      </c>
      <c r="BE75" s="75">
        <v>0.98099999999999998</v>
      </c>
      <c r="BF75" s="75">
        <v>5.1420000000000003</v>
      </c>
      <c r="BG75" s="75">
        <v>1.0609999999999999</v>
      </c>
      <c r="BH75" s="75">
        <v>2.9409999999999998</v>
      </c>
      <c r="BI75" s="75">
        <v>0.42399999999999999</v>
      </c>
      <c r="BJ75" s="75">
        <v>2.5830000000000002</v>
      </c>
      <c r="BK75" s="75">
        <v>0.4</v>
      </c>
      <c r="BL75" s="75">
        <v>4.2300000000000004</v>
      </c>
      <c r="BM75" s="75">
        <v>1.123</v>
      </c>
      <c r="BN75" s="75">
        <v>13.632999999999999</v>
      </c>
      <c r="BO75" s="75">
        <v>0.69699999999999995</v>
      </c>
      <c r="BP75" s="75">
        <v>148.9</v>
      </c>
      <c r="BQ75" s="75">
        <v>1.1599999999999999</v>
      </c>
      <c r="BR75" s="75">
        <v>10.077</v>
      </c>
      <c r="BS75" s="75">
        <v>3.6720000000000002</v>
      </c>
      <c r="BT75" s="39"/>
    </row>
    <row r="76" spans="1:72">
      <c r="A76" s="53" t="s">
        <v>233</v>
      </c>
      <c r="B76" s="39" t="s">
        <v>234</v>
      </c>
      <c r="C76" s="155" t="s">
        <v>341</v>
      </c>
      <c r="D76" s="53">
        <v>0.105117</v>
      </c>
      <c r="E76" s="53">
        <v>34.698954000000001</v>
      </c>
      <c r="F76" s="53" t="s">
        <v>359</v>
      </c>
      <c r="G76" s="53" t="s">
        <v>334</v>
      </c>
      <c r="H76" s="116" t="s">
        <v>347</v>
      </c>
      <c r="I76" s="154" t="s">
        <v>371</v>
      </c>
      <c r="J76" s="116" t="s">
        <v>687</v>
      </c>
      <c r="K76" s="53" t="s">
        <v>367</v>
      </c>
      <c r="L76" s="53" t="s">
        <v>684</v>
      </c>
      <c r="M76" s="53" t="s">
        <v>683</v>
      </c>
      <c r="N76" s="74">
        <v>4.7767070769867539</v>
      </c>
      <c r="O76" s="245">
        <v>5.54</v>
      </c>
      <c r="P76" s="162">
        <v>0.83558500000000002</v>
      </c>
      <c r="Q76" s="245">
        <v>27.3</v>
      </c>
      <c r="R76" s="75">
        <v>1.93</v>
      </c>
      <c r="S76" s="246">
        <v>3278</v>
      </c>
      <c r="T76" s="246">
        <v>1636</v>
      </c>
      <c r="U76" s="246">
        <v>91171</v>
      </c>
      <c r="V76" s="246">
        <v>634</v>
      </c>
      <c r="W76" s="246">
        <v>394</v>
      </c>
      <c r="X76" s="246">
        <v>15062</v>
      </c>
      <c r="Y76" s="246">
        <v>2760</v>
      </c>
      <c r="Z76" s="246">
        <v>2980.9</v>
      </c>
      <c r="AA76" s="245">
        <v>126</v>
      </c>
      <c r="AB76" s="245">
        <v>177.4</v>
      </c>
      <c r="AC76" s="245">
        <v>1590.9</v>
      </c>
      <c r="AD76" s="246">
        <v>43724</v>
      </c>
      <c r="AE76" s="245">
        <v>38.170999999999999</v>
      </c>
      <c r="AF76" s="245">
        <v>56.1</v>
      </c>
      <c r="AG76" s="245">
        <v>41.07</v>
      </c>
      <c r="AH76" s="245">
        <v>105</v>
      </c>
      <c r="AI76" s="245">
        <v>21.4</v>
      </c>
      <c r="AJ76" s="245">
        <v>435.3</v>
      </c>
      <c r="AK76" s="245">
        <v>0.81</v>
      </c>
      <c r="AL76" s="245">
        <v>86.42</v>
      </c>
      <c r="AM76" s="245">
        <v>102.03</v>
      </c>
      <c r="AN76" s="75">
        <v>28.834</v>
      </c>
      <c r="AO76" s="75">
        <v>252.32</v>
      </c>
      <c r="AP76" s="75">
        <v>45.293999999999997</v>
      </c>
      <c r="AQ76" s="75">
        <v>4</v>
      </c>
      <c r="AR76" s="75">
        <v>0.42599999999999999</v>
      </c>
      <c r="AS76" s="75">
        <v>0.22500000000000001</v>
      </c>
      <c r="AT76" s="75">
        <v>2.73</v>
      </c>
      <c r="AU76" s="75">
        <v>1.925</v>
      </c>
      <c r="AV76" s="75">
        <v>3.9239999999999999</v>
      </c>
      <c r="AW76" s="245">
        <v>399.07</v>
      </c>
      <c r="AX76" s="245">
        <v>55.536000000000001</v>
      </c>
      <c r="AY76" s="245">
        <v>126.26600000000001</v>
      </c>
      <c r="AZ76" s="75">
        <v>11.201000000000001</v>
      </c>
      <c r="BA76" s="75">
        <v>41.35</v>
      </c>
      <c r="BB76" s="75">
        <v>7.6020000000000003</v>
      </c>
      <c r="BC76" s="75">
        <v>1.4950000000000001</v>
      </c>
      <c r="BD76" s="75">
        <v>6.1159999999999997</v>
      </c>
      <c r="BE76" s="75">
        <v>0.98</v>
      </c>
      <c r="BF76" s="75">
        <v>5.4160000000000004</v>
      </c>
      <c r="BG76" s="75">
        <v>1.1200000000000001</v>
      </c>
      <c r="BH76" s="75">
        <v>3.1440000000000001</v>
      </c>
      <c r="BI76" s="75">
        <v>0.48499999999999999</v>
      </c>
      <c r="BJ76" s="75">
        <v>2.9769999999999999</v>
      </c>
      <c r="BK76" s="75">
        <v>0.45800000000000002</v>
      </c>
      <c r="BL76" s="75">
        <v>6.6589999999999998</v>
      </c>
      <c r="BM76" s="75">
        <v>2.5430000000000001</v>
      </c>
      <c r="BN76" s="75">
        <v>4.1820000000000004</v>
      </c>
      <c r="BO76" s="75">
        <v>0.72099999999999997</v>
      </c>
      <c r="BP76" s="75">
        <v>52</v>
      </c>
      <c r="BQ76" s="75">
        <v>0.56999999999999995</v>
      </c>
      <c r="BR76" s="75">
        <v>13.654</v>
      </c>
      <c r="BS76" s="75">
        <v>4.1349999999999998</v>
      </c>
      <c r="BT76" s="39"/>
    </row>
    <row r="77" spans="1:72">
      <c r="A77" s="53" t="s">
        <v>235</v>
      </c>
      <c r="B77" s="39" t="s">
        <v>236</v>
      </c>
      <c r="C77" s="155" t="s">
        <v>341</v>
      </c>
      <c r="D77" s="53">
        <v>0.105629</v>
      </c>
      <c r="E77" s="53">
        <v>34.699337</v>
      </c>
      <c r="F77" s="53" t="s">
        <v>359</v>
      </c>
      <c r="G77" s="53" t="s">
        <v>334</v>
      </c>
      <c r="H77" s="116" t="s">
        <v>347</v>
      </c>
      <c r="I77" s="154" t="s">
        <v>371</v>
      </c>
      <c r="J77" s="116" t="s">
        <v>687</v>
      </c>
      <c r="K77" s="53" t="s">
        <v>361</v>
      </c>
      <c r="L77" s="53" t="s">
        <v>685</v>
      </c>
      <c r="M77" s="53" t="s">
        <v>690</v>
      </c>
      <c r="N77" s="74">
        <v>3.530031612223409</v>
      </c>
      <c r="O77" s="245">
        <v>4.49</v>
      </c>
      <c r="P77" s="162">
        <v>9.0802549999999993</v>
      </c>
      <c r="Q77" s="245">
        <v>50</v>
      </c>
      <c r="R77" s="75">
        <v>1.6</v>
      </c>
      <c r="S77" s="246">
        <v>7335</v>
      </c>
      <c r="T77" s="246">
        <v>8078</v>
      </c>
      <c r="U77" s="246">
        <v>105034</v>
      </c>
      <c r="V77" s="246">
        <v>481</v>
      </c>
      <c r="W77" s="246">
        <v>3378</v>
      </c>
      <c r="X77" s="246">
        <v>19477</v>
      </c>
      <c r="Y77" s="246">
        <v>4735</v>
      </c>
      <c r="Z77" s="246">
        <v>2654.4</v>
      </c>
      <c r="AA77" s="245">
        <v>154.1</v>
      </c>
      <c r="AB77" s="245">
        <v>237.8</v>
      </c>
      <c r="AC77" s="245">
        <v>821.5</v>
      </c>
      <c r="AD77" s="246">
        <v>50472</v>
      </c>
      <c r="AE77" s="245">
        <v>39.624000000000002</v>
      </c>
      <c r="AF77" s="245">
        <v>98.85</v>
      </c>
      <c r="AG77" s="245">
        <v>63.78</v>
      </c>
      <c r="AH77" s="245">
        <v>146</v>
      </c>
      <c r="AI77" s="245">
        <v>22.52</v>
      </c>
      <c r="AJ77" s="245">
        <v>3405.1</v>
      </c>
      <c r="AK77" s="245">
        <v>0.74</v>
      </c>
      <c r="AL77" s="245">
        <v>87.33</v>
      </c>
      <c r="AM77" s="245">
        <v>162.63999999999999</v>
      </c>
      <c r="AN77" s="75">
        <v>19.323</v>
      </c>
      <c r="AO77" s="75">
        <v>163.66999999999999</v>
      </c>
      <c r="AP77" s="75">
        <v>18.138999999999999</v>
      </c>
      <c r="AQ77" s="75">
        <v>3.91</v>
      </c>
      <c r="AR77" s="75">
        <v>1.103</v>
      </c>
      <c r="AS77" s="75">
        <v>0.95899999999999996</v>
      </c>
      <c r="AT77" s="75">
        <v>2.19</v>
      </c>
      <c r="AU77" s="75">
        <v>5.1980000000000004</v>
      </c>
      <c r="AV77" s="75">
        <v>6.5410000000000004</v>
      </c>
      <c r="AW77" s="245">
        <v>444.43</v>
      </c>
      <c r="AX77" s="245">
        <v>42.561999999999998</v>
      </c>
      <c r="AY77" s="245">
        <v>109.047</v>
      </c>
      <c r="AZ77" s="75">
        <v>9.8290000000000006</v>
      </c>
      <c r="BA77" s="75">
        <v>37.89</v>
      </c>
      <c r="BB77" s="75">
        <v>7.1429999999999998</v>
      </c>
      <c r="BC77" s="75">
        <v>1.597</v>
      </c>
      <c r="BD77" s="75">
        <v>5.0880000000000001</v>
      </c>
      <c r="BE77" s="75">
        <v>0.73399999999999999</v>
      </c>
      <c r="BF77" s="75">
        <v>3.968</v>
      </c>
      <c r="BG77" s="75">
        <v>0.76300000000000001</v>
      </c>
      <c r="BH77" s="75">
        <v>2.0750000000000002</v>
      </c>
      <c r="BI77" s="75">
        <v>0.309</v>
      </c>
      <c r="BJ77" s="75">
        <v>1.9379999999999999</v>
      </c>
      <c r="BK77" s="75">
        <v>0.28499999999999998</v>
      </c>
      <c r="BL77" s="75">
        <v>4.6379999999999999</v>
      </c>
      <c r="BM77" s="75">
        <v>1.0880000000000001</v>
      </c>
      <c r="BN77" s="75">
        <v>6.4160000000000004</v>
      </c>
      <c r="BO77" s="75">
        <v>0.80300000000000005</v>
      </c>
      <c r="BP77" s="75">
        <v>141.1</v>
      </c>
      <c r="BQ77" s="75">
        <v>1.28</v>
      </c>
      <c r="BR77" s="75">
        <v>13.542</v>
      </c>
      <c r="BS77" s="75">
        <v>5.1470000000000002</v>
      </c>
      <c r="BT77" s="39"/>
    </row>
    <row r="78" spans="1:72">
      <c r="A78" s="53" t="s">
        <v>237</v>
      </c>
      <c r="B78" s="39" t="s">
        <v>238</v>
      </c>
      <c r="C78" s="155" t="s">
        <v>341</v>
      </c>
      <c r="D78" s="53">
        <v>0.105629</v>
      </c>
      <c r="E78" s="53">
        <v>34.699337</v>
      </c>
      <c r="F78" s="53" t="s">
        <v>359</v>
      </c>
      <c r="G78" s="53" t="s">
        <v>334</v>
      </c>
      <c r="H78" s="116" t="s">
        <v>347</v>
      </c>
      <c r="I78" s="154" t="s">
        <v>371</v>
      </c>
      <c r="J78" s="116" t="s">
        <v>687</v>
      </c>
      <c r="K78" s="53" t="s">
        <v>368</v>
      </c>
      <c r="L78" s="53" t="s">
        <v>684</v>
      </c>
      <c r="M78" s="53" t="s">
        <v>683</v>
      </c>
      <c r="N78" s="74">
        <v>4.4860234445449922</v>
      </c>
      <c r="O78" s="245">
        <v>6.19</v>
      </c>
      <c r="P78" s="74">
        <v>2.3111900000000003</v>
      </c>
      <c r="Q78" s="245">
        <v>25.5</v>
      </c>
      <c r="R78" s="75">
        <v>1.48</v>
      </c>
      <c r="S78" s="246">
        <v>3574</v>
      </c>
      <c r="T78" s="246">
        <v>2236</v>
      </c>
      <c r="U78" s="246">
        <v>59918</v>
      </c>
      <c r="V78" s="246">
        <v>477</v>
      </c>
      <c r="W78" s="246">
        <v>1497</v>
      </c>
      <c r="X78" s="246">
        <v>11470</v>
      </c>
      <c r="Y78" s="246">
        <v>3050</v>
      </c>
      <c r="Z78" s="246">
        <v>2307</v>
      </c>
      <c r="AA78" s="245">
        <v>89.4</v>
      </c>
      <c r="AB78" s="245">
        <v>148.19999999999999</v>
      </c>
      <c r="AC78" s="245">
        <v>1991.9</v>
      </c>
      <c r="AD78" s="246">
        <v>35489</v>
      </c>
      <c r="AE78" s="245">
        <v>44.646999999999998</v>
      </c>
      <c r="AF78" s="245">
        <v>58.89</v>
      </c>
      <c r="AG78" s="245">
        <v>40.869999999999997</v>
      </c>
      <c r="AH78" s="245">
        <v>127</v>
      </c>
      <c r="AI78" s="245">
        <v>14.57</v>
      </c>
      <c r="AJ78" s="245">
        <v>1615.5</v>
      </c>
      <c r="AK78" s="245">
        <v>0.57999999999999996</v>
      </c>
      <c r="AL78" s="245">
        <v>61.2</v>
      </c>
      <c r="AM78" s="245">
        <v>88.47</v>
      </c>
      <c r="AN78" s="75">
        <v>26.952999999999999</v>
      </c>
      <c r="AO78" s="75">
        <v>166.19</v>
      </c>
      <c r="AP78" s="75">
        <v>29.023</v>
      </c>
      <c r="AQ78" s="75">
        <v>3.75</v>
      </c>
      <c r="AR78" s="75">
        <v>0.73299999999999998</v>
      </c>
      <c r="AS78" s="75">
        <v>0.53200000000000003</v>
      </c>
      <c r="AT78" s="75">
        <v>1.75</v>
      </c>
      <c r="AU78" s="75">
        <v>3.7469999999999999</v>
      </c>
      <c r="AV78" s="75">
        <v>3.0979999999999999</v>
      </c>
      <c r="AW78" s="245">
        <v>306.10000000000002</v>
      </c>
      <c r="AX78" s="245">
        <v>52.77</v>
      </c>
      <c r="AY78" s="245">
        <v>111.331</v>
      </c>
      <c r="AZ78" s="75">
        <v>10.324999999999999</v>
      </c>
      <c r="BA78" s="75">
        <v>37.39</v>
      </c>
      <c r="BB78" s="75">
        <v>6.6849999999999996</v>
      </c>
      <c r="BC78" s="75">
        <v>1.274</v>
      </c>
      <c r="BD78" s="75">
        <v>5.4939999999999998</v>
      </c>
      <c r="BE78" s="75">
        <v>0.88300000000000001</v>
      </c>
      <c r="BF78" s="75">
        <v>4.827</v>
      </c>
      <c r="BG78" s="75">
        <v>1</v>
      </c>
      <c r="BH78" s="75">
        <v>2.774</v>
      </c>
      <c r="BI78" s="75">
        <v>0.41199999999999998</v>
      </c>
      <c r="BJ78" s="75">
        <v>2.5649999999999999</v>
      </c>
      <c r="BK78" s="75">
        <v>0.36399999999999999</v>
      </c>
      <c r="BL78" s="75">
        <v>4.5289999999999999</v>
      </c>
      <c r="BM78" s="75">
        <v>1.5940000000000001</v>
      </c>
      <c r="BN78" s="75">
        <v>10.147</v>
      </c>
      <c r="BO78" s="75">
        <v>0.57399999999999995</v>
      </c>
      <c r="BP78" s="75">
        <v>99.2</v>
      </c>
      <c r="BQ78" s="75">
        <v>1.18</v>
      </c>
      <c r="BR78" s="75">
        <v>9.3040000000000003</v>
      </c>
      <c r="BS78" s="75">
        <v>3.3759999999999999</v>
      </c>
      <c r="BT78" s="39"/>
    </row>
    <row r="79" spans="1:72">
      <c r="A79" s="53" t="s">
        <v>239</v>
      </c>
      <c r="B79" s="39" t="s">
        <v>240</v>
      </c>
      <c r="C79" s="155" t="s">
        <v>341</v>
      </c>
      <c r="D79" s="53">
        <v>0.10542700000000001</v>
      </c>
      <c r="E79" s="53">
        <v>34.698397999999997</v>
      </c>
      <c r="F79" s="53" t="s">
        <v>359</v>
      </c>
      <c r="G79" s="53" t="s">
        <v>334</v>
      </c>
      <c r="H79" s="116" t="s">
        <v>347</v>
      </c>
      <c r="I79" s="154" t="s">
        <v>371</v>
      </c>
      <c r="J79" s="116" t="s">
        <v>687</v>
      </c>
      <c r="K79" s="53" t="s">
        <v>365</v>
      </c>
      <c r="L79" s="53" t="s">
        <v>685</v>
      </c>
      <c r="M79" s="53" t="s">
        <v>691</v>
      </c>
      <c r="N79" s="74">
        <v>1.55137604930379</v>
      </c>
      <c r="O79" s="245">
        <v>8.51</v>
      </c>
      <c r="P79" s="74">
        <v>5.1827399999999999</v>
      </c>
      <c r="Q79" s="245">
        <v>23.6</v>
      </c>
      <c r="R79" s="75">
        <v>1.38</v>
      </c>
      <c r="S79" s="246">
        <v>7511</v>
      </c>
      <c r="T79" s="246">
        <v>7016</v>
      </c>
      <c r="U79" s="246">
        <v>65586</v>
      </c>
      <c r="V79" s="246">
        <v>403</v>
      </c>
      <c r="W79" s="246">
        <v>3744</v>
      </c>
      <c r="X79" s="246">
        <v>16746</v>
      </c>
      <c r="Y79" s="246">
        <v>10344</v>
      </c>
      <c r="Z79" s="246">
        <v>1975.1</v>
      </c>
      <c r="AA79" s="245">
        <v>111.9</v>
      </c>
      <c r="AB79" s="245">
        <v>186.3</v>
      </c>
      <c r="AC79" s="245">
        <v>867.3</v>
      </c>
      <c r="AD79" s="246">
        <v>38397</v>
      </c>
      <c r="AE79" s="245">
        <v>25.986999999999998</v>
      </c>
      <c r="AF79" s="245">
        <v>56.3</v>
      </c>
      <c r="AG79" s="245">
        <v>72.849999999999994</v>
      </c>
      <c r="AH79" s="245">
        <v>210</v>
      </c>
      <c r="AI79" s="245">
        <v>14.7</v>
      </c>
      <c r="AJ79" s="245">
        <v>4071.7</v>
      </c>
      <c r="AK79" s="245">
        <v>0.85</v>
      </c>
      <c r="AL79" s="245">
        <v>63.48</v>
      </c>
      <c r="AM79" s="245">
        <v>120.42</v>
      </c>
      <c r="AN79" s="75">
        <v>14.33</v>
      </c>
      <c r="AO79" s="75">
        <v>86.92</v>
      </c>
      <c r="AP79" s="75">
        <v>9.1110000000000007</v>
      </c>
      <c r="AQ79" s="75">
        <v>5.54</v>
      </c>
      <c r="AR79" s="75">
        <v>1.393</v>
      </c>
      <c r="AS79" s="75">
        <v>2.0920000000000001</v>
      </c>
      <c r="AT79" s="75">
        <v>1.5</v>
      </c>
      <c r="AU79" s="75">
        <v>5.5590000000000002</v>
      </c>
      <c r="AV79" s="75">
        <v>3.84</v>
      </c>
      <c r="AW79" s="245">
        <v>382.04</v>
      </c>
      <c r="AX79" s="245">
        <v>25.478999999999999</v>
      </c>
      <c r="AY79" s="245">
        <v>52.99</v>
      </c>
      <c r="AZ79" s="75">
        <v>5.649</v>
      </c>
      <c r="BA79" s="75">
        <v>21.43</v>
      </c>
      <c r="BB79" s="75">
        <v>4.0830000000000002</v>
      </c>
      <c r="BC79" s="75">
        <v>0.96099999999999997</v>
      </c>
      <c r="BD79" s="75">
        <v>3.2450000000000001</v>
      </c>
      <c r="BE79" s="75">
        <v>0.47599999999999998</v>
      </c>
      <c r="BF79" s="75">
        <v>2.6640000000000001</v>
      </c>
      <c r="BG79" s="75">
        <v>0.54600000000000004</v>
      </c>
      <c r="BH79" s="75">
        <v>1.4710000000000001</v>
      </c>
      <c r="BI79" s="75">
        <v>0.224</v>
      </c>
      <c r="BJ79" s="75">
        <v>1.4079999999999999</v>
      </c>
      <c r="BK79" s="75">
        <v>0.20399999999999999</v>
      </c>
      <c r="BL79" s="75">
        <v>2.504</v>
      </c>
      <c r="BM79" s="75">
        <v>0.51100000000000001</v>
      </c>
      <c r="BN79" s="75">
        <v>22.266999999999999</v>
      </c>
      <c r="BO79" s="75">
        <v>0.54900000000000004</v>
      </c>
      <c r="BP79" s="75">
        <v>224.7</v>
      </c>
      <c r="BQ79" s="75">
        <v>8</v>
      </c>
      <c r="BR79" s="75">
        <v>5.7640000000000002</v>
      </c>
      <c r="BS79" s="75">
        <v>2.593</v>
      </c>
      <c r="BT79" s="39"/>
    </row>
    <row r="80" spans="1:72">
      <c r="A80" s="53" t="s">
        <v>241</v>
      </c>
      <c r="B80" s="39" t="s">
        <v>242</v>
      </c>
      <c r="C80" s="155" t="s">
        <v>341</v>
      </c>
      <c r="D80" s="53">
        <v>0.105629</v>
      </c>
      <c r="E80" s="53">
        <v>34.699337</v>
      </c>
      <c r="F80" s="53" t="s">
        <v>359</v>
      </c>
      <c r="G80" s="53" t="s">
        <v>334</v>
      </c>
      <c r="H80" s="116" t="s">
        <v>347</v>
      </c>
      <c r="I80" s="154" t="s">
        <v>371</v>
      </c>
      <c r="J80" s="116" t="s">
        <v>687</v>
      </c>
      <c r="K80" s="53" t="s">
        <v>367</v>
      </c>
      <c r="L80" s="53" t="s">
        <v>684</v>
      </c>
      <c r="M80" s="53" t="s">
        <v>683</v>
      </c>
      <c r="N80" s="74">
        <v>6.8600754084625262</v>
      </c>
      <c r="O80" s="245">
        <v>5.86</v>
      </c>
      <c r="P80" s="74">
        <v>2.6561400000000002</v>
      </c>
      <c r="Q80" s="245">
        <v>32.1</v>
      </c>
      <c r="R80" s="75">
        <v>1.87</v>
      </c>
      <c r="S80" s="246">
        <v>3891</v>
      </c>
      <c r="T80" s="246">
        <v>3062</v>
      </c>
      <c r="U80" s="246">
        <v>93937</v>
      </c>
      <c r="V80" s="246">
        <v>723</v>
      </c>
      <c r="W80" s="246">
        <v>361</v>
      </c>
      <c r="X80" s="246">
        <v>16978</v>
      </c>
      <c r="Y80" s="246">
        <v>3743</v>
      </c>
      <c r="Z80" s="246">
        <v>3417.7</v>
      </c>
      <c r="AA80" s="245">
        <v>134.1</v>
      </c>
      <c r="AB80" s="245">
        <v>197.5</v>
      </c>
      <c r="AC80" s="245">
        <v>2173.6</v>
      </c>
      <c r="AD80" s="246">
        <v>46132</v>
      </c>
      <c r="AE80" s="245">
        <v>38.603999999999999</v>
      </c>
      <c r="AF80" s="245">
        <v>54.39</v>
      </c>
      <c r="AG80" s="245">
        <v>50.93</v>
      </c>
      <c r="AH80" s="245">
        <v>153</v>
      </c>
      <c r="AI80" s="245">
        <v>22.12</v>
      </c>
      <c r="AJ80" s="245">
        <v>668.9</v>
      </c>
      <c r="AK80" s="245">
        <v>0.85</v>
      </c>
      <c r="AL80" s="245">
        <v>98.28</v>
      </c>
      <c r="AM80" s="245">
        <v>106.78</v>
      </c>
      <c r="AN80" s="75">
        <v>35.521000000000001</v>
      </c>
      <c r="AO80" s="75">
        <v>280.7</v>
      </c>
      <c r="AP80" s="75">
        <v>50.107999999999997</v>
      </c>
      <c r="AQ80" s="75">
        <v>4.2300000000000004</v>
      </c>
      <c r="AR80" s="75">
        <v>0.84699999999999998</v>
      </c>
      <c r="AS80" s="75">
        <v>1.0369999999999999</v>
      </c>
      <c r="AT80" s="75">
        <v>3.08</v>
      </c>
      <c r="AU80" s="75">
        <v>2.056</v>
      </c>
      <c r="AV80" s="75">
        <v>4.3879999999999999</v>
      </c>
      <c r="AW80" s="245">
        <v>442.92</v>
      </c>
      <c r="AX80" s="245">
        <v>71.164000000000001</v>
      </c>
      <c r="AY80" s="245">
        <v>137.20599999999999</v>
      </c>
      <c r="AZ80" s="75">
        <v>13.836</v>
      </c>
      <c r="BA80" s="75">
        <v>50.52</v>
      </c>
      <c r="BB80" s="75">
        <v>9.0790000000000006</v>
      </c>
      <c r="BC80" s="75">
        <v>1.7</v>
      </c>
      <c r="BD80" s="75">
        <v>7.1849999999999996</v>
      </c>
      <c r="BE80" s="75">
        <v>1.155</v>
      </c>
      <c r="BF80" s="75">
        <v>6.5339999999999998</v>
      </c>
      <c r="BG80" s="75">
        <v>1.3360000000000001</v>
      </c>
      <c r="BH80" s="75">
        <v>3.7160000000000002</v>
      </c>
      <c r="BI80" s="75">
        <v>0.54400000000000004</v>
      </c>
      <c r="BJ80" s="75">
        <v>3.3820000000000001</v>
      </c>
      <c r="BK80" s="75">
        <v>0.52700000000000002</v>
      </c>
      <c r="BL80" s="75">
        <v>7.1280000000000001</v>
      </c>
      <c r="BM80" s="75">
        <v>2.8149999999999999</v>
      </c>
      <c r="BN80" s="75">
        <v>4.6109999999999998</v>
      </c>
      <c r="BO80" s="75">
        <v>0.80800000000000005</v>
      </c>
      <c r="BP80" s="75">
        <v>153.9</v>
      </c>
      <c r="BQ80" s="75">
        <v>1.35</v>
      </c>
      <c r="BR80" s="75">
        <v>13.847</v>
      </c>
      <c r="BS80" s="75">
        <v>4.0650000000000004</v>
      </c>
      <c r="BT80" s="39"/>
    </row>
    <row r="81" spans="1:72">
      <c r="A81" s="53" t="s">
        <v>243</v>
      </c>
      <c r="B81" s="39" t="s">
        <v>244</v>
      </c>
      <c r="C81" s="155" t="s">
        <v>341</v>
      </c>
      <c r="D81" s="53">
        <v>0.105629</v>
      </c>
      <c r="E81" s="53">
        <v>34.699337</v>
      </c>
      <c r="F81" s="53" t="s">
        <v>359</v>
      </c>
      <c r="G81" s="53" t="s">
        <v>334</v>
      </c>
      <c r="H81" s="116" t="s">
        <v>347</v>
      </c>
      <c r="I81" s="154" t="s">
        <v>371</v>
      </c>
      <c r="J81" s="116" t="s">
        <v>687</v>
      </c>
      <c r="K81" s="53" t="s">
        <v>361</v>
      </c>
      <c r="L81" s="53" t="s">
        <v>685</v>
      </c>
      <c r="M81" s="53" t="s">
        <v>690</v>
      </c>
      <c r="N81" s="74">
        <v>3.55897435897444</v>
      </c>
      <c r="O81" s="245">
        <v>5.65</v>
      </c>
      <c r="P81" s="74">
        <v>2.89608</v>
      </c>
      <c r="Q81" s="245">
        <v>37.700000000000003</v>
      </c>
      <c r="R81" s="75">
        <v>1.81</v>
      </c>
      <c r="S81" s="246">
        <v>5390</v>
      </c>
      <c r="T81" s="246">
        <v>6334</v>
      </c>
      <c r="U81" s="246">
        <v>105065</v>
      </c>
      <c r="V81" s="246">
        <v>446</v>
      </c>
      <c r="W81" s="246">
        <v>2400</v>
      </c>
      <c r="X81" s="246">
        <v>18249</v>
      </c>
      <c r="Y81" s="246">
        <v>4319</v>
      </c>
      <c r="Z81" s="246">
        <v>2867</v>
      </c>
      <c r="AA81" s="245">
        <v>143.30000000000001</v>
      </c>
      <c r="AB81" s="245">
        <v>224.1</v>
      </c>
      <c r="AC81" s="245">
        <v>1130</v>
      </c>
      <c r="AD81" s="246">
        <v>47689</v>
      </c>
      <c r="AE81" s="245">
        <v>40.817</v>
      </c>
      <c r="AF81" s="245">
        <v>83.07</v>
      </c>
      <c r="AG81" s="245">
        <v>55.31</v>
      </c>
      <c r="AH81" s="245">
        <v>266</v>
      </c>
      <c r="AI81" s="245">
        <v>23.13</v>
      </c>
      <c r="AJ81" s="245">
        <v>1730.2</v>
      </c>
      <c r="AK81" s="245">
        <v>0.56999999999999995</v>
      </c>
      <c r="AL81" s="245">
        <v>89.79</v>
      </c>
      <c r="AM81" s="245">
        <v>118.79</v>
      </c>
      <c r="AN81" s="75">
        <v>29.584</v>
      </c>
      <c r="AO81" s="75">
        <v>199.82</v>
      </c>
      <c r="AP81" s="75">
        <v>32.365000000000002</v>
      </c>
      <c r="AQ81" s="75">
        <v>4.2699999999999996</v>
      </c>
      <c r="AR81" s="75">
        <v>0.86399999999999999</v>
      </c>
      <c r="AS81" s="75">
        <v>1.1439999999999999</v>
      </c>
      <c r="AT81" s="75">
        <v>2.57</v>
      </c>
      <c r="AU81" s="75">
        <v>3.4790000000000001</v>
      </c>
      <c r="AV81" s="75">
        <v>5.593</v>
      </c>
      <c r="AW81" s="245">
        <v>414.31</v>
      </c>
      <c r="AX81" s="245">
        <v>57.378999999999998</v>
      </c>
      <c r="AY81" s="245">
        <v>123.864</v>
      </c>
      <c r="AZ81" s="75">
        <v>12.238</v>
      </c>
      <c r="BA81" s="75">
        <v>45.6</v>
      </c>
      <c r="BB81" s="75">
        <v>8.3550000000000004</v>
      </c>
      <c r="BC81" s="75">
        <v>1.6679999999999999</v>
      </c>
      <c r="BD81" s="75">
        <v>6.4550000000000001</v>
      </c>
      <c r="BE81" s="75">
        <v>0.97899999999999998</v>
      </c>
      <c r="BF81" s="75">
        <v>5.4669999999999996</v>
      </c>
      <c r="BG81" s="75">
        <v>1.0880000000000001</v>
      </c>
      <c r="BH81" s="75">
        <v>3.117</v>
      </c>
      <c r="BI81" s="75">
        <v>0.46899999999999997</v>
      </c>
      <c r="BJ81" s="75">
        <v>2.798</v>
      </c>
      <c r="BK81" s="75">
        <v>0.42899999999999999</v>
      </c>
      <c r="BL81" s="75">
        <v>5.6189999999999998</v>
      </c>
      <c r="BM81" s="75">
        <v>1.869</v>
      </c>
      <c r="BN81" s="75">
        <v>19.396999999999998</v>
      </c>
      <c r="BO81" s="75">
        <v>0.78400000000000003</v>
      </c>
      <c r="BP81" s="75">
        <v>115.1</v>
      </c>
      <c r="BQ81" s="75">
        <v>1.39</v>
      </c>
      <c r="BR81" s="75">
        <v>12.531000000000001</v>
      </c>
      <c r="BS81" s="75">
        <v>4.7300000000000004</v>
      </c>
      <c r="BT81" s="39"/>
    </row>
    <row r="82" spans="1:72">
      <c r="A82" s="53" t="s">
        <v>245</v>
      </c>
      <c r="B82" s="39" t="s">
        <v>246</v>
      </c>
      <c r="C82" s="155" t="s">
        <v>341</v>
      </c>
      <c r="D82" s="53">
        <v>0.105629</v>
      </c>
      <c r="E82" s="53">
        <v>34.699337</v>
      </c>
      <c r="F82" s="53" t="s">
        <v>359</v>
      </c>
      <c r="G82" s="53" t="s">
        <v>334</v>
      </c>
      <c r="H82" s="116" t="s">
        <v>347</v>
      </c>
      <c r="I82" s="154" t="s">
        <v>371</v>
      </c>
      <c r="J82" s="116" t="s">
        <v>687</v>
      </c>
      <c r="K82" s="53" t="s">
        <v>365</v>
      </c>
      <c r="L82" s="53" t="s">
        <v>685</v>
      </c>
      <c r="M82" s="53" t="s">
        <v>691</v>
      </c>
      <c r="N82" s="74">
        <v>0.54315027157529971</v>
      </c>
      <c r="O82" s="245">
        <v>7.43</v>
      </c>
      <c r="P82" s="74">
        <v>144.67769999999999</v>
      </c>
      <c r="Q82" s="245">
        <v>35.700000000000003</v>
      </c>
      <c r="R82" s="75">
        <v>1.62</v>
      </c>
      <c r="S82" s="246">
        <v>7784</v>
      </c>
      <c r="T82" s="246">
        <v>14374</v>
      </c>
      <c r="U82" s="246">
        <v>75373</v>
      </c>
      <c r="V82" s="246">
        <v>458</v>
      </c>
      <c r="W82" s="246">
        <v>255614</v>
      </c>
      <c r="X82" s="246">
        <v>22607</v>
      </c>
      <c r="Y82" s="246">
        <v>13268</v>
      </c>
      <c r="Z82" s="246">
        <v>2171.6</v>
      </c>
      <c r="AA82" s="245">
        <v>112.4</v>
      </c>
      <c r="AB82" s="245">
        <v>385.2</v>
      </c>
      <c r="AC82" s="245">
        <v>575.20000000000005</v>
      </c>
      <c r="AD82" s="246">
        <v>353081</v>
      </c>
      <c r="AE82" s="245">
        <v>403.96</v>
      </c>
      <c r="AF82" s="245">
        <v>641.96</v>
      </c>
      <c r="AG82" s="245">
        <v>2634.04</v>
      </c>
      <c r="AH82" s="245">
        <v>1144</v>
      </c>
      <c r="AI82" s="245">
        <v>18.510000000000002</v>
      </c>
      <c r="AJ82" s="245">
        <v>95239.4</v>
      </c>
      <c r="AK82" s="245">
        <v>23.19</v>
      </c>
      <c r="AL82" s="245">
        <v>101.71</v>
      </c>
      <c r="AM82" s="245">
        <v>115.14</v>
      </c>
      <c r="AN82" s="75">
        <v>14.77</v>
      </c>
      <c r="AO82" s="75">
        <v>101.15</v>
      </c>
      <c r="AP82" s="75">
        <v>3.2160000000000002</v>
      </c>
      <c r="AQ82" s="75">
        <v>4.6100000000000003</v>
      </c>
      <c r="AR82" s="75">
        <v>55.286000000000001</v>
      </c>
      <c r="AS82" s="75">
        <v>14.455</v>
      </c>
      <c r="AT82" s="75">
        <v>1.89</v>
      </c>
      <c r="AU82" s="75">
        <v>153.99</v>
      </c>
      <c r="AV82" s="75">
        <v>7.3</v>
      </c>
      <c r="AW82" s="245">
        <v>177.19</v>
      </c>
      <c r="AX82" s="245">
        <v>26.605</v>
      </c>
      <c r="AY82" s="245">
        <v>52.975999999999999</v>
      </c>
      <c r="AZ82" s="75">
        <v>6.6950000000000003</v>
      </c>
      <c r="BA82" s="75">
        <v>24.19</v>
      </c>
      <c r="BB82" s="75">
        <v>4.7160000000000002</v>
      </c>
      <c r="BC82" s="75">
        <v>0.91100000000000003</v>
      </c>
      <c r="BD82" s="75">
        <v>3.1040000000000001</v>
      </c>
      <c r="BE82" s="75">
        <v>0.498</v>
      </c>
      <c r="BF82" s="75">
        <v>2.8919999999999999</v>
      </c>
      <c r="BG82" s="75">
        <v>0.52400000000000002</v>
      </c>
      <c r="BH82" s="75">
        <v>1.744</v>
      </c>
      <c r="BI82" s="75">
        <v>0.19600000000000001</v>
      </c>
      <c r="BJ82" s="75">
        <v>1.5129999999999999</v>
      </c>
      <c r="BK82" s="75">
        <v>0.217</v>
      </c>
      <c r="BL82" s="75">
        <v>2.74</v>
      </c>
      <c r="BM82" s="75">
        <v>0.28499999999999998</v>
      </c>
      <c r="BN82" s="75">
        <v>125.804</v>
      </c>
      <c r="BO82" s="75">
        <v>22</v>
      </c>
      <c r="BP82" s="75">
        <v>6453.5</v>
      </c>
      <c r="BQ82" s="75">
        <v>65.56</v>
      </c>
      <c r="BR82" s="75">
        <v>8.968</v>
      </c>
      <c r="BS82" s="75">
        <v>5.0819999999999999</v>
      </c>
      <c r="BT82" s="39"/>
    </row>
    <row r="83" spans="1:72">
      <c r="A83" s="53" t="s">
        <v>247</v>
      </c>
      <c r="B83" s="39" t="s">
        <v>248</v>
      </c>
      <c r="C83" s="155" t="s">
        <v>341</v>
      </c>
      <c r="D83" s="53">
        <v>0.105629</v>
      </c>
      <c r="E83" s="53">
        <v>34.699337</v>
      </c>
      <c r="F83" s="53" t="s">
        <v>359</v>
      </c>
      <c r="G83" s="53" t="s">
        <v>334</v>
      </c>
      <c r="H83" s="116" t="s">
        <v>347</v>
      </c>
      <c r="I83" s="154" t="s">
        <v>371</v>
      </c>
      <c r="J83" s="116" t="s">
        <v>687</v>
      </c>
      <c r="K83" s="53" t="s">
        <v>364</v>
      </c>
      <c r="L83" s="53" t="s">
        <v>685</v>
      </c>
      <c r="M83" s="53" t="s">
        <v>690</v>
      </c>
      <c r="N83" s="74">
        <v>1.6777175005023266</v>
      </c>
      <c r="O83" s="245">
        <v>4.55</v>
      </c>
      <c r="P83" s="74">
        <v>9.3579999999999997E-2</v>
      </c>
      <c r="Q83" s="245">
        <v>56.1</v>
      </c>
      <c r="R83" s="75">
        <v>2.76</v>
      </c>
      <c r="S83" s="246">
        <v>7506</v>
      </c>
      <c r="T83" s="246">
        <v>1018</v>
      </c>
      <c r="U83" s="246">
        <v>110710</v>
      </c>
      <c r="V83" s="246">
        <v>392</v>
      </c>
      <c r="W83" s="246">
        <v>115</v>
      </c>
      <c r="X83" s="246">
        <v>23626</v>
      </c>
      <c r="Y83" s="246">
        <v>3925</v>
      </c>
      <c r="Z83" s="246">
        <v>2073.4</v>
      </c>
      <c r="AA83" s="245">
        <v>163.80000000000001</v>
      </c>
      <c r="AB83" s="245">
        <v>257</v>
      </c>
      <c r="AC83" s="245">
        <v>1117.0999999999999</v>
      </c>
      <c r="AD83" s="246">
        <v>40755</v>
      </c>
      <c r="AE83" s="245">
        <v>70.381</v>
      </c>
      <c r="AF83" s="245">
        <v>103.2</v>
      </c>
      <c r="AG83" s="245">
        <v>66.73</v>
      </c>
      <c r="AH83" s="245">
        <v>82</v>
      </c>
      <c r="AI83" s="245">
        <v>23.91</v>
      </c>
      <c r="AJ83" s="245">
        <v>420.1</v>
      </c>
      <c r="AK83" s="245">
        <v>0.25</v>
      </c>
      <c r="AL83" s="245">
        <v>95.16</v>
      </c>
      <c r="AM83" s="245">
        <v>196.55</v>
      </c>
      <c r="AN83" s="75">
        <v>54.46</v>
      </c>
      <c r="AO83" s="75">
        <v>123.61</v>
      </c>
      <c r="AP83" s="75">
        <v>8.2370000000000001</v>
      </c>
      <c r="AQ83" s="75">
        <v>3.49</v>
      </c>
      <c r="AR83" s="75">
        <v>0.40400000000000003</v>
      </c>
      <c r="AS83" s="75">
        <v>0.23699999999999999</v>
      </c>
      <c r="AT83" s="75">
        <v>1.9</v>
      </c>
      <c r="AU83" s="75">
        <v>3.8690000000000002</v>
      </c>
      <c r="AV83" s="75">
        <v>6.524</v>
      </c>
      <c r="AW83" s="245">
        <v>439.24</v>
      </c>
      <c r="AX83" s="245">
        <v>88.992000000000004</v>
      </c>
      <c r="AY83" s="245">
        <v>93.167000000000002</v>
      </c>
      <c r="AZ83" s="75">
        <v>18.385000000000002</v>
      </c>
      <c r="BA83" s="75">
        <v>69.930000000000007</v>
      </c>
      <c r="BB83" s="75">
        <v>12.64</v>
      </c>
      <c r="BC83" s="75">
        <v>2.6720000000000002</v>
      </c>
      <c r="BD83" s="75">
        <v>10.582000000000001</v>
      </c>
      <c r="BE83" s="75">
        <v>1.6180000000000001</v>
      </c>
      <c r="BF83" s="75">
        <v>8.86</v>
      </c>
      <c r="BG83" s="75">
        <v>1.8109999999999999</v>
      </c>
      <c r="BH83" s="75">
        <v>4.93</v>
      </c>
      <c r="BI83" s="75">
        <v>0.70699999999999996</v>
      </c>
      <c r="BJ83" s="75">
        <v>4.0979999999999999</v>
      </c>
      <c r="BK83" s="75">
        <v>0.64700000000000002</v>
      </c>
      <c r="BL83" s="75">
        <v>3.847</v>
      </c>
      <c r="BM83" s="75">
        <v>0.53</v>
      </c>
      <c r="BN83" s="75">
        <v>6.9930000000000003</v>
      </c>
      <c r="BO83" s="75">
        <v>0.88600000000000001</v>
      </c>
      <c r="BP83" s="75">
        <v>71.3</v>
      </c>
      <c r="BQ83" s="75">
        <v>0.66</v>
      </c>
      <c r="BR83" s="75">
        <v>11.186999999999999</v>
      </c>
      <c r="BS83" s="75">
        <v>5.0439999999999996</v>
      </c>
      <c r="BT83" s="39"/>
    </row>
    <row r="84" spans="1:72">
      <c r="A84" s="53" t="s">
        <v>249</v>
      </c>
      <c r="B84" s="39" t="s">
        <v>250</v>
      </c>
      <c r="C84" s="155" t="s">
        <v>341</v>
      </c>
      <c r="D84" s="53">
        <v>0.105629</v>
      </c>
      <c r="E84" s="53">
        <v>34.699337</v>
      </c>
      <c r="F84" s="53" t="s">
        <v>359</v>
      </c>
      <c r="G84" s="53" t="s">
        <v>334</v>
      </c>
      <c r="H84" s="116" t="s">
        <v>347</v>
      </c>
      <c r="I84" s="154" t="s">
        <v>371</v>
      </c>
      <c r="J84" s="116" t="s">
        <v>687</v>
      </c>
      <c r="K84" s="53" t="s">
        <v>366</v>
      </c>
      <c r="L84" s="53" t="s">
        <v>684</v>
      </c>
      <c r="M84" s="53" t="s">
        <v>683</v>
      </c>
      <c r="N84" s="74">
        <v>2.7681660899652738</v>
      </c>
      <c r="O84" s="245">
        <v>4.9800000000000004</v>
      </c>
      <c r="P84" s="74">
        <v>5.7652700000000001</v>
      </c>
      <c r="Q84" s="245">
        <v>21.4</v>
      </c>
      <c r="R84" s="75">
        <v>1.19</v>
      </c>
      <c r="S84" s="246">
        <v>3777</v>
      </c>
      <c r="T84" s="246">
        <v>2611</v>
      </c>
      <c r="U84" s="246">
        <v>53132</v>
      </c>
      <c r="V84" s="246">
        <v>431</v>
      </c>
      <c r="W84" s="246">
        <v>6879</v>
      </c>
      <c r="X84" s="246">
        <v>9601</v>
      </c>
      <c r="Y84" s="246">
        <v>3164</v>
      </c>
      <c r="Z84" s="246">
        <v>2088</v>
      </c>
      <c r="AA84" s="245">
        <v>72.599999999999994</v>
      </c>
      <c r="AB84" s="245">
        <v>120.8</v>
      </c>
      <c r="AC84" s="245">
        <v>1390.8</v>
      </c>
      <c r="AD84" s="246">
        <v>38697</v>
      </c>
      <c r="AE84" s="245">
        <v>46.970999999999997</v>
      </c>
      <c r="AF84" s="245">
        <v>61.82</v>
      </c>
      <c r="AG84" s="245">
        <v>38.71</v>
      </c>
      <c r="AH84" s="245">
        <v>130</v>
      </c>
      <c r="AI84" s="245">
        <v>12.62</v>
      </c>
      <c r="AJ84" s="245">
        <v>8567.4</v>
      </c>
      <c r="AK84" s="245">
        <v>0.93</v>
      </c>
      <c r="AL84" s="245">
        <v>52.46</v>
      </c>
      <c r="AM84" s="245">
        <v>80.89</v>
      </c>
      <c r="AN84" s="75">
        <v>22.334</v>
      </c>
      <c r="AO84" s="75">
        <v>150.47999999999999</v>
      </c>
      <c r="AP84" s="75">
        <v>27.016999999999999</v>
      </c>
      <c r="AQ84" s="75">
        <v>3.5</v>
      </c>
      <c r="AR84" s="75">
        <v>3.0059999999999998</v>
      </c>
      <c r="AS84" s="75">
        <v>1.0309999999999999</v>
      </c>
      <c r="AT84" s="75">
        <v>2.29</v>
      </c>
      <c r="AU84" s="75">
        <v>7.0140000000000002</v>
      </c>
      <c r="AV84" s="75">
        <v>2.6019999999999999</v>
      </c>
      <c r="AW84" s="245">
        <v>276.69</v>
      </c>
      <c r="AX84" s="245">
        <v>44.646000000000001</v>
      </c>
      <c r="AY84" s="245">
        <v>92.843999999999994</v>
      </c>
      <c r="AZ84" s="75">
        <v>8.6750000000000007</v>
      </c>
      <c r="BA84" s="75">
        <v>31.55</v>
      </c>
      <c r="BB84" s="75">
        <v>5.7009999999999996</v>
      </c>
      <c r="BC84" s="75">
        <v>1.103</v>
      </c>
      <c r="BD84" s="75">
        <v>4.7229999999999999</v>
      </c>
      <c r="BE84" s="75">
        <v>0.73499999999999999</v>
      </c>
      <c r="BF84" s="75">
        <v>4.12</v>
      </c>
      <c r="BG84" s="75">
        <v>0.84299999999999997</v>
      </c>
      <c r="BH84" s="75">
        <v>2.4</v>
      </c>
      <c r="BI84" s="75">
        <v>0.35499999999999998</v>
      </c>
      <c r="BJ84" s="75">
        <v>2.1760000000000002</v>
      </c>
      <c r="BK84" s="75">
        <v>0.32200000000000001</v>
      </c>
      <c r="BL84" s="75">
        <v>4.13</v>
      </c>
      <c r="BM84" s="75">
        <v>1.53</v>
      </c>
      <c r="BN84" s="75">
        <v>18.423999999999999</v>
      </c>
      <c r="BO84" s="75">
        <v>0.55000000000000004</v>
      </c>
      <c r="BP84" s="75">
        <v>181.4</v>
      </c>
      <c r="BQ84" s="75">
        <v>2.11</v>
      </c>
      <c r="BR84" s="75">
        <v>8.8000000000000007</v>
      </c>
      <c r="BS84" s="75">
        <v>2.7890000000000001</v>
      </c>
      <c r="BT84" s="39"/>
    </row>
    <row r="85" spans="1:72" s="63" customFormat="1">
      <c r="A85" s="53" t="s">
        <v>251</v>
      </c>
      <c r="B85" s="39" t="s">
        <v>252</v>
      </c>
      <c r="C85" s="155" t="s">
        <v>341</v>
      </c>
      <c r="D85" s="53">
        <v>0.105494</v>
      </c>
      <c r="E85" s="53">
        <v>34.699541000000004</v>
      </c>
      <c r="F85" s="53" t="s">
        <v>359</v>
      </c>
      <c r="G85" s="53" t="s">
        <v>334</v>
      </c>
      <c r="H85" s="116" t="s">
        <v>347</v>
      </c>
      <c r="I85" s="154" t="s">
        <v>371</v>
      </c>
      <c r="J85" s="39" t="s">
        <v>688</v>
      </c>
      <c r="K85" s="53" t="s">
        <v>369</v>
      </c>
      <c r="L85" s="53" t="s">
        <v>685</v>
      </c>
      <c r="M85" s="53" t="s">
        <v>691</v>
      </c>
      <c r="N85" s="74">
        <v>2.435099763999188</v>
      </c>
      <c r="O85" s="245">
        <v>8.67</v>
      </c>
      <c r="P85" s="74">
        <v>7.8705299999999996</v>
      </c>
      <c r="Q85" s="245">
        <v>23.7</v>
      </c>
      <c r="R85" s="75">
        <v>1.35</v>
      </c>
      <c r="S85" s="246">
        <v>6359</v>
      </c>
      <c r="T85" s="246">
        <v>6876</v>
      </c>
      <c r="U85" s="246">
        <v>69175</v>
      </c>
      <c r="V85" s="246">
        <v>449</v>
      </c>
      <c r="W85" s="246">
        <v>3057</v>
      </c>
      <c r="X85" s="246">
        <v>18551</v>
      </c>
      <c r="Y85" s="246">
        <v>10479</v>
      </c>
      <c r="Z85" s="246">
        <v>2013.9</v>
      </c>
      <c r="AA85" s="245">
        <v>127.5</v>
      </c>
      <c r="AB85" s="245">
        <v>188.7</v>
      </c>
      <c r="AC85" s="245">
        <v>957.6</v>
      </c>
      <c r="AD85" s="246">
        <v>41970</v>
      </c>
      <c r="AE85" s="245">
        <v>24.777999999999999</v>
      </c>
      <c r="AF85" s="245">
        <v>57.71</v>
      </c>
      <c r="AG85" s="245">
        <v>58.8</v>
      </c>
      <c r="AH85" s="245">
        <v>218</v>
      </c>
      <c r="AI85" s="245">
        <v>16.02</v>
      </c>
      <c r="AJ85" s="245">
        <v>3694.8</v>
      </c>
      <c r="AK85" s="245">
        <v>0.74</v>
      </c>
      <c r="AL85" s="245">
        <v>70.53</v>
      </c>
      <c r="AM85" s="245">
        <v>118.29</v>
      </c>
      <c r="AN85" s="75">
        <v>15.84</v>
      </c>
      <c r="AO85" s="75">
        <v>95.27</v>
      </c>
      <c r="AP85" s="75">
        <v>9.8309999999999995</v>
      </c>
      <c r="AQ85" s="75">
        <v>5.43</v>
      </c>
      <c r="AR85" s="75">
        <v>1.042</v>
      </c>
      <c r="AS85" s="75">
        <v>2.1360000000000001</v>
      </c>
      <c r="AT85" s="75">
        <v>1.55</v>
      </c>
      <c r="AU85" s="75">
        <v>5.6769999999999996</v>
      </c>
      <c r="AV85" s="75">
        <v>4.2140000000000004</v>
      </c>
      <c r="AW85" s="245">
        <v>424.17</v>
      </c>
      <c r="AX85" s="245">
        <v>28.198</v>
      </c>
      <c r="AY85" s="245">
        <v>55.145000000000003</v>
      </c>
      <c r="AZ85" s="75">
        <v>6.085</v>
      </c>
      <c r="BA85" s="75">
        <v>23.34</v>
      </c>
      <c r="BB85" s="75">
        <v>4.2889999999999997</v>
      </c>
      <c r="BC85" s="75">
        <v>1.0609999999999999</v>
      </c>
      <c r="BD85" s="75">
        <v>3.4870000000000001</v>
      </c>
      <c r="BE85" s="75">
        <v>0.52800000000000002</v>
      </c>
      <c r="BF85" s="75">
        <v>2.766</v>
      </c>
      <c r="BG85" s="75">
        <v>0.59599999999999997</v>
      </c>
      <c r="BH85" s="75">
        <v>1.661</v>
      </c>
      <c r="BI85" s="75">
        <v>0.24199999999999999</v>
      </c>
      <c r="BJ85" s="75">
        <v>1.5169999999999999</v>
      </c>
      <c r="BK85" s="75">
        <v>0.23899999999999999</v>
      </c>
      <c r="BL85" s="75">
        <v>2.8010000000000002</v>
      </c>
      <c r="BM85" s="75">
        <v>0.57699999999999996</v>
      </c>
      <c r="BN85" s="75">
        <v>19.097999999999999</v>
      </c>
      <c r="BO85" s="75">
        <v>0.61899999999999999</v>
      </c>
      <c r="BP85" s="75">
        <v>204.5</v>
      </c>
      <c r="BQ85" s="75">
        <v>5.86</v>
      </c>
      <c r="BR85" s="75">
        <v>6.0430000000000001</v>
      </c>
      <c r="BS85" s="75">
        <v>2.6139999999999999</v>
      </c>
      <c r="BT85" s="62"/>
    </row>
    <row r="86" spans="1:72">
      <c r="A86" s="53" t="s">
        <v>253</v>
      </c>
      <c r="B86" s="39" t="s">
        <v>254</v>
      </c>
      <c r="C86" s="155" t="s">
        <v>341</v>
      </c>
      <c r="D86" s="53">
        <v>0.105494</v>
      </c>
      <c r="E86" s="53">
        <v>34.699541000000004</v>
      </c>
      <c r="F86" s="53" t="s">
        <v>359</v>
      </c>
      <c r="G86" s="53" t="s">
        <v>334</v>
      </c>
      <c r="H86" s="116" t="s">
        <v>347</v>
      </c>
      <c r="I86" s="154" t="s">
        <v>371</v>
      </c>
      <c r="J86" s="116" t="s">
        <v>687</v>
      </c>
      <c r="K86" s="53" t="s">
        <v>365</v>
      </c>
      <c r="L86" s="53" t="s">
        <v>685</v>
      </c>
      <c r="M86" s="53" t="s">
        <v>691</v>
      </c>
      <c r="N86" s="74">
        <v>2.6004487048743052</v>
      </c>
      <c r="O86" s="245">
        <v>7.79</v>
      </c>
      <c r="P86" s="74">
        <v>70.893924999999996</v>
      </c>
      <c r="Q86" s="245">
        <v>20.2</v>
      </c>
      <c r="R86" s="75">
        <v>1.28</v>
      </c>
      <c r="S86" s="246">
        <v>5839</v>
      </c>
      <c r="T86" s="246">
        <v>4743</v>
      </c>
      <c r="U86" s="246">
        <v>58365</v>
      </c>
      <c r="V86" s="246">
        <v>392</v>
      </c>
      <c r="W86" s="246">
        <v>6587</v>
      </c>
      <c r="X86" s="246">
        <v>14803</v>
      </c>
      <c r="Y86" s="246">
        <v>6706</v>
      </c>
      <c r="Z86" s="246">
        <v>1798.9</v>
      </c>
      <c r="AA86" s="245">
        <v>139</v>
      </c>
      <c r="AB86" s="245">
        <v>205.9</v>
      </c>
      <c r="AC86" s="245">
        <v>1577.2</v>
      </c>
      <c r="AD86" s="246">
        <v>47548</v>
      </c>
      <c r="AE86" s="245">
        <v>42.645000000000003</v>
      </c>
      <c r="AF86" s="245">
        <v>72.430000000000007</v>
      </c>
      <c r="AG86" s="245">
        <v>1186.21</v>
      </c>
      <c r="AH86" s="245">
        <v>513</v>
      </c>
      <c r="AI86" s="245">
        <v>13.01</v>
      </c>
      <c r="AJ86" s="245">
        <v>2492.6</v>
      </c>
      <c r="AK86" s="245">
        <v>1.31</v>
      </c>
      <c r="AL86" s="245">
        <v>58.07</v>
      </c>
      <c r="AM86" s="245">
        <v>81.17</v>
      </c>
      <c r="AN86" s="75">
        <v>17.402000000000001</v>
      </c>
      <c r="AO86" s="75">
        <v>91.84</v>
      </c>
      <c r="AP86" s="75">
        <v>12.72</v>
      </c>
      <c r="AQ86" s="75">
        <v>7.94</v>
      </c>
      <c r="AR86" s="75">
        <v>13.842000000000001</v>
      </c>
      <c r="AS86" s="75">
        <v>2.2000000000000002</v>
      </c>
      <c r="AT86" s="75">
        <v>2.1800000000000002</v>
      </c>
      <c r="AU86" s="75">
        <v>6.8419999999999996</v>
      </c>
      <c r="AV86" s="75">
        <v>3.5960000000000001</v>
      </c>
      <c r="AW86" s="245">
        <v>309.22000000000003</v>
      </c>
      <c r="AX86" s="245">
        <v>26.6</v>
      </c>
      <c r="AY86" s="245">
        <v>46.793999999999997</v>
      </c>
      <c r="AZ86" s="75">
        <v>5.694</v>
      </c>
      <c r="BA86" s="75">
        <v>21.51</v>
      </c>
      <c r="BB86" s="75">
        <v>4.1289999999999996</v>
      </c>
      <c r="BC86" s="75">
        <v>0.98599999999999999</v>
      </c>
      <c r="BD86" s="75">
        <v>3.536</v>
      </c>
      <c r="BE86" s="75">
        <v>0.55400000000000005</v>
      </c>
      <c r="BF86" s="75">
        <v>3.0590000000000002</v>
      </c>
      <c r="BG86" s="75">
        <v>0.64700000000000002</v>
      </c>
      <c r="BH86" s="75">
        <v>1.786</v>
      </c>
      <c r="BI86" s="75">
        <v>0.27100000000000002</v>
      </c>
      <c r="BJ86" s="75">
        <v>1.6950000000000001</v>
      </c>
      <c r="BK86" s="75">
        <v>0.26200000000000001</v>
      </c>
      <c r="BL86" s="75">
        <v>2.605</v>
      </c>
      <c r="BM86" s="75">
        <v>0.73099999999999998</v>
      </c>
      <c r="BN86" s="75">
        <v>11.614000000000001</v>
      </c>
      <c r="BO86" s="75">
        <v>0.52</v>
      </c>
      <c r="BP86" s="75">
        <v>262.10000000000002</v>
      </c>
      <c r="BQ86" s="75">
        <v>76.03</v>
      </c>
      <c r="BR86" s="75">
        <v>4.3600000000000003</v>
      </c>
      <c r="BS86" s="75">
        <v>1.734</v>
      </c>
      <c r="BT86" s="39"/>
    </row>
    <row r="87" spans="1:72">
      <c r="A87" s="53" t="s">
        <v>255</v>
      </c>
      <c r="B87" s="39" t="s">
        <v>256</v>
      </c>
      <c r="C87" s="155" t="s">
        <v>342</v>
      </c>
      <c r="D87" s="53">
        <v>0.10229199999999999</v>
      </c>
      <c r="E87" s="53">
        <v>34.713501999999998</v>
      </c>
      <c r="F87" s="53" t="s">
        <v>335</v>
      </c>
      <c r="G87" s="53" t="s">
        <v>334</v>
      </c>
      <c r="H87" s="116" t="s">
        <v>347</v>
      </c>
      <c r="I87" s="154" t="s">
        <v>371</v>
      </c>
      <c r="J87" s="116" t="s">
        <v>687</v>
      </c>
      <c r="K87" s="53" t="s">
        <v>365</v>
      </c>
      <c r="L87" s="53" t="s">
        <v>685</v>
      </c>
      <c r="M87" s="53" t="s">
        <v>691</v>
      </c>
      <c r="N87" s="74">
        <v>0.24499795835050109</v>
      </c>
      <c r="O87" s="245">
        <v>8.06</v>
      </c>
      <c r="P87" s="74">
        <v>0.89992500000000009</v>
      </c>
      <c r="Q87" s="245">
        <v>28.9</v>
      </c>
      <c r="R87" s="75">
        <v>0.92</v>
      </c>
      <c r="S87" s="246">
        <v>15876</v>
      </c>
      <c r="T87" s="246">
        <v>16662</v>
      </c>
      <c r="U87" s="246">
        <v>72887</v>
      </c>
      <c r="V87" s="246">
        <v>1285</v>
      </c>
      <c r="W87" s="246">
        <v>11624</v>
      </c>
      <c r="X87" s="246">
        <v>22953</v>
      </c>
      <c r="Y87" s="246">
        <v>43041</v>
      </c>
      <c r="Z87" s="246">
        <v>4176.3999999999996</v>
      </c>
      <c r="AA87" s="245">
        <v>88.7</v>
      </c>
      <c r="AB87" s="245">
        <v>137.4</v>
      </c>
      <c r="AC87" s="245">
        <v>1075.9000000000001</v>
      </c>
      <c r="AD87" s="246">
        <v>35756</v>
      </c>
      <c r="AE87" s="245">
        <v>23.131</v>
      </c>
      <c r="AF87" s="245">
        <v>76.260000000000005</v>
      </c>
      <c r="AG87" s="245">
        <v>14.65</v>
      </c>
      <c r="AH87" s="245">
        <v>76</v>
      </c>
      <c r="AI87" s="245">
        <v>14.57</v>
      </c>
      <c r="AJ87" s="245">
        <v>10005.1</v>
      </c>
      <c r="AK87" s="245">
        <v>0.24</v>
      </c>
      <c r="AL87" s="245">
        <v>64.61</v>
      </c>
      <c r="AM87" s="245">
        <v>388.92</v>
      </c>
      <c r="AN87" s="75">
        <v>10.273</v>
      </c>
      <c r="AO87" s="75">
        <v>43.66</v>
      </c>
      <c r="AP87" s="75">
        <v>4.6829999999999998</v>
      </c>
      <c r="AQ87" s="75">
        <v>0.78</v>
      </c>
      <c r="AR87" s="75">
        <v>1.367</v>
      </c>
      <c r="AS87" s="75">
        <v>0.32400000000000001</v>
      </c>
      <c r="AT87" s="75">
        <v>0.8</v>
      </c>
      <c r="AU87" s="75">
        <v>3.9380000000000002</v>
      </c>
      <c r="AV87" s="75">
        <v>2.7269999999999999</v>
      </c>
      <c r="AW87" s="245">
        <v>405.28</v>
      </c>
      <c r="AX87" s="245">
        <v>20.786999999999999</v>
      </c>
      <c r="AY87" s="245">
        <v>48.75</v>
      </c>
      <c r="AZ87" s="75">
        <v>6.7190000000000003</v>
      </c>
      <c r="BA87" s="75">
        <v>28.93</v>
      </c>
      <c r="BB87" s="75">
        <v>5.5179999999999998</v>
      </c>
      <c r="BC87" s="75">
        <v>1.5620000000000001</v>
      </c>
      <c r="BD87" s="75">
        <v>4.0739999999999998</v>
      </c>
      <c r="BE87" s="75">
        <v>0.50900000000000001</v>
      </c>
      <c r="BF87" s="75">
        <v>2.3620000000000001</v>
      </c>
      <c r="BG87" s="75">
        <v>0.40799999999999997</v>
      </c>
      <c r="BH87" s="75">
        <v>0.94699999999999995</v>
      </c>
      <c r="BI87" s="75">
        <v>0.12</v>
      </c>
      <c r="BJ87" s="75">
        <v>0.66100000000000003</v>
      </c>
      <c r="BK87" s="75">
        <v>9.2999999999999999E-2</v>
      </c>
      <c r="BL87" s="75">
        <v>1.2270000000000001</v>
      </c>
      <c r="BM87" s="75">
        <v>0.27800000000000002</v>
      </c>
      <c r="BN87" s="75">
        <v>2.4420000000000002</v>
      </c>
      <c r="BO87" s="75">
        <v>0.29899999999999999</v>
      </c>
      <c r="BP87" s="75">
        <v>24.2</v>
      </c>
      <c r="BQ87" s="75">
        <v>0.77</v>
      </c>
      <c r="BR87" s="75">
        <v>1.5409999999999999</v>
      </c>
      <c r="BS87" s="75">
        <v>0.36499999999999999</v>
      </c>
      <c r="BT87" s="39"/>
    </row>
    <row r="88" spans="1:72">
      <c r="A88" s="53" t="s">
        <v>257</v>
      </c>
      <c r="B88" s="39" t="s">
        <v>258</v>
      </c>
      <c r="C88" s="155" t="s">
        <v>342</v>
      </c>
      <c r="D88" s="53">
        <v>0.10229199999999999</v>
      </c>
      <c r="E88" s="53">
        <v>34.713501999999998</v>
      </c>
      <c r="F88" s="53" t="s">
        <v>335</v>
      </c>
      <c r="G88" s="53" t="s">
        <v>334</v>
      </c>
      <c r="H88" s="116" t="s">
        <v>347</v>
      </c>
      <c r="I88" s="154" t="s">
        <v>371</v>
      </c>
      <c r="J88" s="116" t="s">
        <v>687</v>
      </c>
      <c r="K88" s="53" t="s">
        <v>361</v>
      </c>
      <c r="L88" s="53" t="s">
        <v>685</v>
      </c>
      <c r="M88" s="53" t="s">
        <v>690</v>
      </c>
      <c r="N88" s="74">
        <v>2.8204253383376074</v>
      </c>
      <c r="O88" s="245">
        <v>7.59</v>
      </c>
      <c r="P88" s="74">
        <v>88.313275000000004</v>
      </c>
      <c r="Q88" s="245">
        <v>23.6</v>
      </c>
      <c r="R88" s="75">
        <v>1.58</v>
      </c>
      <c r="S88" s="246">
        <v>10850</v>
      </c>
      <c r="T88" s="246">
        <v>11713</v>
      </c>
      <c r="U88" s="246">
        <v>85795</v>
      </c>
      <c r="V88" s="246">
        <v>1124</v>
      </c>
      <c r="W88" s="246">
        <v>3930</v>
      </c>
      <c r="X88" s="246">
        <v>14737</v>
      </c>
      <c r="Y88" s="246">
        <v>25786</v>
      </c>
      <c r="Z88" s="246">
        <v>6825</v>
      </c>
      <c r="AA88" s="245">
        <v>105.3</v>
      </c>
      <c r="AB88" s="245">
        <v>128.30000000000001</v>
      </c>
      <c r="AC88" s="245">
        <v>1419</v>
      </c>
      <c r="AD88" s="246">
        <v>51534</v>
      </c>
      <c r="AE88" s="245">
        <v>31.355</v>
      </c>
      <c r="AF88" s="245">
        <v>81.83</v>
      </c>
      <c r="AG88" s="245">
        <v>27.76</v>
      </c>
      <c r="AH88" s="245">
        <v>174</v>
      </c>
      <c r="AI88" s="245">
        <v>18.47</v>
      </c>
      <c r="AJ88" s="245">
        <v>5348.2</v>
      </c>
      <c r="AK88" s="245">
        <v>0.25</v>
      </c>
      <c r="AL88" s="245">
        <v>53.81</v>
      </c>
      <c r="AM88" s="245">
        <v>303.77</v>
      </c>
      <c r="AN88" s="75">
        <v>18.87</v>
      </c>
      <c r="AO88" s="75">
        <v>79.78</v>
      </c>
      <c r="AP88" s="75">
        <v>17.091000000000001</v>
      </c>
      <c r="AQ88" s="75">
        <v>1.61</v>
      </c>
      <c r="AR88" s="75">
        <v>2.4689999999999999</v>
      </c>
      <c r="AS88" s="75">
        <v>0.90300000000000002</v>
      </c>
      <c r="AT88" s="75">
        <v>1.61</v>
      </c>
      <c r="AU88" s="75">
        <v>2.8260000000000001</v>
      </c>
      <c r="AV88" s="75">
        <v>2.379</v>
      </c>
      <c r="AW88" s="245">
        <v>458.34</v>
      </c>
      <c r="AX88" s="245">
        <v>34.393999999999998</v>
      </c>
      <c r="AY88" s="245">
        <v>87.837000000000003</v>
      </c>
      <c r="AZ88" s="75">
        <v>10.289</v>
      </c>
      <c r="BA88" s="75">
        <v>44.51</v>
      </c>
      <c r="BB88" s="75">
        <v>8.7859999999999996</v>
      </c>
      <c r="BC88" s="75">
        <v>2.3090000000000002</v>
      </c>
      <c r="BD88" s="75">
        <v>6.3209999999999997</v>
      </c>
      <c r="BE88" s="75">
        <v>0.83899999999999997</v>
      </c>
      <c r="BF88" s="75">
        <v>4.1420000000000003</v>
      </c>
      <c r="BG88" s="75">
        <v>0.73299999999999998</v>
      </c>
      <c r="BH88" s="75">
        <v>1.845</v>
      </c>
      <c r="BI88" s="75">
        <v>0.23599999999999999</v>
      </c>
      <c r="BJ88" s="75">
        <v>1.375</v>
      </c>
      <c r="BK88" s="75">
        <v>0.191</v>
      </c>
      <c r="BL88" s="75">
        <v>2.2170000000000001</v>
      </c>
      <c r="BM88" s="75">
        <v>1.0029999999999999</v>
      </c>
      <c r="BN88" s="75">
        <v>2.5830000000000002</v>
      </c>
      <c r="BO88" s="75">
        <v>0.32100000000000001</v>
      </c>
      <c r="BP88" s="75">
        <v>105.9</v>
      </c>
      <c r="BQ88" s="75">
        <v>1.18</v>
      </c>
      <c r="BR88" s="75">
        <v>3.53</v>
      </c>
      <c r="BS88" s="75">
        <v>1.1339999999999999</v>
      </c>
      <c r="BT88" s="39"/>
    </row>
    <row r="89" spans="1:72">
      <c r="A89" s="53" t="s">
        <v>259</v>
      </c>
      <c r="B89" s="39" t="s">
        <v>260</v>
      </c>
      <c r="C89" s="155" t="s">
        <v>342</v>
      </c>
      <c r="D89" s="53">
        <v>0.10333000000000001</v>
      </c>
      <c r="E89" s="53">
        <v>34.713628999999997</v>
      </c>
      <c r="F89" s="53" t="s">
        <v>335</v>
      </c>
      <c r="G89" s="53" t="s">
        <v>334</v>
      </c>
      <c r="H89" s="116" t="s">
        <v>347</v>
      </c>
      <c r="I89" s="154" t="s">
        <v>371</v>
      </c>
      <c r="J89" s="116" t="s">
        <v>687</v>
      </c>
      <c r="K89" s="53" t="s">
        <v>365</v>
      </c>
      <c r="L89" s="53" t="s">
        <v>685</v>
      </c>
      <c r="M89" s="53" t="s">
        <v>691</v>
      </c>
      <c r="N89" s="74">
        <v>0.38217747949301822</v>
      </c>
      <c r="O89" s="245">
        <v>7.92</v>
      </c>
      <c r="P89" s="74">
        <v>15.309225000000001</v>
      </c>
      <c r="Q89" s="245">
        <v>22.3</v>
      </c>
      <c r="R89" s="75">
        <v>0.74</v>
      </c>
      <c r="S89" s="246">
        <v>17692</v>
      </c>
      <c r="T89" s="246">
        <v>12109</v>
      </c>
      <c r="U89" s="246">
        <v>75922</v>
      </c>
      <c r="V89" s="246">
        <v>1183</v>
      </c>
      <c r="W89" s="246">
        <v>5592</v>
      </c>
      <c r="X89" s="246">
        <v>17246</v>
      </c>
      <c r="Y89" s="246">
        <v>40835</v>
      </c>
      <c r="Z89" s="246">
        <v>2818</v>
      </c>
      <c r="AA89" s="245">
        <v>62.3</v>
      </c>
      <c r="AB89" s="245">
        <v>73.599999999999994</v>
      </c>
      <c r="AC89" s="245">
        <v>784</v>
      </c>
      <c r="AD89" s="246">
        <v>29515</v>
      </c>
      <c r="AE89" s="245">
        <v>20.448</v>
      </c>
      <c r="AF89" s="245">
        <v>50.31</v>
      </c>
      <c r="AG89" s="245">
        <v>69.819999999999993</v>
      </c>
      <c r="AH89" s="245">
        <v>102</v>
      </c>
      <c r="AI89" s="245">
        <v>14.28</v>
      </c>
      <c r="AJ89" s="245">
        <v>7897.1</v>
      </c>
      <c r="AK89" s="245">
        <v>0.22</v>
      </c>
      <c r="AL89" s="245">
        <v>47.73</v>
      </c>
      <c r="AM89" s="245">
        <v>505.61</v>
      </c>
      <c r="AN89" s="75">
        <v>9.2590000000000003</v>
      </c>
      <c r="AO89" s="75">
        <v>70.16</v>
      </c>
      <c r="AP89" s="75">
        <v>5.6059999999999999</v>
      </c>
      <c r="AQ89" s="75">
        <v>0.85</v>
      </c>
      <c r="AR89" s="75">
        <v>2.0070000000000001</v>
      </c>
      <c r="AS89" s="75">
        <v>0.78400000000000003</v>
      </c>
      <c r="AT89" s="75">
        <v>0.75</v>
      </c>
      <c r="AU89" s="75">
        <v>3.09</v>
      </c>
      <c r="AV89" s="75">
        <v>2.544</v>
      </c>
      <c r="AW89" s="245">
        <v>348.4</v>
      </c>
      <c r="AX89" s="245">
        <v>26.658000000000001</v>
      </c>
      <c r="AY89" s="245">
        <v>67.111000000000004</v>
      </c>
      <c r="AZ89" s="75">
        <v>7.4859999999999998</v>
      </c>
      <c r="BA89" s="75">
        <v>30.42</v>
      </c>
      <c r="BB89" s="75">
        <v>5.2919999999999998</v>
      </c>
      <c r="BC89" s="75">
        <v>1.4019999999999999</v>
      </c>
      <c r="BD89" s="75">
        <v>3.5</v>
      </c>
      <c r="BE89" s="75">
        <v>0.443</v>
      </c>
      <c r="BF89" s="75">
        <v>1.9650000000000001</v>
      </c>
      <c r="BG89" s="75">
        <v>0.36599999999999999</v>
      </c>
      <c r="BH89" s="75">
        <v>0.86399999999999999</v>
      </c>
      <c r="BI89" s="75">
        <v>0.114</v>
      </c>
      <c r="BJ89" s="75">
        <v>0.66900000000000004</v>
      </c>
      <c r="BK89" s="75">
        <v>9.9000000000000005E-2</v>
      </c>
      <c r="BL89" s="75">
        <v>2.0259999999999998</v>
      </c>
      <c r="BM89" s="75">
        <v>0.34300000000000003</v>
      </c>
      <c r="BN89" s="75">
        <v>1.744</v>
      </c>
      <c r="BO89" s="75">
        <v>0.25800000000000001</v>
      </c>
      <c r="BP89" s="75">
        <v>68.900000000000006</v>
      </c>
      <c r="BQ89" s="75">
        <v>3.82</v>
      </c>
      <c r="BR89" s="75">
        <v>2.544</v>
      </c>
      <c r="BS89" s="75">
        <v>0.58399999999999996</v>
      </c>
      <c r="BT89" s="39"/>
    </row>
    <row r="90" spans="1:72">
      <c r="A90" s="53" t="s">
        <v>261</v>
      </c>
      <c r="B90" s="39" t="s">
        <v>262</v>
      </c>
      <c r="C90" s="155" t="s">
        <v>342</v>
      </c>
      <c r="D90" s="53">
        <v>0.10229199999999999</v>
      </c>
      <c r="E90" s="53">
        <v>34.713501999999998</v>
      </c>
      <c r="F90" s="53" t="s">
        <v>335</v>
      </c>
      <c r="G90" s="53" t="s">
        <v>334</v>
      </c>
      <c r="H90" s="116" t="s">
        <v>347</v>
      </c>
      <c r="I90" s="154" t="s">
        <v>371</v>
      </c>
      <c r="J90" s="116" t="s">
        <v>687</v>
      </c>
      <c r="K90" s="53" t="s">
        <v>364</v>
      </c>
      <c r="L90" s="53" t="s">
        <v>685</v>
      </c>
      <c r="M90" s="53" t="s">
        <v>690</v>
      </c>
      <c r="N90" s="74">
        <v>0.22869643034684281</v>
      </c>
      <c r="O90" s="245">
        <v>8.1</v>
      </c>
      <c r="P90" s="74">
        <v>8.342625</v>
      </c>
      <c r="Q90" s="245">
        <v>27.4</v>
      </c>
      <c r="R90" s="75">
        <v>0.81</v>
      </c>
      <c r="S90" s="246">
        <v>16111</v>
      </c>
      <c r="T90" s="246">
        <v>16848</v>
      </c>
      <c r="U90" s="246">
        <v>75290</v>
      </c>
      <c r="V90" s="246">
        <v>1217</v>
      </c>
      <c r="W90" s="246">
        <v>12454</v>
      </c>
      <c r="X90" s="246">
        <v>23421</v>
      </c>
      <c r="Y90" s="246">
        <v>43504</v>
      </c>
      <c r="Z90" s="246">
        <v>4113.8999999999996</v>
      </c>
      <c r="AA90" s="245">
        <v>85.6</v>
      </c>
      <c r="AB90" s="245">
        <v>167.4</v>
      </c>
      <c r="AC90" s="245">
        <v>1103</v>
      </c>
      <c r="AD90" s="246">
        <v>36194</v>
      </c>
      <c r="AE90" s="245">
        <v>23.082000000000001</v>
      </c>
      <c r="AF90" s="245">
        <v>78.48</v>
      </c>
      <c r="AG90" s="245">
        <v>14.84</v>
      </c>
      <c r="AH90" s="245">
        <v>84</v>
      </c>
      <c r="AI90" s="245">
        <v>14.8</v>
      </c>
      <c r="AJ90" s="245">
        <v>10325.700000000001</v>
      </c>
      <c r="AK90" s="245">
        <v>0.23</v>
      </c>
      <c r="AL90" s="245">
        <v>64.72</v>
      </c>
      <c r="AM90" s="245">
        <v>381.94</v>
      </c>
      <c r="AN90" s="75">
        <v>10.18</v>
      </c>
      <c r="AO90" s="75">
        <v>44.56</v>
      </c>
      <c r="AP90" s="75">
        <v>4.7069999999999999</v>
      </c>
      <c r="AQ90" s="75">
        <v>0.88</v>
      </c>
      <c r="AR90" s="75">
        <v>1.028</v>
      </c>
      <c r="AS90" s="75">
        <v>0.38100000000000001</v>
      </c>
      <c r="AT90" s="75">
        <v>0.76</v>
      </c>
      <c r="AU90" s="75">
        <v>4.13</v>
      </c>
      <c r="AV90" s="75">
        <v>2.6179999999999999</v>
      </c>
      <c r="AW90" s="245">
        <v>402.5</v>
      </c>
      <c r="AX90" s="245">
        <v>19.962</v>
      </c>
      <c r="AY90" s="245">
        <v>46.981999999999999</v>
      </c>
      <c r="AZ90" s="75">
        <v>6.4390000000000001</v>
      </c>
      <c r="BA90" s="75">
        <v>27.66</v>
      </c>
      <c r="BB90" s="75">
        <v>5.26</v>
      </c>
      <c r="BC90" s="75">
        <v>1.508</v>
      </c>
      <c r="BD90" s="75">
        <v>3.8079999999999998</v>
      </c>
      <c r="BE90" s="75">
        <v>0.497</v>
      </c>
      <c r="BF90" s="75">
        <v>2.2530000000000001</v>
      </c>
      <c r="BG90" s="75">
        <v>0.40500000000000003</v>
      </c>
      <c r="BH90" s="75">
        <v>0.95299999999999996</v>
      </c>
      <c r="BI90" s="75">
        <v>0.12</v>
      </c>
      <c r="BJ90" s="75">
        <v>0.67700000000000005</v>
      </c>
      <c r="BK90" s="75">
        <v>8.7999999999999995E-2</v>
      </c>
      <c r="BL90" s="75">
        <v>1.268</v>
      </c>
      <c r="BM90" s="75">
        <v>0.28599999999999998</v>
      </c>
      <c r="BN90" s="75">
        <v>2.56</v>
      </c>
      <c r="BO90" s="75">
        <v>0.30099999999999999</v>
      </c>
      <c r="BP90" s="75">
        <v>26.6</v>
      </c>
      <c r="BQ90" s="75">
        <v>0.87</v>
      </c>
      <c r="BR90" s="75">
        <v>1.524</v>
      </c>
      <c r="BS90" s="75">
        <v>0.35</v>
      </c>
      <c r="BT90" s="39"/>
    </row>
    <row r="91" spans="1:72">
      <c r="A91" s="53" t="s">
        <v>263</v>
      </c>
      <c r="B91" s="39" t="s">
        <v>264</v>
      </c>
      <c r="C91" s="155" t="s">
        <v>342</v>
      </c>
      <c r="D91" s="53">
        <v>0.1033</v>
      </c>
      <c r="E91" s="53">
        <v>34.713628999999997</v>
      </c>
      <c r="F91" s="53" t="s">
        <v>335</v>
      </c>
      <c r="G91" s="53" t="s">
        <v>334</v>
      </c>
      <c r="H91" s="116" t="s">
        <v>347</v>
      </c>
      <c r="I91" s="154" t="s">
        <v>371</v>
      </c>
      <c r="J91" s="116" t="s">
        <v>687</v>
      </c>
      <c r="K91" s="53" t="s">
        <v>366</v>
      </c>
      <c r="L91" s="53" t="s">
        <v>684</v>
      </c>
      <c r="M91" s="53" t="s">
        <v>683</v>
      </c>
      <c r="N91" s="74">
        <v>2.6256928911797122</v>
      </c>
      <c r="O91" s="245">
        <v>7.63</v>
      </c>
      <c r="P91" s="74">
        <v>5.6278050000000004</v>
      </c>
      <c r="Q91" s="245">
        <v>13.6</v>
      </c>
      <c r="R91" s="75">
        <v>1.54</v>
      </c>
      <c r="S91" s="246">
        <v>7254</v>
      </c>
      <c r="T91" s="246">
        <v>2663</v>
      </c>
      <c r="U91" s="246">
        <v>58819</v>
      </c>
      <c r="V91" s="246">
        <v>442</v>
      </c>
      <c r="W91" s="246">
        <v>774</v>
      </c>
      <c r="X91" s="246">
        <v>18051</v>
      </c>
      <c r="Y91" s="246">
        <v>8609</v>
      </c>
      <c r="Z91" s="246">
        <v>2581.3000000000002</v>
      </c>
      <c r="AA91" s="245">
        <v>72.3</v>
      </c>
      <c r="AB91" s="245">
        <v>99.7</v>
      </c>
      <c r="AC91" s="245">
        <v>2041.4</v>
      </c>
      <c r="AD91" s="246">
        <v>36564</v>
      </c>
      <c r="AE91" s="245">
        <v>23.783000000000001</v>
      </c>
      <c r="AF91" s="245">
        <v>33.380000000000003</v>
      </c>
      <c r="AG91" s="245">
        <v>24.15</v>
      </c>
      <c r="AH91" s="245">
        <v>73</v>
      </c>
      <c r="AI91" s="245">
        <v>12.9</v>
      </c>
      <c r="AJ91" s="245">
        <v>994</v>
      </c>
      <c r="AK91" s="245">
        <v>0.37</v>
      </c>
      <c r="AL91" s="245">
        <v>71.760000000000005</v>
      </c>
      <c r="AM91" s="245">
        <v>154.54</v>
      </c>
      <c r="AN91" s="75">
        <v>18.826000000000001</v>
      </c>
      <c r="AO91" s="75">
        <v>137.62</v>
      </c>
      <c r="AP91" s="75">
        <v>29.593</v>
      </c>
      <c r="AQ91" s="75">
        <v>2.75</v>
      </c>
      <c r="AR91" s="75">
        <v>0.43</v>
      </c>
      <c r="AS91" s="75">
        <v>0.26500000000000001</v>
      </c>
      <c r="AT91" s="75">
        <v>1.52</v>
      </c>
      <c r="AU91" s="75">
        <v>0.95399999999999996</v>
      </c>
      <c r="AV91" s="75">
        <v>2.3199999999999998</v>
      </c>
      <c r="AW91" s="245">
        <v>569.25</v>
      </c>
      <c r="AX91" s="245">
        <v>37.075000000000003</v>
      </c>
      <c r="AY91" s="245">
        <v>119.488</v>
      </c>
      <c r="AZ91" s="75">
        <v>7.6280000000000001</v>
      </c>
      <c r="BA91" s="75">
        <v>27.72</v>
      </c>
      <c r="BB91" s="75">
        <v>5.1230000000000002</v>
      </c>
      <c r="BC91" s="75">
        <v>1.01</v>
      </c>
      <c r="BD91" s="75">
        <v>3.964</v>
      </c>
      <c r="BE91" s="75">
        <v>0.65100000000000002</v>
      </c>
      <c r="BF91" s="75">
        <v>3.52</v>
      </c>
      <c r="BG91" s="75">
        <v>0.752</v>
      </c>
      <c r="BH91" s="75">
        <v>2.06</v>
      </c>
      <c r="BI91" s="75">
        <v>0.313</v>
      </c>
      <c r="BJ91" s="75">
        <v>1.954</v>
      </c>
      <c r="BK91" s="75">
        <v>0.28699999999999998</v>
      </c>
      <c r="BL91" s="75">
        <v>3.6379999999999999</v>
      </c>
      <c r="BM91" s="75">
        <v>1.64</v>
      </c>
      <c r="BN91" s="75">
        <v>2.827</v>
      </c>
      <c r="BO91" s="75">
        <v>0.52700000000000002</v>
      </c>
      <c r="BP91" s="75">
        <v>38</v>
      </c>
      <c r="BQ91" s="75">
        <v>1.33</v>
      </c>
      <c r="BR91" s="75">
        <v>6.4269999999999996</v>
      </c>
      <c r="BS91" s="75">
        <v>1.946</v>
      </c>
      <c r="BT91" s="39"/>
    </row>
    <row r="92" spans="1:72">
      <c r="A92" s="53" t="s">
        <v>265</v>
      </c>
      <c r="B92" s="39" t="s">
        <v>266</v>
      </c>
      <c r="C92" s="155" t="s">
        <v>342</v>
      </c>
      <c r="D92" s="53">
        <v>0.15733900000000001</v>
      </c>
      <c r="E92" s="53">
        <v>34.817802</v>
      </c>
      <c r="F92" s="53" t="s">
        <v>679</v>
      </c>
      <c r="G92" s="53" t="s">
        <v>334</v>
      </c>
      <c r="H92" s="116" t="s">
        <v>347</v>
      </c>
      <c r="I92" s="154" t="s">
        <v>371</v>
      </c>
      <c r="J92" s="116" t="s">
        <v>687</v>
      </c>
      <c r="K92" s="53" t="s">
        <v>364</v>
      </c>
      <c r="L92" s="53" t="s">
        <v>685</v>
      </c>
      <c r="M92" s="53" t="s">
        <v>690</v>
      </c>
      <c r="N92" s="74">
        <v>2.5038101458741182</v>
      </c>
      <c r="O92" s="245">
        <v>4.3600000000000003</v>
      </c>
      <c r="P92" s="74">
        <v>0.45077499999999998</v>
      </c>
      <c r="Q92" s="245">
        <v>26.1</v>
      </c>
      <c r="R92" s="75">
        <v>1.73</v>
      </c>
      <c r="S92" s="246">
        <v>7180</v>
      </c>
      <c r="T92" s="246">
        <v>1819</v>
      </c>
      <c r="U92" s="246">
        <v>79832</v>
      </c>
      <c r="V92" s="246">
        <v>277</v>
      </c>
      <c r="W92" s="246">
        <v>76</v>
      </c>
      <c r="X92" s="246">
        <v>4732</v>
      </c>
      <c r="Y92" s="246" t="s">
        <v>125</v>
      </c>
      <c r="Z92" s="246">
        <v>1241.2</v>
      </c>
      <c r="AA92" s="245">
        <v>44.7</v>
      </c>
      <c r="AB92" s="245">
        <v>123.9</v>
      </c>
      <c r="AC92" s="245">
        <v>338.9</v>
      </c>
      <c r="AD92" s="246">
        <v>28153</v>
      </c>
      <c r="AE92" s="245">
        <v>34.247</v>
      </c>
      <c r="AF92" s="245">
        <v>99.52</v>
      </c>
      <c r="AG92" s="245">
        <v>57.53</v>
      </c>
      <c r="AH92" s="245">
        <v>91</v>
      </c>
      <c r="AI92" s="245">
        <v>14.91</v>
      </c>
      <c r="AJ92" s="245">
        <v>632.29999999999995</v>
      </c>
      <c r="AK92" s="245">
        <v>0.32</v>
      </c>
      <c r="AL92" s="245">
        <v>23.65</v>
      </c>
      <c r="AM92" s="245">
        <v>24.77</v>
      </c>
      <c r="AN92" s="75">
        <v>25.672000000000001</v>
      </c>
      <c r="AO92" s="75">
        <v>80.92</v>
      </c>
      <c r="AP92" s="75">
        <v>3.831</v>
      </c>
      <c r="AQ92" s="75">
        <v>3.09</v>
      </c>
      <c r="AR92" s="75">
        <v>0.85299999999999998</v>
      </c>
      <c r="AS92" s="75">
        <v>0.29599999999999999</v>
      </c>
      <c r="AT92" s="75">
        <v>0.82</v>
      </c>
      <c r="AU92" s="75">
        <v>1.161</v>
      </c>
      <c r="AV92" s="75">
        <v>1.387</v>
      </c>
      <c r="AW92" s="245">
        <v>219.27</v>
      </c>
      <c r="AX92" s="245">
        <v>75.974999999999994</v>
      </c>
      <c r="AY92" s="245">
        <v>87.055000000000007</v>
      </c>
      <c r="AZ92" s="75">
        <v>13.621</v>
      </c>
      <c r="BA92" s="75">
        <v>47.6</v>
      </c>
      <c r="BB92" s="75">
        <v>7.6150000000000002</v>
      </c>
      <c r="BC92" s="75">
        <v>1.823</v>
      </c>
      <c r="BD92" s="75">
        <v>5.8970000000000002</v>
      </c>
      <c r="BE92" s="75">
        <v>0.83899999999999997</v>
      </c>
      <c r="BF92" s="75">
        <v>4.335</v>
      </c>
      <c r="BG92" s="75">
        <v>0.85699999999999998</v>
      </c>
      <c r="BH92" s="75">
        <v>2.3109999999999999</v>
      </c>
      <c r="BI92" s="75">
        <v>0.33200000000000002</v>
      </c>
      <c r="BJ92" s="75">
        <v>1.9630000000000001</v>
      </c>
      <c r="BK92" s="75">
        <v>0.28000000000000003</v>
      </c>
      <c r="BL92" s="75">
        <v>2.75</v>
      </c>
      <c r="BM92" s="75">
        <v>0.314</v>
      </c>
      <c r="BN92" s="75">
        <v>6.6740000000000004</v>
      </c>
      <c r="BO92" s="75">
        <v>0.221</v>
      </c>
      <c r="BP92" s="75">
        <v>36.6</v>
      </c>
      <c r="BQ92" s="75">
        <v>1.3</v>
      </c>
      <c r="BR92" s="75">
        <v>16.681999999999999</v>
      </c>
      <c r="BS92" s="75">
        <v>5.0460000000000003</v>
      </c>
      <c r="BT92" s="39"/>
    </row>
    <row r="93" spans="1:72">
      <c r="A93" s="53" t="s">
        <v>267</v>
      </c>
      <c r="B93" s="39" t="s">
        <v>268</v>
      </c>
      <c r="C93" s="155" t="s">
        <v>342</v>
      </c>
      <c r="D93" s="53">
        <v>0.15733900000000001</v>
      </c>
      <c r="E93" s="53">
        <v>34.817802</v>
      </c>
      <c r="F93" s="53" t="s">
        <v>360</v>
      </c>
      <c r="G93" s="53" t="s">
        <v>334</v>
      </c>
      <c r="H93" s="116" t="s">
        <v>347</v>
      </c>
      <c r="I93" s="154" t="s">
        <v>371</v>
      </c>
      <c r="J93" s="116" t="s">
        <v>687</v>
      </c>
      <c r="K93" s="53" t="s">
        <v>365</v>
      </c>
      <c r="L93" s="53" t="s">
        <v>685</v>
      </c>
      <c r="M93" s="53" t="s">
        <v>691</v>
      </c>
      <c r="N93" s="74">
        <v>0.36383092562859087</v>
      </c>
      <c r="O93" s="245">
        <v>6.56</v>
      </c>
      <c r="P93" s="74">
        <v>1.075005</v>
      </c>
      <c r="Q93" s="245">
        <v>5.0999999999999996</v>
      </c>
      <c r="R93" s="75">
        <v>0.28999999999999998</v>
      </c>
      <c r="S93" s="246">
        <v>706</v>
      </c>
      <c r="T93" s="246">
        <v>2033</v>
      </c>
      <c r="U93" s="246">
        <v>13705</v>
      </c>
      <c r="V93" s="246">
        <v>70</v>
      </c>
      <c r="W93" s="246">
        <v>45</v>
      </c>
      <c r="X93" s="246">
        <v>3447</v>
      </c>
      <c r="Y93" s="246" t="s">
        <v>125</v>
      </c>
      <c r="Z93" s="246">
        <v>414.3</v>
      </c>
      <c r="AA93" s="245">
        <v>23.2</v>
      </c>
      <c r="AB93" s="245">
        <v>245.1</v>
      </c>
      <c r="AC93" s="245">
        <v>102</v>
      </c>
      <c r="AD93" s="246">
        <v>8337</v>
      </c>
      <c r="AE93" s="245">
        <v>4.8520000000000003</v>
      </c>
      <c r="AF93" s="245">
        <v>13.43</v>
      </c>
      <c r="AG93" s="245">
        <v>15.07</v>
      </c>
      <c r="AH93" s="245">
        <v>28</v>
      </c>
      <c r="AI93" s="245">
        <v>3.77</v>
      </c>
      <c r="AJ93" s="245">
        <v>27.3</v>
      </c>
      <c r="AK93" s="245">
        <v>0.04</v>
      </c>
      <c r="AL93" s="245">
        <v>14.72</v>
      </c>
      <c r="AM93" s="245">
        <v>8.3699999999999992</v>
      </c>
      <c r="AN93" s="75">
        <v>2.2930000000000001</v>
      </c>
      <c r="AO93" s="75">
        <v>13.66</v>
      </c>
      <c r="AP93" s="75">
        <v>1.379</v>
      </c>
      <c r="AQ93" s="75">
        <v>0.87</v>
      </c>
      <c r="AR93" s="75">
        <v>0.42199999999999999</v>
      </c>
      <c r="AS93" s="75">
        <v>3.5000000000000003E-2</v>
      </c>
      <c r="AT93" s="75">
        <v>0.33</v>
      </c>
      <c r="AU93" s="75">
        <v>0.129</v>
      </c>
      <c r="AV93" s="75">
        <v>1.034</v>
      </c>
      <c r="AW93" s="245">
        <v>121.28</v>
      </c>
      <c r="AX93" s="245">
        <v>4.8860000000000001</v>
      </c>
      <c r="AY93" s="245">
        <v>9.641</v>
      </c>
      <c r="AZ93" s="75">
        <v>1.0209999999999999</v>
      </c>
      <c r="BA93" s="75">
        <v>3.91</v>
      </c>
      <c r="BB93" s="75">
        <v>0.69899999999999995</v>
      </c>
      <c r="BC93" s="75">
        <v>0.16400000000000001</v>
      </c>
      <c r="BD93" s="75">
        <v>0.55100000000000005</v>
      </c>
      <c r="BE93" s="75">
        <v>8.3000000000000004E-2</v>
      </c>
      <c r="BF93" s="75">
        <v>0.41099999999999998</v>
      </c>
      <c r="BG93" s="75">
        <v>8.8999999999999996E-2</v>
      </c>
      <c r="BH93" s="75">
        <v>0.25600000000000001</v>
      </c>
      <c r="BI93" s="75">
        <v>3.5999999999999997E-2</v>
      </c>
      <c r="BJ93" s="75">
        <v>0.22600000000000001</v>
      </c>
      <c r="BK93" s="75">
        <v>0.04</v>
      </c>
      <c r="BL93" s="75">
        <v>0.45700000000000002</v>
      </c>
      <c r="BM93" s="75">
        <v>7.8E-2</v>
      </c>
      <c r="BN93" s="75">
        <v>0.72699999999999998</v>
      </c>
      <c r="BO93" s="75">
        <v>0.13300000000000001</v>
      </c>
      <c r="BP93" s="75">
        <v>8.1999999999999993</v>
      </c>
      <c r="BQ93" s="75">
        <v>0.36</v>
      </c>
      <c r="BR93" s="75">
        <v>1.3640000000000001</v>
      </c>
      <c r="BS93" s="75">
        <v>0.55700000000000005</v>
      </c>
      <c r="BT93" s="39"/>
    </row>
    <row r="94" spans="1:72">
      <c r="A94" s="53" t="s">
        <v>269</v>
      </c>
      <c r="B94" s="39" t="s">
        <v>270</v>
      </c>
      <c r="C94" s="155" t="s">
        <v>342</v>
      </c>
      <c r="D94" s="53">
        <v>0.15733900000000001</v>
      </c>
      <c r="E94" s="53">
        <v>34.817802</v>
      </c>
      <c r="F94" s="53" t="s">
        <v>679</v>
      </c>
      <c r="G94" s="53" t="s">
        <v>334</v>
      </c>
      <c r="H94" s="116" t="s">
        <v>347</v>
      </c>
      <c r="I94" s="154" t="s">
        <v>371</v>
      </c>
      <c r="J94" s="116" t="s">
        <v>687</v>
      </c>
      <c r="K94" s="53" t="s">
        <v>361</v>
      </c>
      <c r="L94" s="53" t="s">
        <v>685</v>
      </c>
      <c r="M94" s="53" t="s">
        <v>690</v>
      </c>
      <c r="N94" s="74">
        <v>0.94098394190445822</v>
      </c>
      <c r="O94" s="245">
        <v>5.53</v>
      </c>
      <c r="P94" s="74">
        <v>3.6753849999999999</v>
      </c>
      <c r="Q94" s="245">
        <v>13.6</v>
      </c>
      <c r="R94" s="75">
        <v>0.46</v>
      </c>
      <c r="S94" s="246">
        <v>4189</v>
      </c>
      <c r="T94" s="246">
        <v>1681</v>
      </c>
      <c r="U94" s="246">
        <v>35661</v>
      </c>
      <c r="V94" s="246">
        <v>149</v>
      </c>
      <c r="W94" s="246">
        <v>724</v>
      </c>
      <c r="X94" s="246">
        <v>6966</v>
      </c>
      <c r="Y94" s="246">
        <v>1134</v>
      </c>
      <c r="Z94" s="246">
        <v>1001.2</v>
      </c>
      <c r="AA94" s="245">
        <v>34.5</v>
      </c>
      <c r="AB94" s="245">
        <v>133.69999999999999</v>
      </c>
      <c r="AC94" s="245">
        <v>242.4</v>
      </c>
      <c r="AD94" s="246">
        <v>17684</v>
      </c>
      <c r="AE94" s="245">
        <v>16.170999999999999</v>
      </c>
      <c r="AF94" s="245">
        <v>27.95</v>
      </c>
      <c r="AG94" s="245">
        <v>21.14</v>
      </c>
      <c r="AH94" s="245">
        <v>65</v>
      </c>
      <c r="AI94" s="245">
        <v>7.74</v>
      </c>
      <c r="AJ94" s="245">
        <v>507.7</v>
      </c>
      <c r="AK94" s="245">
        <v>0.27</v>
      </c>
      <c r="AL94" s="245">
        <v>31.54</v>
      </c>
      <c r="AM94" s="245">
        <v>28.97</v>
      </c>
      <c r="AN94" s="75">
        <v>8.3360000000000003</v>
      </c>
      <c r="AO94" s="75">
        <v>57.63</v>
      </c>
      <c r="AP94" s="75">
        <v>7.6420000000000003</v>
      </c>
      <c r="AQ94" s="75">
        <v>1.84</v>
      </c>
      <c r="AR94" s="75">
        <v>0.84799999999999998</v>
      </c>
      <c r="AS94" s="75">
        <v>0.185</v>
      </c>
      <c r="AT94" s="75">
        <v>0.79</v>
      </c>
      <c r="AU94" s="75">
        <v>1.091</v>
      </c>
      <c r="AV94" s="75">
        <v>1.4990000000000001</v>
      </c>
      <c r="AW94" s="245">
        <v>219.43</v>
      </c>
      <c r="AX94" s="245">
        <v>24.23</v>
      </c>
      <c r="AY94" s="245">
        <v>43.017000000000003</v>
      </c>
      <c r="AZ94" s="75">
        <v>4.6369999999999996</v>
      </c>
      <c r="BA94" s="75">
        <v>16.57</v>
      </c>
      <c r="BB94" s="75">
        <v>2.7229999999999999</v>
      </c>
      <c r="BC94" s="75">
        <v>0.59599999999999997</v>
      </c>
      <c r="BD94" s="75">
        <v>2.0179999999999998</v>
      </c>
      <c r="BE94" s="75">
        <v>0.29499999999999998</v>
      </c>
      <c r="BF94" s="75">
        <v>1.5640000000000001</v>
      </c>
      <c r="BG94" s="75">
        <v>0.316</v>
      </c>
      <c r="BH94" s="75">
        <v>0.90700000000000003</v>
      </c>
      <c r="BI94" s="75">
        <v>0.13500000000000001</v>
      </c>
      <c r="BJ94" s="75">
        <v>0.82399999999999995</v>
      </c>
      <c r="BK94" s="75">
        <v>0.122</v>
      </c>
      <c r="BL94" s="75">
        <v>1.806</v>
      </c>
      <c r="BM94" s="75">
        <v>0.47599999999999998</v>
      </c>
      <c r="BN94" s="75">
        <v>3.6880000000000002</v>
      </c>
      <c r="BO94" s="75">
        <v>0.25900000000000001</v>
      </c>
      <c r="BP94" s="75">
        <v>28.1</v>
      </c>
      <c r="BQ94" s="75">
        <v>1.4</v>
      </c>
      <c r="BR94" s="75">
        <v>7.2320000000000002</v>
      </c>
      <c r="BS94" s="75">
        <v>2.246</v>
      </c>
      <c r="BT94" s="39"/>
    </row>
    <row r="95" spans="1:72">
      <c r="A95" s="53" t="s">
        <v>271</v>
      </c>
      <c r="B95" s="39" t="s">
        <v>272</v>
      </c>
      <c r="C95" s="155" t="s">
        <v>342</v>
      </c>
      <c r="D95" s="53">
        <v>0.156809</v>
      </c>
      <c r="E95" s="53">
        <v>34.818221000000001</v>
      </c>
      <c r="F95" s="53" t="s">
        <v>679</v>
      </c>
      <c r="G95" s="53" t="s">
        <v>334</v>
      </c>
      <c r="H95" s="116" t="s">
        <v>347</v>
      </c>
      <c r="I95" s="154" t="s">
        <v>371</v>
      </c>
      <c r="J95" s="116" t="s">
        <v>687</v>
      </c>
      <c r="K95" s="53" t="s">
        <v>361</v>
      </c>
      <c r="L95" s="53" t="s">
        <v>685</v>
      </c>
      <c r="M95" s="53" t="s">
        <v>690</v>
      </c>
      <c r="N95" s="74">
        <v>3.6641384467473328</v>
      </c>
      <c r="O95" s="245">
        <v>4.13</v>
      </c>
      <c r="P95" s="74">
        <v>0.92200500000000007</v>
      </c>
      <c r="Q95" s="245">
        <v>19</v>
      </c>
      <c r="R95" s="75">
        <v>1.1100000000000001</v>
      </c>
      <c r="S95" s="246">
        <v>3102</v>
      </c>
      <c r="T95" s="246">
        <v>1769</v>
      </c>
      <c r="U95" s="246">
        <v>59037</v>
      </c>
      <c r="V95" s="246">
        <v>272</v>
      </c>
      <c r="W95" s="246">
        <v>359</v>
      </c>
      <c r="X95" s="246">
        <v>9936</v>
      </c>
      <c r="Y95" s="246">
        <v>932</v>
      </c>
      <c r="Z95" s="246">
        <v>2041.8</v>
      </c>
      <c r="AA95" s="245">
        <v>52.8</v>
      </c>
      <c r="AB95" s="245">
        <v>80.2</v>
      </c>
      <c r="AC95" s="245">
        <v>374.7</v>
      </c>
      <c r="AD95" s="246">
        <v>25222</v>
      </c>
      <c r="AE95" s="245">
        <v>13.41</v>
      </c>
      <c r="AF95" s="245">
        <v>24.18</v>
      </c>
      <c r="AG95" s="245">
        <v>20.239999999999998</v>
      </c>
      <c r="AH95" s="245">
        <v>41</v>
      </c>
      <c r="AI95" s="245">
        <v>13.57</v>
      </c>
      <c r="AJ95" s="245">
        <v>197.5</v>
      </c>
      <c r="AK95" s="245">
        <v>0.55000000000000004</v>
      </c>
      <c r="AL95" s="245">
        <v>54.14</v>
      </c>
      <c r="AM95" s="245">
        <v>28.87</v>
      </c>
      <c r="AN95" s="75">
        <v>9.8780000000000001</v>
      </c>
      <c r="AO95" s="75">
        <v>145.99</v>
      </c>
      <c r="AP95" s="75">
        <v>28.879000000000001</v>
      </c>
      <c r="AQ95" s="75">
        <v>2.62</v>
      </c>
      <c r="AR95" s="75">
        <v>0.80800000000000005</v>
      </c>
      <c r="AS95" s="75">
        <v>8.7999999999999995E-2</v>
      </c>
      <c r="AT95" s="75">
        <v>1.99</v>
      </c>
      <c r="AU95" s="75">
        <v>1.302</v>
      </c>
      <c r="AV95" s="75">
        <v>2.4580000000000002</v>
      </c>
      <c r="AW95" s="245">
        <v>295.37</v>
      </c>
      <c r="AX95" s="245">
        <v>26.274000000000001</v>
      </c>
      <c r="AY95" s="245">
        <v>80.394000000000005</v>
      </c>
      <c r="AZ95" s="75">
        <v>4.8090000000000002</v>
      </c>
      <c r="BA95" s="75">
        <v>16.63</v>
      </c>
      <c r="BB95" s="75">
        <v>2.9870000000000001</v>
      </c>
      <c r="BC95" s="75">
        <v>0.59899999999999998</v>
      </c>
      <c r="BD95" s="75">
        <v>2.2069999999999999</v>
      </c>
      <c r="BE95" s="75">
        <v>0.35599999999999998</v>
      </c>
      <c r="BF95" s="75">
        <v>1.9359999999999999</v>
      </c>
      <c r="BG95" s="75">
        <v>0.41099999999999998</v>
      </c>
      <c r="BH95" s="75">
        <v>1.157</v>
      </c>
      <c r="BI95" s="75">
        <v>0.183</v>
      </c>
      <c r="BJ95" s="75">
        <v>1.159</v>
      </c>
      <c r="BK95" s="75">
        <v>0.17699999999999999</v>
      </c>
      <c r="BL95" s="75">
        <v>4.2759999999999998</v>
      </c>
      <c r="BM95" s="75">
        <v>1.6879999999999999</v>
      </c>
      <c r="BN95" s="75">
        <v>3.24</v>
      </c>
      <c r="BO95" s="75">
        <v>0.42299999999999999</v>
      </c>
      <c r="BP95" s="75">
        <v>36.4</v>
      </c>
      <c r="BQ95" s="75">
        <v>1.92</v>
      </c>
      <c r="BR95" s="75">
        <v>13.189</v>
      </c>
      <c r="BS95" s="75">
        <v>3.1309999999999998</v>
      </c>
      <c r="BT95" s="39"/>
    </row>
    <row r="96" spans="1:72">
      <c r="A96" s="53" t="s">
        <v>273</v>
      </c>
      <c r="B96" s="39" t="s">
        <v>274</v>
      </c>
      <c r="C96" s="155" t="s">
        <v>342</v>
      </c>
      <c r="D96" s="53">
        <v>0.156809</v>
      </c>
      <c r="E96" s="53">
        <v>34.818221000000001</v>
      </c>
      <c r="F96" s="53" t="s">
        <v>679</v>
      </c>
      <c r="G96" s="53" t="s">
        <v>334</v>
      </c>
      <c r="H96" s="116" t="s">
        <v>347</v>
      </c>
      <c r="I96" s="154" t="s">
        <v>371</v>
      </c>
      <c r="J96" s="116" t="s">
        <v>687</v>
      </c>
      <c r="K96" s="53" t="s">
        <v>365</v>
      </c>
      <c r="L96" s="53" t="s">
        <v>685</v>
      </c>
      <c r="M96" s="53" t="s">
        <v>691</v>
      </c>
      <c r="N96" s="74">
        <v>0.34186535764389564</v>
      </c>
      <c r="O96" s="245">
        <v>6.63</v>
      </c>
      <c r="P96" s="74">
        <v>0.257525</v>
      </c>
      <c r="Q96" s="245">
        <v>12.7</v>
      </c>
      <c r="R96" s="75">
        <v>0.56999999999999995</v>
      </c>
      <c r="S96" s="246">
        <v>1914</v>
      </c>
      <c r="T96" s="246">
        <v>2805</v>
      </c>
      <c r="U96" s="246">
        <v>21359</v>
      </c>
      <c r="V96" s="246">
        <v>84</v>
      </c>
      <c r="W96" s="246">
        <v>4252</v>
      </c>
      <c r="X96" s="246">
        <v>9443</v>
      </c>
      <c r="Y96" s="246">
        <v>1724</v>
      </c>
      <c r="Z96" s="246">
        <v>635.20000000000005</v>
      </c>
      <c r="AA96" s="245">
        <v>24.7</v>
      </c>
      <c r="AB96" s="245">
        <v>170.1</v>
      </c>
      <c r="AC96" s="245">
        <v>102.6</v>
      </c>
      <c r="AD96" s="246">
        <v>11244</v>
      </c>
      <c r="AE96" s="245">
        <v>5.9960000000000004</v>
      </c>
      <c r="AF96" s="245">
        <v>17.170000000000002</v>
      </c>
      <c r="AG96" s="245">
        <v>13.39</v>
      </c>
      <c r="AH96" s="245">
        <v>35</v>
      </c>
      <c r="AI96" s="245">
        <v>5.27</v>
      </c>
      <c r="AJ96" s="245">
        <v>1283.7</v>
      </c>
      <c r="AK96" s="245">
        <v>0.24</v>
      </c>
      <c r="AL96" s="245">
        <v>36.72</v>
      </c>
      <c r="AM96" s="245">
        <v>25.42</v>
      </c>
      <c r="AN96" s="75">
        <v>3.661</v>
      </c>
      <c r="AO96" s="75">
        <v>25.34</v>
      </c>
      <c r="AP96" s="75">
        <v>1.3480000000000001</v>
      </c>
      <c r="AQ96" s="75">
        <v>0.87</v>
      </c>
      <c r="AR96" s="75">
        <v>0.82899999999999996</v>
      </c>
      <c r="AS96" s="75">
        <v>0.17199999999999999</v>
      </c>
      <c r="AT96" s="75">
        <v>0.46</v>
      </c>
      <c r="AU96" s="75">
        <v>2.0960000000000001</v>
      </c>
      <c r="AV96" s="75">
        <v>1.429</v>
      </c>
      <c r="AW96" s="245">
        <v>221.85</v>
      </c>
      <c r="AX96" s="245">
        <v>9.968</v>
      </c>
      <c r="AY96" s="245">
        <v>18.247</v>
      </c>
      <c r="AZ96" s="75">
        <v>1.9890000000000001</v>
      </c>
      <c r="BA96" s="75">
        <v>7.3</v>
      </c>
      <c r="BB96" s="75">
        <v>1.2609999999999999</v>
      </c>
      <c r="BC96" s="75">
        <v>0.28799999999999998</v>
      </c>
      <c r="BD96" s="75">
        <v>0.86799999999999999</v>
      </c>
      <c r="BE96" s="75">
        <v>0.126</v>
      </c>
      <c r="BF96" s="75">
        <v>0.68500000000000005</v>
      </c>
      <c r="BG96" s="75">
        <v>0.13300000000000001</v>
      </c>
      <c r="BH96" s="75">
        <v>0.38300000000000001</v>
      </c>
      <c r="BI96" s="75">
        <v>5.2999999999999999E-2</v>
      </c>
      <c r="BJ96" s="75">
        <v>0.374</v>
      </c>
      <c r="BK96" s="75">
        <v>5.8999999999999997E-2</v>
      </c>
      <c r="BL96" s="75">
        <v>0.80500000000000005</v>
      </c>
      <c r="BM96" s="75">
        <v>0.111</v>
      </c>
      <c r="BN96" s="75">
        <v>4.2050000000000001</v>
      </c>
      <c r="BO96" s="75">
        <v>0.25800000000000001</v>
      </c>
      <c r="BP96" s="75">
        <v>40.5</v>
      </c>
      <c r="BQ96" s="75">
        <v>1.4</v>
      </c>
      <c r="BR96" s="75">
        <v>3.4990000000000001</v>
      </c>
      <c r="BS96" s="75">
        <v>1.1020000000000001</v>
      </c>
      <c r="BT96" s="39"/>
    </row>
    <row r="97" spans="1:72">
      <c r="A97" s="53" t="s">
        <v>275</v>
      </c>
      <c r="B97" s="39" t="s">
        <v>276</v>
      </c>
      <c r="C97" s="155" t="s">
        <v>342</v>
      </c>
      <c r="D97" s="53">
        <v>0.156809</v>
      </c>
      <c r="E97" s="53">
        <v>34.818221000000001</v>
      </c>
      <c r="F97" s="53" t="s">
        <v>679</v>
      </c>
      <c r="G97" s="53" t="s">
        <v>334</v>
      </c>
      <c r="H97" s="116" t="s">
        <v>347</v>
      </c>
      <c r="I97" s="154" t="s">
        <v>371</v>
      </c>
      <c r="J97" s="116" t="s">
        <v>687</v>
      </c>
      <c r="K97" s="53" t="s">
        <v>364</v>
      </c>
      <c r="L97" s="53" t="s">
        <v>685</v>
      </c>
      <c r="M97" s="53" t="s">
        <v>690</v>
      </c>
      <c r="N97" s="74">
        <v>0.30465385019438396</v>
      </c>
      <c r="O97" s="245">
        <v>4.8600000000000003</v>
      </c>
      <c r="P97" s="74">
        <v>0.136435</v>
      </c>
      <c r="Q97" s="245">
        <v>6.3</v>
      </c>
      <c r="R97" s="75">
        <v>0.43</v>
      </c>
      <c r="S97" s="246">
        <v>142</v>
      </c>
      <c r="T97" s="246">
        <v>598</v>
      </c>
      <c r="U97" s="246">
        <v>16342</v>
      </c>
      <c r="V97" s="246">
        <v>71</v>
      </c>
      <c r="W97" s="246">
        <v>21</v>
      </c>
      <c r="X97" s="246">
        <v>4472</v>
      </c>
      <c r="Y97" s="246" t="s">
        <v>125</v>
      </c>
      <c r="Z97" s="246">
        <v>437.5</v>
      </c>
      <c r="AA97" s="245">
        <v>21.3</v>
      </c>
      <c r="AB97" s="245">
        <v>103.2</v>
      </c>
      <c r="AC97" s="245">
        <v>48.6</v>
      </c>
      <c r="AD97" s="246">
        <v>11850</v>
      </c>
      <c r="AE97" s="245">
        <v>1.78</v>
      </c>
      <c r="AF97" s="245">
        <v>5.39</v>
      </c>
      <c r="AG97" s="245">
        <v>5.66</v>
      </c>
      <c r="AH97" s="245">
        <v>29</v>
      </c>
      <c r="AI97" s="245">
        <v>4.47</v>
      </c>
      <c r="AJ97" s="245">
        <v>56.7</v>
      </c>
      <c r="AK97" s="245">
        <v>0.38</v>
      </c>
      <c r="AL97" s="245">
        <v>17.61</v>
      </c>
      <c r="AM97" s="245">
        <v>5.2</v>
      </c>
      <c r="AN97" s="75">
        <v>1.9079999999999999</v>
      </c>
      <c r="AO97" s="75">
        <v>34.479999999999997</v>
      </c>
      <c r="AP97" s="75">
        <v>4.202</v>
      </c>
      <c r="AQ97" s="75">
        <v>1.23</v>
      </c>
      <c r="AR97" s="75">
        <v>0.14299999999999999</v>
      </c>
      <c r="AS97" s="75">
        <v>1.2E-2</v>
      </c>
      <c r="AT97" s="75">
        <v>0.37</v>
      </c>
      <c r="AU97" s="75">
        <v>0.873</v>
      </c>
      <c r="AV97" s="75">
        <v>0.70399999999999996</v>
      </c>
      <c r="AW97" s="245">
        <v>151.16999999999999</v>
      </c>
      <c r="AX97" s="245">
        <v>4.617</v>
      </c>
      <c r="AY97" s="245">
        <v>17.919</v>
      </c>
      <c r="AZ97" s="75">
        <v>0.92200000000000004</v>
      </c>
      <c r="BA97" s="75">
        <v>3.31</v>
      </c>
      <c r="BB97" s="75">
        <v>0.622</v>
      </c>
      <c r="BC97" s="75">
        <v>0.13700000000000001</v>
      </c>
      <c r="BD97" s="75">
        <v>0.45800000000000002</v>
      </c>
      <c r="BE97" s="75">
        <v>7.8E-2</v>
      </c>
      <c r="BF97" s="75">
        <v>0.41799999999999998</v>
      </c>
      <c r="BG97" s="75">
        <v>8.7999999999999995E-2</v>
      </c>
      <c r="BH97" s="75">
        <v>0.24</v>
      </c>
      <c r="BI97" s="75">
        <v>3.9E-2</v>
      </c>
      <c r="BJ97" s="75">
        <v>0.27600000000000002</v>
      </c>
      <c r="BK97" s="75">
        <v>4.2000000000000003E-2</v>
      </c>
      <c r="BL97" s="75">
        <v>0.92900000000000005</v>
      </c>
      <c r="BM97" s="75">
        <v>0.23</v>
      </c>
      <c r="BN97" s="75">
        <v>1.1379999999999999</v>
      </c>
      <c r="BO97" s="75">
        <v>0.113</v>
      </c>
      <c r="BP97" s="75">
        <v>10.8</v>
      </c>
      <c r="BQ97" s="75">
        <v>1.89</v>
      </c>
      <c r="BR97" s="75">
        <v>3.0649999999999999</v>
      </c>
      <c r="BS97" s="75">
        <v>0.80800000000000005</v>
      </c>
      <c r="BT97" s="39"/>
    </row>
    <row r="98" spans="1:72">
      <c r="A98" s="53" t="s">
        <v>277</v>
      </c>
      <c r="B98" s="39" t="s">
        <v>278</v>
      </c>
      <c r="C98" s="155" t="s">
        <v>342</v>
      </c>
      <c r="D98" s="53">
        <v>0.156392</v>
      </c>
      <c r="E98" s="53">
        <v>34.817486000000002</v>
      </c>
      <c r="F98" s="53" t="s">
        <v>679</v>
      </c>
      <c r="G98" s="53" t="s">
        <v>334</v>
      </c>
      <c r="H98" s="116" t="s">
        <v>347</v>
      </c>
      <c r="I98" s="154" t="s">
        <v>371</v>
      </c>
      <c r="J98" s="116" t="s">
        <v>687</v>
      </c>
      <c r="K98" s="53" t="s">
        <v>367</v>
      </c>
      <c r="L98" s="53" t="s">
        <v>684</v>
      </c>
      <c r="M98" s="53" t="s">
        <v>683</v>
      </c>
      <c r="N98" s="74">
        <v>3.7173957691518664</v>
      </c>
      <c r="O98" s="245">
        <v>4.3</v>
      </c>
      <c r="P98" s="74">
        <v>0.22564500000000001</v>
      </c>
      <c r="Q98" s="245">
        <v>24.4</v>
      </c>
      <c r="R98" s="75">
        <v>0.84</v>
      </c>
      <c r="S98" s="246">
        <v>2350</v>
      </c>
      <c r="T98" s="246">
        <v>1140</v>
      </c>
      <c r="U98" s="246">
        <v>82531</v>
      </c>
      <c r="V98" s="246">
        <v>518</v>
      </c>
      <c r="W98" s="246">
        <v>181</v>
      </c>
      <c r="X98" s="246">
        <v>8912</v>
      </c>
      <c r="Y98" s="246">
        <v>1500</v>
      </c>
      <c r="Z98" s="246">
        <v>2880.9</v>
      </c>
      <c r="AA98" s="245">
        <v>89.8</v>
      </c>
      <c r="AB98" s="245">
        <v>115.1</v>
      </c>
      <c r="AC98" s="245">
        <v>1173.9000000000001</v>
      </c>
      <c r="AD98" s="246">
        <v>37218</v>
      </c>
      <c r="AE98" s="245">
        <v>25.055</v>
      </c>
      <c r="AF98" s="245">
        <v>36.33</v>
      </c>
      <c r="AG98" s="245">
        <v>25.01</v>
      </c>
      <c r="AH98" s="245">
        <v>59</v>
      </c>
      <c r="AI98" s="245">
        <v>18.93</v>
      </c>
      <c r="AJ98" s="245">
        <v>15.7</v>
      </c>
      <c r="AK98" s="245">
        <v>0.74</v>
      </c>
      <c r="AL98" s="245">
        <v>69.66</v>
      </c>
      <c r="AM98" s="245">
        <v>47.16</v>
      </c>
      <c r="AN98" s="75">
        <v>16.100000000000001</v>
      </c>
      <c r="AO98" s="75">
        <v>271.88</v>
      </c>
      <c r="AP98" s="75">
        <v>58.203000000000003</v>
      </c>
      <c r="AQ98" s="75">
        <v>3.18</v>
      </c>
      <c r="AR98" s="75">
        <v>0.10100000000000001</v>
      </c>
      <c r="AS98" s="75">
        <v>5.6000000000000001E-2</v>
      </c>
      <c r="AT98" s="75">
        <v>2.77</v>
      </c>
      <c r="AU98" s="75">
        <v>0.45900000000000002</v>
      </c>
      <c r="AV98" s="75">
        <v>3.0649999999999999</v>
      </c>
      <c r="AW98" s="245">
        <v>246.6</v>
      </c>
      <c r="AX98" s="245">
        <v>30.812000000000001</v>
      </c>
      <c r="AY98" s="245">
        <v>117.114</v>
      </c>
      <c r="AZ98" s="75">
        <v>6.3780000000000001</v>
      </c>
      <c r="BA98" s="75">
        <v>24.02</v>
      </c>
      <c r="BB98" s="75">
        <v>4.5270000000000001</v>
      </c>
      <c r="BC98" s="75">
        <v>0.85799999999999998</v>
      </c>
      <c r="BD98" s="75">
        <v>3.5590000000000002</v>
      </c>
      <c r="BE98" s="75">
        <v>0.57999999999999996</v>
      </c>
      <c r="BF98" s="75">
        <v>3.3420000000000001</v>
      </c>
      <c r="BG98" s="75">
        <v>0.68</v>
      </c>
      <c r="BH98" s="75">
        <v>1.9419999999999999</v>
      </c>
      <c r="BI98" s="75">
        <v>0.30199999999999999</v>
      </c>
      <c r="BJ98" s="75">
        <v>1.948</v>
      </c>
      <c r="BK98" s="75">
        <v>0.30099999999999999</v>
      </c>
      <c r="BL98" s="75">
        <v>7.0679999999999996</v>
      </c>
      <c r="BM98" s="75">
        <v>3.2730000000000001</v>
      </c>
      <c r="BN98" s="75">
        <v>1.7989999999999999</v>
      </c>
      <c r="BO98" s="75">
        <v>0.53600000000000003</v>
      </c>
      <c r="BP98" s="75">
        <v>24.4</v>
      </c>
      <c r="BQ98" s="75">
        <v>0.28999999999999998</v>
      </c>
      <c r="BR98" s="75">
        <v>13.194000000000001</v>
      </c>
      <c r="BS98" s="75">
        <v>3.2810000000000001</v>
      </c>
      <c r="BT98" s="39"/>
    </row>
    <row r="99" spans="1:72">
      <c r="A99" s="53" t="s">
        <v>279</v>
      </c>
      <c r="B99" s="39" t="s">
        <v>280</v>
      </c>
      <c r="C99" s="155" t="s">
        <v>342</v>
      </c>
      <c r="D99" s="53">
        <v>0.156392</v>
      </c>
      <c r="E99" s="53">
        <v>34.817486000000002</v>
      </c>
      <c r="F99" s="53" t="s">
        <v>679</v>
      </c>
      <c r="G99" s="53" t="s">
        <v>334</v>
      </c>
      <c r="H99" s="116" t="s">
        <v>347</v>
      </c>
      <c r="I99" s="154" t="s">
        <v>371</v>
      </c>
      <c r="J99" s="116" t="s">
        <v>687</v>
      </c>
      <c r="K99" s="53" t="s">
        <v>361</v>
      </c>
      <c r="L99" s="53" t="s">
        <v>685</v>
      </c>
      <c r="M99" s="53" t="s">
        <v>690</v>
      </c>
      <c r="N99" s="74">
        <v>1.350997995293248</v>
      </c>
      <c r="O99" s="245">
        <v>7.49</v>
      </c>
      <c r="P99" s="74">
        <v>4.1999950000000004</v>
      </c>
      <c r="Q99" s="245">
        <v>19.7</v>
      </c>
      <c r="R99" s="75">
        <v>0.92</v>
      </c>
      <c r="S99" s="246">
        <v>7783</v>
      </c>
      <c r="T99" s="246">
        <v>3398</v>
      </c>
      <c r="U99" s="246">
        <v>43282</v>
      </c>
      <c r="V99" s="246">
        <v>179</v>
      </c>
      <c r="W99" s="246">
        <v>4266</v>
      </c>
      <c r="X99" s="246">
        <v>14776</v>
      </c>
      <c r="Y99" s="246">
        <v>5324</v>
      </c>
      <c r="Z99" s="246">
        <v>1228.8</v>
      </c>
      <c r="AA99" s="245">
        <v>32.700000000000003</v>
      </c>
      <c r="AB99" s="245">
        <v>190.4</v>
      </c>
      <c r="AC99" s="245">
        <v>219.9</v>
      </c>
      <c r="AD99" s="246">
        <v>16395</v>
      </c>
      <c r="AE99" s="245">
        <v>7.8890000000000002</v>
      </c>
      <c r="AF99" s="245">
        <v>16.37</v>
      </c>
      <c r="AG99" s="245">
        <v>18.23</v>
      </c>
      <c r="AH99" s="245">
        <v>62</v>
      </c>
      <c r="AI99" s="245">
        <v>9.93</v>
      </c>
      <c r="AJ99" s="245">
        <v>1662.2</v>
      </c>
      <c r="AK99" s="245">
        <v>0.26</v>
      </c>
      <c r="AL99" s="245">
        <v>59.83</v>
      </c>
      <c r="AM99" s="245">
        <v>64.97</v>
      </c>
      <c r="AN99" s="75">
        <v>8.4169999999999998</v>
      </c>
      <c r="AO99" s="75">
        <v>73.849999999999994</v>
      </c>
      <c r="AP99" s="75">
        <v>8.9749999999999996</v>
      </c>
      <c r="AQ99" s="75">
        <v>1.98</v>
      </c>
      <c r="AR99" s="75">
        <v>1.3440000000000001</v>
      </c>
      <c r="AS99" s="75">
        <v>0.219</v>
      </c>
      <c r="AT99" s="75">
        <v>1.0900000000000001</v>
      </c>
      <c r="AU99" s="75">
        <v>2.6429999999999998</v>
      </c>
      <c r="AV99" s="75">
        <v>2.601</v>
      </c>
      <c r="AW99" s="245">
        <v>354.38</v>
      </c>
      <c r="AX99" s="245">
        <v>29.698</v>
      </c>
      <c r="AY99" s="245">
        <v>58.156999999999996</v>
      </c>
      <c r="AZ99" s="75">
        <v>5.6920000000000002</v>
      </c>
      <c r="BA99" s="75">
        <v>19.86</v>
      </c>
      <c r="BB99" s="75">
        <v>3.0720000000000001</v>
      </c>
      <c r="BC99" s="75">
        <v>0.621</v>
      </c>
      <c r="BD99" s="75">
        <v>2.1659999999999999</v>
      </c>
      <c r="BE99" s="75">
        <v>0.30599999999999999</v>
      </c>
      <c r="BF99" s="75">
        <v>1.6240000000000001</v>
      </c>
      <c r="BG99" s="75">
        <v>0.32700000000000001</v>
      </c>
      <c r="BH99" s="75">
        <v>0.88600000000000001</v>
      </c>
      <c r="BI99" s="75">
        <v>0.14000000000000001</v>
      </c>
      <c r="BJ99" s="75">
        <v>0.877</v>
      </c>
      <c r="BK99" s="75">
        <v>0.13700000000000001</v>
      </c>
      <c r="BL99" s="75">
        <v>2.3029999999999999</v>
      </c>
      <c r="BM99" s="75">
        <v>0.58099999999999996</v>
      </c>
      <c r="BN99" s="75">
        <v>5.1379999999999999</v>
      </c>
      <c r="BO99" s="75">
        <v>0.39700000000000002</v>
      </c>
      <c r="BP99" s="75">
        <v>63.9</v>
      </c>
      <c r="BQ99" s="75">
        <v>1.28</v>
      </c>
      <c r="BR99" s="75">
        <v>10.42</v>
      </c>
      <c r="BS99" s="75">
        <v>2.77</v>
      </c>
      <c r="BT99" s="39"/>
    </row>
    <row r="100" spans="1:72">
      <c r="A100" s="53" t="s">
        <v>281</v>
      </c>
      <c r="B100" s="39" t="s">
        <v>282</v>
      </c>
      <c r="C100" s="155" t="s">
        <v>342</v>
      </c>
      <c r="D100" s="53">
        <v>0.156392</v>
      </c>
      <c r="E100" s="53">
        <v>34.817486000000002</v>
      </c>
      <c r="F100" s="53" t="s">
        <v>679</v>
      </c>
      <c r="G100" s="53" t="s">
        <v>334</v>
      </c>
      <c r="H100" s="116" t="s">
        <v>347</v>
      </c>
      <c r="I100" s="154" t="s">
        <v>371</v>
      </c>
      <c r="J100" s="116" t="s">
        <v>687</v>
      </c>
      <c r="K100" s="53" t="s">
        <v>365</v>
      </c>
      <c r="L100" s="53" t="s">
        <v>685</v>
      </c>
      <c r="M100" s="53" t="s">
        <v>691</v>
      </c>
      <c r="N100" s="74">
        <v>0.38260169150239587</v>
      </c>
      <c r="O100" s="245">
        <v>7.62</v>
      </c>
      <c r="P100" s="74">
        <v>3.6206849999999999</v>
      </c>
      <c r="Q100" s="245">
        <v>13.9</v>
      </c>
      <c r="R100" s="75">
        <v>0.55000000000000004</v>
      </c>
      <c r="S100" s="246">
        <v>9175</v>
      </c>
      <c r="T100" s="246">
        <v>2911</v>
      </c>
      <c r="U100" s="246">
        <v>30295</v>
      </c>
      <c r="V100" s="246">
        <v>114</v>
      </c>
      <c r="W100" s="246">
        <v>1509</v>
      </c>
      <c r="X100" s="246">
        <v>10001</v>
      </c>
      <c r="Y100" s="246">
        <v>3367</v>
      </c>
      <c r="Z100" s="246">
        <v>730.5</v>
      </c>
      <c r="AA100" s="245">
        <v>17.3</v>
      </c>
      <c r="AB100" s="245">
        <v>75.7</v>
      </c>
      <c r="AC100" s="245">
        <v>110.1</v>
      </c>
      <c r="AD100" s="246">
        <v>7469</v>
      </c>
      <c r="AE100" s="245">
        <v>2.9119999999999999</v>
      </c>
      <c r="AF100" s="245">
        <v>7.12</v>
      </c>
      <c r="AG100" s="245">
        <v>9.07</v>
      </c>
      <c r="AH100" s="245">
        <v>30</v>
      </c>
      <c r="AI100" s="245">
        <v>5.85</v>
      </c>
      <c r="AJ100" s="245">
        <v>531.9</v>
      </c>
      <c r="AK100" s="245">
        <v>0.09</v>
      </c>
      <c r="AL100" s="245">
        <v>40.090000000000003</v>
      </c>
      <c r="AM100" s="245">
        <v>68.599999999999994</v>
      </c>
      <c r="AN100" s="75">
        <v>5.2009999999999996</v>
      </c>
      <c r="AO100" s="75">
        <v>33.78</v>
      </c>
      <c r="AP100" s="75">
        <v>2.0409999999999999</v>
      </c>
      <c r="AQ100" s="75">
        <v>1.1399999999999999</v>
      </c>
      <c r="AR100" s="75">
        <v>1.3520000000000001</v>
      </c>
      <c r="AS100" s="75">
        <v>0.14199999999999999</v>
      </c>
      <c r="AT100" s="75">
        <v>0.56999999999999995</v>
      </c>
      <c r="AU100" s="75">
        <v>1.3180000000000001</v>
      </c>
      <c r="AV100" s="75">
        <v>1.724</v>
      </c>
      <c r="AW100" s="245">
        <v>263.42</v>
      </c>
      <c r="AX100" s="245">
        <v>21.346</v>
      </c>
      <c r="AY100" s="245">
        <v>38.478000000000002</v>
      </c>
      <c r="AZ100" s="75">
        <v>4.07</v>
      </c>
      <c r="BA100" s="75">
        <v>13.83</v>
      </c>
      <c r="BB100" s="75">
        <v>2.0870000000000002</v>
      </c>
      <c r="BC100" s="75">
        <v>0.45800000000000002</v>
      </c>
      <c r="BD100" s="75">
        <v>1.4650000000000001</v>
      </c>
      <c r="BE100" s="75">
        <v>0.193</v>
      </c>
      <c r="BF100" s="75">
        <v>1.032</v>
      </c>
      <c r="BG100" s="75">
        <v>0.2</v>
      </c>
      <c r="BH100" s="75">
        <v>0.56299999999999994</v>
      </c>
      <c r="BI100" s="75">
        <v>8.6999999999999994E-2</v>
      </c>
      <c r="BJ100" s="75">
        <v>0.53700000000000003</v>
      </c>
      <c r="BK100" s="75">
        <v>0.08</v>
      </c>
      <c r="BL100" s="75">
        <v>1.157</v>
      </c>
      <c r="BM100" s="75">
        <v>0.17</v>
      </c>
      <c r="BN100" s="75">
        <v>2.9369999999999998</v>
      </c>
      <c r="BO100" s="75">
        <v>0.28000000000000003</v>
      </c>
      <c r="BP100" s="75">
        <v>29.6</v>
      </c>
      <c r="BQ100" s="75">
        <v>0.7</v>
      </c>
      <c r="BR100" s="75">
        <v>8.0939999999999994</v>
      </c>
      <c r="BS100" s="75">
        <v>1.8959999999999999</v>
      </c>
      <c r="BT100" s="39"/>
    </row>
    <row r="101" spans="1:72">
      <c r="A101" s="53" t="s">
        <v>283</v>
      </c>
      <c r="B101" s="39" t="s">
        <v>284</v>
      </c>
      <c r="C101" s="155" t="s">
        <v>342</v>
      </c>
      <c r="D101" s="53">
        <v>0.156392</v>
      </c>
      <c r="E101" s="53">
        <v>34.817486000000002</v>
      </c>
      <c r="F101" s="53" t="s">
        <v>679</v>
      </c>
      <c r="G101" s="53" t="s">
        <v>334</v>
      </c>
      <c r="H101" s="116" t="s">
        <v>347</v>
      </c>
      <c r="I101" s="154" t="s">
        <v>371</v>
      </c>
      <c r="J101" s="116" t="s">
        <v>687</v>
      </c>
      <c r="K101" s="53" t="s">
        <v>364</v>
      </c>
      <c r="L101" s="53" t="s">
        <v>685</v>
      </c>
      <c r="M101" s="53" t="s">
        <v>690</v>
      </c>
      <c r="N101" s="74">
        <v>2.881230313137126</v>
      </c>
      <c r="O101" s="245">
        <v>7.83</v>
      </c>
      <c r="P101" s="74">
        <v>0.20890500000000001</v>
      </c>
      <c r="Q101" s="245">
        <v>17.600000000000001</v>
      </c>
      <c r="R101" s="75">
        <v>1.05</v>
      </c>
      <c r="S101" s="246">
        <v>9212</v>
      </c>
      <c r="T101" s="246">
        <v>3706</v>
      </c>
      <c r="U101" s="246">
        <v>39714</v>
      </c>
      <c r="V101" s="246">
        <v>148</v>
      </c>
      <c r="W101" s="246">
        <v>3790</v>
      </c>
      <c r="X101" s="246">
        <v>15157</v>
      </c>
      <c r="Y101" s="246">
        <v>5065</v>
      </c>
      <c r="Z101" s="246">
        <v>1001.3</v>
      </c>
      <c r="AA101" s="245">
        <v>25.5</v>
      </c>
      <c r="AB101" s="245">
        <v>208</v>
      </c>
      <c r="AC101" s="245">
        <v>150.5</v>
      </c>
      <c r="AD101" s="246">
        <v>12329</v>
      </c>
      <c r="AE101" s="245">
        <v>5.9669999999999996</v>
      </c>
      <c r="AF101" s="245">
        <v>12.19</v>
      </c>
      <c r="AG101" s="245">
        <v>16.28</v>
      </c>
      <c r="AH101" s="245">
        <v>74</v>
      </c>
      <c r="AI101" s="245">
        <v>8.69</v>
      </c>
      <c r="AJ101" s="245">
        <v>1360.6</v>
      </c>
      <c r="AK101" s="245">
        <v>0.19</v>
      </c>
      <c r="AL101" s="245">
        <v>57.73</v>
      </c>
      <c r="AM101" s="245">
        <v>71.02</v>
      </c>
      <c r="AN101" s="75">
        <v>6.9379999999999997</v>
      </c>
      <c r="AO101" s="75">
        <v>47.13</v>
      </c>
      <c r="AP101" s="75">
        <v>2.6059999999999999</v>
      </c>
      <c r="AQ101" s="75">
        <v>1.87</v>
      </c>
      <c r="AR101" s="75">
        <v>1.26</v>
      </c>
      <c r="AS101" s="75">
        <v>0.25</v>
      </c>
      <c r="AT101" s="75">
        <v>0.82</v>
      </c>
      <c r="AU101" s="75">
        <v>2.347</v>
      </c>
      <c r="AV101" s="75">
        <v>2.379</v>
      </c>
      <c r="AW101" s="245">
        <v>362.64</v>
      </c>
      <c r="AX101" s="245">
        <v>26.2</v>
      </c>
      <c r="AY101" s="245">
        <v>47.405000000000001</v>
      </c>
      <c r="AZ101" s="75">
        <v>5.077</v>
      </c>
      <c r="BA101" s="75">
        <v>17.29</v>
      </c>
      <c r="BB101" s="75">
        <v>2.629</v>
      </c>
      <c r="BC101" s="75">
        <v>0.56899999999999995</v>
      </c>
      <c r="BD101" s="75">
        <v>1.8129999999999999</v>
      </c>
      <c r="BE101" s="75">
        <v>0.25900000000000001</v>
      </c>
      <c r="BF101" s="75">
        <v>1.319</v>
      </c>
      <c r="BG101" s="75">
        <v>0.25900000000000001</v>
      </c>
      <c r="BH101" s="75">
        <v>0.69899999999999995</v>
      </c>
      <c r="BI101" s="75">
        <v>0.11700000000000001</v>
      </c>
      <c r="BJ101" s="75">
        <v>0.70899999999999996</v>
      </c>
      <c r="BK101" s="75">
        <v>0.106</v>
      </c>
      <c r="BL101" s="75">
        <v>1.623</v>
      </c>
      <c r="BM101" s="75">
        <v>0.20699999999999999</v>
      </c>
      <c r="BN101" s="75">
        <v>5.117</v>
      </c>
      <c r="BO101" s="75">
        <v>0.38600000000000001</v>
      </c>
      <c r="BP101" s="75">
        <v>45</v>
      </c>
      <c r="BQ101" s="75">
        <v>1.26</v>
      </c>
      <c r="BR101" s="75">
        <v>9.7010000000000005</v>
      </c>
      <c r="BS101" s="75">
        <v>2.5670000000000002</v>
      </c>
      <c r="BT101" s="39"/>
    </row>
    <row r="102" spans="1:72" s="51" customFormat="1">
      <c r="A102" s="53" t="s">
        <v>285</v>
      </c>
      <c r="B102" s="39" t="s">
        <v>286</v>
      </c>
      <c r="C102" s="155" t="s">
        <v>342</v>
      </c>
      <c r="D102" s="53">
        <v>0.156392</v>
      </c>
      <c r="E102" s="53">
        <v>34.817486000000002</v>
      </c>
      <c r="F102" s="53" t="s">
        <v>679</v>
      </c>
      <c r="G102" s="53" t="s">
        <v>334</v>
      </c>
      <c r="H102" s="116" t="s">
        <v>347</v>
      </c>
      <c r="I102" s="154" t="s">
        <v>371</v>
      </c>
      <c r="J102" s="116" t="s">
        <v>687</v>
      </c>
      <c r="K102" s="53" t="s">
        <v>366</v>
      </c>
      <c r="L102" s="53" t="s">
        <v>684</v>
      </c>
      <c r="M102" s="53" t="s">
        <v>683</v>
      </c>
      <c r="N102" s="74">
        <v>3.9717473641107963</v>
      </c>
      <c r="O102" s="245">
        <v>6.47</v>
      </c>
      <c r="P102" s="74">
        <v>0.78137500000000004</v>
      </c>
      <c r="Q102" s="245">
        <v>28.5</v>
      </c>
      <c r="R102" s="75">
        <v>1.18</v>
      </c>
      <c r="S102" s="246">
        <v>3289</v>
      </c>
      <c r="T102" s="246">
        <v>969</v>
      </c>
      <c r="U102" s="246">
        <v>64155</v>
      </c>
      <c r="V102" s="246">
        <v>418</v>
      </c>
      <c r="W102" s="246">
        <v>318</v>
      </c>
      <c r="X102" s="246">
        <v>8441</v>
      </c>
      <c r="Y102" s="246">
        <v>2299</v>
      </c>
      <c r="Z102" s="246">
        <v>2099.5</v>
      </c>
      <c r="AA102" s="245">
        <v>79.900000000000006</v>
      </c>
      <c r="AB102" s="245">
        <v>128.5</v>
      </c>
      <c r="AC102" s="245">
        <v>732.2</v>
      </c>
      <c r="AD102" s="246">
        <v>31369</v>
      </c>
      <c r="AE102" s="245">
        <v>25.388999999999999</v>
      </c>
      <c r="AF102" s="245">
        <v>30.54</v>
      </c>
      <c r="AG102" s="245">
        <v>22.04</v>
      </c>
      <c r="AH102" s="245">
        <v>92</v>
      </c>
      <c r="AI102" s="245">
        <v>14.73</v>
      </c>
      <c r="AJ102" s="245">
        <v>34.4</v>
      </c>
      <c r="AK102" s="245">
        <v>0.66</v>
      </c>
      <c r="AL102" s="245">
        <v>54.57</v>
      </c>
      <c r="AM102" s="245">
        <v>61.89</v>
      </c>
      <c r="AN102" s="75">
        <v>11.654999999999999</v>
      </c>
      <c r="AO102" s="75">
        <v>161.72</v>
      </c>
      <c r="AP102" s="75">
        <v>32.249000000000002</v>
      </c>
      <c r="AQ102" s="75">
        <v>2.5499999999999998</v>
      </c>
      <c r="AR102" s="75">
        <v>0.36199999999999999</v>
      </c>
      <c r="AS102" s="75">
        <v>9.0999999999999998E-2</v>
      </c>
      <c r="AT102" s="75">
        <v>1.96</v>
      </c>
      <c r="AU102" s="75">
        <v>0.40200000000000002</v>
      </c>
      <c r="AV102" s="75">
        <v>2.2770000000000001</v>
      </c>
      <c r="AW102" s="245">
        <v>218.84</v>
      </c>
      <c r="AX102" s="245">
        <v>22.423999999999999</v>
      </c>
      <c r="AY102" s="245">
        <v>78.042000000000002</v>
      </c>
      <c r="AZ102" s="75">
        <v>4.7220000000000004</v>
      </c>
      <c r="BA102" s="75">
        <v>17.62</v>
      </c>
      <c r="BB102" s="75">
        <v>3.1509999999999998</v>
      </c>
      <c r="BC102" s="75">
        <v>0.69099999999999995</v>
      </c>
      <c r="BD102" s="75">
        <v>2.5750000000000002</v>
      </c>
      <c r="BE102" s="75">
        <v>0.40899999999999997</v>
      </c>
      <c r="BF102" s="75">
        <v>2.2599999999999998</v>
      </c>
      <c r="BG102" s="75">
        <v>0.49199999999999999</v>
      </c>
      <c r="BH102" s="75">
        <v>1.3859999999999999</v>
      </c>
      <c r="BI102" s="75">
        <v>0.21199999999999999</v>
      </c>
      <c r="BJ102" s="75">
        <v>1.3919999999999999</v>
      </c>
      <c r="BK102" s="75">
        <v>0.216</v>
      </c>
      <c r="BL102" s="75">
        <v>4.57</v>
      </c>
      <c r="BM102" s="75">
        <v>1.833</v>
      </c>
      <c r="BN102" s="75">
        <v>1.2330000000000001</v>
      </c>
      <c r="BO102" s="75">
        <v>0.41799999999999998</v>
      </c>
      <c r="BP102" s="75">
        <v>25</v>
      </c>
      <c r="BQ102" s="75">
        <v>0.47</v>
      </c>
      <c r="BR102" s="75">
        <v>9.548</v>
      </c>
      <c r="BS102" s="75">
        <v>2.7050000000000001</v>
      </c>
      <c r="BT102" s="249"/>
    </row>
    <row r="103" spans="1:72">
      <c r="A103" s="41" t="s">
        <v>287</v>
      </c>
      <c r="B103" s="154" t="s">
        <v>98</v>
      </c>
      <c r="C103" s="155" t="s">
        <v>339</v>
      </c>
      <c r="D103" s="53">
        <v>0.258245</v>
      </c>
      <c r="E103" s="53">
        <v>34.717754999999997</v>
      </c>
      <c r="F103" s="53" t="s">
        <v>332</v>
      </c>
      <c r="G103" s="53" t="s">
        <v>330</v>
      </c>
      <c r="H103" s="116" t="s">
        <v>347</v>
      </c>
      <c r="I103" s="154" t="s">
        <v>371</v>
      </c>
      <c r="J103" s="116" t="s">
        <v>687</v>
      </c>
      <c r="K103" s="41" t="s">
        <v>366</v>
      </c>
      <c r="L103" s="53" t="s">
        <v>684</v>
      </c>
      <c r="M103" s="53" t="s">
        <v>683</v>
      </c>
      <c r="N103" s="74" t="s">
        <v>288</v>
      </c>
      <c r="O103" s="247" t="s">
        <v>288</v>
      </c>
      <c r="P103" s="74" t="s">
        <v>288</v>
      </c>
      <c r="Q103" s="245">
        <v>17.899999999999999</v>
      </c>
      <c r="R103" s="75">
        <v>3.29</v>
      </c>
      <c r="S103" s="246">
        <v>1517</v>
      </c>
      <c r="T103" s="246">
        <v>4940</v>
      </c>
      <c r="U103" s="246">
        <v>95423</v>
      </c>
      <c r="V103" s="246">
        <v>780</v>
      </c>
      <c r="W103" s="246">
        <v>221</v>
      </c>
      <c r="X103" s="246">
        <v>14194</v>
      </c>
      <c r="Y103" s="246">
        <v>3547</v>
      </c>
      <c r="Z103" s="246">
        <v>5973.6</v>
      </c>
      <c r="AA103" s="245">
        <v>284.7</v>
      </c>
      <c r="AB103" s="245">
        <v>1330.5</v>
      </c>
      <c r="AC103" s="245">
        <v>1902.9</v>
      </c>
      <c r="AD103" s="246">
        <v>124124</v>
      </c>
      <c r="AE103" s="245">
        <v>62.136000000000003</v>
      </c>
      <c r="AF103" s="245">
        <v>281.38</v>
      </c>
      <c r="AG103" s="245">
        <v>68.430000000000007</v>
      </c>
      <c r="AH103" s="245">
        <v>100</v>
      </c>
      <c r="AI103" s="245">
        <v>20.88</v>
      </c>
      <c r="AJ103" s="245">
        <v>8.3000000000000007</v>
      </c>
      <c r="AK103" s="245">
        <v>1.08</v>
      </c>
      <c r="AL103" s="245">
        <v>82.77</v>
      </c>
      <c r="AM103" s="245">
        <v>73.89</v>
      </c>
      <c r="AN103" s="75">
        <v>14.680999999999999</v>
      </c>
      <c r="AO103" s="75">
        <v>283.69</v>
      </c>
      <c r="AP103" s="75">
        <v>47.061</v>
      </c>
      <c r="AQ103" s="75">
        <v>2.65</v>
      </c>
      <c r="AR103" s="75">
        <v>5.8999999999999997E-2</v>
      </c>
      <c r="AS103" s="75">
        <v>9.6000000000000002E-2</v>
      </c>
      <c r="AT103" s="75">
        <v>3.05</v>
      </c>
      <c r="AU103" s="75">
        <v>0.85299999999999998</v>
      </c>
      <c r="AV103" s="75">
        <v>2.8460000000000001</v>
      </c>
      <c r="AW103" s="245">
        <v>468.29</v>
      </c>
      <c r="AX103" s="245">
        <v>22.715</v>
      </c>
      <c r="AY103" s="245">
        <v>105.22799999999999</v>
      </c>
      <c r="AZ103" s="75">
        <v>4.71</v>
      </c>
      <c r="BA103" s="75">
        <v>17.62</v>
      </c>
      <c r="BB103" s="75">
        <v>3.536</v>
      </c>
      <c r="BC103" s="75">
        <v>0.79900000000000004</v>
      </c>
      <c r="BD103" s="75">
        <v>2.9239999999999999</v>
      </c>
      <c r="BE103" s="75">
        <v>0.49099999999999999</v>
      </c>
      <c r="BF103" s="75">
        <v>2.8380000000000001</v>
      </c>
      <c r="BG103" s="75">
        <v>0.57499999999999996</v>
      </c>
      <c r="BH103" s="75">
        <v>1.712</v>
      </c>
      <c r="BI103" s="75">
        <v>0.27200000000000002</v>
      </c>
      <c r="BJ103" s="75">
        <v>1.7470000000000001</v>
      </c>
      <c r="BK103" s="75">
        <v>0.27800000000000002</v>
      </c>
      <c r="BL103" s="75">
        <v>6.9560000000000004</v>
      </c>
      <c r="BM103" s="75">
        <v>2.589</v>
      </c>
      <c r="BN103" s="75">
        <v>2.9390000000000001</v>
      </c>
      <c r="BO103" s="75">
        <v>0.45</v>
      </c>
      <c r="BP103" s="75">
        <v>19.7</v>
      </c>
      <c r="BQ103" s="75">
        <v>1.21</v>
      </c>
      <c r="BR103" s="75">
        <v>12.948</v>
      </c>
      <c r="BS103" s="75">
        <v>2.2730000000000001</v>
      </c>
      <c r="BT103" s="39"/>
    </row>
    <row r="104" spans="1:72">
      <c r="A104" s="41" t="s">
        <v>289</v>
      </c>
      <c r="B104" s="53" t="s">
        <v>110</v>
      </c>
      <c r="C104" s="155" t="s">
        <v>339</v>
      </c>
      <c r="D104" s="53">
        <v>0.26076500000000002</v>
      </c>
      <c r="E104" s="53">
        <v>34.720081</v>
      </c>
      <c r="F104" s="53" t="s">
        <v>332</v>
      </c>
      <c r="G104" s="53" t="s">
        <v>330</v>
      </c>
      <c r="H104" s="116" t="s">
        <v>347</v>
      </c>
      <c r="I104" s="154" t="s">
        <v>371</v>
      </c>
      <c r="J104" s="116" t="s">
        <v>687</v>
      </c>
      <c r="K104" s="41" t="s">
        <v>361</v>
      </c>
      <c r="L104" s="53" t="s">
        <v>685</v>
      </c>
      <c r="M104" s="53" t="s">
        <v>690</v>
      </c>
      <c r="N104" s="74" t="s">
        <v>288</v>
      </c>
      <c r="O104" s="247" t="s">
        <v>288</v>
      </c>
      <c r="P104" s="74" t="s">
        <v>288</v>
      </c>
      <c r="Q104" s="245">
        <v>16.600000000000001</v>
      </c>
      <c r="R104" s="75">
        <v>2.31</v>
      </c>
      <c r="S104" s="246">
        <v>3537</v>
      </c>
      <c r="T104" s="246">
        <v>7139</v>
      </c>
      <c r="U104" s="246">
        <v>88879</v>
      </c>
      <c r="V104" s="246">
        <v>683</v>
      </c>
      <c r="W104" s="246">
        <v>336</v>
      </c>
      <c r="X104" s="246">
        <v>14608</v>
      </c>
      <c r="Y104" s="246">
        <v>6845</v>
      </c>
      <c r="Z104" s="246">
        <v>5645.8</v>
      </c>
      <c r="AA104" s="245">
        <v>228.9</v>
      </c>
      <c r="AB104" s="245">
        <v>987.2</v>
      </c>
      <c r="AC104" s="245">
        <v>2314.4</v>
      </c>
      <c r="AD104" s="246">
        <v>97639</v>
      </c>
      <c r="AE104" s="245">
        <v>68.661000000000001</v>
      </c>
      <c r="AF104" s="245">
        <v>240.73</v>
      </c>
      <c r="AG104" s="245">
        <v>71.38</v>
      </c>
      <c r="AH104" s="245">
        <v>124</v>
      </c>
      <c r="AI104" s="245">
        <v>18.77</v>
      </c>
      <c r="AJ104" s="245">
        <v>105.8</v>
      </c>
      <c r="AK104" s="245">
        <v>0.9</v>
      </c>
      <c r="AL104" s="245">
        <v>77.989999999999995</v>
      </c>
      <c r="AM104" s="245">
        <v>109.05</v>
      </c>
      <c r="AN104" s="75">
        <v>15.569000000000001</v>
      </c>
      <c r="AO104" s="75">
        <v>227.97</v>
      </c>
      <c r="AP104" s="75">
        <v>39.200000000000003</v>
      </c>
      <c r="AQ104" s="75">
        <v>2.5099999999999998</v>
      </c>
      <c r="AR104" s="75">
        <v>0.129</v>
      </c>
      <c r="AS104" s="75">
        <v>0.111</v>
      </c>
      <c r="AT104" s="75">
        <v>2.4500000000000002</v>
      </c>
      <c r="AU104" s="75">
        <v>0.82</v>
      </c>
      <c r="AV104" s="75">
        <v>2.589</v>
      </c>
      <c r="AW104" s="245">
        <v>515.29999999999995</v>
      </c>
      <c r="AX104" s="245">
        <v>24.55</v>
      </c>
      <c r="AY104" s="245">
        <v>115.75</v>
      </c>
      <c r="AZ104" s="75">
        <v>5.194</v>
      </c>
      <c r="BA104" s="75">
        <v>20.23</v>
      </c>
      <c r="BB104" s="75">
        <v>4.0650000000000004</v>
      </c>
      <c r="BC104" s="75">
        <v>0.91200000000000003</v>
      </c>
      <c r="BD104" s="75">
        <v>3.2029999999999998</v>
      </c>
      <c r="BE104" s="75">
        <v>0.52</v>
      </c>
      <c r="BF104" s="75">
        <v>3.0339999999999998</v>
      </c>
      <c r="BG104" s="75">
        <v>0.60299999999999998</v>
      </c>
      <c r="BH104" s="75">
        <v>1.702</v>
      </c>
      <c r="BI104" s="75">
        <v>0.27900000000000003</v>
      </c>
      <c r="BJ104" s="75">
        <v>1.75</v>
      </c>
      <c r="BK104" s="75">
        <v>0.27500000000000002</v>
      </c>
      <c r="BL104" s="75">
        <v>5.7370000000000001</v>
      </c>
      <c r="BM104" s="75">
        <v>2.1819999999999999</v>
      </c>
      <c r="BN104" s="75">
        <v>5.9530000000000003</v>
      </c>
      <c r="BO104" s="75">
        <v>0.44500000000000001</v>
      </c>
      <c r="BP104" s="75">
        <v>25.1</v>
      </c>
      <c r="BQ104" s="75">
        <v>6.6</v>
      </c>
      <c r="BR104" s="75">
        <v>8.5489999999999995</v>
      </c>
      <c r="BS104" s="75">
        <v>1.9550000000000001</v>
      </c>
      <c r="BT104" s="39"/>
    </row>
    <row r="105" spans="1:72">
      <c r="A105" s="41" t="s">
        <v>290</v>
      </c>
      <c r="B105" s="53" t="s">
        <v>133</v>
      </c>
      <c r="C105" s="155" t="s">
        <v>339</v>
      </c>
      <c r="D105" s="53">
        <v>0.31578899999999999</v>
      </c>
      <c r="E105" s="53">
        <v>34.648187999999998</v>
      </c>
      <c r="F105" s="53" t="s">
        <v>350</v>
      </c>
      <c r="G105" s="53" t="s">
        <v>330</v>
      </c>
      <c r="H105" s="116" t="s">
        <v>347</v>
      </c>
      <c r="I105" s="154" t="s">
        <v>371</v>
      </c>
      <c r="J105" s="116" t="s">
        <v>687</v>
      </c>
      <c r="K105" s="41" t="s">
        <v>367</v>
      </c>
      <c r="L105" s="53" t="s">
        <v>684</v>
      </c>
      <c r="M105" s="53" t="s">
        <v>683</v>
      </c>
      <c r="N105" s="74" t="s">
        <v>288</v>
      </c>
      <c r="O105" s="247" t="s">
        <v>288</v>
      </c>
      <c r="P105" s="74" t="s">
        <v>288</v>
      </c>
      <c r="Q105" s="245">
        <v>11.5</v>
      </c>
      <c r="R105" s="75">
        <v>1.79</v>
      </c>
      <c r="S105" s="246">
        <v>25275</v>
      </c>
      <c r="T105" s="246">
        <v>3452</v>
      </c>
      <c r="U105" s="246">
        <v>84554</v>
      </c>
      <c r="V105" s="246">
        <v>480</v>
      </c>
      <c r="W105" s="246">
        <v>123</v>
      </c>
      <c r="X105" s="246">
        <v>23163</v>
      </c>
      <c r="Y105" s="246">
        <v>10316</v>
      </c>
      <c r="Z105" s="246">
        <v>2708.9</v>
      </c>
      <c r="AA105" s="245">
        <v>60.7</v>
      </c>
      <c r="AB105" s="245">
        <v>47.3</v>
      </c>
      <c r="AC105" s="245">
        <v>624.5</v>
      </c>
      <c r="AD105" s="246">
        <v>25698</v>
      </c>
      <c r="AE105" s="245">
        <v>12.891999999999999</v>
      </c>
      <c r="AF105" s="245">
        <v>18.7</v>
      </c>
      <c r="AG105" s="245">
        <v>9.36</v>
      </c>
      <c r="AH105" s="245">
        <v>47</v>
      </c>
      <c r="AI105" s="245">
        <v>16.98</v>
      </c>
      <c r="AJ105" s="245">
        <v>1.4</v>
      </c>
      <c r="AK105" s="245">
        <v>0.21</v>
      </c>
      <c r="AL105" s="245">
        <v>61.22</v>
      </c>
      <c r="AM105" s="245">
        <v>501.96</v>
      </c>
      <c r="AN105" s="75">
        <v>9.2850000000000001</v>
      </c>
      <c r="AO105" s="75">
        <v>64.42</v>
      </c>
      <c r="AP105" s="75">
        <v>12.635</v>
      </c>
      <c r="AQ105" s="75">
        <v>0.59</v>
      </c>
      <c r="AR105" s="75">
        <v>6.4000000000000001E-2</v>
      </c>
      <c r="AS105" s="75">
        <v>0.04</v>
      </c>
      <c r="AT105" s="75">
        <v>1.38</v>
      </c>
      <c r="AU105" s="75">
        <v>8.7999999999999995E-2</v>
      </c>
      <c r="AV105" s="75">
        <v>1.4159999999999999</v>
      </c>
      <c r="AW105" s="245">
        <v>1110.9000000000001</v>
      </c>
      <c r="AX105" s="245">
        <v>27.754000000000001</v>
      </c>
      <c r="AY105" s="245">
        <v>69.965999999999994</v>
      </c>
      <c r="AZ105" s="75">
        <v>6.1689999999999996</v>
      </c>
      <c r="BA105" s="75">
        <v>24.04</v>
      </c>
      <c r="BB105" s="75">
        <v>3.95</v>
      </c>
      <c r="BC105" s="75">
        <v>0.98499999999999999</v>
      </c>
      <c r="BD105" s="75">
        <v>2.72</v>
      </c>
      <c r="BE105" s="75">
        <v>0.36499999999999999</v>
      </c>
      <c r="BF105" s="75">
        <v>1.7250000000000001</v>
      </c>
      <c r="BG105" s="75">
        <v>0.34499999999999997</v>
      </c>
      <c r="BH105" s="75">
        <v>0.94399999999999995</v>
      </c>
      <c r="BI105" s="75">
        <v>0.14199999999999999</v>
      </c>
      <c r="BJ105" s="75">
        <v>0.877</v>
      </c>
      <c r="BK105" s="75">
        <v>0.13100000000000001</v>
      </c>
      <c r="BL105" s="75">
        <v>1.9890000000000001</v>
      </c>
      <c r="BM105" s="75">
        <v>0.80100000000000005</v>
      </c>
      <c r="BN105" s="75">
        <v>0.68899999999999995</v>
      </c>
      <c r="BO105" s="75">
        <v>0.32200000000000001</v>
      </c>
      <c r="BP105" s="75">
        <v>16.899999999999999</v>
      </c>
      <c r="BQ105" s="75">
        <v>0.36</v>
      </c>
      <c r="BR105" s="75">
        <v>5.3410000000000002</v>
      </c>
      <c r="BS105" s="75">
        <v>2.2639999999999998</v>
      </c>
      <c r="BT105" s="39"/>
    </row>
    <row r="106" spans="1:72">
      <c r="A106" s="41" t="s">
        <v>291</v>
      </c>
      <c r="B106" s="53" t="s">
        <v>162</v>
      </c>
      <c r="C106" s="155" t="s">
        <v>343</v>
      </c>
      <c r="D106" s="53">
        <v>0.18987899999999999</v>
      </c>
      <c r="E106" s="53">
        <v>34.735692999999998</v>
      </c>
      <c r="F106" s="53" t="s">
        <v>352</v>
      </c>
      <c r="G106" s="53" t="s">
        <v>330</v>
      </c>
      <c r="H106" s="116" t="s">
        <v>347</v>
      </c>
      <c r="I106" s="154" t="s">
        <v>371</v>
      </c>
      <c r="J106" s="116" t="s">
        <v>687</v>
      </c>
      <c r="K106" s="41" t="s">
        <v>364</v>
      </c>
      <c r="L106" s="53" t="s">
        <v>685</v>
      </c>
      <c r="M106" s="53" t="s">
        <v>690</v>
      </c>
      <c r="N106" s="74" t="s">
        <v>288</v>
      </c>
      <c r="O106" s="247" t="s">
        <v>288</v>
      </c>
      <c r="P106" s="74" t="s">
        <v>288</v>
      </c>
      <c r="Q106" s="245">
        <v>15.6</v>
      </c>
      <c r="R106" s="75">
        <v>1.9</v>
      </c>
      <c r="S106" s="246">
        <v>7254</v>
      </c>
      <c r="T106" s="246">
        <v>8582</v>
      </c>
      <c r="U106" s="246">
        <v>84278</v>
      </c>
      <c r="V106" s="246">
        <v>436</v>
      </c>
      <c r="W106" s="246">
        <v>184</v>
      </c>
      <c r="X106" s="246">
        <v>22326</v>
      </c>
      <c r="Y106" s="246">
        <v>2744</v>
      </c>
      <c r="Z106" s="246">
        <v>3428.4</v>
      </c>
      <c r="AA106" s="245">
        <v>98.6</v>
      </c>
      <c r="AB106" s="245">
        <v>142.19999999999999</v>
      </c>
      <c r="AC106" s="245">
        <v>769.5</v>
      </c>
      <c r="AD106" s="246">
        <v>36543</v>
      </c>
      <c r="AE106" s="245">
        <v>19.012</v>
      </c>
      <c r="AF106" s="245">
        <v>52.58</v>
      </c>
      <c r="AG106" s="245">
        <v>34.31</v>
      </c>
      <c r="AH106" s="245">
        <v>112</v>
      </c>
      <c r="AI106" s="245">
        <v>16.95</v>
      </c>
      <c r="AJ106" s="245">
        <v>20.8</v>
      </c>
      <c r="AK106" s="245">
        <v>0.12</v>
      </c>
      <c r="AL106" s="245">
        <v>102.92</v>
      </c>
      <c r="AM106" s="245">
        <v>100.21</v>
      </c>
      <c r="AN106" s="75">
        <v>24.248000000000001</v>
      </c>
      <c r="AO106" s="75">
        <v>145.59</v>
      </c>
      <c r="AP106" s="75">
        <v>8.2840000000000007</v>
      </c>
      <c r="AQ106" s="75">
        <v>1.1599999999999999</v>
      </c>
      <c r="AR106" s="75">
        <v>0.1</v>
      </c>
      <c r="AS106" s="75">
        <v>0.249</v>
      </c>
      <c r="AT106" s="75">
        <v>1.85</v>
      </c>
      <c r="AU106" s="75">
        <v>0.53200000000000003</v>
      </c>
      <c r="AV106" s="75">
        <v>1.974</v>
      </c>
      <c r="AW106" s="245">
        <v>657.27</v>
      </c>
      <c r="AX106" s="245">
        <v>51.006</v>
      </c>
      <c r="AY106" s="245">
        <v>131.02099999999999</v>
      </c>
      <c r="AZ106" s="75">
        <v>12.574</v>
      </c>
      <c r="BA106" s="75">
        <v>48.78</v>
      </c>
      <c r="BB106" s="75">
        <v>8.6140000000000008</v>
      </c>
      <c r="BC106" s="75">
        <v>1.9390000000000001</v>
      </c>
      <c r="BD106" s="75">
        <v>6.3159999999999998</v>
      </c>
      <c r="BE106" s="75">
        <v>0.89</v>
      </c>
      <c r="BF106" s="75">
        <v>4.577</v>
      </c>
      <c r="BG106" s="75">
        <v>0.89100000000000001</v>
      </c>
      <c r="BH106" s="75">
        <v>2.3490000000000002</v>
      </c>
      <c r="BI106" s="75">
        <v>0.33300000000000002</v>
      </c>
      <c r="BJ106" s="75">
        <v>1.9830000000000001</v>
      </c>
      <c r="BK106" s="75">
        <v>0.309</v>
      </c>
      <c r="BL106" s="75">
        <v>4.335</v>
      </c>
      <c r="BM106" s="75">
        <v>0.51100000000000001</v>
      </c>
      <c r="BN106" s="75">
        <v>1.276</v>
      </c>
      <c r="BO106" s="75">
        <v>0.503</v>
      </c>
      <c r="BP106" s="75">
        <v>37.6</v>
      </c>
      <c r="BQ106" s="75">
        <v>0.13</v>
      </c>
      <c r="BR106" s="75">
        <v>9.0860000000000003</v>
      </c>
      <c r="BS106" s="75">
        <v>2.6160000000000001</v>
      </c>
      <c r="BT106" s="39"/>
    </row>
    <row r="107" spans="1:72">
      <c r="A107" s="41" t="s">
        <v>292</v>
      </c>
      <c r="B107" s="39" t="s">
        <v>188</v>
      </c>
      <c r="C107" s="155" t="s">
        <v>343</v>
      </c>
      <c r="D107" s="53">
        <v>0.19523199999999999</v>
      </c>
      <c r="E107" s="53">
        <v>34.751345000000001</v>
      </c>
      <c r="F107" s="53" t="s">
        <v>355</v>
      </c>
      <c r="G107" s="53" t="s">
        <v>330</v>
      </c>
      <c r="H107" s="116" t="s">
        <v>347</v>
      </c>
      <c r="I107" s="154" t="s">
        <v>371</v>
      </c>
      <c r="J107" s="116" t="s">
        <v>687</v>
      </c>
      <c r="K107" s="41" t="s">
        <v>361</v>
      </c>
      <c r="L107" s="53" t="s">
        <v>685</v>
      </c>
      <c r="M107" s="53" t="s">
        <v>690</v>
      </c>
      <c r="N107" s="74" t="s">
        <v>288</v>
      </c>
      <c r="O107" s="247" t="s">
        <v>288</v>
      </c>
      <c r="P107" s="74" t="s">
        <v>288</v>
      </c>
      <c r="Q107" s="245">
        <v>9.9</v>
      </c>
      <c r="R107" s="75">
        <v>3.44</v>
      </c>
      <c r="S107" s="246">
        <v>817</v>
      </c>
      <c r="T107" s="246">
        <v>4641</v>
      </c>
      <c r="U107" s="246">
        <v>86277</v>
      </c>
      <c r="V107" s="246">
        <v>649</v>
      </c>
      <c r="W107" s="246">
        <v>86</v>
      </c>
      <c r="X107" s="246">
        <v>25040</v>
      </c>
      <c r="Y107" s="246">
        <v>1813</v>
      </c>
      <c r="Z107" s="246">
        <v>1466.9</v>
      </c>
      <c r="AA107" s="245">
        <v>159.69999999999999</v>
      </c>
      <c r="AB107" s="245">
        <v>102</v>
      </c>
      <c r="AC107" s="245">
        <v>1265</v>
      </c>
      <c r="AD107" s="246">
        <v>64548</v>
      </c>
      <c r="AE107" s="245">
        <v>38.603000000000002</v>
      </c>
      <c r="AF107" s="245">
        <v>47.07</v>
      </c>
      <c r="AG107" s="245">
        <v>102.35</v>
      </c>
      <c r="AH107" s="245">
        <v>216</v>
      </c>
      <c r="AI107" s="245">
        <v>17.23</v>
      </c>
      <c r="AJ107" s="245">
        <v>408.2</v>
      </c>
      <c r="AK107" s="245">
        <v>0.24</v>
      </c>
      <c r="AL107" s="245">
        <v>100.22</v>
      </c>
      <c r="AM107" s="245">
        <v>30.45</v>
      </c>
      <c r="AN107" s="75">
        <v>16.597999999999999</v>
      </c>
      <c r="AO107" s="75">
        <v>127.54</v>
      </c>
      <c r="AP107" s="75">
        <v>7.5359999999999996</v>
      </c>
      <c r="AQ107" s="75">
        <v>2.12</v>
      </c>
      <c r="AR107" s="75">
        <v>1.002</v>
      </c>
      <c r="AS107" s="75">
        <v>0.73899999999999999</v>
      </c>
      <c r="AT107" s="75">
        <v>1.1499999999999999</v>
      </c>
      <c r="AU107" s="75">
        <v>2.77</v>
      </c>
      <c r="AV107" s="75">
        <v>3.7109999999999999</v>
      </c>
      <c r="AW107" s="245">
        <v>618</v>
      </c>
      <c r="AX107" s="245">
        <v>29.808</v>
      </c>
      <c r="AY107" s="245">
        <v>73.927999999999997</v>
      </c>
      <c r="AZ107" s="75">
        <v>6.569</v>
      </c>
      <c r="BA107" s="75">
        <v>25.2</v>
      </c>
      <c r="BB107" s="75">
        <v>4.5229999999999997</v>
      </c>
      <c r="BC107" s="75">
        <v>1.149</v>
      </c>
      <c r="BD107" s="75">
        <v>3.4940000000000002</v>
      </c>
      <c r="BE107" s="75">
        <v>0.52500000000000002</v>
      </c>
      <c r="BF107" s="75">
        <v>2.9780000000000002</v>
      </c>
      <c r="BG107" s="75">
        <v>0.61899999999999999</v>
      </c>
      <c r="BH107" s="75">
        <v>1.7989999999999999</v>
      </c>
      <c r="BI107" s="75">
        <v>0.27500000000000002</v>
      </c>
      <c r="BJ107" s="75">
        <v>1.784</v>
      </c>
      <c r="BK107" s="75">
        <v>0.28100000000000003</v>
      </c>
      <c r="BL107" s="75">
        <v>3.5630000000000002</v>
      </c>
      <c r="BM107" s="75">
        <v>0.46200000000000002</v>
      </c>
      <c r="BN107" s="75">
        <v>6.9480000000000004</v>
      </c>
      <c r="BO107" s="75">
        <v>0.50900000000000001</v>
      </c>
      <c r="BP107" s="75">
        <v>197.6</v>
      </c>
      <c r="BQ107" s="75">
        <v>0.5</v>
      </c>
      <c r="BR107" s="75">
        <v>5.6269999999999998</v>
      </c>
      <c r="BS107" s="75">
        <v>2.254</v>
      </c>
      <c r="BT107" s="39"/>
    </row>
    <row r="108" spans="1:72">
      <c r="A108" s="41" t="s">
        <v>293</v>
      </c>
      <c r="B108" s="39" t="s">
        <v>206</v>
      </c>
      <c r="C108" s="155" t="s">
        <v>341</v>
      </c>
      <c r="D108" s="53">
        <v>0.21768199999999999</v>
      </c>
      <c r="E108" s="53">
        <v>34.802346</v>
      </c>
      <c r="F108" s="53" t="s">
        <v>356</v>
      </c>
      <c r="G108" s="53" t="s">
        <v>330</v>
      </c>
      <c r="H108" s="116" t="s">
        <v>347</v>
      </c>
      <c r="I108" s="154" t="s">
        <v>371</v>
      </c>
      <c r="J108" s="116" t="s">
        <v>687</v>
      </c>
      <c r="K108" s="41" t="s">
        <v>361</v>
      </c>
      <c r="L108" s="53" t="s">
        <v>685</v>
      </c>
      <c r="M108" s="53" t="s">
        <v>690</v>
      </c>
      <c r="N108" s="74" t="s">
        <v>288</v>
      </c>
      <c r="O108" s="247" t="s">
        <v>288</v>
      </c>
      <c r="P108" s="74" t="s">
        <v>288</v>
      </c>
      <c r="Q108" s="245">
        <v>6.4</v>
      </c>
      <c r="R108" s="75">
        <v>0.98</v>
      </c>
      <c r="S108" s="246">
        <v>1897</v>
      </c>
      <c r="T108" s="246">
        <v>1837</v>
      </c>
      <c r="U108" s="246">
        <v>42976</v>
      </c>
      <c r="V108" s="246">
        <v>352</v>
      </c>
      <c r="W108" s="246">
        <v>145</v>
      </c>
      <c r="X108" s="246">
        <v>12160</v>
      </c>
      <c r="Y108" s="246">
        <v>1703</v>
      </c>
      <c r="Z108" s="246">
        <v>1928</v>
      </c>
      <c r="AA108" s="245">
        <v>65.400000000000006</v>
      </c>
      <c r="AB108" s="245">
        <v>112.1</v>
      </c>
      <c r="AC108" s="245">
        <v>1018.4</v>
      </c>
      <c r="AD108" s="246">
        <v>24201</v>
      </c>
      <c r="AE108" s="245">
        <v>16.353000000000002</v>
      </c>
      <c r="AF108" s="245">
        <v>17.72</v>
      </c>
      <c r="AG108" s="245">
        <v>58.09</v>
      </c>
      <c r="AH108" s="245">
        <v>42</v>
      </c>
      <c r="AI108" s="245">
        <v>9.51</v>
      </c>
      <c r="AJ108" s="245">
        <v>44.8</v>
      </c>
      <c r="AK108" s="245">
        <v>0.56999999999999995</v>
      </c>
      <c r="AL108" s="245">
        <v>54.52</v>
      </c>
      <c r="AM108" s="245">
        <v>50.88</v>
      </c>
      <c r="AN108" s="75">
        <v>10.367000000000001</v>
      </c>
      <c r="AO108" s="75">
        <v>93.92</v>
      </c>
      <c r="AP108" s="75">
        <v>13.766999999999999</v>
      </c>
      <c r="AQ108" s="75">
        <v>1.86</v>
      </c>
      <c r="AR108" s="75">
        <v>1.7769999999999999</v>
      </c>
      <c r="AS108" s="75">
        <v>0.121</v>
      </c>
      <c r="AT108" s="75">
        <v>1.37</v>
      </c>
      <c r="AU108" s="75">
        <v>1.101</v>
      </c>
      <c r="AV108" s="75">
        <v>2.4089999999999998</v>
      </c>
      <c r="AW108" s="245">
        <v>442.65</v>
      </c>
      <c r="AX108" s="245">
        <v>24.533000000000001</v>
      </c>
      <c r="AY108" s="245">
        <v>84.293999999999997</v>
      </c>
      <c r="AZ108" s="75">
        <v>4.7699999999999996</v>
      </c>
      <c r="BA108" s="75">
        <v>17.11</v>
      </c>
      <c r="BB108" s="75">
        <v>3.0289999999999999</v>
      </c>
      <c r="BC108" s="75">
        <v>0.64300000000000002</v>
      </c>
      <c r="BD108" s="75">
        <v>2.2839999999999998</v>
      </c>
      <c r="BE108" s="75">
        <v>0.33400000000000002</v>
      </c>
      <c r="BF108" s="75">
        <v>1.835</v>
      </c>
      <c r="BG108" s="75">
        <v>0.37</v>
      </c>
      <c r="BH108" s="75">
        <v>1.0660000000000001</v>
      </c>
      <c r="BI108" s="75">
        <v>0.16500000000000001</v>
      </c>
      <c r="BJ108" s="75">
        <v>1.0449999999999999</v>
      </c>
      <c r="BK108" s="75">
        <v>0.17499999999999999</v>
      </c>
      <c r="BL108" s="75">
        <v>2.7469999999999999</v>
      </c>
      <c r="BM108" s="75">
        <v>0.79900000000000004</v>
      </c>
      <c r="BN108" s="75">
        <v>2.306</v>
      </c>
      <c r="BO108" s="75">
        <v>0.33400000000000002</v>
      </c>
      <c r="BP108" s="75">
        <v>36.5</v>
      </c>
      <c r="BQ108" s="75">
        <v>11.93</v>
      </c>
      <c r="BR108" s="75">
        <v>7.0709999999999997</v>
      </c>
      <c r="BS108" s="75">
        <v>1.8</v>
      </c>
      <c r="BT108" s="39"/>
    </row>
    <row r="109" spans="1:72" s="51" customFormat="1">
      <c r="A109" s="41" t="s">
        <v>294</v>
      </c>
      <c r="B109" s="39" t="s">
        <v>240</v>
      </c>
      <c r="C109" s="155" t="s">
        <v>341</v>
      </c>
      <c r="D109" s="53">
        <v>0.10542700000000001</v>
      </c>
      <c r="E109" s="53">
        <v>34.698397999999997</v>
      </c>
      <c r="F109" s="53" t="s">
        <v>359</v>
      </c>
      <c r="G109" s="53" t="s">
        <v>334</v>
      </c>
      <c r="H109" s="116" t="s">
        <v>347</v>
      </c>
      <c r="I109" s="154" t="s">
        <v>371</v>
      </c>
      <c r="J109" s="116" t="s">
        <v>687</v>
      </c>
      <c r="K109" s="41" t="s">
        <v>365</v>
      </c>
      <c r="L109" s="53" t="s">
        <v>685</v>
      </c>
      <c r="M109" s="53" t="s">
        <v>691</v>
      </c>
      <c r="N109" s="74" t="s">
        <v>288</v>
      </c>
      <c r="O109" s="247" t="s">
        <v>288</v>
      </c>
      <c r="P109" s="74" t="s">
        <v>288</v>
      </c>
      <c r="Q109" s="245">
        <v>25.4</v>
      </c>
      <c r="R109" s="75">
        <v>1.6</v>
      </c>
      <c r="S109" s="246">
        <v>7790</v>
      </c>
      <c r="T109" s="246">
        <v>7212</v>
      </c>
      <c r="U109" s="246">
        <v>68769</v>
      </c>
      <c r="V109" s="246">
        <v>405</v>
      </c>
      <c r="W109" s="246">
        <v>3802</v>
      </c>
      <c r="X109" s="246">
        <v>16870</v>
      </c>
      <c r="Y109" s="246">
        <v>10832</v>
      </c>
      <c r="Z109" s="246">
        <v>1932.2</v>
      </c>
      <c r="AA109" s="245">
        <v>111.9</v>
      </c>
      <c r="AB109" s="245">
        <v>183</v>
      </c>
      <c r="AC109" s="245">
        <v>884.1</v>
      </c>
      <c r="AD109" s="246">
        <v>38304</v>
      </c>
      <c r="AE109" s="245">
        <v>25.526</v>
      </c>
      <c r="AF109" s="245">
        <v>57.05</v>
      </c>
      <c r="AG109" s="245">
        <v>72.13</v>
      </c>
      <c r="AH109" s="245">
        <v>204</v>
      </c>
      <c r="AI109" s="245">
        <v>14.67</v>
      </c>
      <c r="AJ109" s="245">
        <v>4062.8</v>
      </c>
      <c r="AK109" s="245">
        <v>0.84</v>
      </c>
      <c r="AL109" s="245">
        <v>64.2</v>
      </c>
      <c r="AM109" s="245">
        <v>121.77</v>
      </c>
      <c r="AN109" s="75">
        <v>14.326000000000001</v>
      </c>
      <c r="AO109" s="75">
        <v>86.26</v>
      </c>
      <c r="AP109" s="75">
        <v>8.9979999999999993</v>
      </c>
      <c r="AQ109" s="75">
        <v>5.78</v>
      </c>
      <c r="AR109" s="75">
        <v>1.3879999999999999</v>
      </c>
      <c r="AS109" s="75">
        <v>2.093</v>
      </c>
      <c r="AT109" s="75">
        <v>1.45</v>
      </c>
      <c r="AU109" s="75">
        <v>5.6180000000000003</v>
      </c>
      <c r="AV109" s="75">
        <v>3.992</v>
      </c>
      <c r="AW109" s="245">
        <v>382.44</v>
      </c>
      <c r="AX109" s="245">
        <v>26.038</v>
      </c>
      <c r="AY109" s="245">
        <v>53.506</v>
      </c>
      <c r="AZ109" s="75">
        <v>5.6710000000000003</v>
      </c>
      <c r="BA109" s="75">
        <v>21.71</v>
      </c>
      <c r="BB109" s="75">
        <v>3.9729999999999999</v>
      </c>
      <c r="BC109" s="75">
        <v>0.97399999999999998</v>
      </c>
      <c r="BD109" s="75">
        <v>3.2240000000000002</v>
      </c>
      <c r="BE109" s="75">
        <v>0.48499999999999999</v>
      </c>
      <c r="BF109" s="75">
        <v>2.64</v>
      </c>
      <c r="BG109" s="75">
        <v>0.53400000000000003</v>
      </c>
      <c r="BH109" s="75">
        <v>1.5049999999999999</v>
      </c>
      <c r="BI109" s="75">
        <v>0.22700000000000001</v>
      </c>
      <c r="BJ109" s="75">
        <v>1.4079999999999999</v>
      </c>
      <c r="BK109" s="75">
        <v>0.218</v>
      </c>
      <c r="BL109" s="75">
        <v>2.569</v>
      </c>
      <c r="BM109" s="75">
        <v>0.51200000000000001</v>
      </c>
      <c r="BN109" s="75">
        <v>20.61</v>
      </c>
      <c r="BO109" s="75">
        <v>0.57799999999999996</v>
      </c>
      <c r="BP109" s="75">
        <v>230.1</v>
      </c>
      <c r="BQ109" s="75">
        <v>8.23</v>
      </c>
      <c r="BR109" s="75">
        <v>5.883</v>
      </c>
      <c r="BS109" s="75">
        <v>2.637</v>
      </c>
      <c r="BT109" s="249"/>
    </row>
    <row r="110" spans="1:72">
      <c r="A110" s="41" t="s">
        <v>295</v>
      </c>
      <c r="B110" s="39" t="s">
        <v>260</v>
      </c>
      <c r="C110" s="155" t="s">
        <v>342</v>
      </c>
      <c r="D110" s="53">
        <v>0.10333000000000001</v>
      </c>
      <c r="E110" s="53">
        <v>34.713628999999997</v>
      </c>
      <c r="F110" s="53" t="s">
        <v>335</v>
      </c>
      <c r="G110" s="53" t="s">
        <v>334</v>
      </c>
      <c r="H110" s="116" t="s">
        <v>347</v>
      </c>
      <c r="I110" s="154" t="s">
        <v>371</v>
      </c>
      <c r="J110" s="116" t="s">
        <v>687</v>
      </c>
      <c r="K110" s="41" t="s">
        <v>365</v>
      </c>
      <c r="L110" s="53" t="s">
        <v>685</v>
      </c>
      <c r="M110" s="53" t="s">
        <v>691</v>
      </c>
      <c r="N110" s="74" t="s">
        <v>288</v>
      </c>
      <c r="O110" s="247" t="s">
        <v>288</v>
      </c>
      <c r="P110" s="74" t="s">
        <v>288</v>
      </c>
      <c r="Q110" s="245">
        <v>21.8</v>
      </c>
      <c r="R110" s="75">
        <v>1.1100000000000001</v>
      </c>
      <c r="S110" s="246">
        <v>17783</v>
      </c>
      <c r="T110" s="246">
        <v>12129</v>
      </c>
      <c r="U110" s="246">
        <v>75051</v>
      </c>
      <c r="V110" s="246">
        <v>1182</v>
      </c>
      <c r="W110" s="246">
        <v>5627</v>
      </c>
      <c r="X110" s="246">
        <v>17317</v>
      </c>
      <c r="Y110" s="246">
        <v>41506</v>
      </c>
      <c r="Z110" s="246">
        <v>2805.3</v>
      </c>
      <c r="AA110" s="245">
        <v>63.2</v>
      </c>
      <c r="AB110" s="245">
        <v>76.099999999999994</v>
      </c>
      <c r="AC110" s="245">
        <v>789.6</v>
      </c>
      <c r="AD110" s="246">
        <v>29725</v>
      </c>
      <c r="AE110" s="245">
        <v>20.581</v>
      </c>
      <c r="AF110" s="245">
        <v>50.85</v>
      </c>
      <c r="AG110" s="245">
        <v>18.510000000000002</v>
      </c>
      <c r="AH110" s="245">
        <v>95</v>
      </c>
      <c r="AI110" s="245">
        <v>14.79</v>
      </c>
      <c r="AJ110" s="245">
        <v>7890.2</v>
      </c>
      <c r="AK110" s="245">
        <v>0.22</v>
      </c>
      <c r="AL110" s="245">
        <v>47.76</v>
      </c>
      <c r="AM110" s="245">
        <v>506.08</v>
      </c>
      <c r="AN110" s="75">
        <v>8.9740000000000002</v>
      </c>
      <c r="AO110" s="75">
        <v>68.89</v>
      </c>
      <c r="AP110" s="75">
        <v>5.4039999999999999</v>
      </c>
      <c r="AQ110" s="75">
        <v>0.99</v>
      </c>
      <c r="AR110" s="75">
        <v>2.83</v>
      </c>
      <c r="AS110" s="75">
        <v>0.83499999999999996</v>
      </c>
      <c r="AT110" s="75">
        <v>0.75</v>
      </c>
      <c r="AU110" s="75">
        <v>2.9630000000000001</v>
      </c>
      <c r="AV110" s="75">
        <v>2.5299999999999998</v>
      </c>
      <c r="AW110" s="245">
        <v>349.23</v>
      </c>
      <c r="AX110" s="245">
        <v>26.486999999999998</v>
      </c>
      <c r="AY110" s="245">
        <v>66.816999999999993</v>
      </c>
      <c r="AZ110" s="75">
        <v>7.3739999999999997</v>
      </c>
      <c r="BA110" s="75">
        <v>30.39</v>
      </c>
      <c r="BB110" s="75">
        <v>5.1959999999999997</v>
      </c>
      <c r="BC110" s="75">
        <v>1.409</v>
      </c>
      <c r="BD110" s="75">
        <v>3.5369999999999999</v>
      </c>
      <c r="BE110" s="75">
        <v>0.42</v>
      </c>
      <c r="BF110" s="75">
        <v>1.925</v>
      </c>
      <c r="BG110" s="75">
        <v>0.34799999999999998</v>
      </c>
      <c r="BH110" s="75">
        <v>0.88</v>
      </c>
      <c r="BI110" s="75">
        <v>0.11700000000000001</v>
      </c>
      <c r="BJ110" s="75">
        <v>0.68899999999999995</v>
      </c>
      <c r="BK110" s="75">
        <v>9.6000000000000002E-2</v>
      </c>
      <c r="BL110" s="75">
        <v>2.0430000000000001</v>
      </c>
      <c r="BM110" s="75">
        <v>0.33700000000000002</v>
      </c>
      <c r="BN110" s="75">
        <v>1.5589999999999999</v>
      </c>
      <c r="BO110" s="75">
        <v>0.27100000000000002</v>
      </c>
      <c r="BP110" s="75">
        <v>69.099999999999994</v>
      </c>
      <c r="BQ110" s="75">
        <v>3.9</v>
      </c>
      <c r="BR110" s="75">
        <v>2.4750000000000001</v>
      </c>
      <c r="BS110" s="75">
        <v>0.57699999999999996</v>
      </c>
      <c r="BT110" s="39"/>
    </row>
    <row r="111" spans="1:72">
      <c r="A111" s="41" t="s">
        <v>296</v>
      </c>
      <c r="B111" s="39" t="s">
        <v>282</v>
      </c>
      <c r="C111" s="155" t="s">
        <v>342</v>
      </c>
      <c r="D111" s="53">
        <v>0.156392</v>
      </c>
      <c r="E111" s="53">
        <v>34.817486000000002</v>
      </c>
      <c r="F111" s="53" t="s">
        <v>360</v>
      </c>
      <c r="G111" s="53" t="s">
        <v>330</v>
      </c>
      <c r="H111" s="116" t="s">
        <v>347</v>
      </c>
      <c r="I111" s="154" t="s">
        <v>371</v>
      </c>
      <c r="J111" s="116" t="s">
        <v>687</v>
      </c>
      <c r="K111" s="41" t="s">
        <v>365</v>
      </c>
      <c r="L111" s="53" t="s">
        <v>685</v>
      </c>
      <c r="M111" s="53" t="s">
        <v>691</v>
      </c>
      <c r="N111" s="74" t="s">
        <v>288</v>
      </c>
      <c r="O111" s="247" t="s">
        <v>288</v>
      </c>
      <c r="P111" s="74" t="s">
        <v>288</v>
      </c>
      <c r="Q111" s="245">
        <v>12.7</v>
      </c>
      <c r="R111" s="75">
        <v>0.72</v>
      </c>
      <c r="S111" s="246">
        <v>9032</v>
      </c>
      <c r="T111" s="246">
        <v>2867</v>
      </c>
      <c r="U111" s="246">
        <v>29537</v>
      </c>
      <c r="V111" s="246">
        <v>113</v>
      </c>
      <c r="W111" s="246">
        <v>1526</v>
      </c>
      <c r="X111" s="246">
        <v>9948</v>
      </c>
      <c r="Y111" s="246">
        <v>3523</v>
      </c>
      <c r="Z111" s="246">
        <v>715</v>
      </c>
      <c r="AA111" s="245">
        <v>17.2</v>
      </c>
      <c r="AB111" s="245">
        <v>78.400000000000006</v>
      </c>
      <c r="AC111" s="245">
        <v>110.3</v>
      </c>
      <c r="AD111" s="246">
        <v>7512</v>
      </c>
      <c r="AE111" s="245">
        <v>3.1419999999999999</v>
      </c>
      <c r="AF111" s="245">
        <v>7.08</v>
      </c>
      <c r="AG111" s="245">
        <v>9.48</v>
      </c>
      <c r="AH111" s="245">
        <v>34</v>
      </c>
      <c r="AI111" s="245">
        <v>5.9</v>
      </c>
      <c r="AJ111" s="245">
        <v>514.4</v>
      </c>
      <c r="AK111" s="245">
        <v>0.11</v>
      </c>
      <c r="AL111" s="245">
        <v>39.619999999999997</v>
      </c>
      <c r="AM111" s="245">
        <v>68.63</v>
      </c>
      <c r="AN111" s="75">
        <v>5.3410000000000002</v>
      </c>
      <c r="AO111" s="75">
        <v>33.880000000000003</v>
      </c>
      <c r="AP111" s="75">
        <v>2.0299999999999998</v>
      </c>
      <c r="AQ111" s="75">
        <v>1.1599999999999999</v>
      </c>
      <c r="AR111" s="75">
        <v>1.0429999999999999</v>
      </c>
      <c r="AS111" s="75">
        <v>0.13500000000000001</v>
      </c>
      <c r="AT111" s="75">
        <v>0.49</v>
      </c>
      <c r="AU111" s="75">
        <v>1.2849999999999999</v>
      </c>
      <c r="AV111" s="75">
        <v>1.679</v>
      </c>
      <c r="AW111" s="245">
        <v>261.37</v>
      </c>
      <c r="AX111" s="245">
        <v>21.48</v>
      </c>
      <c r="AY111" s="245">
        <v>38.661999999999999</v>
      </c>
      <c r="AZ111" s="75">
        <v>4.0739999999999998</v>
      </c>
      <c r="BA111" s="75">
        <v>14.05</v>
      </c>
      <c r="BB111" s="75">
        <v>2.0779999999999998</v>
      </c>
      <c r="BC111" s="75">
        <v>0.443</v>
      </c>
      <c r="BD111" s="75">
        <v>1.381</v>
      </c>
      <c r="BE111" s="75">
        <v>0.192</v>
      </c>
      <c r="BF111" s="75">
        <v>1.0289999999999999</v>
      </c>
      <c r="BG111" s="75">
        <v>0.20399999999999999</v>
      </c>
      <c r="BH111" s="75">
        <v>0.57499999999999996</v>
      </c>
      <c r="BI111" s="75">
        <v>8.5999999999999993E-2</v>
      </c>
      <c r="BJ111" s="75">
        <v>0.53600000000000003</v>
      </c>
      <c r="BK111" s="75">
        <v>0.08</v>
      </c>
      <c r="BL111" s="75">
        <v>1.1379999999999999</v>
      </c>
      <c r="BM111" s="75">
        <v>0.16300000000000001</v>
      </c>
      <c r="BN111" s="75">
        <v>2.9049999999999998</v>
      </c>
      <c r="BO111" s="75">
        <v>0.27900000000000003</v>
      </c>
      <c r="BP111" s="75">
        <v>30.4</v>
      </c>
      <c r="BQ111" s="75">
        <v>0.69</v>
      </c>
      <c r="BR111" s="75">
        <v>7.7450000000000001</v>
      </c>
      <c r="BS111" s="75">
        <v>1.871</v>
      </c>
      <c r="BT111" s="39"/>
    </row>
    <row r="112" spans="1:72">
      <c r="A112" s="53" t="s">
        <v>305</v>
      </c>
      <c r="B112" s="53" t="s">
        <v>90</v>
      </c>
      <c r="C112" s="165">
        <v>43887</v>
      </c>
      <c r="D112" s="166">
        <v>0.258245</v>
      </c>
      <c r="E112" s="166">
        <v>34.717759999999998</v>
      </c>
      <c r="F112" s="166" t="s">
        <v>332</v>
      </c>
      <c r="G112" s="165" t="s">
        <v>330</v>
      </c>
      <c r="H112" s="116" t="s">
        <v>347</v>
      </c>
      <c r="I112" s="154" t="s">
        <v>371</v>
      </c>
      <c r="J112" s="116" t="s">
        <v>687</v>
      </c>
      <c r="K112" s="165" t="s">
        <v>364</v>
      </c>
      <c r="L112" s="53" t="s">
        <v>685</v>
      </c>
      <c r="M112" s="53" t="s">
        <v>690</v>
      </c>
      <c r="N112" s="74">
        <v>2.4612637888158471</v>
      </c>
      <c r="O112" s="245">
        <v>6.57</v>
      </c>
      <c r="P112" s="75">
        <v>1.65222</v>
      </c>
      <c r="Q112" s="245">
        <v>16</v>
      </c>
      <c r="R112" s="75">
        <v>0.5</v>
      </c>
      <c r="S112" s="246">
        <v>18391</v>
      </c>
      <c r="T112" s="246">
        <v>14702</v>
      </c>
      <c r="U112" s="246">
        <v>85580</v>
      </c>
      <c r="V112" s="246">
        <v>455</v>
      </c>
      <c r="W112" s="246" t="s">
        <v>306</v>
      </c>
      <c r="X112" s="246">
        <v>18301</v>
      </c>
      <c r="Y112" s="246">
        <v>12540</v>
      </c>
      <c r="Z112" s="246">
        <v>4106</v>
      </c>
      <c r="AA112" s="245">
        <v>173.6</v>
      </c>
      <c r="AB112" s="245">
        <v>173.5</v>
      </c>
      <c r="AC112" s="245">
        <v>782</v>
      </c>
      <c r="AD112" s="246">
        <v>59736</v>
      </c>
      <c r="AE112" s="245">
        <v>38.090000000000003</v>
      </c>
      <c r="AF112" s="245">
        <v>50</v>
      </c>
      <c r="AG112" s="245">
        <v>209.6</v>
      </c>
      <c r="AH112" s="245">
        <v>85.5</v>
      </c>
      <c r="AI112" s="245">
        <v>16.760000000000002</v>
      </c>
      <c r="AJ112" s="245">
        <v>10.6</v>
      </c>
      <c r="AK112" s="245">
        <v>0.05</v>
      </c>
      <c r="AL112" s="245">
        <v>62.7</v>
      </c>
      <c r="AM112" s="245">
        <v>289.3</v>
      </c>
      <c r="AN112" s="75">
        <v>11.079000000000001</v>
      </c>
      <c r="AO112" s="75">
        <v>82.9</v>
      </c>
      <c r="AP112" s="75">
        <v>4.51</v>
      </c>
      <c r="AQ112" s="75">
        <v>0.56999999999999995</v>
      </c>
      <c r="AR112" s="75">
        <v>0.33100000000000002</v>
      </c>
      <c r="AS112" s="75">
        <v>3.2000000000000001E-2</v>
      </c>
      <c r="AT112" s="75">
        <v>0.92</v>
      </c>
      <c r="AU112" s="75">
        <v>0.33600000000000002</v>
      </c>
      <c r="AV112" s="75">
        <v>2.1110000000000002</v>
      </c>
      <c r="AW112" s="245">
        <v>853</v>
      </c>
      <c r="AX112" s="245">
        <v>30.49</v>
      </c>
      <c r="AY112" s="245">
        <v>54.05</v>
      </c>
      <c r="AZ112" s="75">
        <v>7.53</v>
      </c>
      <c r="BA112" s="75">
        <v>30.62</v>
      </c>
      <c r="BB112" s="75">
        <v>5.4509999999999996</v>
      </c>
      <c r="BC112" s="75">
        <v>1.3180000000000001</v>
      </c>
      <c r="BD112" s="75">
        <v>3.9780000000000002</v>
      </c>
      <c r="BE112" s="75">
        <v>0.45600000000000002</v>
      </c>
      <c r="BF112" s="75">
        <v>2.593</v>
      </c>
      <c r="BG112" s="75">
        <v>0.45700000000000002</v>
      </c>
      <c r="BH112" s="75">
        <v>1.3160000000000001</v>
      </c>
      <c r="BI112" s="75">
        <v>0.18099999999999999</v>
      </c>
      <c r="BJ112" s="75">
        <v>1.256</v>
      </c>
      <c r="BK112" s="75">
        <v>0.192</v>
      </c>
      <c r="BL112" s="75">
        <v>2.2440000000000002</v>
      </c>
      <c r="BM112" s="75">
        <v>0.26500000000000001</v>
      </c>
      <c r="BN112" s="75">
        <v>139.328</v>
      </c>
      <c r="BO112" s="75">
        <v>0.27100000000000002</v>
      </c>
      <c r="BP112" s="75">
        <v>5.76</v>
      </c>
      <c r="BQ112" s="75">
        <v>66.900000000000006</v>
      </c>
      <c r="BR112" s="75">
        <v>4.3819999999999997</v>
      </c>
      <c r="BS112" s="75">
        <v>2.141</v>
      </c>
      <c r="BT112" s="39"/>
    </row>
    <row r="113" spans="1:72" s="63" customFormat="1">
      <c r="A113" s="53" t="s">
        <v>307</v>
      </c>
      <c r="B113" s="53" t="s">
        <v>137</v>
      </c>
      <c r="C113" s="165">
        <v>43888</v>
      </c>
      <c r="D113" s="166">
        <v>0.25163200000000002</v>
      </c>
      <c r="E113" s="166">
        <v>34.723950000000002</v>
      </c>
      <c r="F113" s="166" t="s">
        <v>333</v>
      </c>
      <c r="G113" s="165" t="s">
        <v>330</v>
      </c>
      <c r="H113" s="116" t="s">
        <v>347</v>
      </c>
      <c r="I113" s="154" t="s">
        <v>371</v>
      </c>
      <c r="J113" s="55" t="s">
        <v>689</v>
      </c>
      <c r="K113" s="165" t="s">
        <v>369</v>
      </c>
      <c r="L113" s="53" t="s">
        <v>685</v>
      </c>
      <c r="M113" s="53" t="s">
        <v>691</v>
      </c>
      <c r="N113" s="74">
        <v>1.9269935766880419</v>
      </c>
      <c r="O113" s="245">
        <v>7.85</v>
      </c>
      <c r="P113" s="75">
        <v>2.9848599999999998</v>
      </c>
      <c r="Q113" s="245">
        <v>23</v>
      </c>
      <c r="R113" s="75">
        <v>1.17</v>
      </c>
      <c r="S113" s="246">
        <v>11347</v>
      </c>
      <c r="T113" s="246">
        <v>7173</v>
      </c>
      <c r="U113" s="246">
        <v>63485</v>
      </c>
      <c r="V113" s="246">
        <v>569</v>
      </c>
      <c r="W113" s="246">
        <v>4278</v>
      </c>
      <c r="X113" s="246">
        <v>15563</v>
      </c>
      <c r="Y113" s="246">
        <v>23825</v>
      </c>
      <c r="Z113" s="246">
        <v>2823</v>
      </c>
      <c r="AA113" s="245">
        <v>100.1</v>
      </c>
      <c r="AB113" s="245">
        <v>200.5</v>
      </c>
      <c r="AC113" s="245">
        <v>894</v>
      </c>
      <c r="AD113" s="246">
        <v>39754</v>
      </c>
      <c r="AE113" s="245">
        <v>30.95</v>
      </c>
      <c r="AF113" s="245">
        <v>57.3</v>
      </c>
      <c r="AG113" s="245">
        <v>87.3</v>
      </c>
      <c r="AH113" s="245">
        <v>637.20000000000005</v>
      </c>
      <c r="AI113" s="245">
        <v>14.53</v>
      </c>
      <c r="AJ113" s="245">
        <v>2456.5</v>
      </c>
      <c r="AK113" s="245">
        <v>0.52</v>
      </c>
      <c r="AL113" s="245">
        <v>55</v>
      </c>
      <c r="AM113" s="245">
        <v>212.6</v>
      </c>
      <c r="AN113" s="75">
        <v>13.541</v>
      </c>
      <c r="AO113" s="75">
        <v>75.400000000000006</v>
      </c>
      <c r="AP113" s="75">
        <v>8.4700000000000006</v>
      </c>
      <c r="AQ113" s="75">
        <v>2.5099999999999998</v>
      </c>
      <c r="AR113" s="75">
        <v>0.73199999999999998</v>
      </c>
      <c r="AS113" s="75">
        <v>5.0279999999999996</v>
      </c>
      <c r="AT113" s="75">
        <v>1.3</v>
      </c>
      <c r="AU113" s="75">
        <v>3.2029999999999998</v>
      </c>
      <c r="AV113" s="75">
        <v>2.9849999999999999</v>
      </c>
      <c r="AW113" s="245">
        <v>449.7</v>
      </c>
      <c r="AX113" s="245">
        <v>25.87</v>
      </c>
      <c r="AY113" s="245">
        <v>55.67</v>
      </c>
      <c r="AZ113" s="75">
        <v>6.3079999999999998</v>
      </c>
      <c r="BA113" s="75">
        <v>24.97</v>
      </c>
      <c r="BB113" s="75">
        <v>4.718</v>
      </c>
      <c r="BC113" s="75">
        <v>1.121</v>
      </c>
      <c r="BD113" s="75">
        <v>3.6640000000000001</v>
      </c>
      <c r="BE113" s="75">
        <v>0.47399999999999998</v>
      </c>
      <c r="BF113" s="75">
        <v>2.86</v>
      </c>
      <c r="BG113" s="75">
        <v>0.51600000000000001</v>
      </c>
      <c r="BH113" s="75">
        <v>1.37</v>
      </c>
      <c r="BI113" s="75">
        <v>0.193</v>
      </c>
      <c r="BJ113" s="75">
        <v>1.2949999999999999</v>
      </c>
      <c r="BK113" s="75">
        <v>0.192</v>
      </c>
      <c r="BL113" s="75">
        <v>2.036</v>
      </c>
      <c r="BM113" s="75">
        <v>0.49299999999999999</v>
      </c>
      <c r="BN113" s="75">
        <v>9.8800000000000008</v>
      </c>
      <c r="BO113" s="75">
        <v>0.39900000000000002</v>
      </c>
      <c r="BP113" s="75">
        <v>93.53</v>
      </c>
      <c r="BQ113" s="75">
        <v>12.36</v>
      </c>
      <c r="BR113" s="75">
        <v>4.2370000000000001</v>
      </c>
      <c r="BS113" s="75">
        <v>1.752</v>
      </c>
      <c r="BT113" s="62"/>
    </row>
    <row r="114" spans="1:72">
      <c r="A114" s="53" t="s">
        <v>308</v>
      </c>
      <c r="B114" s="53" t="s">
        <v>309</v>
      </c>
      <c r="C114" s="165">
        <v>43888</v>
      </c>
      <c r="D114" s="166">
        <v>0.25193900000000002</v>
      </c>
      <c r="E114" s="166">
        <v>34.723799999999997</v>
      </c>
      <c r="F114" s="166" t="s">
        <v>333</v>
      </c>
      <c r="G114" s="165" t="s">
        <v>330</v>
      </c>
      <c r="H114" s="116" t="s">
        <v>347</v>
      </c>
      <c r="I114" s="154" t="s">
        <v>371</v>
      </c>
      <c r="J114" s="116" t="s">
        <v>687</v>
      </c>
      <c r="K114" s="165" t="s">
        <v>367</v>
      </c>
      <c r="L114" s="53" t="s">
        <v>684</v>
      </c>
      <c r="M114" s="53" t="s">
        <v>683</v>
      </c>
      <c r="N114" s="74">
        <v>8.0456490727532035</v>
      </c>
      <c r="O114" s="245">
        <v>4.88</v>
      </c>
      <c r="P114" s="75">
        <v>4.1962899999999994</v>
      </c>
      <c r="Q114" s="245">
        <v>17</v>
      </c>
      <c r="R114" s="75">
        <v>1.83</v>
      </c>
      <c r="S114" s="246">
        <v>1926</v>
      </c>
      <c r="T114" s="246">
        <v>3048</v>
      </c>
      <c r="U114" s="246">
        <v>73291</v>
      </c>
      <c r="V114" s="246">
        <v>724</v>
      </c>
      <c r="W114" s="246">
        <v>299</v>
      </c>
      <c r="X114" s="246">
        <v>5961</v>
      </c>
      <c r="Y114" s="246">
        <v>2434</v>
      </c>
      <c r="Z114" s="246">
        <v>6555</v>
      </c>
      <c r="AA114" s="245">
        <v>183.7</v>
      </c>
      <c r="AB114" s="245">
        <v>299.60000000000002</v>
      </c>
      <c r="AC114" s="245">
        <v>3575</v>
      </c>
      <c r="AD114" s="246">
        <v>90213</v>
      </c>
      <c r="AE114" s="245">
        <v>57.66</v>
      </c>
      <c r="AF114" s="245">
        <v>110.8</v>
      </c>
      <c r="AG114" s="245">
        <v>118.1</v>
      </c>
      <c r="AH114" s="245">
        <v>106.1</v>
      </c>
      <c r="AI114" s="245">
        <v>19.25</v>
      </c>
      <c r="AJ114" s="245">
        <v>8</v>
      </c>
      <c r="AK114" s="245">
        <v>0.97</v>
      </c>
      <c r="AL114" s="245">
        <v>55.6</v>
      </c>
      <c r="AM114" s="245">
        <v>45</v>
      </c>
      <c r="AN114" s="75">
        <v>27.567</v>
      </c>
      <c r="AO114" s="75">
        <v>205.7</v>
      </c>
      <c r="AP114" s="75">
        <v>44.3</v>
      </c>
      <c r="AQ114" s="75">
        <v>3.37</v>
      </c>
      <c r="AR114" s="75">
        <v>0.153</v>
      </c>
      <c r="AS114" s="75">
        <v>0.28499999999999998</v>
      </c>
      <c r="AT114" s="75">
        <v>3.26</v>
      </c>
      <c r="AU114" s="75">
        <v>0.64400000000000002</v>
      </c>
      <c r="AV114" s="75">
        <v>2.8580000000000001</v>
      </c>
      <c r="AW114" s="245">
        <v>323.8</v>
      </c>
      <c r="AX114" s="245">
        <v>45.46</v>
      </c>
      <c r="AY114" s="245">
        <v>98.92</v>
      </c>
      <c r="AZ114" s="75">
        <v>9.3160000000000007</v>
      </c>
      <c r="BA114" s="75">
        <v>34.950000000000003</v>
      </c>
      <c r="BB114" s="75">
        <v>6.3959999999999999</v>
      </c>
      <c r="BC114" s="75">
        <v>1.306</v>
      </c>
      <c r="BD114" s="75">
        <v>6.0209999999999999</v>
      </c>
      <c r="BE114" s="75">
        <v>0.85399999999999998</v>
      </c>
      <c r="BF114" s="75">
        <v>5.3860000000000001</v>
      </c>
      <c r="BG114" s="75">
        <v>1.052</v>
      </c>
      <c r="BH114" s="75">
        <v>3.0150000000000001</v>
      </c>
      <c r="BI114" s="75">
        <v>0.44400000000000001</v>
      </c>
      <c r="BJ114" s="75">
        <v>2.8519999999999999</v>
      </c>
      <c r="BK114" s="75">
        <v>0.4</v>
      </c>
      <c r="BL114" s="75">
        <v>4.9420000000000002</v>
      </c>
      <c r="BM114" s="75">
        <v>2.383</v>
      </c>
      <c r="BN114" s="75">
        <v>3.3450000000000002</v>
      </c>
      <c r="BO114" s="75">
        <v>0.57799999999999996</v>
      </c>
      <c r="BP114" s="75">
        <v>16.100000000000001</v>
      </c>
      <c r="BQ114" s="75">
        <v>20.49</v>
      </c>
      <c r="BR114" s="75">
        <v>8.4209999999999994</v>
      </c>
      <c r="BS114" s="75">
        <v>2.3719999999999999</v>
      </c>
      <c r="BT114" s="39"/>
    </row>
    <row r="115" spans="1:72">
      <c r="A115" s="53" t="s">
        <v>310</v>
      </c>
      <c r="B115" s="53" t="s">
        <v>260</v>
      </c>
      <c r="C115" s="165">
        <v>43891</v>
      </c>
      <c r="D115" s="166">
        <v>0.10333000000000001</v>
      </c>
      <c r="E115" s="166">
        <v>34.713630000000002</v>
      </c>
      <c r="F115" s="166" t="s">
        <v>344</v>
      </c>
      <c r="G115" s="166" t="s">
        <v>334</v>
      </c>
      <c r="H115" s="116" t="s">
        <v>347</v>
      </c>
      <c r="I115" s="154" t="s">
        <v>371</v>
      </c>
      <c r="J115" s="116" t="s">
        <v>687</v>
      </c>
      <c r="K115" s="165" t="s">
        <v>365</v>
      </c>
      <c r="L115" s="53" t="s">
        <v>685</v>
      </c>
      <c r="M115" s="53" t="s">
        <v>691</v>
      </c>
      <c r="N115" s="74">
        <v>0.63233965673003201</v>
      </c>
      <c r="O115" s="245">
        <v>7.99</v>
      </c>
      <c r="P115" s="75">
        <v>16.282150000000001</v>
      </c>
      <c r="Q115" s="245">
        <v>24</v>
      </c>
      <c r="R115" s="75">
        <v>1.1499999999999999</v>
      </c>
      <c r="S115" s="246">
        <v>18514</v>
      </c>
      <c r="T115" s="246">
        <v>12716</v>
      </c>
      <c r="U115" s="246">
        <v>75836</v>
      </c>
      <c r="V115" s="246">
        <v>1210</v>
      </c>
      <c r="W115" s="246">
        <v>5990</v>
      </c>
      <c r="X115" s="246">
        <v>18250</v>
      </c>
      <c r="Y115" s="246">
        <v>41800</v>
      </c>
      <c r="Z115" s="246">
        <v>3181</v>
      </c>
      <c r="AA115" s="245">
        <v>62.1</v>
      </c>
      <c r="AB115" s="245">
        <v>81.3</v>
      </c>
      <c r="AC115" s="245">
        <v>805</v>
      </c>
      <c r="AD115" s="246">
        <v>32569</v>
      </c>
      <c r="AE115" s="245">
        <v>20.149999999999999</v>
      </c>
      <c r="AF115" s="245">
        <v>49.9</v>
      </c>
      <c r="AG115" s="245">
        <v>19.600000000000001</v>
      </c>
      <c r="AH115" s="245">
        <v>110.7</v>
      </c>
      <c r="AI115" s="245">
        <v>15.97</v>
      </c>
      <c r="AJ115" s="245">
        <v>8705.7000000000007</v>
      </c>
      <c r="AK115" s="245">
        <v>0.18</v>
      </c>
      <c r="AL115" s="245">
        <v>50.1</v>
      </c>
      <c r="AM115" s="245">
        <v>511.1</v>
      </c>
      <c r="AN115" s="75">
        <v>8.7720000000000002</v>
      </c>
      <c r="AO115" s="75">
        <v>87.1</v>
      </c>
      <c r="AP115" s="75">
        <v>5.26</v>
      </c>
      <c r="AQ115" s="75">
        <v>0.98</v>
      </c>
      <c r="AR115" s="75">
        <v>2.2690000000000001</v>
      </c>
      <c r="AS115" s="75">
        <v>0.78600000000000003</v>
      </c>
      <c r="AT115" s="75">
        <v>0.85</v>
      </c>
      <c r="AU115" s="75">
        <v>3.22</v>
      </c>
      <c r="AV115" s="75">
        <v>2.746</v>
      </c>
      <c r="AW115" s="245">
        <v>402.9</v>
      </c>
      <c r="AX115" s="245">
        <v>26.57</v>
      </c>
      <c r="AY115" s="245">
        <v>61.65</v>
      </c>
      <c r="AZ115" s="75">
        <v>7.6210000000000004</v>
      </c>
      <c r="BA115" s="75">
        <v>31.18</v>
      </c>
      <c r="BB115" s="75">
        <v>5.133</v>
      </c>
      <c r="BC115" s="75">
        <v>1.3680000000000001</v>
      </c>
      <c r="BD115" s="75">
        <v>3.6419999999999999</v>
      </c>
      <c r="BE115" s="75">
        <v>0.41</v>
      </c>
      <c r="BF115" s="75">
        <v>2.117</v>
      </c>
      <c r="BG115" s="75">
        <v>0.35099999999999998</v>
      </c>
      <c r="BH115" s="75">
        <v>0.86099999999999999</v>
      </c>
      <c r="BI115" s="75">
        <v>0.122</v>
      </c>
      <c r="BJ115" s="75">
        <v>0.73799999999999999</v>
      </c>
      <c r="BK115" s="75">
        <v>0.105</v>
      </c>
      <c r="BL115" s="75">
        <v>2.3180000000000001</v>
      </c>
      <c r="BM115" s="75">
        <v>0.32900000000000001</v>
      </c>
      <c r="BN115" s="75">
        <v>1.857</v>
      </c>
      <c r="BO115" s="75">
        <v>0.27</v>
      </c>
      <c r="BP115" s="75">
        <v>69.150000000000006</v>
      </c>
      <c r="BQ115" s="75">
        <v>4.18</v>
      </c>
      <c r="BR115" s="75">
        <v>2.4969999999999999</v>
      </c>
      <c r="BS115" s="75">
        <v>0.59899999999999998</v>
      </c>
      <c r="BT115" s="39"/>
    </row>
    <row r="116" spans="1:72">
      <c r="A116" s="53" t="s">
        <v>311</v>
      </c>
      <c r="B116" s="53" t="s">
        <v>312</v>
      </c>
      <c r="C116" s="165">
        <v>43891</v>
      </c>
      <c r="D116" s="166">
        <v>0.1033</v>
      </c>
      <c r="E116" s="166">
        <v>34.713630000000002</v>
      </c>
      <c r="F116" s="166" t="s">
        <v>344</v>
      </c>
      <c r="G116" s="166" t="s">
        <v>334</v>
      </c>
      <c r="H116" s="116" t="s">
        <v>347</v>
      </c>
      <c r="I116" s="154" t="s">
        <v>371</v>
      </c>
      <c r="J116" s="116" t="s">
        <v>687</v>
      </c>
      <c r="K116" s="165" t="s">
        <v>367</v>
      </c>
      <c r="L116" s="53" t="s">
        <v>684</v>
      </c>
      <c r="M116" s="53" t="s">
        <v>683</v>
      </c>
      <c r="N116" s="74">
        <v>6.1630792313462832</v>
      </c>
      <c r="O116" s="245">
        <v>4.5</v>
      </c>
      <c r="P116" s="75">
        <v>0.90408999999999995</v>
      </c>
      <c r="Q116" s="245">
        <v>22</v>
      </c>
      <c r="R116" s="75">
        <v>3.04</v>
      </c>
      <c r="S116" s="246">
        <v>886</v>
      </c>
      <c r="T116" s="246">
        <v>1592</v>
      </c>
      <c r="U116" s="246">
        <v>98107</v>
      </c>
      <c r="V116" s="246">
        <v>839</v>
      </c>
      <c r="W116" s="246">
        <v>280</v>
      </c>
      <c r="X116" s="246">
        <v>6034</v>
      </c>
      <c r="Y116" s="246">
        <v>577</v>
      </c>
      <c r="Z116" s="246">
        <v>7680</v>
      </c>
      <c r="AA116" s="245">
        <v>179.1</v>
      </c>
      <c r="AB116" s="245">
        <v>146.69999999999999</v>
      </c>
      <c r="AC116" s="245">
        <v>5680</v>
      </c>
      <c r="AD116" s="246">
        <v>96955</v>
      </c>
      <c r="AE116" s="245">
        <v>57.35</v>
      </c>
      <c r="AF116" s="245">
        <v>71.900000000000006</v>
      </c>
      <c r="AG116" s="245">
        <v>72.099999999999994</v>
      </c>
      <c r="AH116" s="245">
        <v>144.69999999999999</v>
      </c>
      <c r="AI116" s="245">
        <v>28.02</v>
      </c>
      <c r="AJ116" s="245">
        <v>55.7</v>
      </c>
      <c r="AK116" s="245">
        <v>1.04</v>
      </c>
      <c r="AL116" s="245">
        <v>69.900000000000006</v>
      </c>
      <c r="AM116" s="245">
        <v>22</v>
      </c>
      <c r="AN116" s="75">
        <v>61.015000000000001</v>
      </c>
      <c r="AO116" s="75">
        <v>481.9</v>
      </c>
      <c r="AP116" s="75">
        <v>110.87</v>
      </c>
      <c r="AQ116" s="75">
        <v>6.11</v>
      </c>
      <c r="AR116" s="75">
        <v>0.13400000000000001</v>
      </c>
      <c r="AS116" s="75">
        <v>0.27200000000000002</v>
      </c>
      <c r="AT116" s="75">
        <v>4.49</v>
      </c>
      <c r="AU116" s="75">
        <v>0.76500000000000001</v>
      </c>
      <c r="AV116" s="75">
        <v>3.089</v>
      </c>
      <c r="AW116" s="245">
        <v>407.8</v>
      </c>
      <c r="AX116" s="245">
        <v>115.48</v>
      </c>
      <c r="AY116" s="245">
        <v>243.87</v>
      </c>
      <c r="AZ116" s="75">
        <v>22.515999999999998</v>
      </c>
      <c r="BA116" s="75">
        <v>82.46</v>
      </c>
      <c r="BB116" s="75">
        <v>14.621</v>
      </c>
      <c r="BC116" s="75">
        <v>2.36</v>
      </c>
      <c r="BD116" s="75">
        <v>13.17</v>
      </c>
      <c r="BE116" s="75">
        <v>1.9279999999999999</v>
      </c>
      <c r="BF116" s="75">
        <v>12.260999999999999</v>
      </c>
      <c r="BG116" s="75">
        <v>2.3889999999999998</v>
      </c>
      <c r="BH116" s="75">
        <v>6.7590000000000003</v>
      </c>
      <c r="BI116" s="75">
        <v>0.96099999999999997</v>
      </c>
      <c r="BJ116" s="75">
        <v>6.44</v>
      </c>
      <c r="BK116" s="75">
        <v>0.91100000000000003</v>
      </c>
      <c r="BL116" s="75">
        <v>10.996</v>
      </c>
      <c r="BM116" s="75">
        <v>6.032</v>
      </c>
      <c r="BN116" s="75">
        <v>2.859</v>
      </c>
      <c r="BO116" s="75">
        <v>0.85599999999999998</v>
      </c>
      <c r="BP116" s="75">
        <v>28.79</v>
      </c>
      <c r="BQ116" s="75">
        <v>0.28999999999999998</v>
      </c>
      <c r="BR116" s="75">
        <v>15.56</v>
      </c>
      <c r="BS116" s="75">
        <v>3.8879999999999999</v>
      </c>
      <c r="BT116" s="39"/>
    </row>
    <row r="117" spans="1:72">
      <c r="A117" s="53" t="s">
        <v>313</v>
      </c>
      <c r="B117" s="53" t="s">
        <v>314</v>
      </c>
      <c r="C117" s="165">
        <v>44065</v>
      </c>
      <c r="D117" s="166">
        <v>0.46544799999999997</v>
      </c>
      <c r="E117" s="166">
        <v>34.870607999999997</v>
      </c>
      <c r="F117" s="166" t="s">
        <v>331</v>
      </c>
      <c r="G117" s="165" t="s">
        <v>330</v>
      </c>
      <c r="H117" s="116" t="s">
        <v>347</v>
      </c>
      <c r="I117" s="154" t="s">
        <v>362</v>
      </c>
      <c r="J117" s="154" t="s">
        <v>362</v>
      </c>
      <c r="K117" s="165" t="s">
        <v>366</v>
      </c>
      <c r="L117" s="53" t="s">
        <v>684</v>
      </c>
      <c r="M117" s="53" t="s">
        <v>683</v>
      </c>
      <c r="N117" s="74">
        <v>10.388658029821652</v>
      </c>
      <c r="O117" s="245">
        <v>4.45</v>
      </c>
      <c r="P117" s="75">
        <v>4.7700000000000006E-2</v>
      </c>
      <c r="Q117" s="245">
        <v>23</v>
      </c>
      <c r="R117" s="75">
        <v>2.08</v>
      </c>
      <c r="S117" s="246">
        <v>709</v>
      </c>
      <c r="T117" s="246">
        <v>1654</v>
      </c>
      <c r="U117" s="246">
        <v>93489</v>
      </c>
      <c r="V117" s="246">
        <v>656</v>
      </c>
      <c r="W117" s="246">
        <v>302</v>
      </c>
      <c r="X117" s="246">
        <v>2499</v>
      </c>
      <c r="Y117" s="246">
        <v>1526</v>
      </c>
      <c r="Z117" s="246">
        <v>9340</v>
      </c>
      <c r="AA117" s="245">
        <v>219.3</v>
      </c>
      <c r="AB117" s="245">
        <v>221</v>
      </c>
      <c r="AC117" s="245">
        <v>1793</v>
      </c>
      <c r="AD117" s="246">
        <v>96420</v>
      </c>
      <c r="AE117" s="245">
        <v>26.35</v>
      </c>
      <c r="AF117" s="245">
        <v>91.2</v>
      </c>
      <c r="AG117" s="245">
        <v>92.6</v>
      </c>
      <c r="AH117" s="245">
        <v>121.9</v>
      </c>
      <c r="AI117" s="245">
        <v>26.17</v>
      </c>
      <c r="AJ117" s="245">
        <v>3.6</v>
      </c>
      <c r="AK117" s="245">
        <v>0.93</v>
      </c>
      <c r="AL117" s="245">
        <v>32</v>
      </c>
      <c r="AM117" s="245">
        <v>17</v>
      </c>
      <c r="AN117" s="75">
        <v>66.81</v>
      </c>
      <c r="AO117" s="75">
        <v>378.6</v>
      </c>
      <c r="AP117" s="75">
        <v>86.78</v>
      </c>
      <c r="AQ117" s="75">
        <v>3.25</v>
      </c>
      <c r="AR117" s="75">
        <v>0.1</v>
      </c>
      <c r="AS117" s="75">
        <v>0.152</v>
      </c>
      <c r="AT117" s="75">
        <v>3.72</v>
      </c>
      <c r="AU117" s="75">
        <v>0.36</v>
      </c>
      <c r="AV117" s="75">
        <v>2.9590000000000001</v>
      </c>
      <c r="AW117" s="245">
        <v>130.9</v>
      </c>
      <c r="AX117" s="245">
        <v>77.959999999999994</v>
      </c>
      <c r="AY117" s="245">
        <v>78.239999999999995</v>
      </c>
      <c r="AZ117" s="75">
        <v>16.074999999999999</v>
      </c>
      <c r="BA117" s="75">
        <v>59.91</v>
      </c>
      <c r="BB117" s="75">
        <v>11.824999999999999</v>
      </c>
      <c r="BC117" s="75">
        <v>2.3149999999999999</v>
      </c>
      <c r="BD117" s="75">
        <v>12.308999999999999</v>
      </c>
      <c r="BE117" s="75">
        <v>1.8580000000000001</v>
      </c>
      <c r="BF117" s="75">
        <v>12.254</v>
      </c>
      <c r="BG117" s="75">
        <v>2.4729999999999999</v>
      </c>
      <c r="BH117" s="75">
        <v>6.9020000000000001</v>
      </c>
      <c r="BI117" s="75">
        <v>0.99399999999999999</v>
      </c>
      <c r="BJ117" s="75">
        <v>6.532</v>
      </c>
      <c r="BK117" s="75">
        <v>0.93600000000000005</v>
      </c>
      <c r="BL117" s="75">
        <v>8.5429999999999993</v>
      </c>
      <c r="BM117" s="75">
        <v>4.7770000000000001</v>
      </c>
      <c r="BN117" s="75">
        <v>1.6779999999999999</v>
      </c>
      <c r="BO117" s="75">
        <v>0.24299999999999999</v>
      </c>
      <c r="BP117" s="75">
        <v>11.14</v>
      </c>
      <c r="BQ117" s="75">
        <v>0.23</v>
      </c>
      <c r="BR117" s="75">
        <v>11.439</v>
      </c>
      <c r="BS117" s="75">
        <v>2.496</v>
      </c>
      <c r="BT117" s="39"/>
    </row>
    <row r="118" spans="1:72">
      <c r="A118" s="53" t="s">
        <v>315</v>
      </c>
      <c r="B118" s="53" t="s">
        <v>316</v>
      </c>
      <c r="C118" s="165">
        <v>44065</v>
      </c>
      <c r="D118" s="166">
        <v>0.46544799999999997</v>
      </c>
      <c r="E118" s="166">
        <v>34.870607999999997</v>
      </c>
      <c r="F118" s="166" t="s">
        <v>331</v>
      </c>
      <c r="G118" s="165" t="s">
        <v>330</v>
      </c>
      <c r="H118" s="116" t="s">
        <v>347</v>
      </c>
      <c r="I118" s="154" t="s">
        <v>362</v>
      </c>
      <c r="J118" s="154" t="s">
        <v>362</v>
      </c>
      <c r="K118" s="165" t="s">
        <v>367</v>
      </c>
      <c r="L118" s="53" t="s">
        <v>684</v>
      </c>
      <c r="M118" s="53" t="s">
        <v>683</v>
      </c>
      <c r="N118" s="74">
        <v>10.975967174677779</v>
      </c>
      <c r="O118" s="245">
        <v>4.8499999999999996</v>
      </c>
      <c r="P118" s="75">
        <v>3.8360000000000005E-2</v>
      </c>
      <c r="Q118" s="245">
        <v>24</v>
      </c>
      <c r="R118" s="75">
        <v>2.0699999999999998</v>
      </c>
      <c r="S118" s="246">
        <v>768</v>
      </c>
      <c r="T118" s="246">
        <v>1747</v>
      </c>
      <c r="U118" s="246">
        <v>94249</v>
      </c>
      <c r="V118" s="246">
        <v>722</v>
      </c>
      <c r="W118" s="246">
        <v>271</v>
      </c>
      <c r="X118" s="246">
        <v>2714</v>
      </c>
      <c r="Y118" s="246">
        <v>1928</v>
      </c>
      <c r="Z118" s="246">
        <v>10421</v>
      </c>
      <c r="AA118" s="245">
        <v>217.1</v>
      </c>
      <c r="AB118" s="245">
        <v>214.7</v>
      </c>
      <c r="AC118" s="245">
        <v>2018</v>
      </c>
      <c r="AD118" s="246">
        <v>94275</v>
      </c>
      <c r="AE118" s="245">
        <v>31.56</v>
      </c>
      <c r="AF118" s="245">
        <v>91.1</v>
      </c>
      <c r="AG118" s="245">
        <v>95.8</v>
      </c>
      <c r="AH118" s="245">
        <v>123.9</v>
      </c>
      <c r="AI118" s="245">
        <v>26.12</v>
      </c>
      <c r="AJ118" s="245">
        <v>3.3</v>
      </c>
      <c r="AK118" s="245">
        <v>0.79</v>
      </c>
      <c r="AL118" s="245">
        <v>30.8</v>
      </c>
      <c r="AM118" s="245">
        <v>18.899999999999999</v>
      </c>
      <c r="AN118" s="75">
        <v>63.286999999999999</v>
      </c>
      <c r="AO118" s="75">
        <v>360.5</v>
      </c>
      <c r="AP118" s="75">
        <v>83.64</v>
      </c>
      <c r="AQ118" s="75">
        <v>3.03</v>
      </c>
      <c r="AR118" s="75">
        <v>8.5000000000000006E-2</v>
      </c>
      <c r="AS118" s="75">
        <v>0.18</v>
      </c>
      <c r="AT118" s="75">
        <v>3.6</v>
      </c>
      <c r="AU118" s="75">
        <v>0.41099999999999998</v>
      </c>
      <c r="AV118" s="75">
        <v>3.07</v>
      </c>
      <c r="AW118" s="245">
        <v>143.69999999999999</v>
      </c>
      <c r="AX118" s="245">
        <v>74.22</v>
      </c>
      <c r="AY118" s="245">
        <v>76.75</v>
      </c>
      <c r="AZ118" s="75">
        <v>14.943</v>
      </c>
      <c r="BA118" s="75">
        <v>55.84</v>
      </c>
      <c r="BB118" s="75">
        <v>10.901</v>
      </c>
      <c r="BC118" s="75">
        <v>2.16</v>
      </c>
      <c r="BD118" s="75">
        <v>11.629</v>
      </c>
      <c r="BE118" s="75">
        <v>1.748</v>
      </c>
      <c r="BF118" s="75">
        <v>11.688000000000001</v>
      </c>
      <c r="BG118" s="75">
        <v>2.343</v>
      </c>
      <c r="BH118" s="75">
        <v>6.5439999999999996</v>
      </c>
      <c r="BI118" s="75">
        <v>0.91400000000000003</v>
      </c>
      <c r="BJ118" s="75">
        <v>6.0979999999999999</v>
      </c>
      <c r="BK118" s="75">
        <v>0.86099999999999999</v>
      </c>
      <c r="BL118" s="75">
        <v>8.1359999999999992</v>
      </c>
      <c r="BM118" s="75">
        <v>4.556</v>
      </c>
      <c r="BN118" s="75">
        <v>1.591</v>
      </c>
      <c r="BO118" s="75">
        <v>0.249</v>
      </c>
      <c r="BP118" s="75">
        <v>11.27</v>
      </c>
      <c r="BQ118" s="75">
        <v>0.2</v>
      </c>
      <c r="BR118" s="75">
        <v>11.13</v>
      </c>
      <c r="BS118" s="75">
        <v>2.5209999999999999</v>
      </c>
      <c r="BT118" s="39"/>
    </row>
    <row r="119" spans="1:72" s="52" customFormat="1">
      <c r="A119" s="53" t="s">
        <v>317</v>
      </c>
      <c r="B119" s="53" t="s">
        <v>318</v>
      </c>
      <c r="C119" s="165">
        <v>44065</v>
      </c>
      <c r="D119" s="166">
        <v>0.46636899999999998</v>
      </c>
      <c r="E119" s="166">
        <v>34.869613000000001</v>
      </c>
      <c r="F119" s="166" t="s">
        <v>331</v>
      </c>
      <c r="G119" s="165" t="s">
        <v>330</v>
      </c>
      <c r="H119" s="116" t="s">
        <v>347</v>
      </c>
      <c r="I119" s="154" t="s">
        <v>362</v>
      </c>
      <c r="J119" s="154" t="s">
        <v>362</v>
      </c>
      <c r="K119" s="165" t="s">
        <v>708</v>
      </c>
      <c r="L119" s="53" t="s">
        <v>684</v>
      </c>
      <c r="M119" s="53" t="s">
        <v>683</v>
      </c>
      <c r="N119" s="74">
        <v>21.625089094796625</v>
      </c>
      <c r="O119" s="245">
        <v>6.05</v>
      </c>
      <c r="P119" s="75">
        <v>7.8829999999999997E-2</v>
      </c>
      <c r="Q119" s="245">
        <v>20</v>
      </c>
      <c r="R119" s="75">
        <v>1.68</v>
      </c>
      <c r="S119" s="246">
        <v>1389</v>
      </c>
      <c r="T119" s="246">
        <v>2190</v>
      </c>
      <c r="U119" s="246">
        <v>73194</v>
      </c>
      <c r="V119" s="246">
        <v>999</v>
      </c>
      <c r="W119" s="246">
        <v>726</v>
      </c>
      <c r="X119" s="246">
        <v>3793</v>
      </c>
      <c r="Y119" s="246">
        <v>9795</v>
      </c>
      <c r="Z119" s="246">
        <v>10730</v>
      </c>
      <c r="AA119" s="245">
        <v>255.8</v>
      </c>
      <c r="AB119" s="245">
        <v>175</v>
      </c>
      <c r="AC119" s="245">
        <v>2561</v>
      </c>
      <c r="AD119" s="246">
        <v>90852</v>
      </c>
      <c r="AE119" s="245">
        <v>40.78</v>
      </c>
      <c r="AF119" s="245">
        <v>91.4</v>
      </c>
      <c r="AG119" s="245">
        <v>93.2</v>
      </c>
      <c r="AH119" s="245">
        <v>151.80000000000001</v>
      </c>
      <c r="AI119" s="245">
        <v>20.18</v>
      </c>
      <c r="AJ119" s="245">
        <v>2</v>
      </c>
      <c r="AK119" s="245">
        <v>1.18</v>
      </c>
      <c r="AL119" s="245">
        <v>40.799999999999997</v>
      </c>
      <c r="AM119" s="245">
        <v>49.1</v>
      </c>
      <c r="AN119" s="75">
        <v>51.558999999999997</v>
      </c>
      <c r="AO119" s="75">
        <v>206.4</v>
      </c>
      <c r="AP119" s="75">
        <v>44.98</v>
      </c>
      <c r="AQ119" s="75">
        <v>1.65</v>
      </c>
      <c r="AR119" s="75">
        <v>7.0999999999999994E-2</v>
      </c>
      <c r="AS119" s="75">
        <v>0.33400000000000002</v>
      </c>
      <c r="AT119" s="75">
        <v>2.2400000000000002</v>
      </c>
      <c r="AU119" s="75">
        <v>0.29599999999999999</v>
      </c>
      <c r="AV119" s="75">
        <v>2.3319999999999999</v>
      </c>
      <c r="AW119" s="245">
        <v>251.6</v>
      </c>
      <c r="AX119" s="245">
        <v>52.01</v>
      </c>
      <c r="AY119" s="245">
        <v>55.24</v>
      </c>
      <c r="AZ119" s="75">
        <v>9.7349999999999994</v>
      </c>
      <c r="BA119" s="75">
        <v>37.29</v>
      </c>
      <c r="BB119" s="75">
        <v>7.625</v>
      </c>
      <c r="BC119" s="75">
        <v>1.794</v>
      </c>
      <c r="BD119" s="75">
        <v>8.8699999999999992</v>
      </c>
      <c r="BE119" s="75">
        <v>1.3360000000000001</v>
      </c>
      <c r="BF119" s="75">
        <v>8.9369999999999994</v>
      </c>
      <c r="BG119" s="75">
        <v>1.718</v>
      </c>
      <c r="BH119" s="75">
        <v>4.7910000000000004</v>
      </c>
      <c r="BI119" s="75">
        <v>0.70799999999999996</v>
      </c>
      <c r="BJ119" s="75">
        <v>4.1079999999999997</v>
      </c>
      <c r="BK119" s="75">
        <v>0.61799999999999999</v>
      </c>
      <c r="BL119" s="75">
        <v>5.21</v>
      </c>
      <c r="BM119" s="75">
        <v>2.4660000000000002</v>
      </c>
      <c r="BN119" s="75">
        <v>0.95899999999999996</v>
      </c>
      <c r="BO119" s="75">
        <v>0.21099999999999999</v>
      </c>
      <c r="BP119" s="75">
        <v>8.51</v>
      </c>
      <c r="BQ119" s="75">
        <v>0.16</v>
      </c>
      <c r="BR119" s="75">
        <v>6.06</v>
      </c>
      <c r="BS119" s="75">
        <v>1.2150000000000001</v>
      </c>
      <c r="BT119" s="248"/>
    </row>
    <row r="120" spans="1:72">
      <c r="A120" s="53" t="s">
        <v>319</v>
      </c>
      <c r="B120" s="53" t="s">
        <v>320</v>
      </c>
      <c r="C120" s="165">
        <v>44065</v>
      </c>
      <c r="D120" s="166">
        <v>0.46534199999999998</v>
      </c>
      <c r="E120" s="166">
        <v>34.885432999999999</v>
      </c>
      <c r="F120" s="166" t="s">
        <v>336</v>
      </c>
      <c r="G120" s="165" t="s">
        <v>330</v>
      </c>
      <c r="H120" s="116" t="s">
        <v>347</v>
      </c>
      <c r="I120" s="154" t="s">
        <v>362</v>
      </c>
      <c r="J120" s="154" t="s">
        <v>362</v>
      </c>
      <c r="K120" s="165" t="s">
        <v>370</v>
      </c>
      <c r="L120" s="53" t="s">
        <v>684</v>
      </c>
      <c r="M120" s="53" t="s">
        <v>683</v>
      </c>
      <c r="N120" s="74">
        <v>4.1774231401082087</v>
      </c>
      <c r="O120" s="245">
        <v>5.07</v>
      </c>
      <c r="P120" s="75" t="s">
        <v>304</v>
      </c>
      <c r="Q120" s="245">
        <v>15</v>
      </c>
      <c r="R120" s="75">
        <v>1.35</v>
      </c>
      <c r="S120" s="246">
        <v>1966</v>
      </c>
      <c r="T120" s="246">
        <v>1616</v>
      </c>
      <c r="U120" s="246">
        <v>63304</v>
      </c>
      <c r="V120" s="246">
        <v>351</v>
      </c>
      <c r="W120" s="246">
        <v>138</v>
      </c>
      <c r="X120" s="246">
        <v>7632</v>
      </c>
      <c r="Y120" s="246">
        <v>1942</v>
      </c>
      <c r="Z120" s="246">
        <v>3923</v>
      </c>
      <c r="AA120" s="245">
        <v>83.7</v>
      </c>
      <c r="AB120" s="245">
        <v>101.8</v>
      </c>
      <c r="AC120" s="245">
        <v>447</v>
      </c>
      <c r="AD120" s="246">
        <v>44021</v>
      </c>
      <c r="AE120" s="245">
        <v>13.5</v>
      </c>
      <c r="AF120" s="245">
        <v>35</v>
      </c>
      <c r="AG120" s="245">
        <v>18.2</v>
      </c>
      <c r="AH120" s="245">
        <v>42.1</v>
      </c>
      <c r="AI120" s="245">
        <v>16.559999999999999</v>
      </c>
      <c r="AJ120" s="245">
        <v>2.9</v>
      </c>
      <c r="AK120" s="245">
        <v>0.28999999999999998</v>
      </c>
      <c r="AL120" s="245">
        <v>36.4</v>
      </c>
      <c r="AM120" s="245">
        <v>65.5</v>
      </c>
      <c r="AN120" s="75">
        <v>24.52</v>
      </c>
      <c r="AO120" s="75">
        <v>182.6</v>
      </c>
      <c r="AP120" s="75">
        <v>37.32</v>
      </c>
      <c r="AQ120" s="75">
        <v>2.33</v>
      </c>
      <c r="AR120" s="75">
        <v>5.7000000000000002E-2</v>
      </c>
      <c r="AS120" s="75">
        <v>4.9000000000000002E-2</v>
      </c>
      <c r="AT120" s="75">
        <v>2.73</v>
      </c>
      <c r="AU120" s="75">
        <v>0.83599999999999997</v>
      </c>
      <c r="AV120" s="75">
        <v>1.7669999999999999</v>
      </c>
      <c r="AW120" s="245">
        <v>392.3</v>
      </c>
      <c r="AX120" s="245">
        <v>52.54</v>
      </c>
      <c r="AY120" s="245">
        <v>102.43</v>
      </c>
      <c r="AZ120" s="75">
        <v>11.196999999999999</v>
      </c>
      <c r="BA120" s="75">
        <v>40.86</v>
      </c>
      <c r="BB120" s="75">
        <v>7.1630000000000003</v>
      </c>
      <c r="BC120" s="75">
        <v>1.36</v>
      </c>
      <c r="BD120" s="75">
        <v>5.7549999999999999</v>
      </c>
      <c r="BE120" s="75">
        <v>0.81699999999999995</v>
      </c>
      <c r="BF120" s="75">
        <v>5.0780000000000003</v>
      </c>
      <c r="BG120" s="75">
        <v>0.98399999999999999</v>
      </c>
      <c r="BH120" s="75">
        <v>2.827</v>
      </c>
      <c r="BI120" s="75">
        <v>0.40899999999999997</v>
      </c>
      <c r="BJ120" s="75">
        <v>2.7989999999999999</v>
      </c>
      <c r="BK120" s="75">
        <v>0.39400000000000002</v>
      </c>
      <c r="BL120" s="75">
        <v>4.3929999999999998</v>
      </c>
      <c r="BM120" s="75">
        <v>2.2240000000000002</v>
      </c>
      <c r="BN120" s="75">
        <v>1.111</v>
      </c>
      <c r="BO120" s="75">
        <v>0.246</v>
      </c>
      <c r="BP120" s="75">
        <v>16.62</v>
      </c>
      <c r="BQ120" s="75">
        <v>0.14000000000000001</v>
      </c>
      <c r="BR120" s="75">
        <v>9.5969999999999995</v>
      </c>
      <c r="BS120" s="75">
        <v>2.754</v>
      </c>
      <c r="BT120" s="39"/>
    </row>
    <row r="121" spans="1:72">
      <c r="A121" s="53" t="s">
        <v>321</v>
      </c>
      <c r="B121" s="53" t="s">
        <v>322</v>
      </c>
      <c r="C121" s="165">
        <v>44065</v>
      </c>
      <c r="D121" s="166">
        <v>0.195803</v>
      </c>
      <c r="E121" s="166">
        <v>34.487564999999996</v>
      </c>
      <c r="F121" s="166" t="s">
        <v>337</v>
      </c>
      <c r="G121" s="165" t="s">
        <v>330</v>
      </c>
      <c r="H121" s="116" t="s">
        <v>347</v>
      </c>
      <c r="I121" s="154" t="s">
        <v>362</v>
      </c>
      <c r="J121" s="154" t="s">
        <v>362</v>
      </c>
      <c r="K121" s="165" t="s">
        <v>366</v>
      </c>
      <c r="L121" s="53" t="s">
        <v>684</v>
      </c>
      <c r="M121" s="53" t="s">
        <v>683</v>
      </c>
      <c r="N121" s="74">
        <v>4.9907377138498248</v>
      </c>
      <c r="O121" s="245">
        <v>5.82</v>
      </c>
      <c r="P121" s="75">
        <v>4.9710000000000004E-2</v>
      </c>
      <c r="Q121" s="245">
        <v>12</v>
      </c>
      <c r="R121" s="75">
        <v>1.4</v>
      </c>
      <c r="S121" s="246">
        <v>1597</v>
      </c>
      <c r="T121" s="246">
        <v>1619</v>
      </c>
      <c r="U121" s="246">
        <v>90581</v>
      </c>
      <c r="V121" s="246">
        <v>572</v>
      </c>
      <c r="W121" s="246">
        <v>307</v>
      </c>
      <c r="X121" s="246">
        <v>14613</v>
      </c>
      <c r="Y121" s="246">
        <v>1410</v>
      </c>
      <c r="Z121" s="246">
        <v>3059</v>
      </c>
      <c r="AA121" s="245">
        <v>101</v>
      </c>
      <c r="AB121" s="245">
        <v>108.1</v>
      </c>
      <c r="AC121" s="245">
        <v>1874</v>
      </c>
      <c r="AD121" s="246">
        <v>50888</v>
      </c>
      <c r="AE121" s="245">
        <v>36.01</v>
      </c>
      <c r="AF121" s="245">
        <v>37.700000000000003</v>
      </c>
      <c r="AG121" s="245">
        <v>35.9</v>
      </c>
      <c r="AH121" s="245">
        <v>109.9</v>
      </c>
      <c r="AI121" s="245">
        <v>23.72</v>
      </c>
      <c r="AJ121" s="245">
        <v>13.8</v>
      </c>
      <c r="AK121" s="245">
        <v>0.56999999999999995</v>
      </c>
      <c r="AL121" s="245">
        <v>79.5</v>
      </c>
      <c r="AM121" s="245">
        <v>71.7</v>
      </c>
      <c r="AN121" s="75">
        <v>17.68</v>
      </c>
      <c r="AO121" s="75">
        <v>239.5</v>
      </c>
      <c r="AP121" s="75">
        <v>42.68</v>
      </c>
      <c r="AQ121" s="75">
        <v>2.9</v>
      </c>
      <c r="AR121" s="75">
        <v>7.3999999999999996E-2</v>
      </c>
      <c r="AS121" s="75">
        <v>8.2000000000000003E-2</v>
      </c>
      <c r="AT121" s="75">
        <v>2.36</v>
      </c>
      <c r="AU121" s="75">
        <v>0.53900000000000003</v>
      </c>
      <c r="AV121" s="75">
        <v>2.8119999999999998</v>
      </c>
      <c r="AW121" s="245">
        <v>413</v>
      </c>
      <c r="AX121" s="245">
        <v>32.17</v>
      </c>
      <c r="AY121" s="245">
        <v>112.31</v>
      </c>
      <c r="AZ121" s="75">
        <v>6.97</v>
      </c>
      <c r="BA121" s="75">
        <v>25.96</v>
      </c>
      <c r="BB121" s="75">
        <v>4.8140000000000001</v>
      </c>
      <c r="BC121" s="75">
        <v>0.99099999999999999</v>
      </c>
      <c r="BD121" s="75">
        <v>4.0350000000000001</v>
      </c>
      <c r="BE121" s="75">
        <v>0.57899999999999996</v>
      </c>
      <c r="BF121" s="75">
        <v>3.6640000000000001</v>
      </c>
      <c r="BG121" s="75">
        <v>0.7</v>
      </c>
      <c r="BH121" s="75">
        <v>2.3839999999999999</v>
      </c>
      <c r="BI121" s="75">
        <v>0.29799999999999999</v>
      </c>
      <c r="BJ121" s="75">
        <v>2.0190000000000001</v>
      </c>
      <c r="BK121" s="75">
        <v>0.27500000000000002</v>
      </c>
      <c r="BL121" s="75">
        <v>6.06</v>
      </c>
      <c r="BM121" s="75">
        <v>2.2770000000000001</v>
      </c>
      <c r="BN121" s="75">
        <v>0.995</v>
      </c>
      <c r="BO121" s="75">
        <v>0.47299999999999998</v>
      </c>
      <c r="BP121" s="75">
        <v>15.35</v>
      </c>
      <c r="BQ121" s="75">
        <v>0.21</v>
      </c>
      <c r="BR121" s="75">
        <v>8.9909999999999997</v>
      </c>
      <c r="BS121" s="75">
        <v>2.2919999999999998</v>
      </c>
      <c r="BT121" s="39"/>
    </row>
    <row r="122" spans="1:72">
      <c r="A122" s="53" t="s">
        <v>323</v>
      </c>
      <c r="B122" s="53" t="s">
        <v>322</v>
      </c>
      <c r="C122" s="165">
        <v>44065</v>
      </c>
      <c r="D122" s="166">
        <v>0.195803</v>
      </c>
      <c r="E122" s="166">
        <v>34.487564999999996</v>
      </c>
      <c r="F122" s="166" t="s">
        <v>337</v>
      </c>
      <c r="G122" s="165" t="s">
        <v>330</v>
      </c>
      <c r="H122" s="116" t="s">
        <v>347</v>
      </c>
      <c r="I122" s="154" t="s">
        <v>362</v>
      </c>
      <c r="J122" s="154" t="s">
        <v>362</v>
      </c>
      <c r="K122" s="165" t="s">
        <v>366</v>
      </c>
      <c r="L122" s="53" t="s">
        <v>684</v>
      </c>
      <c r="M122" s="53" t="s">
        <v>683</v>
      </c>
      <c r="N122" s="74" t="s">
        <v>288</v>
      </c>
      <c r="O122" s="247" t="s">
        <v>288</v>
      </c>
      <c r="P122" s="74" t="s">
        <v>288</v>
      </c>
      <c r="Q122" s="245">
        <v>15</v>
      </c>
      <c r="R122" s="75">
        <v>1.21</v>
      </c>
      <c r="S122" s="246">
        <v>1632</v>
      </c>
      <c r="T122" s="246">
        <v>1669</v>
      </c>
      <c r="U122" s="246">
        <v>95108</v>
      </c>
      <c r="V122" s="246">
        <v>667</v>
      </c>
      <c r="W122" s="246">
        <v>309</v>
      </c>
      <c r="X122" s="246">
        <v>15030</v>
      </c>
      <c r="Y122" s="246">
        <v>1362</v>
      </c>
      <c r="Z122" s="246">
        <v>2979</v>
      </c>
      <c r="AA122" s="245">
        <v>105.4</v>
      </c>
      <c r="AB122" s="245">
        <v>113.2</v>
      </c>
      <c r="AC122" s="245">
        <v>1972</v>
      </c>
      <c r="AD122" s="246">
        <v>52935</v>
      </c>
      <c r="AE122" s="245">
        <v>37.08</v>
      </c>
      <c r="AF122" s="245">
        <v>38.6</v>
      </c>
      <c r="AG122" s="245">
        <v>36.700000000000003</v>
      </c>
      <c r="AH122" s="245">
        <v>110</v>
      </c>
      <c r="AI122" s="245">
        <v>24.31</v>
      </c>
      <c r="AJ122" s="245">
        <v>14.2</v>
      </c>
      <c r="AK122" s="245">
        <v>0.55000000000000004</v>
      </c>
      <c r="AL122" s="245">
        <v>81.599999999999994</v>
      </c>
      <c r="AM122" s="245">
        <v>74.3</v>
      </c>
      <c r="AN122" s="75">
        <v>17.657</v>
      </c>
      <c r="AO122" s="75">
        <v>243.3</v>
      </c>
      <c r="AP122" s="75">
        <v>43.65</v>
      </c>
      <c r="AQ122" s="75">
        <v>2.97</v>
      </c>
      <c r="AR122" s="75">
        <v>7.5999999999999998E-2</v>
      </c>
      <c r="AS122" s="75">
        <v>0.111</v>
      </c>
      <c r="AT122" s="75">
        <v>2.4300000000000002</v>
      </c>
      <c r="AU122" s="75">
        <v>0.66900000000000004</v>
      </c>
      <c r="AV122" s="75">
        <v>3.081</v>
      </c>
      <c r="AW122" s="245">
        <v>425.9</v>
      </c>
      <c r="AX122" s="245">
        <v>33.049999999999997</v>
      </c>
      <c r="AY122" s="245">
        <v>115.55</v>
      </c>
      <c r="AZ122" s="75">
        <v>7.1929999999999996</v>
      </c>
      <c r="BA122" s="75">
        <v>27.3</v>
      </c>
      <c r="BB122" s="75">
        <v>4.8959999999999999</v>
      </c>
      <c r="BC122" s="75">
        <v>1.0609999999999999</v>
      </c>
      <c r="BD122" s="75">
        <v>4.242</v>
      </c>
      <c r="BE122" s="75">
        <v>0.60099999999999998</v>
      </c>
      <c r="BF122" s="75">
        <v>3.7679999999999998</v>
      </c>
      <c r="BG122" s="75">
        <v>0.71</v>
      </c>
      <c r="BH122" s="75">
        <v>2.0299999999999998</v>
      </c>
      <c r="BI122" s="75">
        <v>0.30499999999999999</v>
      </c>
      <c r="BJ122" s="75">
        <v>1.974</v>
      </c>
      <c r="BK122" s="75">
        <v>0.28899999999999998</v>
      </c>
      <c r="BL122" s="75">
        <v>6.0170000000000003</v>
      </c>
      <c r="BM122" s="75">
        <v>2.3199999999999998</v>
      </c>
      <c r="BN122" s="75">
        <v>0.98799999999999999</v>
      </c>
      <c r="BO122" s="75">
        <v>0.46300000000000002</v>
      </c>
      <c r="BP122" s="75">
        <v>15.75</v>
      </c>
      <c r="BQ122" s="75">
        <v>0.2</v>
      </c>
      <c r="BR122" s="75">
        <v>9.1649999999999991</v>
      </c>
      <c r="BS122" s="75">
        <v>2.2610000000000001</v>
      </c>
      <c r="BT122" s="39"/>
    </row>
    <row r="123" spans="1:72">
      <c r="A123" s="53" t="s">
        <v>324</v>
      </c>
      <c r="B123" s="39" t="s">
        <v>325</v>
      </c>
      <c r="C123" s="165">
        <v>44065</v>
      </c>
      <c r="D123" s="166">
        <v>0.195803</v>
      </c>
      <c r="E123" s="166">
        <v>34.487564999999996</v>
      </c>
      <c r="F123" s="166" t="s">
        <v>338</v>
      </c>
      <c r="G123" s="165" t="s">
        <v>330</v>
      </c>
      <c r="H123" s="116" t="s">
        <v>347</v>
      </c>
      <c r="I123" s="154" t="s">
        <v>362</v>
      </c>
      <c r="J123" s="154" t="s">
        <v>362</v>
      </c>
      <c r="K123" s="165" t="s">
        <v>370</v>
      </c>
      <c r="L123" s="53" t="s">
        <v>684</v>
      </c>
      <c r="M123" s="53" t="s">
        <v>683</v>
      </c>
      <c r="N123" s="74">
        <v>4.6384546956411326</v>
      </c>
      <c r="O123" s="245">
        <v>6.11</v>
      </c>
      <c r="P123" s="75">
        <v>4.1730000000000003E-2</v>
      </c>
      <c r="Q123" s="245">
        <v>10</v>
      </c>
      <c r="R123" s="75">
        <v>1.05</v>
      </c>
      <c r="S123" s="246">
        <v>2507</v>
      </c>
      <c r="T123" s="246">
        <v>1266</v>
      </c>
      <c r="U123" s="246">
        <v>64858</v>
      </c>
      <c r="V123" s="246">
        <v>352</v>
      </c>
      <c r="W123" s="246">
        <v>144</v>
      </c>
      <c r="X123" s="246">
        <v>12585</v>
      </c>
      <c r="Y123" s="246">
        <v>2157</v>
      </c>
      <c r="Z123" s="246">
        <v>2949</v>
      </c>
      <c r="AA123" s="245">
        <v>90.8</v>
      </c>
      <c r="AB123" s="245">
        <v>139.6</v>
      </c>
      <c r="AC123" s="245">
        <v>2182</v>
      </c>
      <c r="AD123" s="246">
        <v>45611</v>
      </c>
      <c r="AE123" s="245">
        <v>35.26</v>
      </c>
      <c r="AF123" s="245">
        <v>27.9</v>
      </c>
      <c r="AG123" s="245">
        <v>29.5</v>
      </c>
      <c r="AH123" s="245">
        <v>117.4</v>
      </c>
      <c r="AI123" s="245">
        <v>18.18</v>
      </c>
      <c r="AJ123" s="245">
        <v>11.6</v>
      </c>
      <c r="AK123" s="245">
        <v>0.76</v>
      </c>
      <c r="AL123" s="245">
        <v>56.5</v>
      </c>
      <c r="AM123" s="245">
        <v>87.1</v>
      </c>
      <c r="AN123" s="75">
        <v>15.4</v>
      </c>
      <c r="AO123" s="75">
        <v>183.1</v>
      </c>
      <c r="AP123" s="75">
        <v>32.19</v>
      </c>
      <c r="AQ123" s="75">
        <v>2.57</v>
      </c>
      <c r="AR123" s="75">
        <v>6.6000000000000003E-2</v>
      </c>
      <c r="AS123" s="75">
        <v>0.111</v>
      </c>
      <c r="AT123" s="75">
        <v>1.78</v>
      </c>
      <c r="AU123" s="75">
        <v>0.60199999999999998</v>
      </c>
      <c r="AV123" s="75">
        <v>1.879</v>
      </c>
      <c r="AW123" s="245">
        <v>450.4</v>
      </c>
      <c r="AX123" s="245">
        <v>29.9</v>
      </c>
      <c r="AY123" s="245">
        <v>76.08</v>
      </c>
      <c r="AZ123" s="75">
        <v>6.444</v>
      </c>
      <c r="BA123" s="75">
        <v>23.94</v>
      </c>
      <c r="BB123" s="75">
        <v>4.2530000000000001</v>
      </c>
      <c r="BC123" s="75">
        <v>0.88500000000000001</v>
      </c>
      <c r="BD123" s="75">
        <v>3.569</v>
      </c>
      <c r="BE123" s="75">
        <v>0.51300000000000001</v>
      </c>
      <c r="BF123" s="75">
        <v>3.1469999999999998</v>
      </c>
      <c r="BG123" s="75">
        <v>0.61799999999999999</v>
      </c>
      <c r="BH123" s="75">
        <v>1.7769999999999999</v>
      </c>
      <c r="BI123" s="75">
        <v>0.251</v>
      </c>
      <c r="BJ123" s="75">
        <v>1.7430000000000001</v>
      </c>
      <c r="BK123" s="75">
        <v>0.25</v>
      </c>
      <c r="BL123" s="75">
        <v>4.5140000000000002</v>
      </c>
      <c r="BM123" s="75">
        <v>1.6160000000000001</v>
      </c>
      <c r="BN123" s="75">
        <v>0.82199999999999995</v>
      </c>
      <c r="BO123" s="75">
        <v>0.35399999999999998</v>
      </c>
      <c r="BP123" s="75">
        <v>18.75</v>
      </c>
      <c r="BQ123" s="75">
        <v>0.17</v>
      </c>
      <c r="BR123" s="75">
        <v>7.1459999999999999</v>
      </c>
      <c r="BS123" s="75">
        <v>1.81</v>
      </c>
      <c r="BT123" s="39"/>
    </row>
    <row r="124" spans="1:72">
      <c r="A124" s="53" t="s">
        <v>326</v>
      </c>
      <c r="B124" s="39" t="s">
        <v>327</v>
      </c>
      <c r="C124" s="165">
        <v>44065</v>
      </c>
      <c r="D124" s="166">
        <v>0.195803</v>
      </c>
      <c r="E124" s="166">
        <v>34.487564999999996</v>
      </c>
      <c r="F124" s="166" t="s">
        <v>337</v>
      </c>
      <c r="G124" s="165" t="s">
        <v>330</v>
      </c>
      <c r="H124" s="116" t="s">
        <v>347</v>
      </c>
      <c r="I124" s="154" t="s">
        <v>362</v>
      </c>
      <c r="J124" s="154" t="s">
        <v>362</v>
      </c>
      <c r="K124" s="165" t="s">
        <v>367</v>
      </c>
      <c r="L124" s="53" t="s">
        <v>684</v>
      </c>
      <c r="M124" s="53" t="s">
        <v>683</v>
      </c>
      <c r="N124" s="74">
        <v>4.0511557709112651</v>
      </c>
      <c r="O124" s="245">
        <v>5.43</v>
      </c>
      <c r="P124" s="75">
        <v>4.2450000000000002E-2</v>
      </c>
      <c r="Q124" s="245">
        <v>8</v>
      </c>
      <c r="R124" s="75">
        <v>0.74</v>
      </c>
      <c r="S124" s="246">
        <v>1570</v>
      </c>
      <c r="T124" s="246">
        <v>1070</v>
      </c>
      <c r="U124" s="246">
        <v>57588</v>
      </c>
      <c r="V124" s="246">
        <v>472</v>
      </c>
      <c r="W124" s="246">
        <v>136</v>
      </c>
      <c r="X124" s="246">
        <v>9672</v>
      </c>
      <c r="Y124" s="246">
        <v>1522</v>
      </c>
      <c r="Z124" s="246">
        <v>2649</v>
      </c>
      <c r="AA124" s="245">
        <v>85.9</v>
      </c>
      <c r="AB124" s="245">
        <v>130.80000000000001</v>
      </c>
      <c r="AC124" s="245">
        <v>2842</v>
      </c>
      <c r="AD124" s="246">
        <v>43224</v>
      </c>
      <c r="AE124" s="245">
        <v>43.5</v>
      </c>
      <c r="AF124" s="245">
        <v>26.9</v>
      </c>
      <c r="AG124" s="245">
        <v>30.5</v>
      </c>
      <c r="AH124" s="245">
        <v>110.8</v>
      </c>
      <c r="AI124" s="245">
        <v>16.73</v>
      </c>
      <c r="AJ124" s="245">
        <v>11.1</v>
      </c>
      <c r="AK124" s="245">
        <v>0.83</v>
      </c>
      <c r="AL124" s="245">
        <v>52.6</v>
      </c>
      <c r="AM124" s="245">
        <v>61.9</v>
      </c>
      <c r="AN124" s="75">
        <v>15.491</v>
      </c>
      <c r="AO124" s="75">
        <v>179.1</v>
      </c>
      <c r="AP124" s="75">
        <v>29.72</v>
      </c>
      <c r="AQ124" s="75">
        <v>2.5</v>
      </c>
      <c r="AR124" s="75">
        <v>7.1999999999999995E-2</v>
      </c>
      <c r="AS124" s="75">
        <v>0.188</v>
      </c>
      <c r="AT124" s="75">
        <v>1.62</v>
      </c>
      <c r="AU124" s="75">
        <v>0.61699999999999999</v>
      </c>
      <c r="AV124" s="75">
        <v>1.792</v>
      </c>
      <c r="AW124" s="245">
        <v>362.6</v>
      </c>
      <c r="AX124" s="245">
        <v>31.58</v>
      </c>
      <c r="AY124" s="245">
        <v>77.48</v>
      </c>
      <c r="AZ124" s="75">
        <v>6.702</v>
      </c>
      <c r="BA124" s="75">
        <v>25.03</v>
      </c>
      <c r="BB124" s="75">
        <v>4.3529999999999998</v>
      </c>
      <c r="BC124" s="75">
        <v>0.90900000000000003</v>
      </c>
      <c r="BD124" s="75">
        <v>3.7770000000000001</v>
      </c>
      <c r="BE124" s="75">
        <v>0.53100000000000003</v>
      </c>
      <c r="BF124" s="75">
        <v>3.355</v>
      </c>
      <c r="BG124" s="75">
        <v>0.628</v>
      </c>
      <c r="BH124" s="75">
        <v>1.7629999999999999</v>
      </c>
      <c r="BI124" s="75">
        <v>0.26400000000000001</v>
      </c>
      <c r="BJ124" s="75">
        <v>1.7290000000000001</v>
      </c>
      <c r="BK124" s="75">
        <v>0.251</v>
      </c>
      <c r="BL124" s="75">
        <v>4.3449999999999998</v>
      </c>
      <c r="BM124" s="75">
        <v>1.456</v>
      </c>
      <c r="BN124" s="75">
        <v>0.78</v>
      </c>
      <c r="BO124" s="75">
        <v>0.33700000000000002</v>
      </c>
      <c r="BP124" s="75">
        <v>24.11</v>
      </c>
      <c r="BQ124" s="75">
        <v>0.17</v>
      </c>
      <c r="BR124" s="75">
        <v>6.7249999999999996</v>
      </c>
      <c r="BS124" s="75">
        <v>1.6950000000000001</v>
      </c>
      <c r="BT124" s="39"/>
    </row>
    <row r="125" spans="1:72">
      <c r="A125" s="53" t="s">
        <v>328</v>
      </c>
      <c r="B125" s="39" t="s">
        <v>329</v>
      </c>
      <c r="C125" s="165">
        <v>44065</v>
      </c>
      <c r="D125" s="166">
        <v>0.49734299999999998</v>
      </c>
      <c r="E125" s="166">
        <v>35.278543999999997</v>
      </c>
      <c r="F125" s="166" t="s">
        <v>346</v>
      </c>
      <c r="G125" s="165" t="s">
        <v>345</v>
      </c>
      <c r="H125" s="116" t="s">
        <v>347</v>
      </c>
      <c r="I125" s="154" t="s">
        <v>362</v>
      </c>
      <c r="J125" s="154" t="s">
        <v>362</v>
      </c>
      <c r="K125" s="165" t="s">
        <v>368</v>
      </c>
      <c r="L125" s="53" t="s">
        <v>684</v>
      </c>
      <c r="M125" s="53" t="s">
        <v>683</v>
      </c>
      <c r="N125" s="74">
        <v>11.635575654795559</v>
      </c>
      <c r="O125" s="245">
        <v>7</v>
      </c>
      <c r="P125" s="75">
        <v>2.2689999999999998E-2</v>
      </c>
      <c r="Q125" s="245">
        <v>26</v>
      </c>
      <c r="R125" s="75">
        <v>5.46</v>
      </c>
      <c r="S125" s="246">
        <v>6001</v>
      </c>
      <c r="T125" s="246">
        <v>2341</v>
      </c>
      <c r="U125" s="246">
        <v>104512</v>
      </c>
      <c r="V125" s="246">
        <v>1317</v>
      </c>
      <c r="W125" s="246">
        <v>368</v>
      </c>
      <c r="X125" s="246">
        <v>13429</v>
      </c>
      <c r="Y125" s="246">
        <v>8543</v>
      </c>
      <c r="Z125" s="246">
        <v>5097</v>
      </c>
      <c r="AA125" s="245">
        <v>68</v>
      </c>
      <c r="AB125" s="245">
        <v>69.400000000000006</v>
      </c>
      <c r="AC125" s="245">
        <v>3951</v>
      </c>
      <c r="AD125" s="246">
        <v>78334</v>
      </c>
      <c r="AE125" s="245">
        <v>15.2</v>
      </c>
      <c r="AF125" s="245">
        <v>28.5</v>
      </c>
      <c r="AG125" s="245">
        <v>23.5</v>
      </c>
      <c r="AH125" s="245">
        <v>181.8</v>
      </c>
      <c r="AI125" s="245">
        <v>30.41</v>
      </c>
      <c r="AJ125" s="245">
        <v>10.8</v>
      </c>
      <c r="AK125" s="245">
        <v>0.45</v>
      </c>
      <c r="AL125" s="245">
        <v>82.3</v>
      </c>
      <c r="AM125" s="245">
        <v>71.900000000000006</v>
      </c>
      <c r="AN125" s="75">
        <v>47.054000000000002</v>
      </c>
      <c r="AO125" s="75">
        <v>726.6</v>
      </c>
      <c r="AP125" s="75">
        <v>226.95</v>
      </c>
      <c r="AQ125" s="75">
        <v>7.39</v>
      </c>
      <c r="AR125" s="75">
        <v>0.126</v>
      </c>
      <c r="AS125" s="75">
        <v>0.16900000000000001</v>
      </c>
      <c r="AT125" s="75">
        <v>5</v>
      </c>
      <c r="AU125" s="75">
        <v>0.56100000000000005</v>
      </c>
      <c r="AV125" s="75">
        <v>1.9970000000000001</v>
      </c>
      <c r="AW125" s="245">
        <v>673.3</v>
      </c>
      <c r="AX125" s="245">
        <v>102.91</v>
      </c>
      <c r="AY125" s="245">
        <v>295.14999999999998</v>
      </c>
      <c r="AZ125" s="75">
        <v>19.213000000000001</v>
      </c>
      <c r="BA125" s="75">
        <v>64.45</v>
      </c>
      <c r="BB125" s="75">
        <v>11.03</v>
      </c>
      <c r="BC125" s="75">
        <v>1.7749999999999999</v>
      </c>
      <c r="BD125" s="75">
        <v>9.4130000000000003</v>
      </c>
      <c r="BE125" s="75">
        <v>1.4590000000000001</v>
      </c>
      <c r="BF125" s="75">
        <v>10.036</v>
      </c>
      <c r="BG125" s="75">
        <v>1.966</v>
      </c>
      <c r="BH125" s="75">
        <v>5.8579999999999997</v>
      </c>
      <c r="BI125" s="75">
        <v>0.90200000000000002</v>
      </c>
      <c r="BJ125" s="75">
        <v>6.2469999999999999</v>
      </c>
      <c r="BK125" s="75">
        <v>0.88200000000000001</v>
      </c>
      <c r="BL125" s="75">
        <v>14.627000000000001</v>
      </c>
      <c r="BM125" s="75">
        <v>12.201000000000001</v>
      </c>
      <c r="BN125" s="75">
        <v>2.7330000000000001</v>
      </c>
      <c r="BO125" s="75">
        <v>0.59499999999999997</v>
      </c>
      <c r="BP125" s="75">
        <v>36.299999999999997</v>
      </c>
      <c r="BQ125" s="75">
        <v>0.12</v>
      </c>
      <c r="BR125" s="75">
        <v>22.681000000000001</v>
      </c>
      <c r="BS125" s="75">
        <v>4.117</v>
      </c>
      <c r="BT125" s="39"/>
    </row>
    <row r="126" spans="1:72">
      <c r="A126" s="39"/>
      <c r="B126" s="39"/>
      <c r="C126" s="243"/>
      <c r="D126" s="243"/>
      <c r="E126" s="243"/>
      <c r="F126" s="243"/>
      <c r="G126" s="243"/>
      <c r="H126" s="116"/>
      <c r="I126" s="116"/>
      <c r="J126" s="39"/>
      <c r="K126" s="243"/>
      <c r="L126" s="243"/>
      <c r="M126" s="243"/>
      <c r="N126" s="39"/>
      <c r="O126" s="205"/>
      <c r="P126" s="205"/>
      <c r="Q126" s="205"/>
      <c r="R126" s="205"/>
      <c r="U126" s="205"/>
      <c r="Z126" s="205"/>
      <c r="AA126" s="211"/>
      <c r="AB126" s="211"/>
      <c r="AC126" s="205"/>
      <c r="AD126" s="205"/>
      <c r="AE126" s="205"/>
      <c r="AF126" s="205"/>
      <c r="AG126" s="205"/>
      <c r="AH126" s="205"/>
      <c r="AI126" s="205"/>
      <c r="AJ126" s="205"/>
      <c r="AK126" s="205"/>
      <c r="AL126" s="205"/>
      <c r="AM126" s="205"/>
      <c r="AN126" s="205"/>
      <c r="AO126" s="205"/>
      <c r="AP126" s="205"/>
      <c r="AQ126" s="205"/>
      <c r="AR126" s="244"/>
      <c r="AS126" s="39"/>
      <c r="AT126" s="39"/>
      <c r="AU126" s="39"/>
      <c r="AV126" s="39"/>
      <c r="AW126" s="205"/>
      <c r="AX126" s="247"/>
      <c r="AY126" s="247"/>
      <c r="AZ126" s="39"/>
      <c r="BA126" s="39"/>
      <c r="BB126" s="39"/>
      <c r="BC126" s="39"/>
      <c r="BD126" s="39"/>
      <c r="BE126" s="39"/>
      <c r="BF126" s="39"/>
      <c r="BG126" s="39"/>
      <c r="BH126" s="39"/>
      <c r="BI126" s="39"/>
      <c r="BJ126" s="39"/>
      <c r="BK126" s="39"/>
      <c r="BL126" s="39"/>
      <c r="BM126" s="39"/>
      <c r="BN126" s="39"/>
      <c r="BO126" s="39"/>
      <c r="BP126" s="39"/>
      <c r="BQ126" s="39"/>
      <c r="BR126" s="39"/>
      <c r="BS126" s="39"/>
      <c r="BT126" s="39"/>
    </row>
    <row r="127" spans="1:72">
      <c r="A127" s="42" t="s">
        <v>636</v>
      </c>
      <c r="B127" s="89"/>
      <c r="C127" s="250"/>
      <c r="D127" s="250"/>
      <c r="E127" s="36"/>
      <c r="F127" s="142"/>
      <c r="G127" s="142"/>
      <c r="H127" s="116"/>
      <c r="I127" s="116"/>
      <c r="J127" s="39"/>
      <c r="K127" s="142"/>
      <c r="L127" s="142"/>
      <c r="M127" s="142"/>
      <c r="N127" s="142"/>
      <c r="O127" s="142"/>
      <c r="P127" s="142"/>
      <c r="Q127" s="78"/>
      <c r="R127" s="78"/>
      <c r="S127" s="78"/>
      <c r="T127" s="78"/>
      <c r="U127" s="78"/>
      <c r="Z127" s="205"/>
      <c r="AA127" s="211"/>
      <c r="AB127" s="211"/>
      <c r="AC127" s="205"/>
      <c r="AD127" s="205"/>
      <c r="AE127" s="205"/>
      <c r="AF127" s="205"/>
      <c r="AG127" s="205"/>
      <c r="AH127" s="205"/>
      <c r="AI127" s="205"/>
      <c r="AJ127" s="205"/>
      <c r="AK127" s="205"/>
      <c r="AL127" s="205"/>
      <c r="AM127" s="205"/>
      <c r="AN127" s="205"/>
      <c r="AO127" s="205"/>
      <c r="AP127" s="205"/>
      <c r="AQ127" s="205"/>
      <c r="AR127" s="244"/>
      <c r="AS127" s="39"/>
      <c r="AT127" s="39"/>
      <c r="AU127" s="39"/>
      <c r="AV127" s="39"/>
      <c r="AW127" s="205"/>
      <c r="AX127" s="39"/>
      <c r="AY127" s="39"/>
      <c r="AZ127" s="39"/>
      <c r="BA127" s="39"/>
      <c r="BB127" s="39"/>
      <c r="BC127" s="39"/>
      <c r="BD127" s="39"/>
      <c r="BE127" s="39"/>
      <c r="BF127" s="39"/>
      <c r="BG127" s="39"/>
      <c r="BH127" s="39"/>
      <c r="BI127" s="39"/>
      <c r="BJ127" s="39"/>
      <c r="BK127" s="39"/>
      <c r="BL127" s="39"/>
      <c r="BM127" s="39"/>
      <c r="BN127" s="39"/>
      <c r="BO127" s="39"/>
      <c r="BP127" s="39"/>
      <c r="BQ127" s="39"/>
      <c r="BR127" s="39"/>
      <c r="BS127" s="39"/>
      <c r="BT127" s="39"/>
    </row>
    <row r="128" spans="1:72">
      <c r="A128" s="88"/>
      <c r="B128" s="89"/>
      <c r="C128" s="250"/>
      <c r="D128" s="250"/>
      <c r="E128" s="36"/>
      <c r="F128" s="142"/>
      <c r="G128" s="142"/>
      <c r="H128" s="116"/>
      <c r="I128" s="116"/>
      <c r="J128" s="39"/>
      <c r="K128" s="142"/>
      <c r="L128" s="142"/>
      <c r="M128" s="142"/>
      <c r="N128" s="142"/>
      <c r="O128" s="142"/>
      <c r="P128" s="142"/>
      <c r="Q128" s="78"/>
      <c r="R128" s="78"/>
      <c r="S128" s="78"/>
      <c r="T128" s="78"/>
      <c r="U128" s="78"/>
      <c r="Z128" s="205"/>
      <c r="AA128" s="211"/>
      <c r="AB128" s="211"/>
      <c r="AC128" s="205"/>
      <c r="AD128" s="205"/>
      <c r="AE128" s="205"/>
      <c r="AF128" s="205"/>
      <c r="AG128" s="205"/>
      <c r="AH128" s="205"/>
      <c r="AI128" s="205"/>
      <c r="AJ128" s="205"/>
      <c r="AK128" s="205"/>
      <c r="AL128" s="205"/>
      <c r="AM128" s="205"/>
      <c r="AN128" s="205"/>
      <c r="AO128" s="205"/>
      <c r="AP128" s="205"/>
      <c r="AQ128" s="205"/>
      <c r="AR128" s="244"/>
      <c r="AS128" s="39"/>
      <c r="AT128" s="39"/>
      <c r="AU128" s="39"/>
      <c r="AV128" s="39"/>
      <c r="AW128" s="205"/>
      <c r="AX128" s="39"/>
      <c r="AY128" s="39"/>
      <c r="AZ128" s="39"/>
      <c r="BA128" s="39"/>
      <c r="BB128" s="39"/>
      <c r="BC128" s="39"/>
      <c r="BD128" s="39"/>
      <c r="BE128" s="39"/>
      <c r="BF128" s="39"/>
      <c r="BG128" s="39"/>
      <c r="BH128" s="39"/>
      <c r="BI128" s="39"/>
      <c r="BJ128" s="39"/>
      <c r="BK128" s="39"/>
      <c r="BL128" s="39"/>
      <c r="BM128" s="39"/>
      <c r="BN128" s="39"/>
      <c r="BO128" s="39"/>
      <c r="BP128" s="39"/>
      <c r="BQ128" s="39"/>
      <c r="BR128" s="39"/>
      <c r="BS128" s="39"/>
      <c r="BT128" s="39"/>
    </row>
    <row r="129" spans="1:72">
      <c r="A129" s="32"/>
      <c r="B129" s="78"/>
      <c r="C129" s="142"/>
      <c r="D129" s="142"/>
      <c r="E129" s="251"/>
      <c r="F129" s="142"/>
      <c r="G129" s="142"/>
      <c r="H129" s="116"/>
      <c r="I129" s="116"/>
      <c r="J129" s="39"/>
      <c r="K129" s="142"/>
      <c r="L129" s="142"/>
      <c r="M129" s="297"/>
      <c r="N129" s="296" t="s">
        <v>721</v>
      </c>
      <c r="O129" s="296"/>
      <c r="P129" s="142"/>
      <c r="Q129" s="78"/>
      <c r="R129" s="78"/>
      <c r="S129" s="78"/>
      <c r="T129" s="78"/>
      <c r="U129" s="78"/>
      <c r="Z129" s="205"/>
      <c r="AA129" s="211"/>
      <c r="AB129" s="211"/>
      <c r="AC129" s="205"/>
      <c r="AD129" s="205"/>
      <c r="AE129" s="205"/>
      <c r="AF129" s="205"/>
      <c r="AG129" s="205"/>
      <c r="AH129" s="205"/>
      <c r="AI129" s="205"/>
      <c r="AJ129" s="205"/>
      <c r="AK129" s="205"/>
      <c r="AL129" s="205"/>
      <c r="AM129" s="205"/>
      <c r="AN129" s="205"/>
      <c r="AO129" s="205"/>
      <c r="AP129" s="205"/>
      <c r="AQ129" s="205"/>
      <c r="AR129" s="244"/>
      <c r="AS129" s="39"/>
      <c r="AT129" s="39"/>
      <c r="AU129" s="39"/>
      <c r="AV129" s="39"/>
      <c r="AW129" s="205"/>
      <c r="AX129" s="39"/>
      <c r="AY129" s="39"/>
      <c r="AZ129" s="39"/>
      <c r="BA129" s="39"/>
      <c r="BB129" s="39"/>
      <c r="BC129" s="39"/>
      <c r="BD129" s="39"/>
      <c r="BE129" s="39"/>
      <c r="BF129" s="39"/>
      <c r="BG129" s="39"/>
      <c r="BH129" s="39"/>
      <c r="BI129" s="39"/>
      <c r="BJ129" s="39"/>
      <c r="BK129" s="39"/>
      <c r="BL129" s="39"/>
      <c r="BM129" s="39"/>
      <c r="BN129" s="39"/>
      <c r="BO129" s="39"/>
      <c r="BP129" s="39"/>
      <c r="BQ129" s="39"/>
      <c r="BR129" s="39"/>
      <c r="BS129" s="39"/>
      <c r="BT129" s="39"/>
    </row>
    <row r="130" spans="1:72">
      <c r="A130" s="25" t="s">
        <v>378</v>
      </c>
      <c r="B130" s="53"/>
      <c r="C130" s="53"/>
      <c r="D130" s="53"/>
      <c r="E130" s="53"/>
      <c r="F130" s="90" t="s">
        <v>388</v>
      </c>
      <c r="G130" s="53"/>
      <c r="H130" s="116"/>
      <c r="I130" s="116"/>
      <c r="J130" s="39"/>
      <c r="K130" s="166"/>
      <c r="L130" s="166"/>
      <c r="M130" s="166"/>
      <c r="N130" s="166"/>
      <c r="O130" s="166"/>
      <c r="P130" s="69"/>
      <c r="Q130" s="57" t="s">
        <v>4</v>
      </c>
      <c r="R130" s="57" t="s">
        <v>5</v>
      </c>
      <c r="S130" s="70" t="s">
        <v>6</v>
      </c>
      <c r="T130" s="70" t="s">
        <v>7</v>
      </c>
      <c r="U130" s="71" t="s">
        <v>8</v>
      </c>
      <c r="V130" s="70" t="s">
        <v>9</v>
      </c>
      <c r="W130" s="70" t="s">
        <v>10</v>
      </c>
      <c r="X130" s="70" t="s">
        <v>11</v>
      </c>
      <c r="Y130" s="70" t="s">
        <v>12</v>
      </c>
      <c r="Z130" s="70" t="s">
        <v>13</v>
      </c>
      <c r="AA130" s="70" t="s">
        <v>14</v>
      </c>
      <c r="AB130" s="70" t="s">
        <v>15</v>
      </c>
      <c r="AC130" s="70" t="s">
        <v>16</v>
      </c>
      <c r="AD130" s="71" t="s">
        <v>17</v>
      </c>
      <c r="AE130" s="57" t="s">
        <v>18</v>
      </c>
      <c r="AF130" s="70" t="s">
        <v>19</v>
      </c>
      <c r="AG130" s="70" t="s">
        <v>20</v>
      </c>
      <c r="AH130" s="57" t="s">
        <v>21</v>
      </c>
      <c r="AI130" s="57" t="s">
        <v>22</v>
      </c>
      <c r="AJ130" s="57" t="s">
        <v>23</v>
      </c>
      <c r="AK130" s="57" t="s">
        <v>24</v>
      </c>
      <c r="AL130" s="57" t="s">
        <v>25</v>
      </c>
      <c r="AM130" s="70" t="s">
        <v>26</v>
      </c>
      <c r="AN130" s="57" t="s">
        <v>27</v>
      </c>
      <c r="AO130" s="70" t="s">
        <v>28</v>
      </c>
      <c r="AP130" s="57" t="s">
        <v>29</v>
      </c>
      <c r="AQ130" s="70" t="s">
        <v>30</v>
      </c>
      <c r="AR130" s="57" t="s">
        <v>31</v>
      </c>
      <c r="AS130" s="57" t="s">
        <v>32</v>
      </c>
      <c r="AT130" s="70" t="s">
        <v>33</v>
      </c>
      <c r="AU130" s="57" t="s">
        <v>34</v>
      </c>
      <c r="AV130" s="57" t="s">
        <v>35</v>
      </c>
      <c r="AW130" s="70" t="s">
        <v>36</v>
      </c>
      <c r="AX130" s="57" t="s">
        <v>37</v>
      </c>
      <c r="AY130" s="57" t="s">
        <v>38</v>
      </c>
      <c r="AZ130" s="57" t="s">
        <v>39</v>
      </c>
      <c r="BA130" s="57" t="s">
        <v>40</v>
      </c>
      <c r="BB130" s="57" t="s">
        <v>41</v>
      </c>
      <c r="BC130" s="57" t="s">
        <v>42</v>
      </c>
      <c r="BD130" s="57" t="s">
        <v>43</v>
      </c>
      <c r="BE130" s="57" t="s">
        <v>44</v>
      </c>
      <c r="BF130" s="57" t="s">
        <v>45</v>
      </c>
      <c r="BG130" s="57" t="s">
        <v>46</v>
      </c>
      <c r="BH130" s="57" t="s">
        <v>47</v>
      </c>
      <c r="BI130" s="57" t="s">
        <v>48</v>
      </c>
      <c r="BJ130" s="57" t="s">
        <v>49</v>
      </c>
      <c r="BK130" s="57" t="s">
        <v>50</v>
      </c>
      <c r="BL130" s="57" t="s">
        <v>51</v>
      </c>
      <c r="BM130" s="70" t="s">
        <v>52</v>
      </c>
      <c r="BN130" s="70" t="s">
        <v>53</v>
      </c>
      <c r="BO130" s="70" t="s">
        <v>54</v>
      </c>
      <c r="BP130" s="70" t="s">
        <v>55</v>
      </c>
      <c r="BQ130" s="70" t="s">
        <v>56</v>
      </c>
      <c r="BR130" s="57" t="s">
        <v>57</v>
      </c>
      <c r="BS130" s="57" t="s">
        <v>58</v>
      </c>
      <c r="BT130" s="39"/>
    </row>
    <row r="131" spans="1:72" s="61" customFormat="1">
      <c r="A131" s="90"/>
      <c r="B131" s="90"/>
      <c r="C131" s="90"/>
      <c r="D131" s="90"/>
      <c r="E131" s="90"/>
      <c r="F131" s="90" t="s">
        <v>379</v>
      </c>
      <c r="G131" s="90"/>
      <c r="H131" s="252"/>
      <c r="I131" s="252"/>
      <c r="J131" s="39"/>
      <c r="K131" s="253"/>
      <c r="L131" s="253"/>
      <c r="M131" s="253"/>
      <c r="N131" s="253"/>
      <c r="O131" s="253"/>
      <c r="P131" s="253"/>
      <c r="Q131" s="254">
        <v>25.125</v>
      </c>
      <c r="R131" s="254">
        <v>2.2530000000000001</v>
      </c>
      <c r="S131" s="255">
        <v>12000</v>
      </c>
      <c r="T131" s="255">
        <v>10700</v>
      </c>
      <c r="U131" s="256">
        <v>67200</v>
      </c>
      <c r="V131" s="256">
        <v>842</v>
      </c>
      <c r="W131" s="254">
        <v>363.99900000000002</v>
      </c>
      <c r="X131" s="255">
        <v>25300</v>
      </c>
      <c r="Y131" s="256">
        <v>24200</v>
      </c>
      <c r="Z131" s="256">
        <v>3170</v>
      </c>
      <c r="AA131" s="256">
        <v>80.7</v>
      </c>
      <c r="AB131" s="256">
        <v>52.3</v>
      </c>
      <c r="AC131" s="256">
        <v>675</v>
      </c>
      <c r="AD131" s="256">
        <v>28200</v>
      </c>
      <c r="AE131" s="256">
        <v>9.89</v>
      </c>
      <c r="AF131" s="256">
        <v>21.7</v>
      </c>
      <c r="AG131" s="256">
        <v>140</v>
      </c>
      <c r="AH131" s="256">
        <v>414</v>
      </c>
      <c r="AI131" s="254">
        <v>14.965999999999999</v>
      </c>
      <c r="AJ131" s="256">
        <v>107</v>
      </c>
      <c r="AK131" s="256">
        <v>1.7190000000000001</v>
      </c>
      <c r="AL131" s="256">
        <v>120</v>
      </c>
      <c r="AM131" s="256">
        <v>242</v>
      </c>
      <c r="AN131" s="254">
        <v>24.254999999999999</v>
      </c>
      <c r="AO131" s="254">
        <v>66.823999999999998</v>
      </c>
      <c r="AP131" s="254">
        <v>16.177</v>
      </c>
      <c r="AQ131" s="254">
        <v>1.873</v>
      </c>
      <c r="AR131" s="254">
        <v>5.92</v>
      </c>
      <c r="AS131" s="256">
        <v>54.1</v>
      </c>
      <c r="AT131" s="254">
        <v>4.3360000000000003</v>
      </c>
      <c r="AU131" s="256">
        <v>23.8</v>
      </c>
      <c r="AV131" s="256">
        <v>6.7</v>
      </c>
      <c r="AW131" s="256">
        <v>730</v>
      </c>
      <c r="AX131" s="256">
        <v>38</v>
      </c>
      <c r="AY131" s="254">
        <v>69.616</v>
      </c>
      <c r="AZ131" s="254">
        <v>7.9109999999999996</v>
      </c>
      <c r="BA131" s="256">
        <v>29</v>
      </c>
      <c r="BB131" s="254">
        <v>5.7460000000000004</v>
      </c>
      <c r="BC131" s="256">
        <v>1.1000000000000001</v>
      </c>
      <c r="BD131" s="254">
        <v>4.9729999999999999</v>
      </c>
      <c r="BE131" s="254">
        <v>0.74099999999999999</v>
      </c>
      <c r="BF131" s="254">
        <v>4.3609999999999998</v>
      </c>
      <c r="BG131" s="254">
        <v>0.85399999999999998</v>
      </c>
      <c r="BH131" s="254">
        <v>2.4910000000000001</v>
      </c>
      <c r="BI131" s="254">
        <v>0.36699999999999999</v>
      </c>
      <c r="BJ131" s="254">
        <v>2.359</v>
      </c>
      <c r="BK131" s="254">
        <v>0.35199999999999998</v>
      </c>
      <c r="BL131" s="254">
        <v>2.355</v>
      </c>
      <c r="BM131" s="254">
        <v>1.1990000000000001</v>
      </c>
      <c r="BN131" s="254">
        <v>2.4870000000000001</v>
      </c>
      <c r="BO131" s="254">
        <v>2.68</v>
      </c>
      <c r="BP131" s="257">
        <v>1400</v>
      </c>
      <c r="BQ131" s="254">
        <v>2.9489999999999998</v>
      </c>
      <c r="BR131" s="256">
        <v>15</v>
      </c>
      <c r="BS131" s="256">
        <v>3.01</v>
      </c>
      <c r="BT131" s="258"/>
    </row>
    <row r="132" spans="1:72">
      <c r="A132" s="39">
        <v>14771</v>
      </c>
      <c r="B132" s="39" t="s">
        <v>380</v>
      </c>
      <c r="C132" s="53"/>
      <c r="D132" s="53"/>
      <c r="E132" s="53"/>
      <c r="F132" s="41" t="s">
        <v>381</v>
      </c>
      <c r="G132" s="39">
        <v>14771</v>
      </c>
      <c r="H132" s="116"/>
      <c r="I132" s="41" t="s">
        <v>381</v>
      </c>
      <c r="J132" s="39"/>
      <c r="K132" s="39" t="s">
        <v>380</v>
      </c>
      <c r="L132" s="39"/>
      <c r="M132" s="39"/>
      <c r="N132" s="39"/>
      <c r="O132" s="248"/>
      <c r="P132" s="39"/>
      <c r="Q132" s="259">
        <v>27</v>
      </c>
      <c r="R132" s="259">
        <v>2.4900000000000002</v>
      </c>
      <c r="S132" s="260">
        <v>12630</v>
      </c>
      <c r="T132" s="260">
        <v>10446</v>
      </c>
      <c r="U132" s="260">
        <v>65523</v>
      </c>
      <c r="V132" s="260">
        <v>847</v>
      </c>
      <c r="W132" s="260">
        <v>369</v>
      </c>
      <c r="X132" s="260">
        <v>25924</v>
      </c>
      <c r="Y132" s="260">
        <v>24983</v>
      </c>
      <c r="Z132" s="260">
        <v>2391</v>
      </c>
      <c r="AA132" s="259">
        <v>77</v>
      </c>
      <c r="AB132" s="259">
        <v>40.799999999999997</v>
      </c>
      <c r="AC132" s="259">
        <v>632</v>
      </c>
      <c r="AD132" s="260">
        <v>28218</v>
      </c>
      <c r="AE132" s="259">
        <v>9.5</v>
      </c>
      <c r="AF132" s="259">
        <v>20.399999999999999</v>
      </c>
      <c r="AG132" s="260">
        <v>131.30000000000001</v>
      </c>
      <c r="AH132" s="260">
        <v>412</v>
      </c>
      <c r="AI132" s="259">
        <v>15.36</v>
      </c>
      <c r="AJ132" s="259">
        <v>104.3</v>
      </c>
      <c r="AK132" s="259">
        <v>1.64</v>
      </c>
      <c r="AL132" s="260">
        <v>118.8</v>
      </c>
      <c r="AM132" s="259">
        <v>225.1</v>
      </c>
      <c r="AN132" s="259">
        <v>22.178000000000001</v>
      </c>
      <c r="AO132" s="259">
        <v>60.9</v>
      </c>
      <c r="AP132" s="259">
        <v>15.06</v>
      </c>
      <c r="AQ132" s="259">
        <v>1.96</v>
      </c>
      <c r="AR132" s="259">
        <v>5.6109999999999998</v>
      </c>
      <c r="AS132" s="259">
        <v>54.959000000000003</v>
      </c>
      <c r="AT132" s="259">
        <v>4.17</v>
      </c>
      <c r="AU132" s="259">
        <v>23.591000000000001</v>
      </c>
      <c r="AV132" s="259">
        <v>6.6619999999999999</v>
      </c>
      <c r="AW132" s="259">
        <v>722.7</v>
      </c>
      <c r="AX132" s="259">
        <v>33.43</v>
      </c>
      <c r="AY132" s="259">
        <v>62.89</v>
      </c>
      <c r="AZ132" s="259">
        <v>7.673</v>
      </c>
      <c r="BA132" s="259">
        <v>28.47</v>
      </c>
      <c r="BB132" s="259">
        <v>5.6319999999999997</v>
      </c>
      <c r="BC132" s="259">
        <v>0.97699999999999998</v>
      </c>
      <c r="BD132" s="259">
        <v>4.9169999999999998</v>
      </c>
      <c r="BE132" s="259">
        <v>0.67900000000000005</v>
      </c>
      <c r="BF132" s="259">
        <v>4.306</v>
      </c>
      <c r="BG132" s="259">
        <v>0.8</v>
      </c>
      <c r="BH132" s="259">
        <v>2.3639999999999999</v>
      </c>
      <c r="BI132" s="259">
        <v>0.34699999999999998</v>
      </c>
      <c r="BJ132" s="259">
        <v>2.3079999999999998</v>
      </c>
      <c r="BK132" s="259">
        <v>0.32600000000000001</v>
      </c>
      <c r="BL132" s="259">
        <v>2.052</v>
      </c>
      <c r="BM132" s="259">
        <v>1.0680000000000001</v>
      </c>
      <c r="BN132" s="259">
        <v>2.375</v>
      </c>
      <c r="BO132" s="259">
        <v>2.673</v>
      </c>
      <c r="BP132" s="260">
        <v>1327.22</v>
      </c>
      <c r="BQ132" s="259">
        <v>2.88</v>
      </c>
      <c r="BR132" s="259">
        <v>12.257999999999999</v>
      </c>
      <c r="BS132" s="259">
        <v>2.23</v>
      </c>
      <c r="BT132" s="258"/>
    </row>
    <row r="133" spans="1:72">
      <c r="A133" s="39">
        <v>14771</v>
      </c>
      <c r="B133" s="39" t="s">
        <v>380</v>
      </c>
      <c r="C133" s="53"/>
      <c r="D133" s="53"/>
      <c r="E133" s="53"/>
      <c r="F133" s="41" t="s">
        <v>382</v>
      </c>
      <c r="G133" s="39">
        <v>14771</v>
      </c>
      <c r="H133" s="116"/>
      <c r="I133" s="41" t="s">
        <v>382</v>
      </c>
      <c r="J133" s="39"/>
      <c r="K133" s="39" t="s">
        <v>380</v>
      </c>
      <c r="L133" s="39"/>
      <c r="M133" s="39"/>
      <c r="N133" s="39"/>
      <c r="O133" s="248"/>
      <c r="P133" s="39"/>
      <c r="Q133" s="259">
        <v>27</v>
      </c>
      <c r="R133" s="259">
        <v>1.99</v>
      </c>
      <c r="S133" s="260">
        <v>12565</v>
      </c>
      <c r="T133" s="260">
        <v>10532</v>
      </c>
      <c r="U133" s="260">
        <v>65318</v>
      </c>
      <c r="V133" s="260">
        <v>747</v>
      </c>
      <c r="W133" s="260">
        <v>365</v>
      </c>
      <c r="X133" s="260">
        <v>26204</v>
      </c>
      <c r="Y133" s="260">
        <v>24931</v>
      </c>
      <c r="Z133" s="260">
        <v>2489</v>
      </c>
      <c r="AA133" s="259">
        <v>78.8</v>
      </c>
      <c r="AB133" s="259">
        <v>41.2</v>
      </c>
      <c r="AC133" s="259">
        <v>628</v>
      </c>
      <c r="AD133" s="260">
        <v>28613</v>
      </c>
      <c r="AE133" s="259">
        <v>9.32</v>
      </c>
      <c r="AF133" s="259">
        <v>20.5</v>
      </c>
      <c r="AG133" s="260">
        <v>130.80000000000001</v>
      </c>
      <c r="AH133" s="260">
        <v>408.6</v>
      </c>
      <c r="AI133" s="259">
        <v>15.23</v>
      </c>
      <c r="AJ133" s="259">
        <v>100.5</v>
      </c>
      <c r="AK133" s="259">
        <v>1.51</v>
      </c>
      <c r="AL133" s="260">
        <v>119.5</v>
      </c>
      <c r="AM133" s="259">
        <v>227.4</v>
      </c>
      <c r="AN133" s="259">
        <v>22.300999999999998</v>
      </c>
      <c r="AO133" s="259">
        <v>66.599999999999994</v>
      </c>
      <c r="AP133" s="259">
        <v>15.62</v>
      </c>
      <c r="AQ133" s="259">
        <v>1.83</v>
      </c>
      <c r="AR133" s="259">
        <v>5.8179999999999996</v>
      </c>
      <c r="AS133" s="259">
        <v>54.231000000000002</v>
      </c>
      <c r="AT133" s="259">
        <v>4.6100000000000003</v>
      </c>
      <c r="AU133" s="259">
        <v>23.542000000000002</v>
      </c>
      <c r="AV133" s="259">
        <v>6.5270000000000001</v>
      </c>
      <c r="AW133" s="259">
        <v>722</v>
      </c>
      <c r="AX133" s="259">
        <v>32.659999999999997</v>
      </c>
      <c r="AY133" s="259">
        <v>61.33</v>
      </c>
      <c r="AZ133" s="259">
        <v>7.3460000000000001</v>
      </c>
      <c r="BA133" s="259">
        <v>27.84</v>
      </c>
      <c r="BB133" s="259">
        <v>5.5620000000000003</v>
      </c>
      <c r="BC133" s="259">
        <v>0.97799999999999998</v>
      </c>
      <c r="BD133" s="259">
        <v>4.8769999999999998</v>
      </c>
      <c r="BE133" s="259">
        <v>0.66400000000000003</v>
      </c>
      <c r="BF133" s="259">
        <v>4.2210000000000001</v>
      </c>
      <c r="BG133" s="259">
        <v>0.83</v>
      </c>
      <c r="BH133" s="259">
        <v>2.3109999999999999</v>
      </c>
      <c r="BI133" s="259">
        <v>0.34499999999999997</v>
      </c>
      <c r="BJ133" s="259">
        <v>2.3959999999999999</v>
      </c>
      <c r="BK133" s="259">
        <v>0.34200000000000003</v>
      </c>
      <c r="BL133" s="259">
        <v>2.319</v>
      </c>
      <c r="BM133" s="259">
        <v>1.1200000000000001</v>
      </c>
      <c r="BN133" s="259">
        <v>2.593</v>
      </c>
      <c r="BO133" s="259">
        <v>2.6760000000000002</v>
      </c>
      <c r="BP133" s="260">
        <v>1338.16</v>
      </c>
      <c r="BQ133" s="259">
        <v>2.89</v>
      </c>
      <c r="BR133" s="259">
        <v>11.920999999999999</v>
      </c>
      <c r="BS133" s="259">
        <v>2.3410000000000002</v>
      </c>
      <c r="BT133" s="258"/>
    </row>
    <row r="134" spans="1:72">
      <c r="A134" s="53">
        <v>14704</v>
      </c>
      <c r="B134" s="41" t="s">
        <v>380</v>
      </c>
      <c r="C134" s="53"/>
      <c r="D134" s="53"/>
      <c r="E134" s="53"/>
      <c r="F134" s="41" t="s">
        <v>381</v>
      </c>
      <c r="G134" s="53">
        <v>14704</v>
      </c>
      <c r="H134" s="116"/>
      <c r="I134" s="41" t="s">
        <v>381</v>
      </c>
      <c r="J134" s="39"/>
      <c r="K134" s="41" t="s">
        <v>380</v>
      </c>
      <c r="L134" s="41"/>
      <c r="M134" s="41"/>
      <c r="N134" s="39"/>
      <c r="O134" s="89"/>
      <c r="P134" s="39"/>
      <c r="Q134" s="261">
        <v>25.477152761269284</v>
      </c>
      <c r="R134" s="261">
        <v>1.9160859871340079</v>
      </c>
      <c r="S134" s="262">
        <v>11979.32972307588</v>
      </c>
      <c r="T134" s="262">
        <v>9978.2939787984487</v>
      </c>
      <c r="U134" s="262">
        <v>60530.747109576434</v>
      </c>
      <c r="V134" s="262">
        <v>863.99955225534825</v>
      </c>
      <c r="W134" s="262">
        <v>401.89493412011115</v>
      </c>
      <c r="X134" s="262">
        <v>24391.606393865528</v>
      </c>
      <c r="Y134" s="262">
        <v>24613.967397149616</v>
      </c>
      <c r="Z134" s="262">
        <v>2185.9235166454641</v>
      </c>
      <c r="AA134" s="261">
        <v>79.508757352410768</v>
      </c>
      <c r="AB134" s="261">
        <v>40.156051146911906</v>
      </c>
      <c r="AC134" s="261">
        <v>642.09457930142241</v>
      </c>
      <c r="AD134" s="262">
        <v>27200.798127976432</v>
      </c>
      <c r="AE134" s="261">
        <v>9.4809193753684902</v>
      </c>
      <c r="AF134" s="261">
        <v>21.487750066965546</v>
      </c>
      <c r="AG134" s="262">
        <v>127.51049586345893</v>
      </c>
      <c r="AH134" s="262">
        <v>400.15553072910626</v>
      </c>
      <c r="AI134" s="261">
        <v>14.74742860964391</v>
      </c>
      <c r="AJ134" s="261">
        <v>104.8020662828108</v>
      </c>
      <c r="AK134" s="261">
        <v>1.8540025258907995</v>
      </c>
      <c r="AL134" s="262">
        <v>116.74774593016714</v>
      </c>
      <c r="AM134" s="261">
        <v>229.64264299026271</v>
      </c>
      <c r="AN134" s="261">
        <v>23.398199681163806</v>
      </c>
      <c r="AO134" s="261">
        <v>59.856464967736215</v>
      </c>
      <c r="AP134" s="261">
        <v>15.612027963400115</v>
      </c>
      <c r="AQ134" s="261">
        <v>1.9017339417907781</v>
      </c>
      <c r="AR134" s="261">
        <v>6.0233823723923114</v>
      </c>
      <c r="AS134" s="261">
        <v>54.539125879551399</v>
      </c>
      <c r="AT134" s="261">
        <v>4.2744626357397824</v>
      </c>
      <c r="AU134" s="261">
        <v>23.827895488759342</v>
      </c>
      <c r="AV134" s="261">
        <v>6.447819442636491</v>
      </c>
      <c r="AW134" s="261">
        <v>648.0362666589848</v>
      </c>
      <c r="AX134" s="261">
        <v>33.226701714861427</v>
      </c>
      <c r="AY134" s="261">
        <v>67.528796989915421</v>
      </c>
      <c r="AZ134" s="261">
        <v>7.3278553642749387</v>
      </c>
      <c r="BA134" s="261">
        <v>27.698312025700499</v>
      </c>
      <c r="BB134" s="261">
        <v>5.6073286339082404</v>
      </c>
      <c r="BC134" s="261">
        <v>1.0000506690016957</v>
      </c>
      <c r="BD134" s="261">
        <v>4.5257985439158155</v>
      </c>
      <c r="BE134" s="261">
        <v>0.72420952584327836</v>
      </c>
      <c r="BF134" s="261">
        <v>4.0423259841940533</v>
      </c>
      <c r="BG134" s="261">
        <v>0.84820612760230263</v>
      </c>
      <c r="BH134" s="261">
        <v>2.385858818045675</v>
      </c>
      <c r="BI134" s="261">
        <v>0.35480788697075216</v>
      </c>
      <c r="BJ134" s="261">
        <v>2.2607312322743538</v>
      </c>
      <c r="BK134" s="261">
        <v>0.3256503443112595</v>
      </c>
      <c r="BL134" s="261">
        <v>2.2253586297098238</v>
      </c>
      <c r="BM134" s="261">
        <v>1.1523974883061867</v>
      </c>
      <c r="BN134" s="261">
        <v>2.4579220948536129</v>
      </c>
      <c r="BO134" s="261">
        <v>2.7194974452456186</v>
      </c>
      <c r="BP134" s="262">
        <v>1383.5326763539642</v>
      </c>
      <c r="BQ134" s="261">
        <v>2.9378233386324171</v>
      </c>
      <c r="BR134" s="261">
        <v>12.437030122691592</v>
      </c>
      <c r="BS134" s="261">
        <v>2.3655050754150149</v>
      </c>
      <c r="BT134" s="258"/>
    </row>
    <row r="135" spans="1:72">
      <c r="A135" s="53">
        <v>14704</v>
      </c>
      <c r="B135" s="41" t="s">
        <v>380</v>
      </c>
      <c r="C135" s="53"/>
      <c r="D135" s="53"/>
      <c r="E135" s="53"/>
      <c r="F135" s="41" t="s">
        <v>382</v>
      </c>
      <c r="G135" s="53">
        <v>14704</v>
      </c>
      <c r="H135" s="116"/>
      <c r="I135" s="41" t="s">
        <v>382</v>
      </c>
      <c r="J135" s="39"/>
      <c r="K135" s="41" t="s">
        <v>380</v>
      </c>
      <c r="L135" s="41"/>
      <c r="M135" s="41"/>
      <c r="N135" s="39"/>
      <c r="O135" s="89"/>
      <c r="P135" s="39"/>
      <c r="Q135" s="261">
        <v>23.636140708782229</v>
      </c>
      <c r="R135" s="261">
        <v>2.0022688973714566</v>
      </c>
      <c r="S135" s="262">
        <v>12367.266261339621</v>
      </c>
      <c r="T135" s="262">
        <v>10237.712947654642</v>
      </c>
      <c r="U135" s="262">
        <v>63536.967511311079</v>
      </c>
      <c r="V135" s="262">
        <v>857.18480650483457</v>
      </c>
      <c r="W135" s="262">
        <v>388.0061233067463</v>
      </c>
      <c r="X135" s="262">
        <v>24980.468223148986</v>
      </c>
      <c r="Y135" s="262">
        <v>24699.908981200148</v>
      </c>
      <c r="Z135" s="262">
        <v>2283.7705753808132</v>
      </c>
      <c r="AA135" s="261">
        <v>80.85518645318578</v>
      </c>
      <c r="AB135" s="261">
        <v>40.814957064222341</v>
      </c>
      <c r="AC135" s="261">
        <v>631.59288569624687</v>
      </c>
      <c r="AD135" s="262">
        <v>27304.157534660702</v>
      </c>
      <c r="AE135" s="261">
        <v>9.3630314693399477</v>
      </c>
      <c r="AF135" s="261">
        <v>21.158216039879573</v>
      </c>
      <c r="AG135" s="262">
        <v>125.94921235261656</v>
      </c>
      <c r="AH135" s="262">
        <v>388.06552980783766</v>
      </c>
      <c r="AI135" s="261">
        <v>14.919934242923146</v>
      </c>
      <c r="AJ135" s="261">
        <v>102.35305681505814</v>
      </c>
      <c r="AK135" s="261">
        <v>1.7727223557624525</v>
      </c>
      <c r="AL135" s="262">
        <v>117.02863907306386</v>
      </c>
      <c r="AM135" s="261">
        <v>229.69355165104457</v>
      </c>
      <c r="AN135" s="261">
        <v>23.871454684840497</v>
      </c>
      <c r="AO135" s="261">
        <v>63.844663964966493</v>
      </c>
      <c r="AP135" s="261">
        <v>15.927189390079151</v>
      </c>
      <c r="AQ135" s="261">
        <v>1.804232871665415</v>
      </c>
      <c r="AR135" s="261">
        <v>5.6408918220326676</v>
      </c>
      <c r="AS135" s="261">
        <v>53.952980240647534</v>
      </c>
      <c r="AT135" s="261">
        <v>4.1453267550809887</v>
      </c>
      <c r="AU135" s="261">
        <v>22.85715604291445</v>
      </c>
      <c r="AV135" s="261">
        <v>6.5892327245811844</v>
      </c>
      <c r="AW135" s="261">
        <v>654.88609496956121</v>
      </c>
      <c r="AX135" s="261">
        <v>34.15195745298265</v>
      </c>
      <c r="AY135" s="261">
        <v>70.119900110081005</v>
      </c>
      <c r="AZ135" s="261">
        <v>7.5007375203940017</v>
      </c>
      <c r="BA135" s="261">
        <v>28.634473989845844</v>
      </c>
      <c r="BB135" s="261">
        <v>5.7509986471706132</v>
      </c>
      <c r="BC135" s="261">
        <v>1.0677412657640861</v>
      </c>
      <c r="BD135" s="261">
        <v>4.5791612381259865</v>
      </c>
      <c r="BE135" s="261">
        <v>0.74521607905399023</v>
      </c>
      <c r="BF135" s="261">
        <v>4.0946868281400262</v>
      </c>
      <c r="BG135" s="261">
        <v>0.86288617865007633</v>
      </c>
      <c r="BH135" s="261">
        <v>2.4234912840340725</v>
      </c>
      <c r="BI135" s="261">
        <v>0.37502968526158942</v>
      </c>
      <c r="BJ135" s="261">
        <v>2.4202890039946423</v>
      </c>
      <c r="BK135" s="261">
        <v>0.36226912622494534</v>
      </c>
      <c r="BL135" s="261">
        <v>2.4178029962188194</v>
      </c>
      <c r="BM135" s="261">
        <v>1.2244186626950815</v>
      </c>
      <c r="BN135" s="261">
        <v>2.5238172367747982</v>
      </c>
      <c r="BO135" s="261">
        <v>2.6832088447297155</v>
      </c>
      <c r="BP135" s="262">
        <v>1412.035289709858</v>
      </c>
      <c r="BQ135" s="261">
        <v>2.9929453297298436</v>
      </c>
      <c r="BR135" s="261">
        <v>12.484566927228341</v>
      </c>
      <c r="BS135" s="261">
        <v>2.4438403413546421</v>
      </c>
      <c r="BT135" s="258"/>
    </row>
    <row r="136" spans="1:72">
      <c r="A136" s="53">
        <v>14704</v>
      </c>
      <c r="B136" s="41" t="s">
        <v>380</v>
      </c>
      <c r="C136" s="53"/>
      <c r="D136" s="53"/>
      <c r="E136" s="53"/>
      <c r="F136" s="41" t="s">
        <v>391</v>
      </c>
      <c r="G136" s="53">
        <v>14704</v>
      </c>
      <c r="H136" s="116"/>
      <c r="I136" s="41" t="s">
        <v>391</v>
      </c>
      <c r="J136" s="39"/>
      <c r="K136" s="41" t="s">
        <v>380</v>
      </c>
      <c r="L136" s="41"/>
      <c r="M136" s="41"/>
      <c r="N136" s="39"/>
      <c r="O136" s="89"/>
      <c r="P136" s="39"/>
      <c r="Q136" s="261">
        <v>24.078655409303416</v>
      </c>
      <c r="R136" s="261">
        <v>1.9496742959048701</v>
      </c>
      <c r="S136" s="262">
        <v>12481.508265823213</v>
      </c>
      <c r="T136" s="262">
        <v>10272.399047734696</v>
      </c>
      <c r="U136" s="262">
        <v>67813.111800384024</v>
      </c>
      <c r="V136" s="262">
        <v>829.48973123895541</v>
      </c>
      <c r="W136" s="262">
        <v>376.10349157150586</v>
      </c>
      <c r="X136" s="262">
        <v>24932.070689432083</v>
      </c>
      <c r="Y136" s="262">
        <v>24727.438373511846</v>
      </c>
      <c r="Z136" s="262">
        <v>2204.7509684851111</v>
      </c>
      <c r="AA136" s="261">
        <v>78.856339555066498</v>
      </c>
      <c r="AB136" s="261">
        <v>39.947319618283657</v>
      </c>
      <c r="AC136" s="261">
        <v>614.26792980103824</v>
      </c>
      <c r="AD136" s="262">
        <v>26770.768599251642</v>
      </c>
      <c r="AE136" s="261">
        <v>9.1517964146991364</v>
      </c>
      <c r="AF136" s="261">
        <v>20.691859812880573</v>
      </c>
      <c r="AG136" s="262">
        <v>123.11164432313961</v>
      </c>
      <c r="AH136" s="262">
        <v>390.85805781452166</v>
      </c>
      <c r="AI136" s="261">
        <v>13.688951516529041</v>
      </c>
      <c r="AJ136" s="261">
        <v>96.770980474559366</v>
      </c>
      <c r="AK136" s="261">
        <v>1.6403592731770047</v>
      </c>
      <c r="AL136" s="262">
        <v>114.79657117857182</v>
      </c>
      <c r="AM136" s="261">
        <v>222.52392394762578</v>
      </c>
      <c r="AN136" s="261">
        <v>22.947774890106</v>
      </c>
      <c r="AO136" s="261">
        <v>58.034273737687528</v>
      </c>
      <c r="AP136" s="261">
        <v>15.122077097062249</v>
      </c>
      <c r="AQ136" s="261">
        <v>1.8701375087685441</v>
      </c>
      <c r="AR136" s="261">
        <v>5.6189246687706325</v>
      </c>
      <c r="AS136" s="261">
        <v>52.693342456488303</v>
      </c>
      <c r="AT136" s="261">
        <v>4.1741414646558335</v>
      </c>
      <c r="AU136" s="261">
        <v>22.790817764653422</v>
      </c>
      <c r="AV136" s="261">
        <v>6.5338382935159949</v>
      </c>
      <c r="AW136" s="261">
        <v>648.00044972245109</v>
      </c>
      <c r="AX136" s="261">
        <v>33.210019264435353</v>
      </c>
      <c r="AY136" s="261">
        <v>68.579397515944549</v>
      </c>
      <c r="AZ136" s="261">
        <v>7.4211920772297537</v>
      </c>
      <c r="BA136" s="261">
        <v>27.836160750249899</v>
      </c>
      <c r="BB136" s="261">
        <v>5.7003372458995862</v>
      </c>
      <c r="BC136" s="261">
        <v>1.0139623962636055</v>
      </c>
      <c r="BD136" s="261">
        <v>4.6068355081082757</v>
      </c>
      <c r="BE136" s="261">
        <v>0.72908882241130801</v>
      </c>
      <c r="BF136" s="261">
        <v>4.0708250976475933</v>
      </c>
      <c r="BG136" s="261">
        <v>0.82585903233455282</v>
      </c>
      <c r="BH136" s="261">
        <v>2.3915707035370533</v>
      </c>
      <c r="BI136" s="261">
        <v>0.35310117709363598</v>
      </c>
      <c r="BJ136" s="261">
        <v>2.2667895451161684</v>
      </c>
      <c r="BK136" s="261">
        <v>0.33342380845086711</v>
      </c>
      <c r="BL136" s="261">
        <v>2.2024672313098268</v>
      </c>
      <c r="BM136" s="261">
        <v>1.1469432327707769</v>
      </c>
      <c r="BN136" s="261">
        <v>2.3964014871018735</v>
      </c>
      <c r="BO136" s="261">
        <v>2.6366843438464382</v>
      </c>
      <c r="BP136" s="262">
        <v>1406.686464105597</v>
      </c>
      <c r="BQ136" s="261">
        <v>2.8903327081205243</v>
      </c>
      <c r="BR136" s="261">
        <v>11.995480091306236</v>
      </c>
      <c r="BS136" s="261">
        <v>2.2679635793357784</v>
      </c>
      <c r="BT136" s="258"/>
    </row>
    <row r="137" spans="1:72" s="38" customFormat="1">
      <c r="A137" s="47"/>
      <c r="B137" s="47"/>
      <c r="C137" s="47"/>
      <c r="D137" s="47"/>
      <c r="E137" s="47"/>
      <c r="F137" s="47" t="s">
        <v>376</v>
      </c>
      <c r="G137" s="47"/>
      <c r="H137" s="83"/>
      <c r="I137" s="43"/>
      <c r="J137" s="39"/>
      <c r="K137" s="43"/>
      <c r="L137" s="47"/>
      <c r="M137" s="47"/>
      <c r="N137" s="43"/>
      <c r="O137" s="43"/>
      <c r="P137" s="47"/>
      <c r="Q137" s="263">
        <f>AVERAGE(Q132:Q136)</f>
        <v>25.438389775870984</v>
      </c>
      <c r="R137" s="263">
        <f t="shared" ref="R137:BS137" si="0">AVERAGE(R132:R136)</f>
        <v>2.0696058360820673</v>
      </c>
      <c r="S137" s="264">
        <f t="shared" si="0"/>
        <v>12404.620850047742</v>
      </c>
      <c r="T137" s="264">
        <f t="shared" si="0"/>
        <v>10293.281194837557</v>
      </c>
      <c r="U137" s="264">
        <f t="shared" si="0"/>
        <v>64544.365284254309</v>
      </c>
      <c r="V137" s="264">
        <f t="shared" si="0"/>
        <v>828.9348179998276</v>
      </c>
      <c r="W137" s="264">
        <f t="shared" si="0"/>
        <v>380.00090979967268</v>
      </c>
      <c r="X137" s="264">
        <f t="shared" si="0"/>
        <v>25286.429061289316</v>
      </c>
      <c r="Y137" s="264">
        <f t="shared" si="0"/>
        <v>24791.062950372325</v>
      </c>
      <c r="Z137" s="264">
        <f t="shared" si="0"/>
        <v>2310.8890121022778</v>
      </c>
      <c r="AA137" s="263">
        <f t="shared" si="0"/>
        <v>79.004056672132606</v>
      </c>
      <c r="AB137" s="263">
        <f t="shared" si="0"/>
        <v>40.583665565883578</v>
      </c>
      <c r="AC137" s="263">
        <f t="shared" si="0"/>
        <v>629.59107895974159</v>
      </c>
      <c r="AD137" s="264">
        <f t="shared" si="0"/>
        <v>27621.344852377755</v>
      </c>
      <c r="AE137" s="263">
        <f t="shared" si="0"/>
        <v>9.3631494518815153</v>
      </c>
      <c r="AF137" s="263">
        <f t="shared" si="0"/>
        <v>20.847565183945136</v>
      </c>
      <c r="AG137" s="264">
        <f t="shared" si="0"/>
        <v>127.73427050784304</v>
      </c>
      <c r="AH137" s="264">
        <f t="shared" si="0"/>
        <v>399.93582367029313</v>
      </c>
      <c r="AI137" s="263">
        <f t="shared" si="0"/>
        <v>14.78926287381922</v>
      </c>
      <c r="AJ137" s="263">
        <f t="shared" si="0"/>
        <v>101.74522071448567</v>
      </c>
      <c r="AK137" s="263">
        <f t="shared" si="0"/>
        <v>1.6834168309660513</v>
      </c>
      <c r="AL137" s="264">
        <f t="shared" si="0"/>
        <v>117.37459123636056</v>
      </c>
      <c r="AM137" s="263">
        <f t="shared" si="0"/>
        <v>226.87202371778662</v>
      </c>
      <c r="AN137" s="263">
        <f t="shared" si="0"/>
        <v>22.93928585122206</v>
      </c>
      <c r="AO137" s="263">
        <f t="shared" si="0"/>
        <v>61.847080534078046</v>
      </c>
      <c r="AP137" s="263">
        <f t="shared" si="0"/>
        <v>15.468258890108302</v>
      </c>
      <c r="AQ137" s="263">
        <f t="shared" si="0"/>
        <v>1.8732208644449475</v>
      </c>
      <c r="AR137" s="263">
        <f t="shared" si="0"/>
        <v>5.7424397726391216</v>
      </c>
      <c r="AS137" s="263">
        <f t="shared" si="0"/>
        <v>54.075089715337448</v>
      </c>
      <c r="AT137" s="263">
        <f t="shared" si="0"/>
        <v>4.2747861710953208</v>
      </c>
      <c r="AU137" s="263">
        <f t="shared" si="0"/>
        <v>23.321773859265445</v>
      </c>
      <c r="AV137" s="263">
        <f t="shared" si="0"/>
        <v>6.5519780921467348</v>
      </c>
      <c r="AW137" s="263">
        <f t="shared" si="0"/>
        <v>679.12456227019936</v>
      </c>
      <c r="AX137" s="263">
        <f t="shared" si="0"/>
        <v>33.335735686455891</v>
      </c>
      <c r="AY137" s="263">
        <f t="shared" si="0"/>
        <v>66.089618923188198</v>
      </c>
      <c r="AZ137" s="263">
        <f t="shared" si="0"/>
        <v>7.4537569923797378</v>
      </c>
      <c r="BA137" s="263">
        <f t="shared" si="0"/>
        <v>28.095789353159251</v>
      </c>
      <c r="BB137" s="263">
        <f t="shared" si="0"/>
        <v>5.6505329053956874</v>
      </c>
      <c r="BC137" s="263">
        <f t="shared" si="0"/>
        <v>1.0073508662058774</v>
      </c>
      <c r="BD137" s="263">
        <f t="shared" si="0"/>
        <v>4.701159058030016</v>
      </c>
      <c r="BE137" s="263">
        <f t="shared" si="0"/>
        <v>0.70830288546171527</v>
      </c>
      <c r="BF137" s="263">
        <f t="shared" si="0"/>
        <v>4.1469675819963348</v>
      </c>
      <c r="BG137" s="263">
        <f t="shared" si="0"/>
        <v>0.83339026771738633</v>
      </c>
      <c r="BH137" s="263">
        <f t="shared" si="0"/>
        <v>2.3751841611233599</v>
      </c>
      <c r="BI137" s="263">
        <f t="shared" si="0"/>
        <v>0.35498774986519549</v>
      </c>
      <c r="BJ137" s="263">
        <f t="shared" si="0"/>
        <v>2.330361956277033</v>
      </c>
      <c r="BK137" s="263">
        <f t="shared" si="0"/>
        <v>0.33786865579741437</v>
      </c>
      <c r="BL137" s="263">
        <f t="shared" si="0"/>
        <v>2.2433257714476942</v>
      </c>
      <c r="BM137" s="263">
        <f t="shared" si="0"/>
        <v>1.1423518767544092</v>
      </c>
      <c r="BN137" s="263">
        <f t="shared" si="0"/>
        <v>2.4692281637460569</v>
      </c>
      <c r="BO137" s="263">
        <f t="shared" si="0"/>
        <v>2.6776781267643548</v>
      </c>
      <c r="BP137" s="264">
        <f t="shared" si="0"/>
        <v>1373.526886033884</v>
      </c>
      <c r="BQ137" s="263">
        <f t="shared" si="0"/>
        <v>2.9182202752965569</v>
      </c>
      <c r="BR137" s="263">
        <f t="shared" si="0"/>
        <v>12.219215428245233</v>
      </c>
      <c r="BS137" s="263">
        <f t="shared" si="0"/>
        <v>2.3296617992210868</v>
      </c>
      <c r="BT137" s="265"/>
    </row>
    <row r="138" spans="1:72" s="38" customFormat="1">
      <c r="A138" s="47"/>
      <c r="B138" s="47"/>
      <c r="C138" s="47"/>
      <c r="D138" s="47"/>
      <c r="E138" s="47"/>
      <c r="F138" s="47" t="s">
        <v>718</v>
      </c>
      <c r="G138" s="47"/>
      <c r="H138" s="83"/>
      <c r="I138" s="43"/>
      <c r="J138" s="39"/>
      <c r="K138" s="43"/>
      <c r="L138" s="47"/>
      <c r="M138" s="47"/>
      <c r="N138" s="43"/>
      <c r="O138" s="43"/>
      <c r="P138" s="47"/>
      <c r="Q138" s="266">
        <f>(Q137/Q131)*100</f>
        <v>101.2473224910288</v>
      </c>
      <c r="R138" s="266">
        <f t="shared" ref="R138:BS138" si="1">(R137/R131)*100</f>
        <v>91.860001601512081</v>
      </c>
      <c r="S138" s="266">
        <f t="shared" si="1"/>
        <v>103.3718404170645</v>
      </c>
      <c r="T138" s="266">
        <f t="shared" si="1"/>
        <v>96.198889671379035</v>
      </c>
      <c r="U138" s="266">
        <f t="shared" si="1"/>
        <v>96.048162625378424</v>
      </c>
      <c r="V138" s="266">
        <f t="shared" si="1"/>
        <v>98.448315676939146</v>
      </c>
      <c r="W138" s="266">
        <f t="shared" si="1"/>
        <v>104.39614114315496</v>
      </c>
      <c r="X138" s="266">
        <f t="shared" si="1"/>
        <v>99.946359926044721</v>
      </c>
      <c r="Y138" s="266">
        <f t="shared" si="1"/>
        <v>102.44240888583604</v>
      </c>
      <c r="Z138" s="266">
        <f t="shared" si="1"/>
        <v>72.898707006381002</v>
      </c>
      <c r="AA138" s="266">
        <f t="shared" si="1"/>
        <v>97.898459321106074</v>
      </c>
      <c r="AB138" s="266">
        <f t="shared" si="1"/>
        <v>77.597830909911252</v>
      </c>
      <c r="AC138" s="266">
        <f t="shared" si="1"/>
        <v>93.272752438480239</v>
      </c>
      <c r="AD138" s="266">
        <f t="shared" si="1"/>
        <v>97.948031391410481</v>
      </c>
      <c r="AE138" s="266">
        <f t="shared" si="1"/>
        <v>94.672896378983978</v>
      </c>
      <c r="AF138" s="266">
        <f t="shared" si="1"/>
        <v>96.071728958272516</v>
      </c>
      <c r="AG138" s="266">
        <f t="shared" si="1"/>
        <v>91.238764648459309</v>
      </c>
      <c r="AH138" s="266">
        <f t="shared" si="1"/>
        <v>96.602855959008011</v>
      </c>
      <c r="AI138" s="266">
        <f t="shared" si="1"/>
        <v>98.819075730450507</v>
      </c>
      <c r="AJ138" s="266">
        <f t="shared" si="1"/>
        <v>95.088991321949223</v>
      </c>
      <c r="AK138" s="266">
        <f t="shared" si="1"/>
        <v>97.930007618734805</v>
      </c>
      <c r="AL138" s="266">
        <f t="shared" si="1"/>
        <v>97.812159363633796</v>
      </c>
      <c r="AM138" s="266">
        <f t="shared" si="1"/>
        <v>93.748770131316789</v>
      </c>
      <c r="AN138" s="266">
        <f t="shared" si="1"/>
        <v>94.575493099245762</v>
      </c>
      <c r="AO138" s="266">
        <f t="shared" si="1"/>
        <v>92.552197614746262</v>
      </c>
      <c r="AP138" s="266">
        <f t="shared" si="1"/>
        <v>95.618834704261005</v>
      </c>
      <c r="AQ138" s="266">
        <f t="shared" si="1"/>
        <v>100.01179201521342</v>
      </c>
      <c r="AR138" s="266">
        <f t="shared" si="1"/>
        <v>97.000671835120301</v>
      </c>
      <c r="AS138" s="266">
        <f t="shared" si="1"/>
        <v>99.953955111529481</v>
      </c>
      <c r="AT138" s="266">
        <f t="shared" si="1"/>
        <v>98.588241953305371</v>
      </c>
      <c r="AU138" s="266">
        <f t="shared" si="1"/>
        <v>97.990646467501861</v>
      </c>
      <c r="AV138" s="266">
        <f t="shared" si="1"/>
        <v>97.790717793234847</v>
      </c>
      <c r="AW138" s="266">
        <f t="shared" si="1"/>
        <v>93.030761954821827</v>
      </c>
      <c r="AX138" s="266">
        <f t="shared" si="1"/>
        <v>87.725620227515506</v>
      </c>
      <c r="AY138" s="266">
        <f t="shared" si="1"/>
        <v>94.934524998833894</v>
      </c>
      <c r="AZ138" s="266">
        <f t="shared" si="1"/>
        <v>94.220161703700384</v>
      </c>
      <c r="BA138" s="266">
        <f t="shared" si="1"/>
        <v>96.882032252273277</v>
      </c>
      <c r="BB138" s="266">
        <f t="shared" si="1"/>
        <v>98.338546909079142</v>
      </c>
      <c r="BC138" s="266">
        <f t="shared" si="1"/>
        <v>91.577351473261587</v>
      </c>
      <c r="BD138" s="266">
        <f t="shared" si="1"/>
        <v>94.533662940478919</v>
      </c>
      <c r="BE138" s="266">
        <f t="shared" si="1"/>
        <v>95.587433935454158</v>
      </c>
      <c r="BF138" s="266">
        <f t="shared" si="1"/>
        <v>95.092125246419059</v>
      </c>
      <c r="BG138" s="266">
        <f t="shared" si="1"/>
        <v>97.586682402504252</v>
      </c>
      <c r="BH138" s="266">
        <f t="shared" si="1"/>
        <v>95.350628708284219</v>
      </c>
      <c r="BI138" s="266">
        <f t="shared" si="1"/>
        <v>96.726907320216753</v>
      </c>
      <c r="BJ138" s="266">
        <f t="shared" si="1"/>
        <v>98.786009168165876</v>
      </c>
      <c r="BK138" s="266">
        <f t="shared" si="1"/>
        <v>95.985413578810906</v>
      </c>
      <c r="BL138" s="266">
        <f t="shared" si="1"/>
        <v>95.257994541303361</v>
      </c>
      <c r="BM138" s="266">
        <f t="shared" si="1"/>
        <v>95.275385884437796</v>
      </c>
      <c r="BN138" s="266">
        <f t="shared" si="1"/>
        <v>99.28541068540639</v>
      </c>
      <c r="BO138" s="266">
        <f t="shared" si="1"/>
        <v>99.913362938968447</v>
      </c>
      <c r="BP138" s="266">
        <f t="shared" si="1"/>
        <v>98.109063288134564</v>
      </c>
      <c r="BQ138" s="266">
        <f t="shared" si="1"/>
        <v>98.956265693338665</v>
      </c>
      <c r="BR138" s="266">
        <f t="shared" si="1"/>
        <v>81.461436188301548</v>
      </c>
      <c r="BS138" s="266">
        <f t="shared" si="1"/>
        <v>77.397401967477975</v>
      </c>
      <c r="BT138" s="265"/>
    </row>
    <row r="139" spans="1:72" s="38" customFormat="1">
      <c r="A139" s="47"/>
      <c r="B139" s="47"/>
      <c r="C139" s="47"/>
      <c r="D139" s="47"/>
      <c r="E139" s="47"/>
      <c r="F139" s="47" t="s">
        <v>719</v>
      </c>
      <c r="G139" s="47"/>
      <c r="H139" s="83"/>
      <c r="I139" s="43"/>
      <c r="J139" s="39"/>
      <c r="K139" s="43"/>
      <c r="L139" s="47"/>
      <c r="M139" s="47"/>
      <c r="N139" s="43"/>
      <c r="O139" s="43"/>
      <c r="P139" s="47"/>
      <c r="Q139" s="263">
        <f>STDEV(Q132:Q136)</f>
        <v>1.5792193325099537</v>
      </c>
      <c r="R139" s="263">
        <f t="shared" ref="R139:BS139" si="2">STDEV(R132:R136)</f>
        <v>0.23746290439761639</v>
      </c>
      <c r="S139" s="264">
        <f t="shared" si="2"/>
        <v>257.2434720531266</v>
      </c>
      <c r="T139" s="264">
        <f t="shared" si="2"/>
        <v>213.92203125151909</v>
      </c>
      <c r="U139" s="264">
        <f t="shared" si="2"/>
        <v>2709.4704967952339</v>
      </c>
      <c r="V139" s="263">
        <f t="shared" si="2"/>
        <v>47.611896016149402</v>
      </c>
      <c r="W139" s="263">
        <f t="shared" si="2"/>
        <v>15.038857372831572</v>
      </c>
      <c r="X139" s="264">
        <f t="shared" si="2"/>
        <v>753.04757913612173</v>
      </c>
      <c r="Y139" s="264">
        <f t="shared" si="2"/>
        <v>158.22624365607749</v>
      </c>
      <c r="Z139" s="264">
        <f t="shared" si="2"/>
        <v>128.21696783159601</v>
      </c>
      <c r="AA139" s="263">
        <f t="shared" si="2"/>
        <v>1.392938159091295</v>
      </c>
      <c r="AB139" s="263">
        <f t="shared" si="2"/>
        <v>0.51670947727064098</v>
      </c>
      <c r="AC139" s="263">
        <f t="shared" si="2"/>
        <v>10.043381950057134</v>
      </c>
      <c r="AD139" s="263">
        <f t="shared" si="2"/>
        <v>764.90597482584394</v>
      </c>
      <c r="AE139" s="263">
        <f t="shared" si="2"/>
        <v>0.1406501180609431</v>
      </c>
      <c r="AF139" s="263">
        <f t="shared" si="2"/>
        <v>0.46143822779697957</v>
      </c>
      <c r="AG139" s="263">
        <f t="shared" si="2"/>
        <v>3.4175394907314027</v>
      </c>
      <c r="AH139" s="263">
        <f t="shared" si="2"/>
        <v>10.535301164317318</v>
      </c>
      <c r="AI139" s="263">
        <f t="shared" si="2"/>
        <v>0.66134338224169298</v>
      </c>
      <c r="AJ139" s="263">
        <f t="shared" si="2"/>
        <v>3.2609165637795581</v>
      </c>
      <c r="AK139" s="263">
        <f t="shared" si="2"/>
        <v>0.13312337119033577</v>
      </c>
      <c r="AL139" s="263">
        <f t="shared" si="2"/>
        <v>1.8512129747521535</v>
      </c>
      <c r="AM139" s="263">
        <f t="shared" si="2"/>
        <v>3.0806715847937221</v>
      </c>
      <c r="AN139" s="263">
        <f t="shared" si="2"/>
        <v>0.71877981270408875</v>
      </c>
      <c r="AO139" s="263">
        <f t="shared" si="2"/>
        <v>3.3903388676684494</v>
      </c>
      <c r="AP139" s="263">
        <f t="shared" si="2"/>
        <v>0.36770547652261282</v>
      </c>
      <c r="AQ139" s="263">
        <f t="shared" si="2"/>
        <v>6.1197441328776254E-2</v>
      </c>
      <c r="AR139" s="263">
        <f t="shared" si="2"/>
        <v>0.17852343914900021</v>
      </c>
      <c r="AS139" s="263">
        <f t="shared" si="2"/>
        <v>0.85806048461637718</v>
      </c>
      <c r="AT139" s="263">
        <f t="shared" si="2"/>
        <v>0.1938025120747551</v>
      </c>
      <c r="AU139" s="263">
        <f t="shared" si="2"/>
        <v>0.4676872516531842</v>
      </c>
      <c r="AV139" s="263">
        <f t="shared" si="2"/>
        <v>7.9521552888117519E-2</v>
      </c>
      <c r="AW139" s="263">
        <f t="shared" si="2"/>
        <v>39.559504979350471</v>
      </c>
      <c r="AX139" s="263">
        <f t="shared" si="2"/>
        <v>0.53838078453761062</v>
      </c>
      <c r="AY139" s="263">
        <f t="shared" si="2"/>
        <v>3.7883020913634184</v>
      </c>
      <c r="AZ139" s="263">
        <f t="shared" si="2"/>
        <v>0.14035484447265179</v>
      </c>
      <c r="BA139" s="263">
        <f t="shared" si="2"/>
        <v>0.42456983421257682</v>
      </c>
      <c r="BB139" s="263">
        <f t="shared" si="2"/>
        <v>7.5203042821388857E-2</v>
      </c>
      <c r="BC139" s="263">
        <f t="shared" si="2"/>
        <v>3.7170734436538483E-2</v>
      </c>
      <c r="BD139" s="263">
        <f t="shared" si="2"/>
        <v>0.18168589594747916</v>
      </c>
      <c r="BE139" s="263">
        <f t="shared" si="2"/>
        <v>3.4889342931967951E-2</v>
      </c>
      <c r="BF139" s="263">
        <f t="shared" si="2"/>
        <v>0.11208582429187763</v>
      </c>
      <c r="BG139" s="263">
        <f t="shared" si="2"/>
        <v>2.3836116848726521E-2</v>
      </c>
      <c r="BH139" s="263">
        <f t="shared" si="2"/>
        <v>4.1715516285125577E-2</v>
      </c>
      <c r="BI139" s="263">
        <f t="shared" si="2"/>
        <v>1.1925078377049132E-2</v>
      </c>
      <c r="BJ139" s="263">
        <f t="shared" si="2"/>
        <v>7.3799005700386222E-2</v>
      </c>
      <c r="BK139" s="263">
        <f t="shared" si="2"/>
        <v>1.5185188144614484E-2</v>
      </c>
      <c r="BL139" s="263">
        <f t="shared" si="2"/>
        <v>0.13671748254640126</v>
      </c>
      <c r="BM139" s="263">
        <f t="shared" si="2"/>
        <v>5.6755528778035157E-2</v>
      </c>
      <c r="BN139" s="263">
        <f t="shared" si="2"/>
        <v>9.0291103121516073E-2</v>
      </c>
      <c r="BO139" s="263">
        <f t="shared" si="2"/>
        <v>2.9515400458199885E-2</v>
      </c>
      <c r="BP139" s="263">
        <f t="shared" si="2"/>
        <v>38.979850350482565</v>
      </c>
      <c r="BQ139" s="263">
        <f t="shared" si="2"/>
        <v>4.7442079520092696E-2</v>
      </c>
      <c r="BR139" s="263">
        <f t="shared" si="2"/>
        <v>0.25414014085452857</v>
      </c>
      <c r="BS139" s="263">
        <f t="shared" si="2"/>
        <v>8.394816747547458E-2</v>
      </c>
      <c r="BT139" s="265"/>
    </row>
    <row r="140" spans="1:72" s="38" customFormat="1">
      <c r="A140" s="47"/>
      <c r="B140" s="47"/>
      <c r="C140" s="47"/>
      <c r="D140" s="47"/>
      <c r="E140" s="47"/>
      <c r="F140" s="47" t="s">
        <v>720</v>
      </c>
      <c r="G140" s="47"/>
      <c r="H140" s="83"/>
      <c r="I140" s="43"/>
      <c r="J140" s="39"/>
      <c r="K140" s="43"/>
      <c r="L140" s="47"/>
      <c r="M140" s="47"/>
      <c r="N140" s="43"/>
      <c r="O140" s="43"/>
      <c r="P140" s="47"/>
      <c r="Q140" s="267">
        <f>(Q139/Q137)*100</f>
        <v>6.2080160985971169</v>
      </c>
      <c r="R140" s="267">
        <f t="shared" ref="R140:BS140" si="3">(R139/R137)*100</f>
        <v>11.473822708538213</v>
      </c>
      <c r="S140" s="267">
        <f t="shared" si="3"/>
        <v>2.0737713402351714</v>
      </c>
      <c r="T140" s="267">
        <f t="shared" si="3"/>
        <v>2.0782686026182646</v>
      </c>
      <c r="U140" s="267">
        <f t="shared" si="3"/>
        <v>4.1978420344869569</v>
      </c>
      <c r="V140" s="267">
        <f t="shared" si="3"/>
        <v>5.7437442585695928</v>
      </c>
      <c r="W140" s="267">
        <f t="shared" si="3"/>
        <v>3.957584570194765</v>
      </c>
      <c r="X140" s="267">
        <f t="shared" si="3"/>
        <v>2.9780700838021965</v>
      </c>
      <c r="Y140" s="267">
        <f t="shared" si="3"/>
        <v>0.63823904595305447</v>
      </c>
      <c r="Z140" s="267">
        <f t="shared" si="3"/>
        <v>5.5483827721762191</v>
      </c>
      <c r="AA140" s="267">
        <f t="shared" si="3"/>
        <v>1.7631223227840036</v>
      </c>
      <c r="AB140" s="267">
        <f>(AB139/AB137)*100</f>
        <v>1.2731956812324261</v>
      </c>
      <c r="AC140" s="267">
        <f t="shared" si="3"/>
        <v>1.5952230401122542</v>
      </c>
      <c r="AD140" s="267">
        <f t="shared" si="3"/>
        <v>2.7692568153863726</v>
      </c>
      <c r="AE140" s="267">
        <f t="shared" si="3"/>
        <v>1.5021667525842985</v>
      </c>
      <c r="AF140" s="267">
        <f t="shared" si="3"/>
        <v>2.2133914619071993</v>
      </c>
      <c r="AG140" s="267">
        <f t="shared" si="3"/>
        <v>2.6755071110861839</v>
      </c>
      <c r="AH140" s="267">
        <f t="shared" si="3"/>
        <v>2.6342479319888619</v>
      </c>
      <c r="AI140" s="267">
        <f t="shared" si="3"/>
        <v>4.4717805605608643</v>
      </c>
      <c r="AJ140" s="267">
        <f t="shared" si="3"/>
        <v>3.2049825445169975</v>
      </c>
      <c r="AK140" s="267">
        <f t="shared" si="3"/>
        <v>7.9079268272458192</v>
      </c>
      <c r="AL140" s="267">
        <f t="shared" si="3"/>
        <v>1.5771837458622651</v>
      </c>
      <c r="AM140" s="267">
        <f t="shared" si="3"/>
        <v>1.3578895865211957</v>
      </c>
      <c r="AN140" s="267">
        <f t="shared" si="3"/>
        <v>3.1334010019575071</v>
      </c>
      <c r="AO140" s="267">
        <f t="shared" si="3"/>
        <v>5.481809065830288</v>
      </c>
      <c r="AP140" s="267">
        <f t="shared" si="3"/>
        <v>2.3771613801845173</v>
      </c>
      <c r="AQ140" s="267">
        <f t="shared" si="3"/>
        <v>3.2669634686622824</v>
      </c>
      <c r="AR140" s="267">
        <f t="shared" si="3"/>
        <v>3.1088430391487427</v>
      </c>
      <c r="AS140" s="267">
        <f t="shared" si="3"/>
        <v>1.5867943800618485</v>
      </c>
      <c r="AT140" s="267">
        <f t="shared" si="3"/>
        <v>4.5336188599369738</v>
      </c>
      <c r="AU140" s="267">
        <f t="shared" si="3"/>
        <v>2.0053674067651501</v>
      </c>
      <c r="AV140" s="267">
        <f t="shared" si="3"/>
        <v>1.2137029728996322</v>
      </c>
      <c r="AW140" s="267">
        <f t="shared" si="3"/>
        <v>5.825073510389565</v>
      </c>
      <c r="AX140" s="267">
        <f t="shared" si="3"/>
        <v>1.6150259577332546</v>
      </c>
      <c r="AY140" s="267">
        <f t="shared" si="3"/>
        <v>5.7320682931555762</v>
      </c>
      <c r="AZ140" s="267">
        <f t="shared" si="3"/>
        <v>1.8830080537391003</v>
      </c>
      <c r="BA140" s="267">
        <f t="shared" si="3"/>
        <v>1.5111511154778636</v>
      </c>
      <c r="BB140" s="267">
        <f t="shared" si="3"/>
        <v>1.3309017765311579</v>
      </c>
      <c r="BC140" s="267">
        <f t="shared" si="3"/>
        <v>3.6899491213562632</v>
      </c>
      <c r="BD140" s="267">
        <f t="shared" si="3"/>
        <v>3.8647042932347246</v>
      </c>
      <c r="BE140" s="267">
        <f t="shared" si="3"/>
        <v>4.9257660314661766</v>
      </c>
      <c r="BF140" s="267">
        <f t="shared" si="3"/>
        <v>2.7028382082967704</v>
      </c>
      <c r="BG140" s="267">
        <f t="shared" si="3"/>
        <v>2.8601386135708586</v>
      </c>
      <c r="BH140" s="267">
        <f t="shared" si="3"/>
        <v>1.756306604259096</v>
      </c>
      <c r="BI140" s="267">
        <f t="shared" si="3"/>
        <v>3.3592929281581156</v>
      </c>
      <c r="BJ140" s="267">
        <f t="shared" si="3"/>
        <v>3.1668473432464928</v>
      </c>
      <c r="BK140" s="267">
        <f t="shared" si="3"/>
        <v>4.4944057059023272</v>
      </c>
      <c r="BL140" s="267">
        <f t="shared" si="3"/>
        <v>6.0944105526935051</v>
      </c>
      <c r="BM140" s="267">
        <f t="shared" si="3"/>
        <v>4.968305294799884</v>
      </c>
      <c r="BN140" s="267">
        <f t="shared" si="3"/>
        <v>3.6566528945035106</v>
      </c>
      <c r="BO140" s="267">
        <f t="shared" si="3"/>
        <v>1.1022758920567357</v>
      </c>
      <c r="BP140" s="267">
        <f t="shared" si="3"/>
        <v>2.8379386488049394</v>
      </c>
      <c r="BQ140" s="267">
        <f t="shared" si="3"/>
        <v>1.6257196182790385</v>
      </c>
      <c r="BR140" s="267">
        <f t="shared" si="3"/>
        <v>2.0798400874991767</v>
      </c>
      <c r="BS140" s="267">
        <f t="shared" si="3"/>
        <v>3.6034486852787957</v>
      </c>
      <c r="BT140" s="265"/>
    </row>
    <row r="141" spans="1:72">
      <c r="A141" s="53"/>
      <c r="B141" s="53"/>
      <c r="C141" s="53"/>
      <c r="D141" s="53"/>
      <c r="E141" s="53"/>
      <c r="F141" s="243"/>
      <c r="G141" s="53"/>
      <c r="H141" s="116"/>
      <c r="I141" s="39"/>
      <c r="J141" s="39"/>
      <c r="K141" s="39"/>
      <c r="L141" s="39"/>
      <c r="M141" s="39"/>
      <c r="N141" s="39"/>
      <c r="O141" s="39"/>
      <c r="P141" s="205"/>
      <c r="Q141" s="259"/>
      <c r="R141" s="259"/>
      <c r="S141" s="259"/>
      <c r="T141" s="259"/>
      <c r="U141" s="259"/>
      <c r="V141" s="259"/>
      <c r="W141" s="259"/>
      <c r="X141" s="259"/>
      <c r="Y141" s="259"/>
      <c r="Z141" s="259"/>
      <c r="AA141" s="268"/>
      <c r="AB141" s="268"/>
      <c r="AC141" s="259"/>
      <c r="AD141" s="259"/>
      <c r="AE141" s="259"/>
      <c r="AF141" s="259"/>
      <c r="AG141" s="259"/>
      <c r="AH141" s="259"/>
      <c r="AI141" s="259"/>
      <c r="AJ141" s="259"/>
      <c r="AK141" s="259"/>
      <c r="AL141" s="259"/>
      <c r="AM141" s="259"/>
      <c r="AN141" s="259"/>
      <c r="AO141" s="259"/>
      <c r="AP141" s="259"/>
      <c r="AQ141" s="259"/>
      <c r="AR141" s="259"/>
      <c r="AS141" s="259"/>
      <c r="AT141" s="259"/>
      <c r="AU141" s="259"/>
      <c r="AV141" s="259"/>
      <c r="AW141" s="259"/>
      <c r="AX141" s="259"/>
      <c r="AY141" s="259"/>
      <c r="AZ141" s="259"/>
      <c r="BA141" s="259"/>
      <c r="BB141" s="259"/>
      <c r="BC141" s="259"/>
      <c r="BD141" s="259"/>
      <c r="BE141" s="259"/>
      <c r="BF141" s="259"/>
      <c r="BG141" s="259"/>
      <c r="BH141" s="259"/>
      <c r="BI141" s="259"/>
      <c r="BJ141" s="259"/>
      <c r="BK141" s="259"/>
      <c r="BL141" s="259"/>
      <c r="BM141" s="259"/>
      <c r="BN141" s="259"/>
      <c r="BO141" s="259"/>
      <c r="BP141" s="259"/>
      <c r="BQ141" s="259"/>
      <c r="BR141" s="259"/>
      <c r="BS141" s="259"/>
      <c r="BT141" s="258"/>
    </row>
    <row r="142" spans="1:72">
      <c r="A142" s="25" t="s">
        <v>398</v>
      </c>
      <c r="B142" s="53"/>
      <c r="C142" s="53"/>
      <c r="D142" s="53"/>
      <c r="E142" s="53"/>
      <c r="F142" s="90" t="s">
        <v>388</v>
      </c>
      <c r="G142" s="53"/>
      <c r="H142" s="116"/>
      <c r="I142" s="41"/>
      <c r="J142" s="39"/>
      <c r="K142" s="39"/>
      <c r="L142" s="39"/>
      <c r="M142" s="39"/>
      <c r="N142" s="39"/>
      <c r="O142" s="39"/>
      <c r="P142" s="39"/>
      <c r="Q142" s="265" t="s">
        <v>4</v>
      </c>
      <c r="R142" s="265" t="s">
        <v>5</v>
      </c>
      <c r="S142" s="269" t="s">
        <v>6</v>
      </c>
      <c r="T142" s="269" t="s">
        <v>7</v>
      </c>
      <c r="U142" s="269" t="s">
        <v>8</v>
      </c>
      <c r="V142" s="269" t="s">
        <v>9</v>
      </c>
      <c r="W142" s="269" t="s">
        <v>10</v>
      </c>
      <c r="X142" s="269" t="s">
        <v>11</v>
      </c>
      <c r="Y142" s="269" t="s">
        <v>12</v>
      </c>
      <c r="Z142" s="269" t="s">
        <v>13</v>
      </c>
      <c r="AA142" s="269" t="s">
        <v>14</v>
      </c>
      <c r="AB142" s="269" t="s">
        <v>15</v>
      </c>
      <c r="AC142" s="269" t="s">
        <v>16</v>
      </c>
      <c r="AD142" s="267" t="s">
        <v>17</v>
      </c>
      <c r="AE142" s="265" t="s">
        <v>18</v>
      </c>
      <c r="AF142" s="269" t="s">
        <v>19</v>
      </c>
      <c r="AG142" s="269" t="s">
        <v>20</v>
      </c>
      <c r="AH142" s="265" t="s">
        <v>21</v>
      </c>
      <c r="AI142" s="265" t="s">
        <v>22</v>
      </c>
      <c r="AJ142" s="265" t="s">
        <v>23</v>
      </c>
      <c r="AK142" s="265" t="s">
        <v>24</v>
      </c>
      <c r="AL142" s="265" t="s">
        <v>25</v>
      </c>
      <c r="AM142" s="269" t="s">
        <v>26</v>
      </c>
      <c r="AN142" s="265" t="s">
        <v>27</v>
      </c>
      <c r="AO142" s="269" t="s">
        <v>28</v>
      </c>
      <c r="AP142" s="265" t="s">
        <v>29</v>
      </c>
      <c r="AQ142" s="269" t="s">
        <v>30</v>
      </c>
      <c r="AR142" s="265" t="s">
        <v>31</v>
      </c>
      <c r="AS142" s="265" t="s">
        <v>32</v>
      </c>
      <c r="AT142" s="269" t="s">
        <v>33</v>
      </c>
      <c r="AU142" s="265" t="s">
        <v>34</v>
      </c>
      <c r="AV142" s="265" t="s">
        <v>35</v>
      </c>
      <c r="AW142" s="269" t="s">
        <v>36</v>
      </c>
      <c r="AX142" s="265" t="s">
        <v>37</v>
      </c>
      <c r="AY142" s="265" t="s">
        <v>38</v>
      </c>
      <c r="AZ142" s="265" t="s">
        <v>39</v>
      </c>
      <c r="BA142" s="265" t="s">
        <v>40</v>
      </c>
      <c r="BB142" s="265" t="s">
        <v>41</v>
      </c>
      <c r="BC142" s="265" t="s">
        <v>42</v>
      </c>
      <c r="BD142" s="265" t="s">
        <v>43</v>
      </c>
      <c r="BE142" s="265" t="s">
        <v>44</v>
      </c>
      <c r="BF142" s="265" t="s">
        <v>45</v>
      </c>
      <c r="BG142" s="265" t="s">
        <v>46</v>
      </c>
      <c r="BH142" s="265" t="s">
        <v>47</v>
      </c>
      <c r="BI142" s="265" t="s">
        <v>48</v>
      </c>
      <c r="BJ142" s="265" t="s">
        <v>49</v>
      </c>
      <c r="BK142" s="265" t="s">
        <v>50</v>
      </c>
      <c r="BL142" s="265" t="s">
        <v>51</v>
      </c>
      <c r="BM142" s="269" t="s">
        <v>52</v>
      </c>
      <c r="BN142" s="269" t="s">
        <v>53</v>
      </c>
      <c r="BO142" s="269" t="s">
        <v>54</v>
      </c>
      <c r="BP142" s="269" t="s">
        <v>55</v>
      </c>
      <c r="BQ142" s="269" t="s">
        <v>56</v>
      </c>
      <c r="BR142" s="265" t="s">
        <v>57</v>
      </c>
      <c r="BS142" s="265" t="s">
        <v>58</v>
      </c>
      <c r="BT142" s="258"/>
    </row>
    <row r="143" spans="1:72" s="37" customFormat="1">
      <c r="A143" s="270"/>
      <c r="B143" s="270"/>
      <c r="C143" s="270"/>
      <c r="D143" s="270"/>
      <c r="E143" s="270"/>
      <c r="F143" s="90" t="s">
        <v>397</v>
      </c>
      <c r="G143" s="270"/>
      <c r="H143" s="271"/>
      <c r="I143" s="272"/>
      <c r="J143" s="39"/>
      <c r="K143" s="40"/>
      <c r="L143" s="40"/>
      <c r="M143" s="40"/>
      <c r="N143" s="40"/>
      <c r="O143" s="40"/>
      <c r="P143" s="40"/>
      <c r="Q143" s="255">
        <v>9</v>
      </c>
      <c r="R143" s="273">
        <v>1.613</v>
      </c>
      <c r="S143" s="255">
        <v>23400</v>
      </c>
      <c r="T143" s="255">
        <v>21600</v>
      </c>
      <c r="U143" s="255">
        <v>71400</v>
      </c>
      <c r="V143" s="255">
        <v>1500</v>
      </c>
      <c r="W143" s="273">
        <v>544.59400000000005</v>
      </c>
      <c r="X143" s="255">
        <v>14900</v>
      </c>
      <c r="Y143" s="255">
        <v>50900</v>
      </c>
      <c r="Z143" s="255">
        <v>13500</v>
      </c>
      <c r="AA143" s="255">
        <v>416</v>
      </c>
      <c r="AB143" s="255">
        <v>18</v>
      </c>
      <c r="AC143" s="274">
        <v>1520</v>
      </c>
      <c r="AD143" s="275">
        <v>96600</v>
      </c>
      <c r="AE143" s="256">
        <v>37</v>
      </c>
      <c r="AF143" s="254">
        <v>11.907999999999999</v>
      </c>
      <c r="AG143" s="255">
        <v>19</v>
      </c>
      <c r="AH143" s="256">
        <v>127</v>
      </c>
      <c r="AI143" s="256">
        <v>23</v>
      </c>
      <c r="AJ143" s="254">
        <v>0.55800000000000005</v>
      </c>
      <c r="AK143" s="254">
        <v>0.105</v>
      </c>
      <c r="AL143" s="256">
        <v>48</v>
      </c>
      <c r="AM143" s="274">
        <v>346</v>
      </c>
      <c r="AN143" s="256">
        <v>37</v>
      </c>
      <c r="AO143" s="255">
        <v>188</v>
      </c>
      <c r="AP143" s="254">
        <v>11.555</v>
      </c>
      <c r="AQ143" s="256">
        <v>248</v>
      </c>
      <c r="AR143" s="254">
        <v>5.1999999999999998E-2</v>
      </c>
      <c r="AS143" s="254">
        <v>0.26400000000000001</v>
      </c>
      <c r="AT143" s="254">
        <v>2.1120000000000001</v>
      </c>
      <c r="AU143" s="254">
        <v>0.30399999999999999</v>
      </c>
      <c r="AV143" s="256">
        <v>1.1000000000000001</v>
      </c>
      <c r="AW143" s="275">
        <v>638</v>
      </c>
      <c r="AX143" s="256">
        <v>25</v>
      </c>
      <c r="AY143" s="256">
        <v>53</v>
      </c>
      <c r="AZ143" s="256">
        <v>6.8</v>
      </c>
      <c r="BA143" s="256">
        <v>28</v>
      </c>
      <c r="BB143" s="256">
        <v>6.7</v>
      </c>
      <c r="BC143" s="256">
        <v>2</v>
      </c>
      <c r="BD143" s="256">
        <v>6.8</v>
      </c>
      <c r="BE143" s="256">
        <v>1.07</v>
      </c>
      <c r="BF143" s="254">
        <v>6.4</v>
      </c>
      <c r="BG143" s="256">
        <v>1.33</v>
      </c>
      <c r="BH143" s="254">
        <v>3.661</v>
      </c>
      <c r="BI143" s="256">
        <v>0.54</v>
      </c>
      <c r="BJ143" s="256">
        <v>3.5</v>
      </c>
      <c r="BK143" s="256">
        <v>0.51</v>
      </c>
      <c r="BL143" s="256">
        <v>4.8</v>
      </c>
      <c r="BM143" s="254">
        <v>0.73</v>
      </c>
      <c r="BN143" s="254">
        <v>0.48</v>
      </c>
      <c r="BO143" s="254">
        <v>0.25700000000000001</v>
      </c>
      <c r="BP143" s="256">
        <v>11</v>
      </c>
      <c r="BQ143" s="254">
        <v>5.6000000000000001E-2</v>
      </c>
      <c r="BR143" s="256">
        <v>6.2</v>
      </c>
      <c r="BS143" s="256">
        <v>1.69</v>
      </c>
      <c r="BT143" s="256"/>
    </row>
    <row r="144" spans="1:72">
      <c r="A144" s="53">
        <v>14771</v>
      </c>
      <c r="B144" s="39" t="s">
        <v>384</v>
      </c>
      <c r="C144" s="53"/>
      <c r="D144" s="53"/>
      <c r="E144" s="53"/>
      <c r="F144" s="41" t="s">
        <v>383</v>
      </c>
      <c r="G144" s="53">
        <v>14771</v>
      </c>
      <c r="H144" s="116"/>
      <c r="I144" s="41" t="s">
        <v>383</v>
      </c>
      <c r="J144" s="39"/>
      <c r="K144" s="39" t="s">
        <v>384</v>
      </c>
      <c r="L144" s="39"/>
      <c r="M144" s="39"/>
      <c r="N144" s="39"/>
      <c r="O144" s="89"/>
      <c r="P144" s="39"/>
      <c r="Q144" s="259">
        <v>10</v>
      </c>
      <c r="R144" s="259">
        <v>1.89</v>
      </c>
      <c r="S144" s="260">
        <v>23350</v>
      </c>
      <c r="T144" s="260">
        <v>21536</v>
      </c>
      <c r="U144" s="260">
        <v>67519</v>
      </c>
      <c r="V144" s="260">
        <v>1451</v>
      </c>
      <c r="W144" s="260">
        <v>236</v>
      </c>
      <c r="X144" s="260">
        <v>15107</v>
      </c>
      <c r="Y144" s="260">
        <v>49335</v>
      </c>
      <c r="Z144" s="260">
        <v>13438</v>
      </c>
      <c r="AA144" s="260">
        <v>406.9</v>
      </c>
      <c r="AB144" s="259">
        <v>13.9</v>
      </c>
      <c r="AC144" s="276">
        <v>1574</v>
      </c>
      <c r="AD144" s="260">
        <v>100057</v>
      </c>
      <c r="AE144" s="259">
        <v>36.880000000000003</v>
      </c>
      <c r="AF144" s="259">
        <v>11.3</v>
      </c>
      <c r="AG144" s="259">
        <v>16.399999999999999</v>
      </c>
      <c r="AH144" s="259">
        <v>137.80000000000001</v>
      </c>
      <c r="AI144" s="259">
        <v>19.59</v>
      </c>
      <c r="AJ144" s="259">
        <v>0.5</v>
      </c>
      <c r="AK144" s="259">
        <v>0.05</v>
      </c>
      <c r="AL144" s="259">
        <v>47.2</v>
      </c>
      <c r="AM144" s="276">
        <v>310.7</v>
      </c>
      <c r="AN144" s="259">
        <v>30.934999999999999</v>
      </c>
      <c r="AO144" s="259">
        <v>175.6</v>
      </c>
      <c r="AP144" s="259">
        <v>11.28</v>
      </c>
      <c r="AQ144" s="259">
        <v>261.38</v>
      </c>
      <c r="AR144" s="259">
        <v>5.0999999999999997E-2</v>
      </c>
      <c r="AS144" s="259">
        <v>0.28499999999999998</v>
      </c>
      <c r="AT144" s="259">
        <v>2.2200000000000002</v>
      </c>
      <c r="AU144" s="259">
        <v>0.34499999999999997</v>
      </c>
      <c r="AV144" s="259">
        <v>1.1499999999999999</v>
      </c>
      <c r="AW144" s="260">
        <v>650.70000000000005</v>
      </c>
      <c r="AX144" s="259">
        <v>23.7</v>
      </c>
      <c r="AY144" s="259">
        <v>48.46</v>
      </c>
      <c r="AZ144" s="259">
        <v>6.343</v>
      </c>
      <c r="BA144" s="259">
        <v>27.73</v>
      </c>
      <c r="BB144" s="259">
        <v>6.2329999999999997</v>
      </c>
      <c r="BC144" s="259">
        <v>1.8620000000000001</v>
      </c>
      <c r="BD144" s="259">
        <v>6.5110000000000001</v>
      </c>
      <c r="BE144" s="259">
        <v>0.97699999999999998</v>
      </c>
      <c r="BF144" s="259">
        <v>6.3460000000000001</v>
      </c>
      <c r="BG144" s="259">
        <v>1.232</v>
      </c>
      <c r="BH144" s="259">
        <v>3.456</v>
      </c>
      <c r="BI144" s="259">
        <v>0.501</v>
      </c>
      <c r="BJ144" s="259">
        <v>3.262</v>
      </c>
      <c r="BK144" s="259">
        <v>0.48199999999999998</v>
      </c>
      <c r="BL144" s="259">
        <v>4.7960000000000003</v>
      </c>
      <c r="BM144" s="259">
        <v>0.69499999999999995</v>
      </c>
      <c r="BN144" s="259">
        <v>0.47199999999999998</v>
      </c>
      <c r="BO144" s="259">
        <v>0.247</v>
      </c>
      <c r="BP144" s="259">
        <v>9.49</v>
      </c>
      <c r="BQ144" s="259">
        <v>0.05</v>
      </c>
      <c r="BR144" s="259">
        <v>5.343</v>
      </c>
      <c r="BS144" s="259">
        <v>1.5629999999999999</v>
      </c>
      <c r="BT144" s="258"/>
    </row>
    <row r="145" spans="1:72">
      <c r="A145" s="53">
        <v>14771</v>
      </c>
      <c r="B145" s="39" t="s">
        <v>384</v>
      </c>
      <c r="C145" s="53"/>
      <c r="D145" s="53"/>
      <c r="E145" s="53"/>
      <c r="F145" s="41" t="s">
        <v>385</v>
      </c>
      <c r="G145" s="53">
        <v>14771</v>
      </c>
      <c r="H145" s="116"/>
      <c r="I145" s="41" t="s">
        <v>385</v>
      </c>
      <c r="J145" s="39"/>
      <c r="K145" s="39" t="s">
        <v>384</v>
      </c>
      <c r="L145" s="39"/>
      <c r="M145" s="39"/>
      <c r="N145" s="39"/>
      <c r="O145" s="89"/>
      <c r="P145" s="39"/>
      <c r="Q145" s="259">
        <v>9</v>
      </c>
      <c r="R145" s="259">
        <v>1.66</v>
      </c>
      <c r="S145" s="260">
        <v>25087</v>
      </c>
      <c r="T145" s="260">
        <v>23073</v>
      </c>
      <c r="U145" s="260">
        <v>73931</v>
      </c>
      <c r="V145" s="260">
        <v>1660</v>
      </c>
      <c r="W145" s="260">
        <v>245</v>
      </c>
      <c r="X145" s="260">
        <v>16005</v>
      </c>
      <c r="Y145" s="260">
        <v>52206</v>
      </c>
      <c r="Z145" s="260">
        <v>13987</v>
      </c>
      <c r="AA145" s="260">
        <v>431.7</v>
      </c>
      <c r="AB145" s="259">
        <v>14.7</v>
      </c>
      <c r="AC145" s="276">
        <v>1671</v>
      </c>
      <c r="AD145" s="260">
        <v>106866</v>
      </c>
      <c r="AE145" s="259">
        <v>37.770000000000003</v>
      </c>
      <c r="AF145" s="259">
        <v>11.5</v>
      </c>
      <c r="AG145" s="259">
        <v>16.399999999999999</v>
      </c>
      <c r="AH145" s="259">
        <v>144.69999999999999</v>
      </c>
      <c r="AI145" s="259">
        <v>20.69</v>
      </c>
      <c r="AJ145" s="259">
        <v>0.5</v>
      </c>
      <c r="AK145" s="259">
        <v>0.04</v>
      </c>
      <c r="AL145" s="259">
        <v>49.6</v>
      </c>
      <c r="AM145" s="276">
        <v>327.7</v>
      </c>
      <c r="AN145" s="259">
        <v>32.246000000000002</v>
      </c>
      <c r="AO145" s="259">
        <v>182.2</v>
      </c>
      <c r="AP145" s="259">
        <v>11.76</v>
      </c>
      <c r="AQ145" s="259">
        <v>282.55</v>
      </c>
      <c r="AR145" s="259">
        <v>5.5E-2</v>
      </c>
      <c r="AS145" s="259">
        <v>0.29399999999999998</v>
      </c>
      <c r="AT145" s="259">
        <v>2.19</v>
      </c>
      <c r="AU145" s="259">
        <v>0.33100000000000002</v>
      </c>
      <c r="AV145" s="259">
        <v>1.208</v>
      </c>
      <c r="AW145" s="260">
        <v>683</v>
      </c>
      <c r="AX145" s="259">
        <v>24.73</v>
      </c>
      <c r="AY145" s="259">
        <v>50.69</v>
      </c>
      <c r="AZ145" s="259">
        <v>6.6260000000000003</v>
      </c>
      <c r="BA145" s="259">
        <v>29.06</v>
      </c>
      <c r="BB145" s="259">
        <v>6.7110000000000003</v>
      </c>
      <c r="BC145" s="259">
        <v>1.9350000000000001</v>
      </c>
      <c r="BD145" s="259">
        <v>6.9349999999999996</v>
      </c>
      <c r="BE145" s="259">
        <v>1.0249999999999999</v>
      </c>
      <c r="BF145" s="259">
        <v>6.5540000000000003</v>
      </c>
      <c r="BG145" s="259">
        <v>1.288</v>
      </c>
      <c r="BH145" s="259">
        <v>3.7109999999999999</v>
      </c>
      <c r="BI145" s="259">
        <v>0.52800000000000002</v>
      </c>
      <c r="BJ145" s="259">
        <v>3.468</v>
      </c>
      <c r="BK145" s="259">
        <v>0.50600000000000001</v>
      </c>
      <c r="BL145" s="259">
        <v>5.069</v>
      </c>
      <c r="BM145" s="259">
        <v>0.73299999999999998</v>
      </c>
      <c r="BN145" s="259">
        <v>0.45600000000000002</v>
      </c>
      <c r="BO145" s="259">
        <v>0.27500000000000002</v>
      </c>
      <c r="BP145" s="259">
        <v>9.9499999999999993</v>
      </c>
      <c r="BQ145" s="259">
        <v>0.06</v>
      </c>
      <c r="BR145" s="259">
        <v>5.5529999999999999</v>
      </c>
      <c r="BS145" s="259">
        <v>1.6579999999999999</v>
      </c>
      <c r="BT145" s="258"/>
    </row>
    <row r="146" spans="1:72">
      <c r="A146" s="53">
        <v>14704</v>
      </c>
      <c r="B146" s="39" t="s">
        <v>384</v>
      </c>
      <c r="C146" s="53"/>
      <c r="D146" s="53"/>
      <c r="E146" s="53"/>
      <c r="F146" s="41" t="s">
        <v>383</v>
      </c>
      <c r="G146" s="53">
        <v>14704</v>
      </c>
      <c r="H146" s="116"/>
      <c r="I146" s="41" t="s">
        <v>383</v>
      </c>
      <c r="J146" s="39"/>
      <c r="K146" s="41" t="s">
        <v>384</v>
      </c>
      <c r="L146" s="41"/>
      <c r="M146" s="41"/>
      <c r="N146" s="39"/>
      <c r="O146" s="89"/>
      <c r="P146" s="39"/>
      <c r="Q146" s="261">
        <v>7.4085454349749478</v>
      </c>
      <c r="R146" s="261">
        <v>1.5711384026128843</v>
      </c>
      <c r="S146" s="262">
        <v>22061.789770438889</v>
      </c>
      <c r="T146" s="262">
        <v>20082.708487159136</v>
      </c>
      <c r="U146" s="262">
        <v>61226.271739054027</v>
      </c>
      <c r="V146" s="262">
        <v>1606.6625500569171</v>
      </c>
      <c r="W146" s="262">
        <v>247.2903530538307</v>
      </c>
      <c r="X146" s="262">
        <v>14569.175973958332</v>
      </c>
      <c r="Y146" s="262">
        <v>47586.225156844812</v>
      </c>
      <c r="Z146" s="262">
        <v>12326.824642786982</v>
      </c>
      <c r="AA146" s="262">
        <v>450.19582773783009</v>
      </c>
      <c r="AB146" s="261">
        <v>15.780828043719859</v>
      </c>
      <c r="AC146" s="277">
        <v>1518.2846781949397</v>
      </c>
      <c r="AD146" s="262">
        <v>94835.574926071276</v>
      </c>
      <c r="AE146" s="261">
        <v>36.732671948792678</v>
      </c>
      <c r="AF146" s="261">
        <v>11.904346992964298</v>
      </c>
      <c r="AG146" s="261">
        <v>16.116672055388381</v>
      </c>
      <c r="AH146" s="261">
        <v>133.27264188112065</v>
      </c>
      <c r="AI146" s="261">
        <v>18.822552013623522</v>
      </c>
      <c r="AJ146" s="261">
        <v>0.47278316063329029</v>
      </c>
      <c r="AK146" s="261">
        <v>6.5080874962415311E-2</v>
      </c>
      <c r="AL146" s="261">
        <v>46.152749361857467</v>
      </c>
      <c r="AM146" s="277">
        <v>320.20210262507874</v>
      </c>
      <c r="AN146" s="261">
        <v>32.730102713113119</v>
      </c>
      <c r="AO146" s="261">
        <v>176.20662697587974</v>
      </c>
      <c r="AP146" s="261">
        <v>11.284309784365258</v>
      </c>
      <c r="AQ146" s="261">
        <v>271.00015340109132</v>
      </c>
      <c r="AR146" s="261">
        <v>4.2933143179651127E-2</v>
      </c>
      <c r="AS146" s="261">
        <v>0.2862804005579056</v>
      </c>
      <c r="AT146" s="261">
        <v>2.2201338762594967</v>
      </c>
      <c r="AU146" s="261">
        <v>0.32095602936425943</v>
      </c>
      <c r="AV146" s="261">
        <v>1.114319198813249</v>
      </c>
      <c r="AW146" s="262">
        <v>633.08688521076419</v>
      </c>
      <c r="AX146" s="261">
        <v>24.001447840510007</v>
      </c>
      <c r="AY146" s="261">
        <v>49.016272800992816</v>
      </c>
      <c r="AZ146" s="261">
        <v>6.3743391575887882</v>
      </c>
      <c r="BA146" s="261">
        <v>27.198160231291631</v>
      </c>
      <c r="BB146" s="261">
        <v>6.4194819069110736</v>
      </c>
      <c r="BC146" s="261">
        <v>1.8739224485185109</v>
      </c>
      <c r="BD146" s="261">
        <v>6.3658990734058793</v>
      </c>
      <c r="BE146" s="261">
        <v>0.9869172560415167</v>
      </c>
      <c r="BF146" s="261">
        <v>6.1993153453945613</v>
      </c>
      <c r="BG146" s="261">
        <v>1.2354289164815451</v>
      </c>
      <c r="BH146" s="261">
        <v>3.4444513921145874</v>
      </c>
      <c r="BI146" s="261">
        <v>0.50746844063409924</v>
      </c>
      <c r="BJ146" s="261">
        <v>3.1779480301295648</v>
      </c>
      <c r="BK146" s="261">
        <v>0.49534439858282014</v>
      </c>
      <c r="BL146" s="261">
        <v>5.0075148993694203</v>
      </c>
      <c r="BM146" s="261">
        <v>0.7109247834811383</v>
      </c>
      <c r="BN146" s="261">
        <v>0.45221244756220419</v>
      </c>
      <c r="BO146" s="261">
        <v>0.25214792392567098</v>
      </c>
      <c r="BP146" s="261">
        <v>9.6642823279600361</v>
      </c>
      <c r="BQ146" s="261">
        <v>5.654755531765418E-2</v>
      </c>
      <c r="BR146" s="261">
        <v>5.3684594622152355</v>
      </c>
      <c r="BS146" s="261">
        <v>1.622657556438367</v>
      </c>
      <c r="BT146" s="258"/>
    </row>
    <row r="147" spans="1:72">
      <c r="A147" s="53">
        <v>14704</v>
      </c>
      <c r="B147" s="39" t="s">
        <v>384</v>
      </c>
      <c r="C147" s="53"/>
      <c r="D147" s="53"/>
      <c r="E147" s="53"/>
      <c r="F147" s="41" t="s">
        <v>385</v>
      </c>
      <c r="G147" s="53">
        <v>14704</v>
      </c>
      <c r="H147" s="116"/>
      <c r="I147" s="41" t="s">
        <v>385</v>
      </c>
      <c r="J147" s="39"/>
      <c r="K147" s="41" t="s">
        <v>384</v>
      </c>
      <c r="L147" s="41"/>
      <c r="M147" s="41"/>
      <c r="N147" s="39"/>
      <c r="O147" s="89"/>
      <c r="P147" s="39"/>
      <c r="Q147" s="261">
        <v>8.0116978023711347</v>
      </c>
      <c r="R147" s="261">
        <v>1.823314031107387</v>
      </c>
      <c r="S147" s="262">
        <v>22728.769445608621</v>
      </c>
      <c r="T147" s="262">
        <v>20749.212289201074</v>
      </c>
      <c r="U147" s="262">
        <v>63741.112323596652</v>
      </c>
      <c r="V147" s="262">
        <v>1597.1333001624778</v>
      </c>
      <c r="W147" s="262">
        <v>241.86990939751161</v>
      </c>
      <c r="X147" s="262">
        <v>15485.781589420345</v>
      </c>
      <c r="Y147" s="262">
        <v>49489.798834702444</v>
      </c>
      <c r="Z147" s="262">
        <v>12950.713363636305</v>
      </c>
      <c r="AA147" s="262">
        <v>473.18928353421296</v>
      </c>
      <c r="AB147" s="261">
        <v>15.5821894733721</v>
      </c>
      <c r="AC147" s="277">
        <v>1507.7166990056755</v>
      </c>
      <c r="AD147" s="262">
        <v>96687.729642981314</v>
      </c>
      <c r="AE147" s="261">
        <v>37.192232150453378</v>
      </c>
      <c r="AF147" s="261">
        <v>11.649149430701581</v>
      </c>
      <c r="AG147" s="261">
        <v>16.315465624475909</v>
      </c>
      <c r="AH147" s="261">
        <v>125.74261659722234</v>
      </c>
      <c r="AI147" s="261">
        <v>18.296502531274857</v>
      </c>
      <c r="AJ147" s="261">
        <v>0.46643167464287416</v>
      </c>
      <c r="AK147" s="261">
        <v>9.3310140799364921E-2</v>
      </c>
      <c r="AL147" s="261">
        <v>46.896788240674006</v>
      </c>
      <c r="AM147" s="277">
        <v>314.33046375493331</v>
      </c>
      <c r="AN147" s="261">
        <v>33.249983992739274</v>
      </c>
      <c r="AO147" s="261">
        <v>177.63607999039519</v>
      </c>
      <c r="AP147" s="261">
        <v>11.588958902851127</v>
      </c>
      <c r="AQ147" s="261">
        <v>274.3598260447755</v>
      </c>
      <c r="AR147" s="261">
        <v>4.3821963686465681E-2</v>
      </c>
      <c r="AS147" s="261">
        <v>0.25307047966122032</v>
      </c>
      <c r="AT147" s="261">
        <v>2.1432104878910891</v>
      </c>
      <c r="AU147" s="261">
        <v>0.34676528586839678</v>
      </c>
      <c r="AV147" s="261">
        <v>1.1525314859650166</v>
      </c>
      <c r="AW147" s="262">
        <v>634.43293120230442</v>
      </c>
      <c r="AX147" s="261">
        <v>24.097600077446824</v>
      </c>
      <c r="AY147" s="261">
        <v>49.24610199165928</v>
      </c>
      <c r="AZ147" s="261">
        <v>6.3263154869212546</v>
      </c>
      <c r="BA147" s="261">
        <v>27.073360872896707</v>
      </c>
      <c r="BB147" s="261">
        <v>6.302206616370218</v>
      </c>
      <c r="BC147" s="261">
        <v>1.9429926624781435</v>
      </c>
      <c r="BD147" s="261">
        <v>6.2843134208234979</v>
      </c>
      <c r="BE147" s="261">
        <v>1.0254751064416625</v>
      </c>
      <c r="BF147" s="261">
        <v>6.0991406152883911</v>
      </c>
      <c r="BG147" s="261">
        <v>1.2713496823792474</v>
      </c>
      <c r="BH147" s="261">
        <v>3.5661134838291328</v>
      </c>
      <c r="BI147" s="261">
        <v>0.53088619445544138</v>
      </c>
      <c r="BJ147" s="261">
        <v>3.33117037273247</v>
      </c>
      <c r="BK147" s="261">
        <v>0.49542231097975159</v>
      </c>
      <c r="BL147" s="261">
        <v>5.1768028842955687</v>
      </c>
      <c r="BM147" s="261">
        <v>0.73128674308836072</v>
      </c>
      <c r="BN147" s="261">
        <v>0.46819028890080028</v>
      </c>
      <c r="BO147" s="261">
        <v>0.25580916390423764</v>
      </c>
      <c r="BP147" s="261">
        <v>9.9082842535803142</v>
      </c>
      <c r="BQ147" s="261">
        <v>4.8902936436020242E-2</v>
      </c>
      <c r="BR147" s="261">
        <v>5.5042791524360259</v>
      </c>
      <c r="BS147" s="261">
        <v>1.5889645215649837</v>
      </c>
      <c r="BT147" s="258"/>
    </row>
    <row r="148" spans="1:72">
      <c r="A148" s="53">
        <v>14704</v>
      </c>
      <c r="B148" s="39" t="s">
        <v>384</v>
      </c>
      <c r="C148" s="53"/>
      <c r="D148" s="53"/>
      <c r="E148" s="53"/>
      <c r="F148" s="41" t="s">
        <v>389</v>
      </c>
      <c r="G148" s="53">
        <v>14704</v>
      </c>
      <c r="H148" s="116"/>
      <c r="I148" s="41" t="s">
        <v>389</v>
      </c>
      <c r="J148" s="39"/>
      <c r="K148" s="41" t="s">
        <v>384</v>
      </c>
      <c r="L148" s="41"/>
      <c r="M148" s="41"/>
      <c r="N148" s="39"/>
      <c r="O148" s="89"/>
      <c r="P148" s="39"/>
      <c r="Q148" s="261">
        <v>8.0731746688255868</v>
      </c>
      <c r="R148" s="261">
        <v>1.4381488849054385</v>
      </c>
      <c r="S148" s="262">
        <v>23532.529472472259</v>
      </c>
      <c r="T148" s="262">
        <v>21270.797261624633</v>
      </c>
      <c r="U148" s="262">
        <v>68566.20580517099</v>
      </c>
      <c r="V148" s="262">
        <v>1556.0970406257254</v>
      </c>
      <c r="W148" s="262">
        <v>244.23256425659869</v>
      </c>
      <c r="X148" s="262">
        <v>15564.645113449018</v>
      </c>
      <c r="Y148" s="262">
        <v>49775.144539554392</v>
      </c>
      <c r="Z148" s="262">
        <v>13000.417304744633</v>
      </c>
      <c r="AA148" s="262">
        <v>452.80037675052375</v>
      </c>
      <c r="AB148" s="261">
        <v>15.155183200228887</v>
      </c>
      <c r="AC148" s="277">
        <v>1462.4704941439493</v>
      </c>
      <c r="AD148" s="262">
        <v>95236.665661887906</v>
      </c>
      <c r="AE148" s="261">
        <v>36.478120164030919</v>
      </c>
      <c r="AF148" s="261">
        <v>11.536283922642912</v>
      </c>
      <c r="AG148" s="261">
        <v>15.703787234588249</v>
      </c>
      <c r="AH148" s="261">
        <v>121.79182031289177</v>
      </c>
      <c r="AI148" s="261">
        <v>17.415577028788874</v>
      </c>
      <c r="AJ148" s="261">
        <v>1.4137561806023964</v>
      </c>
      <c r="AK148" s="261">
        <v>8.6329027459138633E-2</v>
      </c>
      <c r="AL148" s="261">
        <v>46.612165551985377</v>
      </c>
      <c r="AM148" s="277">
        <v>308.68938667569375</v>
      </c>
      <c r="AN148" s="261">
        <v>33.372582447315516</v>
      </c>
      <c r="AO148" s="261">
        <v>176.81662118417916</v>
      </c>
      <c r="AP148" s="261">
        <v>11.523114640862227</v>
      </c>
      <c r="AQ148" s="261">
        <v>266.96344661647254</v>
      </c>
      <c r="AR148" s="261">
        <v>4.6101528538737516E-2</v>
      </c>
      <c r="AS148" s="261">
        <v>0.23127321638321593</v>
      </c>
      <c r="AT148" s="261">
        <v>2.0883257608604882</v>
      </c>
      <c r="AU148" s="261">
        <v>0.27293304876740981</v>
      </c>
      <c r="AV148" s="261">
        <v>1.1017874778660413</v>
      </c>
      <c r="AW148" s="262">
        <v>632.31615173216574</v>
      </c>
      <c r="AX148" s="261">
        <v>23.824253695206021</v>
      </c>
      <c r="AY148" s="261">
        <v>48.659304784695486</v>
      </c>
      <c r="AZ148" s="261">
        <v>6.3087819894179855</v>
      </c>
      <c r="BA148" s="261">
        <v>26.787094716211705</v>
      </c>
      <c r="BB148" s="261">
        <v>6.5519249977215583</v>
      </c>
      <c r="BC148" s="261">
        <v>2.0090658786469668</v>
      </c>
      <c r="BD148" s="261">
        <v>6.2752957641212932</v>
      </c>
      <c r="BE148" s="261">
        <v>1.0501176918015105</v>
      </c>
      <c r="BF148" s="261">
        <v>6.0541006373204898</v>
      </c>
      <c r="BG148" s="261">
        <v>1.2679048063793166</v>
      </c>
      <c r="BH148" s="261">
        <v>3.5748803175879336</v>
      </c>
      <c r="BI148" s="261">
        <v>0.52559347991173222</v>
      </c>
      <c r="BJ148" s="261">
        <v>3.2232555194811399</v>
      </c>
      <c r="BK148" s="261">
        <v>0.50581129274102876</v>
      </c>
      <c r="BL148" s="261">
        <v>5.1267348248554567</v>
      </c>
      <c r="BM148" s="261">
        <v>0.71505351285696506</v>
      </c>
      <c r="BN148" s="261">
        <v>0.48609426283802309</v>
      </c>
      <c r="BO148" s="261">
        <v>0.2563505503520972</v>
      </c>
      <c r="BP148" s="261">
        <v>9.7073040647955988</v>
      </c>
      <c r="BQ148" s="261">
        <v>5.7702047972258308E-2</v>
      </c>
      <c r="BR148" s="261">
        <v>5.5020812267438011</v>
      </c>
      <c r="BS148" s="261">
        <v>1.6249774805763322</v>
      </c>
      <c r="BT148" s="258"/>
    </row>
    <row r="149" spans="1:72">
      <c r="A149" s="53">
        <v>14704</v>
      </c>
      <c r="B149" s="39" t="s">
        <v>384</v>
      </c>
      <c r="C149" s="53"/>
      <c r="D149" s="53"/>
      <c r="E149" s="53"/>
      <c r="F149" s="41" t="s">
        <v>390</v>
      </c>
      <c r="G149" s="53">
        <v>14704</v>
      </c>
      <c r="H149" s="116"/>
      <c r="I149" s="41" t="s">
        <v>390</v>
      </c>
      <c r="J149" s="39"/>
      <c r="K149" s="41" t="s">
        <v>384</v>
      </c>
      <c r="L149" s="41"/>
      <c r="M149" s="41"/>
      <c r="N149" s="39"/>
      <c r="O149" s="89"/>
      <c r="P149" s="39"/>
      <c r="Q149" s="261">
        <v>7.5768439492549575</v>
      </c>
      <c r="R149" s="261">
        <v>1.6996871154941968</v>
      </c>
      <c r="S149" s="262">
        <v>24154.318938900942</v>
      </c>
      <c r="T149" s="262">
        <v>22038.487697432705</v>
      </c>
      <c r="U149" s="262">
        <v>73474.088579687581</v>
      </c>
      <c r="V149" s="262">
        <v>1597.4760962575651</v>
      </c>
      <c r="W149" s="262">
        <v>236.56123271789346</v>
      </c>
      <c r="X149" s="262">
        <v>16274.274371798014</v>
      </c>
      <c r="Y149" s="262">
        <v>51513.471669787148</v>
      </c>
      <c r="Z149" s="262">
        <v>13313.227822256982</v>
      </c>
      <c r="AA149" s="262">
        <v>462.84002003392146</v>
      </c>
      <c r="AB149" s="261">
        <v>16.301145958859557</v>
      </c>
      <c r="AC149" s="277">
        <v>1512.1438019126433</v>
      </c>
      <c r="AD149" s="262">
        <v>97332.592286046929</v>
      </c>
      <c r="AE149" s="261">
        <v>36.690381229693763</v>
      </c>
      <c r="AF149" s="261">
        <v>12.549186401793484</v>
      </c>
      <c r="AG149" s="261">
        <v>15.828423137910818</v>
      </c>
      <c r="AH149" s="261">
        <v>124.04687348448707</v>
      </c>
      <c r="AI149" s="261">
        <v>18.042425438627291</v>
      </c>
      <c r="AJ149" s="261">
        <v>0.93897646347083408</v>
      </c>
      <c r="AK149" s="261">
        <v>6.6054924536857074E-2</v>
      </c>
      <c r="AL149" s="261">
        <v>47.636483080804084</v>
      </c>
      <c r="AM149" s="277">
        <v>314.44007389975064</v>
      </c>
      <c r="AN149" s="261">
        <v>34.141079348151848</v>
      </c>
      <c r="AO149" s="261">
        <v>179.40767220837409</v>
      </c>
      <c r="AP149" s="261">
        <v>11.630543291533984</v>
      </c>
      <c r="AQ149" s="261">
        <v>273.97551284774624</v>
      </c>
      <c r="AR149" s="261">
        <v>3.9688129252908481E-2</v>
      </c>
      <c r="AS149" s="261">
        <v>0.27104525956704001</v>
      </c>
      <c r="AT149" s="261">
        <v>1.9852404775917332</v>
      </c>
      <c r="AU149" s="261">
        <v>0.31208549766584409</v>
      </c>
      <c r="AV149" s="261">
        <v>1.1671704700657346</v>
      </c>
      <c r="AW149" s="262">
        <v>648.73091963480101</v>
      </c>
      <c r="AX149" s="261">
        <v>24.372142407384988</v>
      </c>
      <c r="AY149" s="261">
        <v>50.059156341018266</v>
      </c>
      <c r="AZ149" s="261">
        <v>6.4418210467886663</v>
      </c>
      <c r="BA149" s="261">
        <v>27.79234850489285</v>
      </c>
      <c r="BB149" s="261">
        <v>6.5822635529264852</v>
      </c>
      <c r="BC149" s="261">
        <v>1.9866290739569441</v>
      </c>
      <c r="BD149" s="261">
        <v>6.4592570793905537</v>
      </c>
      <c r="BE149" s="261">
        <v>1.0612688273420783</v>
      </c>
      <c r="BF149" s="261">
        <v>6.3230717782873631</v>
      </c>
      <c r="BG149" s="261">
        <v>1.2864218968275212</v>
      </c>
      <c r="BH149" s="261">
        <v>3.6193832989494967</v>
      </c>
      <c r="BI149" s="261">
        <v>0.52869534719591949</v>
      </c>
      <c r="BJ149" s="261">
        <v>3.3480722888481647</v>
      </c>
      <c r="BK149" s="261">
        <v>0.49934001143599421</v>
      </c>
      <c r="BL149" s="261">
        <v>5.2352615812822281</v>
      </c>
      <c r="BM149" s="261">
        <v>0.7334623367343166</v>
      </c>
      <c r="BN149" s="261">
        <v>0.48160497261597479</v>
      </c>
      <c r="BO149" s="261">
        <v>0.25840234325661715</v>
      </c>
      <c r="BP149" s="261">
        <v>9.8198598810835254</v>
      </c>
      <c r="BQ149" s="261">
        <v>5.4073812370881352E-2</v>
      </c>
      <c r="BR149" s="261">
        <v>5.6654797389928842</v>
      </c>
      <c r="BS149" s="261">
        <v>1.6575859176859729</v>
      </c>
      <c r="BT149" s="258"/>
    </row>
    <row r="150" spans="1:72" s="38" customFormat="1">
      <c r="A150" s="47"/>
      <c r="B150" s="43"/>
      <c r="C150" s="47"/>
      <c r="D150" s="47"/>
      <c r="E150" s="47"/>
      <c r="F150" s="47" t="s">
        <v>376</v>
      </c>
      <c r="G150" s="47"/>
      <c r="H150" s="83"/>
      <c r="I150" s="93"/>
      <c r="J150" s="39"/>
      <c r="K150" s="43"/>
      <c r="L150" s="43"/>
      <c r="M150" s="43"/>
      <c r="N150" s="43"/>
      <c r="O150" s="43"/>
      <c r="P150" s="47"/>
      <c r="Q150" s="269">
        <f>AVERAGE(Q144:Q149)</f>
        <v>8.3450436425711043</v>
      </c>
      <c r="R150" s="269">
        <f t="shared" ref="R150:BS150" si="4">AVERAGE(R144:R149)</f>
        <v>1.6803814056866508</v>
      </c>
      <c r="S150" s="267">
        <f t="shared" si="4"/>
        <v>23485.734604570116</v>
      </c>
      <c r="T150" s="267">
        <f t="shared" si="4"/>
        <v>21458.367622569589</v>
      </c>
      <c r="U150" s="267">
        <f t="shared" si="4"/>
        <v>68076.279741251536</v>
      </c>
      <c r="V150" s="267">
        <f t="shared" si="4"/>
        <v>1578.0614978504475</v>
      </c>
      <c r="W150" s="267">
        <f t="shared" si="4"/>
        <v>241.8256765709724</v>
      </c>
      <c r="X150" s="267">
        <f t="shared" si="4"/>
        <v>15500.979508104285</v>
      </c>
      <c r="Y150" s="267">
        <f t="shared" si="4"/>
        <v>49984.273366814799</v>
      </c>
      <c r="Z150" s="267">
        <f t="shared" si="4"/>
        <v>13169.363855570818</v>
      </c>
      <c r="AA150" s="267">
        <f t="shared" si="4"/>
        <v>446.27091800941474</v>
      </c>
      <c r="AB150" s="269">
        <f t="shared" si="4"/>
        <v>15.2365577793634</v>
      </c>
      <c r="AC150" s="278">
        <f t="shared" si="4"/>
        <v>1540.9359455428678</v>
      </c>
      <c r="AD150" s="267">
        <f t="shared" si="4"/>
        <v>98502.593752831235</v>
      </c>
      <c r="AE150" s="269">
        <f t="shared" si="4"/>
        <v>36.957234248828456</v>
      </c>
      <c r="AF150" s="269">
        <f t="shared" si="4"/>
        <v>11.739827791350379</v>
      </c>
      <c r="AG150" s="269">
        <f t="shared" si="4"/>
        <v>16.127391342060559</v>
      </c>
      <c r="AH150" s="269">
        <f t="shared" si="4"/>
        <v>131.22565871262029</v>
      </c>
      <c r="AI150" s="269">
        <f t="shared" si="4"/>
        <v>18.809509502052425</v>
      </c>
      <c r="AJ150" s="269">
        <f t="shared" si="4"/>
        <v>0.71532457989156584</v>
      </c>
      <c r="AK150" s="269">
        <f t="shared" si="4"/>
        <v>6.6795827959629323E-2</v>
      </c>
      <c r="AL150" s="269">
        <f t="shared" si="4"/>
        <v>47.349697705886825</v>
      </c>
      <c r="AM150" s="278">
        <f t="shared" si="4"/>
        <v>316.0103378259094</v>
      </c>
      <c r="AN150" s="269">
        <f t="shared" si="4"/>
        <v>32.779124750219957</v>
      </c>
      <c r="AO150" s="269">
        <f t="shared" si="4"/>
        <v>177.97783339313801</v>
      </c>
      <c r="AP150" s="269">
        <f t="shared" si="4"/>
        <v>11.511154436602098</v>
      </c>
      <c r="AQ150" s="269">
        <f t="shared" si="4"/>
        <v>271.70482315168096</v>
      </c>
      <c r="AR150" s="269">
        <f t="shared" si="4"/>
        <v>4.6424127442960463E-2</v>
      </c>
      <c r="AS150" s="269">
        <f t="shared" si="4"/>
        <v>0.27011155936156367</v>
      </c>
      <c r="AT150" s="269">
        <f t="shared" si="4"/>
        <v>2.1411517671004678</v>
      </c>
      <c r="AU150" s="269">
        <f t="shared" si="4"/>
        <v>0.32145664361098497</v>
      </c>
      <c r="AV150" s="269">
        <f t="shared" si="4"/>
        <v>1.1489681054516734</v>
      </c>
      <c r="AW150" s="267">
        <f t="shared" si="4"/>
        <v>647.04448129667264</v>
      </c>
      <c r="AX150" s="269">
        <f t="shared" si="4"/>
        <v>24.120907336757977</v>
      </c>
      <c r="AY150" s="269">
        <f t="shared" si="4"/>
        <v>49.355139319727641</v>
      </c>
      <c r="AZ150" s="269">
        <f t="shared" si="4"/>
        <v>6.40337628011945</v>
      </c>
      <c r="BA150" s="269">
        <f t="shared" si="4"/>
        <v>27.606827387548815</v>
      </c>
      <c r="BB150" s="269">
        <f t="shared" si="4"/>
        <v>6.4666461789882215</v>
      </c>
      <c r="BC150" s="269">
        <f t="shared" si="4"/>
        <v>1.9349350106000944</v>
      </c>
      <c r="BD150" s="269">
        <f t="shared" si="4"/>
        <v>6.4717942229568708</v>
      </c>
      <c r="BE150" s="269">
        <f t="shared" si="4"/>
        <v>1.0209631469377947</v>
      </c>
      <c r="BF150" s="269">
        <f t="shared" si="4"/>
        <v>6.2626047293818017</v>
      </c>
      <c r="BG150" s="269">
        <f t="shared" si="4"/>
        <v>1.263517550344605</v>
      </c>
      <c r="BH150" s="269">
        <f t="shared" si="4"/>
        <v>3.5619714154135251</v>
      </c>
      <c r="BI150" s="269">
        <f t="shared" si="4"/>
        <v>0.52027391036619874</v>
      </c>
      <c r="BJ150" s="269">
        <f t="shared" si="4"/>
        <v>3.3017410351985568</v>
      </c>
      <c r="BK150" s="269">
        <f t="shared" si="4"/>
        <v>0.49731966895659907</v>
      </c>
      <c r="BL150" s="269">
        <f t="shared" si="4"/>
        <v>5.068552364967112</v>
      </c>
      <c r="BM150" s="269">
        <f t="shared" si="4"/>
        <v>0.7197878960267966</v>
      </c>
      <c r="BN150" s="269">
        <f t="shared" si="4"/>
        <v>0.46935032865283371</v>
      </c>
      <c r="BO150" s="269">
        <f t="shared" si="4"/>
        <v>0.25745166357310384</v>
      </c>
      <c r="BP150" s="269">
        <f t="shared" si="4"/>
        <v>9.7566217545699114</v>
      </c>
      <c r="BQ150" s="269">
        <f t="shared" si="4"/>
        <v>5.4537725349469011E-2</v>
      </c>
      <c r="BR150" s="269">
        <f t="shared" si="4"/>
        <v>5.4893832633979907</v>
      </c>
      <c r="BS150" s="269">
        <f t="shared" si="4"/>
        <v>1.6191975793776094</v>
      </c>
      <c r="BT150" s="265"/>
    </row>
    <row r="151" spans="1:72">
      <c r="A151" s="53"/>
      <c r="B151" s="39"/>
      <c r="C151" s="53"/>
      <c r="D151" s="53"/>
      <c r="E151" s="53"/>
      <c r="F151" s="47" t="s">
        <v>718</v>
      </c>
      <c r="G151" s="53"/>
      <c r="H151" s="116"/>
      <c r="I151" s="41"/>
      <c r="J151" s="39"/>
      <c r="K151" s="39"/>
      <c r="L151" s="39"/>
      <c r="M151" s="39"/>
      <c r="N151" s="39"/>
      <c r="O151" s="39"/>
      <c r="P151" s="47"/>
      <c r="Q151" s="267">
        <f>(Q150/Q143)*100</f>
        <v>92.722707139678946</v>
      </c>
      <c r="R151" s="267">
        <f t="shared" ref="R151:BS151" si="5">(R150/R143)*100</f>
        <v>104.17739650878181</v>
      </c>
      <c r="S151" s="267">
        <f t="shared" si="5"/>
        <v>100.36638719901758</v>
      </c>
      <c r="T151" s="267">
        <f t="shared" si="5"/>
        <v>99.344294548933291</v>
      </c>
      <c r="U151" s="267">
        <f t="shared" si="5"/>
        <v>95.34492960959598</v>
      </c>
      <c r="V151" s="267">
        <f t="shared" si="5"/>
        <v>105.2040998566965</v>
      </c>
      <c r="W151" s="267">
        <f t="shared" si="5"/>
        <v>44.404763286222838</v>
      </c>
      <c r="X151" s="267">
        <f t="shared" si="5"/>
        <v>104.03341951747842</v>
      </c>
      <c r="Y151" s="267">
        <f t="shared" si="5"/>
        <v>98.200929993742236</v>
      </c>
      <c r="Z151" s="267">
        <f t="shared" si="5"/>
        <v>97.550843374598657</v>
      </c>
      <c r="AA151" s="267">
        <f t="shared" si="5"/>
        <v>107.2766629830324</v>
      </c>
      <c r="AB151" s="267">
        <f t="shared" si="5"/>
        <v>84.647543218685556</v>
      </c>
      <c r="AC151" s="278">
        <f t="shared" si="5"/>
        <v>101.37736483834657</v>
      </c>
      <c r="AD151" s="267">
        <f t="shared" si="5"/>
        <v>101.9695587503429</v>
      </c>
      <c r="AE151" s="267">
        <f t="shared" si="5"/>
        <v>99.884416888725553</v>
      </c>
      <c r="AF151" s="267">
        <f t="shared" si="5"/>
        <v>98.587737582720692</v>
      </c>
      <c r="AG151" s="267">
        <f t="shared" si="5"/>
        <v>84.881007063476616</v>
      </c>
      <c r="AH151" s="267">
        <f t="shared" si="5"/>
        <v>103.32729032489787</v>
      </c>
      <c r="AI151" s="267">
        <f t="shared" si="5"/>
        <v>81.780476095880104</v>
      </c>
      <c r="AJ151" s="267">
        <f t="shared" si="5"/>
        <v>128.19436915619457</v>
      </c>
      <c r="AK151" s="267">
        <f t="shared" si="5"/>
        <v>63.615074247266023</v>
      </c>
      <c r="AL151" s="267">
        <f t="shared" si="5"/>
        <v>98.645203553930884</v>
      </c>
      <c r="AM151" s="278">
        <f t="shared" si="5"/>
        <v>91.332467579742598</v>
      </c>
      <c r="AN151" s="267">
        <f t="shared" si="5"/>
        <v>88.592229054648527</v>
      </c>
      <c r="AO151" s="267">
        <f t="shared" si="5"/>
        <v>94.669060315498939</v>
      </c>
      <c r="AP151" s="267">
        <f t="shared" si="5"/>
        <v>99.620548996989172</v>
      </c>
      <c r="AQ151" s="267">
        <f t="shared" si="5"/>
        <v>109.55839643212941</v>
      </c>
      <c r="AR151" s="267">
        <f t="shared" si="5"/>
        <v>89.277168159539357</v>
      </c>
      <c r="AS151" s="267">
        <f t="shared" si="5"/>
        <v>102.3149846066529</v>
      </c>
      <c r="AT151" s="267">
        <f t="shared" si="5"/>
        <v>101.38029200286304</v>
      </c>
      <c r="AU151" s="267">
        <f t="shared" si="5"/>
        <v>105.7423169772977</v>
      </c>
      <c r="AV151" s="267">
        <f t="shared" si="5"/>
        <v>104.45164595015213</v>
      </c>
      <c r="AW151" s="267">
        <f t="shared" si="5"/>
        <v>101.41763029728412</v>
      </c>
      <c r="AX151" s="267">
        <f t="shared" si="5"/>
        <v>96.483629347031908</v>
      </c>
      <c r="AY151" s="267">
        <f t="shared" si="5"/>
        <v>93.122904376844602</v>
      </c>
      <c r="AZ151" s="267">
        <f t="shared" si="5"/>
        <v>94.16729823705073</v>
      </c>
      <c r="BA151" s="267">
        <f t="shared" si="5"/>
        <v>98.59581209838862</v>
      </c>
      <c r="BB151" s="267">
        <f t="shared" si="5"/>
        <v>96.51710714907793</v>
      </c>
      <c r="BC151" s="267">
        <f t="shared" si="5"/>
        <v>96.746750530004718</v>
      </c>
      <c r="BD151" s="267">
        <f t="shared" si="5"/>
        <v>95.173444455248102</v>
      </c>
      <c r="BE151" s="267">
        <f t="shared" si="5"/>
        <v>95.417116536242489</v>
      </c>
      <c r="BF151" s="267">
        <f t="shared" si="5"/>
        <v>97.853198896590641</v>
      </c>
      <c r="BG151" s="267">
        <f t="shared" si="5"/>
        <v>95.001319574782329</v>
      </c>
      <c r="BH151" s="267">
        <f t="shared" si="5"/>
        <v>97.295040027684379</v>
      </c>
      <c r="BI151" s="267">
        <f t="shared" si="5"/>
        <v>96.347020438184956</v>
      </c>
      <c r="BJ151" s="267">
        <f t="shared" si="5"/>
        <v>94.335458148530194</v>
      </c>
      <c r="BK151" s="267">
        <f t="shared" si="5"/>
        <v>97.513660579725297</v>
      </c>
      <c r="BL151" s="267">
        <f t="shared" si="5"/>
        <v>105.59484093681483</v>
      </c>
      <c r="BM151" s="267">
        <f t="shared" si="5"/>
        <v>98.60108164750639</v>
      </c>
      <c r="BN151" s="267">
        <f t="shared" si="5"/>
        <v>97.781318469340363</v>
      </c>
      <c r="BO151" s="267">
        <f t="shared" si="5"/>
        <v>100.17574458097425</v>
      </c>
      <c r="BP151" s="267">
        <f t="shared" si="5"/>
        <v>88.696561405181015</v>
      </c>
      <c r="BQ151" s="267">
        <f t="shared" si="5"/>
        <v>97.388795266908943</v>
      </c>
      <c r="BR151" s="267">
        <f t="shared" si="5"/>
        <v>88.538439732225655</v>
      </c>
      <c r="BS151" s="267">
        <f t="shared" si="5"/>
        <v>95.810507655479853</v>
      </c>
      <c r="BT151" s="54"/>
    </row>
    <row r="152" spans="1:72">
      <c r="A152" s="53"/>
      <c r="B152" s="39"/>
      <c r="C152" s="53"/>
      <c r="D152" s="53"/>
      <c r="E152" s="53"/>
      <c r="F152" s="47" t="s">
        <v>719</v>
      </c>
      <c r="G152" s="53"/>
      <c r="H152" s="116"/>
      <c r="I152" s="41"/>
      <c r="J152" s="39"/>
      <c r="K152" s="39"/>
      <c r="L152" s="39"/>
      <c r="M152" s="39"/>
      <c r="N152" s="39"/>
      <c r="O152" s="39"/>
      <c r="P152" s="47"/>
      <c r="Q152" s="269">
        <f>STDEV(Q144:Q149)</f>
        <v>0.98183911358599918</v>
      </c>
      <c r="R152" s="269">
        <f t="shared" ref="R152:BS152" si="6">STDEV(R144:R149)</f>
        <v>0.1647837555495695</v>
      </c>
      <c r="S152" s="267">
        <f t="shared" si="6"/>
        <v>1061.3467542499211</v>
      </c>
      <c r="T152" s="267">
        <f t="shared" si="6"/>
        <v>1037.3163245143242</v>
      </c>
      <c r="U152" s="267">
        <f t="shared" si="6"/>
        <v>5092.7588592408611</v>
      </c>
      <c r="V152" s="267">
        <f t="shared" si="6"/>
        <v>70.568633561581962</v>
      </c>
      <c r="W152" s="267">
        <f t="shared" si="6"/>
        <v>4.6343707180228604</v>
      </c>
      <c r="X152" s="267">
        <f t="shared" si="6"/>
        <v>613.15309141439036</v>
      </c>
      <c r="Y152" s="267">
        <f t="shared" si="6"/>
        <v>1657.404460830988</v>
      </c>
      <c r="Z152" s="267">
        <f t="shared" si="6"/>
        <v>556.34780190437493</v>
      </c>
      <c r="AA152" s="267">
        <f t="shared" si="6"/>
        <v>23.746802432303848</v>
      </c>
      <c r="AB152" s="269">
        <f t="shared" si="6"/>
        <v>0.85204954677418154</v>
      </c>
      <c r="AC152" s="278">
        <f t="shared" si="6"/>
        <v>72.955195579201416</v>
      </c>
      <c r="AD152" s="267">
        <f t="shared" si="6"/>
        <v>4497.5257948552617</v>
      </c>
      <c r="AE152" s="269">
        <f t="shared" si="6"/>
        <v>0.46324213450585483</v>
      </c>
      <c r="AF152" s="269">
        <f t="shared" si="6"/>
        <v>0.44333879936783888</v>
      </c>
      <c r="AG152" s="269">
        <f t="shared" si="6"/>
        <v>0.30097847980871562</v>
      </c>
      <c r="AH152" s="269">
        <f t="shared" si="6"/>
        <v>8.9394182330500502</v>
      </c>
      <c r="AI152" s="269">
        <f t="shared" si="6"/>
        <v>1.1781529518540019</v>
      </c>
      <c r="AJ152" s="269">
        <f t="shared" si="6"/>
        <v>0.38764164731100781</v>
      </c>
      <c r="AK152" s="269">
        <f t="shared" si="6"/>
        <v>2.043605100114524E-2</v>
      </c>
      <c r="AL152" s="269">
        <f t="shared" si="6"/>
        <v>1.2124587967677687</v>
      </c>
      <c r="AM152" s="278">
        <f t="shared" si="6"/>
        <v>6.9469822676782593</v>
      </c>
      <c r="AN152" s="269">
        <f t="shared" si="6"/>
        <v>1.1060056098527407</v>
      </c>
      <c r="AO152" s="269">
        <f t="shared" si="6"/>
        <v>2.454693581457231</v>
      </c>
      <c r="AP152" s="269">
        <f t="shared" si="6"/>
        <v>0.19352791238903658</v>
      </c>
      <c r="AQ152" s="269">
        <f t="shared" si="6"/>
        <v>7.2028066328200335</v>
      </c>
      <c r="AR152" s="269">
        <f t="shared" si="6"/>
        <v>5.6377330334901323E-3</v>
      </c>
      <c r="AS152" s="269">
        <f t="shared" si="6"/>
        <v>2.3889084390758032E-2</v>
      </c>
      <c r="AT152" s="269">
        <f t="shared" si="6"/>
        <v>9.1590963221085481E-2</v>
      </c>
      <c r="AU152" s="269">
        <f t="shared" si="6"/>
        <v>2.7307511426837003E-2</v>
      </c>
      <c r="AV152" s="269">
        <f t="shared" si="6"/>
        <v>3.8095699203878841E-2</v>
      </c>
      <c r="AW152" s="267">
        <f t="shared" si="6"/>
        <v>19.389665249946237</v>
      </c>
      <c r="AX152" s="269">
        <f t="shared" si="6"/>
        <v>0.37791350912381161</v>
      </c>
      <c r="AY152" s="269">
        <f t="shared" si="6"/>
        <v>0.85903117059880052</v>
      </c>
      <c r="AZ152" s="269">
        <f t="shared" si="6"/>
        <v>0.11867115580904687</v>
      </c>
      <c r="BA152" s="269">
        <f t="shared" si="6"/>
        <v>0.81053775215380353</v>
      </c>
      <c r="BB152" s="269">
        <f t="shared" si="6"/>
        <v>0.18122031850449544</v>
      </c>
      <c r="BC152" s="269">
        <f t="shared" si="6"/>
        <v>5.8778636023864468E-2</v>
      </c>
      <c r="BD152" s="269">
        <f t="shared" si="6"/>
        <v>0.24544993094325518</v>
      </c>
      <c r="BE152" s="269">
        <f t="shared" si="6"/>
        <v>3.3475574067873548E-2</v>
      </c>
      <c r="BF152" s="269">
        <f t="shared" si="6"/>
        <v>0.18424020084206555</v>
      </c>
      <c r="BG152" s="269">
        <f t="shared" si="6"/>
        <v>2.4441428226183344E-2</v>
      </c>
      <c r="BH152" s="269">
        <f t="shared" si="6"/>
        <v>0.10072768898573303</v>
      </c>
      <c r="BI152" s="269">
        <f t="shared" si="6"/>
        <v>1.2704291628509229E-2</v>
      </c>
      <c r="BJ152" s="269">
        <f t="shared" si="6"/>
        <v>0.10365206077003014</v>
      </c>
      <c r="BK152" s="269">
        <f t="shared" si="6"/>
        <v>8.8739114547643719E-3</v>
      </c>
      <c r="BL152" s="269">
        <f t="shared" si="6"/>
        <v>0.1555029907177462</v>
      </c>
      <c r="BM152" s="269">
        <f t="shared" si="6"/>
        <v>1.5551092831299861E-2</v>
      </c>
      <c r="BN152" s="269">
        <f t="shared" si="6"/>
        <v>1.3496965025892486E-2</v>
      </c>
      <c r="BO152" s="269">
        <f t="shared" si="6"/>
        <v>9.4881513941649856E-3</v>
      </c>
      <c r="BP152" s="269">
        <f t="shared" si="6"/>
        <v>0.17113835589832307</v>
      </c>
      <c r="BQ152" s="269">
        <f t="shared" si="6"/>
        <v>4.391942877997974E-3</v>
      </c>
      <c r="BR152" s="269">
        <f t="shared" si="6"/>
        <v>0.11957492142730379</v>
      </c>
      <c r="BS152" s="269">
        <f t="shared" si="6"/>
        <v>3.7674598275141649E-2</v>
      </c>
      <c r="BT152" s="258"/>
    </row>
    <row r="153" spans="1:72">
      <c r="A153" s="53"/>
      <c r="B153" s="39"/>
      <c r="C153" s="53"/>
      <c r="D153" s="53"/>
      <c r="E153" s="53"/>
      <c r="F153" s="47" t="s">
        <v>720</v>
      </c>
      <c r="G153" s="53"/>
      <c r="H153" s="116"/>
      <c r="I153" s="41"/>
      <c r="J153" s="39"/>
      <c r="K153" s="39"/>
      <c r="L153" s="39"/>
      <c r="M153" s="39"/>
      <c r="N153" s="39"/>
      <c r="O153" s="39"/>
      <c r="P153" s="47"/>
      <c r="Q153" s="267">
        <f>(Q152/Q150)*100</f>
        <v>11.765535995249691</v>
      </c>
      <c r="R153" s="267">
        <f t="shared" ref="R153:BS153" si="7">(R152/R150)*100</f>
        <v>9.8063305742325948</v>
      </c>
      <c r="S153" s="267">
        <f t="shared" si="7"/>
        <v>4.5191124404658494</v>
      </c>
      <c r="T153" s="267">
        <f t="shared" si="7"/>
        <v>4.8340877682759542</v>
      </c>
      <c r="U153" s="267">
        <f t="shared" si="7"/>
        <v>7.4809594158166819</v>
      </c>
      <c r="V153" s="267">
        <f t="shared" si="7"/>
        <v>4.4718557329804227</v>
      </c>
      <c r="W153" s="267">
        <f t="shared" si="7"/>
        <v>1.9164096979845473</v>
      </c>
      <c r="X153" s="267">
        <f t="shared" si="7"/>
        <v>3.9555764272433178</v>
      </c>
      <c r="Y153" s="267">
        <f t="shared" si="7"/>
        <v>3.3158518653816422</v>
      </c>
      <c r="Z153" s="267">
        <f t="shared" si="7"/>
        <v>4.2245609431546862</v>
      </c>
      <c r="AA153" s="267">
        <f t="shared" si="7"/>
        <v>5.3211628797650841</v>
      </c>
      <c r="AB153" s="267">
        <f t="shared" si="7"/>
        <v>5.5921393736858924</v>
      </c>
      <c r="AC153" s="267">
        <f t="shared" si="7"/>
        <v>4.7344729539357644</v>
      </c>
      <c r="AD153" s="267">
        <f t="shared" si="7"/>
        <v>4.5658958038615003</v>
      </c>
      <c r="AE153" s="267">
        <f t="shared" si="7"/>
        <v>1.2534545507028563</v>
      </c>
      <c r="AF153" s="267">
        <f t="shared" si="7"/>
        <v>3.7763654394869417</v>
      </c>
      <c r="AG153" s="267">
        <f t="shared" si="7"/>
        <v>1.8662564417579286</v>
      </c>
      <c r="AH153" s="267">
        <f t="shared" si="7"/>
        <v>6.8122487025400051</v>
      </c>
      <c r="AI153" s="267">
        <f t="shared" si="7"/>
        <v>6.2636027362938203</v>
      </c>
      <c r="AJ153" s="267">
        <f t="shared" si="7"/>
        <v>54.191014569885098</v>
      </c>
      <c r="AK153" s="267">
        <f t="shared" si="7"/>
        <v>30.594801539845527</v>
      </c>
      <c r="AL153" s="267">
        <f t="shared" si="7"/>
        <v>2.5606473863866457</v>
      </c>
      <c r="AM153" s="267">
        <f t="shared" si="7"/>
        <v>2.1983401921190828</v>
      </c>
      <c r="AN153" s="267">
        <f t="shared" si="7"/>
        <v>3.3741157467766709</v>
      </c>
      <c r="AO153" s="267">
        <f t="shared" si="7"/>
        <v>1.3792130933715885</v>
      </c>
      <c r="AP153" s="267">
        <f t="shared" si="7"/>
        <v>1.6812207103544239</v>
      </c>
      <c r="AQ153" s="267">
        <f t="shared" si="7"/>
        <v>2.6509675276537217</v>
      </c>
      <c r="AR153" s="267">
        <f t="shared" si="7"/>
        <v>12.14397199046336</v>
      </c>
      <c r="AS153" s="267">
        <f t="shared" si="7"/>
        <v>8.8441547807958791</v>
      </c>
      <c r="AT153" s="267">
        <f t="shared" si="7"/>
        <v>4.2776492833629121</v>
      </c>
      <c r="AU153" s="267">
        <f t="shared" si="7"/>
        <v>8.4949283113537231</v>
      </c>
      <c r="AV153" s="267">
        <f t="shared" si="7"/>
        <v>3.3156446226070795</v>
      </c>
      <c r="AW153" s="267">
        <f t="shared" si="7"/>
        <v>2.9966510511131297</v>
      </c>
      <c r="AX153" s="267">
        <f t="shared" si="7"/>
        <v>1.5667466561173147</v>
      </c>
      <c r="AY153" s="267">
        <f t="shared" si="7"/>
        <v>1.7405100713704984</v>
      </c>
      <c r="AZ153" s="267">
        <f t="shared" si="7"/>
        <v>1.8532591342083859</v>
      </c>
      <c r="BA153" s="267">
        <f t="shared" si="7"/>
        <v>2.9360047091806387</v>
      </c>
      <c r="BB153" s="267">
        <f t="shared" si="7"/>
        <v>2.8023849378573757</v>
      </c>
      <c r="BC153" s="267">
        <f t="shared" si="7"/>
        <v>3.0377576353654923</v>
      </c>
      <c r="BD153" s="267">
        <f t="shared" si="7"/>
        <v>3.7926102482151016</v>
      </c>
      <c r="BE153" s="267">
        <f t="shared" si="7"/>
        <v>3.2788229593083593</v>
      </c>
      <c r="BF153" s="267">
        <f t="shared" si="7"/>
        <v>2.9419100965717884</v>
      </c>
      <c r="BG153" s="267">
        <f t="shared" si="7"/>
        <v>1.9343956258872161</v>
      </c>
      <c r="BH153" s="267">
        <f t="shared" si="7"/>
        <v>2.8278634845260013</v>
      </c>
      <c r="BI153" s="267">
        <f t="shared" si="7"/>
        <v>2.441846760981579</v>
      </c>
      <c r="BJ153" s="267">
        <f t="shared" si="7"/>
        <v>3.1393152783648528</v>
      </c>
      <c r="BK153" s="267">
        <f t="shared" si="7"/>
        <v>1.7843475753497287</v>
      </c>
      <c r="BL153" s="267">
        <f t="shared" si="7"/>
        <v>3.0679961361858239</v>
      </c>
      <c r="BM153" s="267">
        <f t="shared" si="7"/>
        <v>2.1605104666445958</v>
      </c>
      <c r="BN153" s="267">
        <f t="shared" si="7"/>
        <v>2.8756696654783513</v>
      </c>
      <c r="BO153" s="267">
        <f t="shared" si="7"/>
        <v>3.6854107922556922</v>
      </c>
      <c r="BP153" s="267">
        <f t="shared" si="7"/>
        <v>1.7540739018417257</v>
      </c>
      <c r="BQ153" s="267">
        <f t="shared" si="7"/>
        <v>8.053036407101887</v>
      </c>
      <c r="BR153" s="267">
        <f t="shared" si="7"/>
        <v>2.178294276236882</v>
      </c>
      <c r="BS153" s="267">
        <f t="shared" si="7"/>
        <v>2.3267449726316345</v>
      </c>
      <c r="BT153" s="258"/>
    </row>
    <row r="154" spans="1:72">
      <c r="A154" s="53"/>
      <c r="B154" s="39"/>
      <c r="C154" s="53"/>
      <c r="D154" s="53"/>
      <c r="E154" s="53"/>
      <c r="F154" s="47"/>
      <c r="G154" s="53"/>
      <c r="H154" s="116"/>
      <c r="I154" s="41"/>
      <c r="J154" s="39"/>
      <c r="K154" s="39"/>
      <c r="L154" s="39"/>
      <c r="M154" s="39"/>
      <c r="N154" s="39"/>
      <c r="O154" s="39"/>
      <c r="P154" s="39"/>
      <c r="Q154" s="269"/>
      <c r="R154" s="269"/>
      <c r="S154" s="269"/>
      <c r="T154" s="269"/>
      <c r="U154" s="269"/>
      <c r="V154" s="269"/>
      <c r="W154" s="269"/>
      <c r="X154" s="269"/>
      <c r="Y154" s="269"/>
      <c r="Z154" s="269"/>
      <c r="AA154" s="269"/>
      <c r="AB154" s="269"/>
      <c r="AC154" s="269"/>
      <c r="AD154" s="269"/>
      <c r="AE154" s="269"/>
      <c r="AF154" s="269"/>
      <c r="AG154" s="269"/>
      <c r="AH154" s="269"/>
      <c r="AI154" s="269"/>
      <c r="AJ154" s="269"/>
      <c r="AK154" s="269"/>
      <c r="AL154" s="269"/>
      <c r="AM154" s="269"/>
      <c r="AN154" s="269"/>
      <c r="AO154" s="269"/>
      <c r="AP154" s="269"/>
      <c r="AQ154" s="269"/>
      <c r="AR154" s="269"/>
      <c r="AS154" s="269"/>
      <c r="AT154" s="269"/>
      <c r="AU154" s="269"/>
      <c r="AV154" s="269"/>
      <c r="AW154" s="269"/>
      <c r="AX154" s="269"/>
      <c r="AY154" s="269"/>
      <c r="AZ154" s="269"/>
      <c r="BA154" s="269"/>
      <c r="BB154" s="269"/>
      <c r="BC154" s="269"/>
      <c r="BD154" s="269"/>
      <c r="BE154" s="269"/>
      <c r="BF154" s="269"/>
      <c r="BG154" s="269"/>
      <c r="BH154" s="269"/>
      <c r="BI154" s="269"/>
      <c r="BJ154" s="269"/>
      <c r="BK154" s="269"/>
      <c r="BL154" s="269"/>
      <c r="BM154" s="269"/>
      <c r="BN154" s="269"/>
      <c r="BO154" s="269"/>
      <c r="BP154" s="269"/>
      <c r="BQ154" s="269"/>
      <c r="BR154" s="269"/>
      <c r="BS154" s="269"/>
      <c r="BT154" s="258"/>
    </row>
    <row r="155" spans="1:72">
      <c r="A155" s="53"/>
      <c r="B155" s="39"/>
      <c r="C155" s="53"/>
      <c r="D155" s="53"/>
      <c r="E155" s="53"/>
      <c r="F155" s="41"/>
      <c r="G155" s="53"/>
      <c r="H155" s="116"/>
      <c r="I155" s="41"/>
      <c r="J155" s="249"/>
      <c r="K155" s="39"/>
      <c r="L155" s="39"/>
      <c r="M155" s="39"/>
      <c r="N155" s="39"/>
      <c r="O155" s="39"/>
      <c r="P155" s="39"/>
      <c r="Q155" s="259"/>
      <c r="R155" s="259"/>
      <c r="S155" s="259"/>
      <c r="T155" s="259"/>
      <c r="U155" s="259"/>
      <c r="V155" s="259"/>
      <c r="W155" s="259"/>
      <c r="X155" s="259"/>
      <c r="Y155" s="259"/>
      <c r="Z155" s="259"/>
      <c r="AA155" s="268"/>
      <c r="AB155" s="268"/>
      <c r="AC155" s="259"/>
      <c r="AD155" s="259"/>
      <c r="AE155" s="259"/>
      <c r="AF155" s="259"/>
      <c r="AG155" s="259"/>
      <c r="AH155" s="259"/>
      <c r="AI155" s="259"/>
      <c r="AJ155" s="259"/>
      <c r="AK155" s="259"/>
      <c r="AL155" s="259"/>
      <c r="AM155" s="259"/>
      <c r="AN155" s="259"/>
      <c r="AO155" s="259"/>
      <c r="AP155" s="259"/>
      <c r="AQ155" s="259"/>
      <c r="AR155" s="259"/>
      <c r="AS155" s="259"/>
      <c r="AT155" s="259"/>
      <c r="AU155" s="259"/>
      <c r="AV155" s="259"/>
      <c r="AW155" s="259"/>
      <c r="AX155" s="259"/>
      <c r="AY155" s="259"/>
      <c r="AZ155" s="259"/>
      <c r="BA155" s="259"/>
      <c r="BB155" s="259"/>
      <c r="BC155" s="259"/>
      <c r="BD155" s="259"/>
      <c r="BE155" s="259"/>
      <c r="BF155" s="259"/>
      <c r="BG155" s="259"/>
      <c r="BH155" s="259"/>
      <c r="BI155" s="259"/>
      <c r="BJ155" s="259"/>
      <c r="BK155" s="259"/>
      <c r="BL155" s="259"/>
      <c r="BM155" s="259"/>
      <c r="BN155" s="259"/>
      <c r="BO155" s="259"/>
      <c r="BP155" s="259"/>
      <c r="BQ155" s="259"/>
      <c r="BR155" s="259"/>
      <c r="BS155" s="259"/>
      <c r="BT155" s="258"/>
    </row>
    <row r="156" spans="1:72">
      <c r="A156" s="25" t="s">
        <v>374</v>
      </c>
      <c r="B156" s="53"/>
      <c r="C156" s="53"/>
      <c r="D156" s="53"/>
      <c r="E156" s="53"/>
      <c r="F156" s="90" t="s">
        <v>388</v>
      </c>
      <c r="G156" s="53"/>
      <c r="H156" s="116"/>
      <c r="I156" s="41"/>
      <c r="J156" s="41"/>
      <c r="K156" s="39"/>
      <c r="L156" s="39"/>
      <c r="M156" s="39"/>
      <c r="N156" s="39"/>
      <c r="O156" s="39"/>
      <c r="P156" s="39"/>
      <c r="Q156" s="265" t="s">
        <v>4</v>
      </c>
      <c r="R156" s="265" t="s">
        <v>5</v>
      </c>
      <c r="S156" s="269" t="s">
        <v>6</v>
      </c>
      <c r="T156" s="269" t="s">
        <v>7</v>
      </c>
      <c r="U156" s="269" t="s">
        <v>8</v>
      </c>
      <c r="V156" s="269" t="s">
        <v>9</v>
      </c>
      <c r="W156" s="269" t="s">
        <v>10</v>
      </c>
      <c r="X156" s="269" t="s">
        <v>11</v>
      </c>
      <c r="Y156" s="269" t="s">
        <v>12</v>
      </c>
      <c r="Z156" s="269" t="s">
        <v>13</v>
      </c>
      <c r="AA156" s="269" t="s">
        <v>14</v>
      </c>
      <c r="AB156" s="269" t="s">
        <v>15</v>
      </c>
      <c r="AC156" s="269" t="s">
        <v>16</v>
      </c>
      <c r="AD156" s="269" t="s">
        <v>17</v>
      </c>
      <c r="AE156" s="265" t="s">
        <v>18</v>
      </c>
      <c r="AF156" s="269" t="s">
        <v>19</v>
      </c>
      <c r="AG156" s="269" t="s">
        <v>20</v>
      </c>
      <c r="AH156" s="265" t="s">
        <v>21</v>
      </c>
      <c r="AI156" s="265" t="s">
        <v>22</v>
      </c>
      <c r="AJ156" s="265" t="s">
        <v>23</v>
      </c>
      <c r="AK156" s="265" t="s">
        <v>24</v>
      </c>
      <c r="AL156" s="265" t="s">
        <v>25</v>
      </c>
      <c r="AM156" s="269" t="s">
        <v>26</v>
      </c>
      <c r="AN156" s="265" t="s">
        <v>27</v>
      </c>
      <c r="AO156" s="269" t="s">
        <v>28</v>
      </c>
      <c r="AP156" s="265" t="s">
        <v>29</v>
      </c>
      <c r="AQ156" s="269" t="s">
        <v>30</v>
      </c>
      <c r="AR156" s="265" t="s">
        <v>31</v>
      </c>
      <c r="AS156" s="265" t="s">
        <v>32</v>
      </c>
      <c r="AT156" s="269" t="s">
        <v>33</v>
      </c>
      <c r="AU156" s="265" t="s">
        <v>34</v>
      </c>
      <c r="AV156" s="265" t="s">
        <v>35</v>
      </c>
      <c r="AW156" s="269" t="s">
        <v>36</v>
      </c>
      <c r="AX156" s="265" t="s">
        <v>37</v>
      </c>
      <c r="AY156" s="265" t="s">
        <v>38</v>
      </c>
      <c r="AZ156" s="265" t="s">
        <v>39</v>
      </c>
      <c r="BA156" s="265" t="s">
        <v>40</v>
      </c>
      <c r="BB156" s="265" t="s">
        <v>41</v>
      </c>
      <c r="BC156" s="265" t="s">
        <v>42</v>
      </c>
      <c r="BD156" s="265" t="s">
        <v>43</v>
      </c>
      <c r="BE156" s="265" t="s">
        <v>44</v>
      </c>
      <c r="BF156" s="265" t="s">
        <v>45</v>
      </c>
      <c r="BG156" s="265" t="s">
        <v>46</v>
      </c>
      <c r="BH156" s="265" t="s">
        <v>47</v>
      </c>
      <c r="BI156" s="265" t="s">
        <v>48</v>
      </c>
      <c r="BJ156" s="265" t="s">
        <v>49</v>
      </c>
      <c r="BK156" s="265" t="s">
        <v>50</v>
      </c>
      <c r="BL156" s="265" t="s">
        <v>51</v>
      </c>
      <c r="BM156" s="269" t="s">
        <v>52</v>
      </c>
      <c r="BN156" s="269" t="s">
        <v>53</v>
      </c>
      <c r="BO156" s="269" t="s">
        <v>54</v>
      </c>
      <c r="BP156" s="269" t="s">
        <v>55</v>
      </c>
      <c r="BQ156" s="269" t="s">
        <v>56</v>
      </c>
      <c r="BR156" s="265" t="s">
        <v>57</v>
      </c>
      <c r="BS156" s="265" t="s">
        <v>58</v>
      </c>
      <c r="BT156" s="258"/>
    </row>
    <row r="157" spans="1:72" s="37" customFormat="1">
      <c r="A157" s="270"/>
      <c r="B157" s="270"/>
      <c r="C157" s="270"/>
      <c r="D157" s="270"/>
      <c r="E157" s="270"/>
      <c r="F157" s="90" t="s">
        <v>399</v>
      </c>
      <c r="G157" s="270"/>
      <c r="H157" s="271"/>
      <c r="I157" s="272"/>
      <c r="J157" s="272"/>
      <c r="K157" s="40"/>
      <c r="L157" s="40"/>
      <c r="M157" s="40"/>
      <c r="N157" s="40"/>
      <c r="O157" s="40"/>
      <c r="P157" s="40"/>
      <c r="Q157" s="273">
        <v>44.204000000000001</v>
      </c>
      <c r="R157" s="273">
        <v>2.823</v>
      </c>
      <c r="S157" s="279">
        <v>1115.9880000000001</v>
      </c>
      <c r="T157" s="279">
        <v>3740.924</v>
      </c>
      <c r="U157" s="279">
        <v>37961.786</v>
      </c>
      <c r="V157" s="279">
        <v>2810.8939999999998</v>
      </c>
      <c r="W157" s="279">
        <v>1011.051</v>
      </c>
      <c r="X157" s="275">
        <v>11700</v>
      </c>
      <c r="Y157" s="275">
        <v>28100</v>
      </c>
      <c r="Z157" s="279">
        <v>1372.36</v>
      </c>
      <c r="AA157" s="275">
        <v>356</v>
      </c>
      <c r="AB157" s="275">
        <v>225</v>
      </c>
      <c r="AC157" s="275">
        <v>7330</v>
      </c>
      <c r="AD157" s="275">
        <v>132000</v>
      </c>
      <c r="AE157" s="275">
        <v>40</v>
      </c>
      <c r="AF157" s="275">
        <v>79.400000000000006</v>
      </c>
      <c r="AG157" s="275">
        <v>26</v>
      </c>
      <c r="AH157" s="275">
        <v>191</v>
      </c>
      <c r="AI157" s="279">
        <v>8.5079999999999991</v>
      </c>
      <c r="AJ157" s="275">
        <v>104</v>
      </c>
      <c r="AK157" s="273">
        <v>0.53800000000000003</v>
      </c>
      <c r="AL157" s="273">
        <v>58.408000000000001</v>
      </c>
      <c r="AM157" s="273">
        <v>65.39</v>
      </c>
      <c r="AN157" s="273">
        <v>32.860999999999997</v>
      </c>
      <c r="AO157" s="273">
        <v>69.492000000000004</v>
      </c>
      <c r="AP157" s="273">
        <v>5.58</v>
      </c>
      <c r="AQ157" s="273">
        <v>7.0110000000000001</v>
      </c>
      <c r="AR157" s="273">
        <v>0.122</v>
      </c>
      <c r="AS157" s="255">
        <v>0.27500000000000002</v>
      </c>
      <c r="AT157" s="280">
        <v>2.7120000000000002</v>
      </c>
      <c r="AU157" s="273">
        <v>1.3959999999999999</v>
      </c>
      <c r="AV157" s="273">
        <v>2.9940000000000002</v>
      </c>
      <c r="AW157" s="279">
        <v>262.55799999999999</v>
      </c>
      <c r="AX157" s="273">
        <v>36.901000000000003</v>
      </c>
      <c r="AY157" s="273">
        <v>96.921999999999997</v>
      </c>
      <c r="AZ157" s="273">
        <v>10.516999999999999</v>
      </c>
      <c r="BA157" s="273">
        <v>42.863</v>
      </c>
      <c r="BB157" s="273">
        <v>9.2119999999999997</v>
      </c>
      <c r="BC157" s="273">
        <v>2.028</v>
      </c>
      <c r="BD157" s="273">
        <v>8.4930000000000003</v>
      </c>
      <c r="BE157" s="273">
        <v>1.3069999999999999</v>
      </c>
      <c r="BF157" s="273">
        <v>7.6369999999999996</v>
      </c>
      <c r="BG157" s="273">
        <v>1.4239999999999999</v>
      </c>
      <c r="BH157" s="273">
        <v>4.0419999999999998</v>
      </c>
      <c r="BI157" s="273">
        <v>0.59499999999999997</v>
      </c>
      <c r="BJ157" s="273">
        <v>3.806</v>
      </c>
      <c r="BK157" s="273">
        <v>0.54300000000000004</v>
      </c>
      <c r="BL157" s="273">
        <v>1.746</v>
      </c>
      <c r="BM157" s="273">
        <v>0.34</v>
      </c>
      <c r="BN157" s="273">
        <v>1.877</v>
      </c>
      <c r="BO157" s="273">
        <v>0.39700000000000002</v>
      </c>
      <c r="BP157" s="255">
        <v>79.400000000000006</v>
      </c>
      <c r="BQ157" s="273">
        <v>0.89700000000000002</v>
      </c>
      <c r="BR157" s="273">
        <v>19.728999999999999</v>
      </c>
      <c r="BS157" s="273">
        <v>2.0609999999999999</v>
      </c>
      <c r="BT157" s="281"/>
    </row>
    <row r="158" spans="1:72">
      <c r="A158" s="53">
        <v>14771</v>
      </c>
      <c r="B158" s="53"/>
      <c r="C158" s="53"/>
      <c r="D158" s="53"/>
      <c r="E158" s="53"/>
      <c r="F158" s="41" t="s">
        <v>386</v>
      </c>
      <c r="G158" s="53">
        <v>14771</v>
      </c>
      <c r="H158" s="116"/>
      <c r="I158" s="41" t="s">
        <v>386</v>
      </c>
      <c r="J158" s="41"/>
      <c r="K158" s="39" t="s">
        <v>375</v>
      </c>
      <c r="L158" s="39"/>
      <c r="M158" s="39"/>
      <c r="N158" s="39"/>
      <c r="O158" s="53"/>
      <c r="P158" s="89"/>
      <c r="Q158" s="259">
        <v>47</v>
      </c>
      <c r="R158" s="259">
        <v>3.23</v>
      </c>
      <c r="S158" s="260">
        <v>1134</v>
      </c>
      <c r="T158" s="260">
        <v>3821</v>
      </c>
      <c r="U158" s="260">
        <v>39226</v>
      </c>
      <c r="V158" s="260">
        <v>3095</v>
      </c>
      <c r="W158" s="260">
        <v>478</v>
      </c>
      <c r="X158" s="260">
        <v>10135</v>
      </c>
      <c r="Y158" s="260">
        <v>22273</v>
      </c>
      <c r="Z158" s="260">
        <v>1339</v>
      </c>
      <c r="AA158" s="260">
        <v>327.39999999999998</v>
      </c>
      <c r="AB158" s="260">
        <v>207.5</v>
      </c>
      <c r="AC158" s="260">
        <v>7209</v>
      </c>
      <c r="AD158" s="260">
        <v>156886</v>
      </c>
      <c r="AE158" s="260">
        <v>42.54</v>
      </c>
      <c r="AF158" s="260">
        <v>78.3</v>
      </c>
      <c r="AG158" s="260">
        <v>25.2</v>
      </c>
      <c r="AH158" s="260">
        <v>193.6</v>
      </c>
      <c r="AI158" s="260">
        <v>8.7799999999999994</v>
      </c>
      <c r="AJ158" s="260">
        <v>87</v>
      </c>
      <c r="AK158" s="259">
        <v>0.52</v>
      </c>
      <c r="AL158" s="259">
        <v>58.9</v>
      </c>
      <c r="AM158" s="259">
        <v>64.599999999999994</v>
      </c>
      <c r="AN158" s="259">
        <v>29.798999999999999</v>
      </c>
      <c r="AO158" s="259">
        <v>66.400000000000006</v>
      </c>
      <c r="AP158" s="259">
        <v>5.28</v>
      </c>
      <c r="AQ158" s="259">
        <v>7.01</v>
      </c>
      <c r="AR158" s="259">
        <v>0.111</v>
      </c>
      <c r="AS158" s="259">
        <v>0.35799999999999998</v>
      </c>
      <c r="AT158" s="259">
        <v>2.68</v>
      </c>
      <c r="AU158" s="259">
        <v>1.343</v>
      </c>
      <c r="AV158" s="259">
        <v>2.9049999999999998</v>
      </c>
      <c r="AW158" s="260">
        <v>275.3</v>
      </c>
      <c r="AX158" s="259">
        <v>36.04</v>
      </c>
      <c r="AY158" s="259">
        <v>90.03</v>
      </c>
      <c r="AZ158" s="259">
        <v>10.381</v>
      </c>
      <c r="BA158" s="259">
        <v>42.42</v>
      </c>
      <c r="BB158" s="259">
        <v>9.0470000000000006</v>
      </c>
      <c r="BC158" s="259">
        <v>1.9470000000000001</v>
      </c>
      <c r="BD158" s="259">
        <v>8.3420000000000005</v>
      </c>
      <c r="BE158" s="259">
        <v>1.23</v>
      </c>
      <c r="BF158" s="259">
        <v>7.6130000000000004</v>
      </c>
      <c r="BG158" s="259" t="s">
        <v>722</v>
      </c>
      <c r="BH158" s="259">
        <v>3.831</v>
      </c>
      <c r="BI158" s="259">
        <v>0.55600000000000005</v>
      </c>
      <c r="BJ158" s="259">
        <v>3.7519999999999998</v>
      </c>
      <c r="BK158" s="259">
        <v>0.52900000000000003</v>
      </c>
      <c r="BL158" s="259">
        <v>1.6</v>
      </c>
      <c r="BM158" s="259">
        <v>0.31900000000000001</v>
      </c>
      <c r="BN158" s="259">
        <v>1.7789999999999999</v>
      </c>
      <c r="BO158" s="259">
        <v>0.38900000000000001</v>
      </c>
      <c r="BP158" s="259">
        <v>76.069999999999993</v>
      </c>
      <c r="BQ158" s="259">
        <v>0.87</v>
      </c>
      <c r="BR158" s="259">
        <v>18.754999999999999</v>
      </c>
      <c r="BS158" s="259">
        <v>1.9970000000000001</v>
      </c>
      <c r="BT158" s="258"/>
    </row>
    <row r="159" spans="1:72">
      <c r="A159" s="53">
        <v>14771</v>
      </c>
      <c r="B159" s="53"/>
      <c r="C159" s="53"/>
      <c r="D159" s="53"/>
      <c r="E159" s="53"/>
      <c r="F159" s="41" t="s">
        <v>387</v>
      </c>
      <c r="G159" s="53">
        <v>14771</v>
      </c>
      <c r="H159" s="116"/>
      <c r="I159" s="41" t="s">
        <v>387</v>
      </c>
      <c r="J159" s="41"/>
      <c r="K159" s="39" t="s">
        <v>375</v>
      </c>
      <c r="L159" s="39"/>
      <c r="M159" s="39"/>
      <c r="N159" s="39"/>
      <c r="O159" s="53"/>
      <c r="P159" s="89"/>
      <c r="Q159" s="259">
        <v>48</v>
      </c>
      <c r="R159" s="259">
        <v>2.4300000000000002</v>
      </c>
      <c r="S159" s="260">
        <v>1148</v>
      </c>
      <c r="T159" s="260">
        <v>3895</v>
      </c>
      <c r="U159" s="260">
        <v>38232</v>
      </c>
      <c r="V159" s="260">
        <v>3063</v>
      </c>
      <c r="W159" s="260">
        <v>482</v>
      </c>
      <c r="X159" s="260">
        <v>10446</v>
      </c>
      <c r="Y159" s="260">
        <v>22932</v>
      </c>
      <c r="Z159" s="260">
        <v>1568</v>
      </c>
      <c r="AA159" s="260">
        <v>338.4</v>
      </c>
      <c r="AB159" s="260">
        <v>215.2</v>
      </c>
      <c r="AC159" s="260">
        <v>7257</v>
      </c>
      <c r="AD159" s="260">
        <v>156925</v>
      </c>
      <c r="AE159" s="260">
        <v>43.76</v>
      </c>
      <c r="AF159" s="260">
        <v>81</v>
      </c>
      <c r="AG159" s="260">
        <v>26</v>
      </c>
      <c r="AH159" s="260">
        <v>213.1</v>
      </c>
      <c r="AI159" s="260">
        <v>9.17</v>
      </c>
      <c r="AJ159" s="260">
        <v>93.9</v>
      </c>
      <c r="AK159" s="259">
        <v>0.46</v>
      </c>
      <c r="AL159" s="259">
        <v>59.8</v>
      </c>
      <c r="AM159" s="259">
        <v>68.3</v>
      </c>
      <c r="AN159" s="259">
        <v>31.097000000000001</v>
      </c>
      <c r="AO159" s="259">
        <v>75.099999999999994</v>
      </c>
      <c r="AP159" s="259">
        <v>6.11</v>
      </c>
      <c r="AQ159" s="259">
        <v>7.18</v>
      </c>
      <c r="AR159" s="259">
        <v>0.11899999999999999</v>
      </c>
      <c r="AS159" s="259">
        <v>0.41599999999999998</v>
      </c>
      <c r="AT159" s="259">
        <v>2.76</v>
      </c>
      <c r="AU159" s="259">
        <v>1.4419999999999999</v>
      </c>
      <c r="AV159" s="259">
        <v>3.0059999999999998</v>
      </c>
      <c r="AW159" s="260">
        <v>285</v>
      </c>
      <c r="AX159" s="259">
        <v>36.1</v>
      </c>
      <c r="AY159" s="259">
        <v>95.56</v>
      </c>
      <c r="AZ159" s="259">
        <v>10.483000000000001</v>
      </c>
      <c r="BA159" s="259">
        <v>41.47</v>
      </c>
      <c r="BB159" s="259">
        <v>9.1539999999999999</v>
      </c>
      <c r="BC159" s="259">
        <v>1.984</v>
      </c>
      <c r="BD159" s="259">
        <v>8.5820000000000007</v>
      </c>
      <c r="BE159" s="259">
        <v>1.2629999999999999</v>
      </c>
      <c r="BF159" s="259">
        <v>7.6550000000000002</v>
      </c>
      <c r="BG159" s="259">
        <v>1.4179999999999999</v>
      </c>
      <c r="BH159" s="259">
        <v>3.9449999999999998</v>
      </c>
      <c r="BI159" s="259">
        <v>0.59299999999999997</v>
      </c>
      <c r="BJ159" s="259">
        <v>3.9809999999999999</v>
      </c>
      <c r="BK159" s="259">
        <v>0.56299999999999994</v>
      </c>
      <c r="BL159" s="259">
        <v>1.88</v>
      </c>
      <c r="BM159" s="259">
        <v>0.41899999999999998</v>
      </c>
      <c r="BN159" s="259">
        <v>1.96</v>
      </c>
      <c r="BO159" s="259">
        <v>0.39900000000000002</v>
      </c>
      <c r="BP159" s="259">
        <v>77.55</v>
      </c>
      <c r="BQ159" s="259">
        <v>0.9</v>
      </c>
      <c r="BR159" s="259">
        <v>19.209</v>
      </c>
      <c r="BS159" s="259">
        <v>2.028</v>
      </c>
      <c r="BT159" s="258"/>
    </row>
    <row r="160" spans="1:72">
      <c r="A160" s="53">
        <v>14704</v>
      </c>
      <c r="B160" s="39"/>
      <c r="C160" s="243"/>
      <c r="D160" s="243"/>
      <c r="E160" s="243"/>
      <c r="F160" s="41" t="s">
        <v>386</v>
      </c>
      <c r="G160" s="53">
        <v>14704</v>
      </c>
      <c r="H160" s="243"/>
      <c r="I160" s="41" t="s">
        <v>386</v>
      </c>
      <c r="J160" s="41"/>
      <c r="K160" s="41" t="s">
        <v>375</v>
      </c>
      <c r="L160" s="41"/>
      <c r="M160" s="41"/>
      <c r="N160" s="39"/>
      <c r="O160" s="53"/>
      <c r="P160" s="89"/>
      <c r="Q160" s="261">
        <v>42.285174674606118</v>
      </c>
      <c r="R160" s="261">
        <v>2.7294789745446302</v>
      </c>
      <c r="S160" s="262">
        <v>1058.0759985480399</v>
      </c>
      <c r="T160" s="262">
        <v>3534.3208149215507</v>
      </c>
      <c r="U160" s="262">
        <v>33216.115256255718</v>
      </c>
      <c r="V160" s="262">
        <v>3035.8084483532771</v>
      </c>
      <c r="W160" s="262">
        <v>490.23386504826465</v>
      </c>
      <c r="X160" s="262">
        <v>9641.44750984239</v>
      </c>
      <c r="Y160" s="262">
        <v>21735.419899650635</v>
      </c>
      <c r="Z160" s="262">
        <v>1264.1971943927474</v>
      </c>
      <c r="AA160" s="262">
        <v>346.52030568777002</v>
      </c>
      <c r="AB160" s="262">
        <v>213.4240383748803</v>
      </c>
      <c r="AC160" s="262">
        <v>7207.8109949032614</v>
      </c>
      <c r="AD160" s="262">
        <v>149409.58473860679</v>
      </c>
      <c r="AE160" s="262">
        <v>42.882269590148361</v>
      </c>
      <c r="AF160" s="262">
        <v>80.598095625163921</v>
      </c>
      <c r="AG160" s="262">
        <v>25.06551345596413</v>
      </c>
      <c r="AH160" s="262">
        <v>185.51504343491422</v>
      </c>
      <c r="AI160" s="262">
        <v>7.9399804353700638</v>
      </c>
      <c r="AJ160" s="262">
        <v>87.873312998207055</v>
      </c>
      <c r="AK160" s="261">
        <v>0.52660430971117966</v>
      </c>
      <c r="AL160" s="261">
        <v>57.506262701402846</v>
      </c>
      <c r="AM160" s="261">
        <v>66.012438101213633</v>
      </c>
      <c r="AN160" s="261">
        <v>32.105534320944379</v>
      </c>
      <c r="AO160" s="261">
        <v>66.150148173874413</v>
      </c>
      <c r="AP160" s="261">
        <v>5.3086057575811427</v>
      </c>
      <c r="AQ160" s="261">
        <v>6.9199688965881752</v>
      </c>
      <c r="AR160" s="261">
        <v>0.10977709022834843</v>
      </c>
      <c r="AS160" s="261">
        <v>0.38854906885294516</v>
      </c>
      <c r="AT160" s="261">
        <v>2.5748571159285736</v>
      </c>
      <c r="AU160" s="261">
        <v>1.3098273982813304</v>
      </c>
      <c r="AV160" s="261">
        <v>2.9079833923213871</v>
      </c>
      <c r="AW160" s="262">
        <v>255.55519459451699</v>
      </c>
      <c r="AX160" s="261">
        <v>34.636950004874137</v>
      </c>
      <c r="AY160" s="261">
        <v>92.578736634422157</v>
      </c>
      <c r="AZ160" s="261">
        <v>9.7778500914916897</v>
      </c>
      <c r="BA160" s="261">
        <v>39.651943362046524</v>
      </c>
      <c r="BB160" s="261">
        <v>8.781734183127428</v>
      </c>
      <c r="BC160" s="261">
        <v>1.9558645860917232</v>
      </c>
      <c r="BD160" s="261">
        <v>7.7329267963601556</v>
      </c>
      <c r="BE160" s="261">
        <v>1.2631534472141246</v>
      </c>
      <c r="BF160" s="261">
        <v>7.2956574841636961</v>
      </c>
      <c r="BG160" s="261">
        <v>1.3750965858118689</v>
      </c>
      <c r="BH160" s="261">
        <v>3.7737735062986051</v>
      </c>
      <c r="BI160" s="261">
        <v>0.57821034952556261</v>
      </c>
      <c r="BJ160" s="261">
        <v>3.5799590350333714</v>
      </c>
      <c r="BK160" s="261">
        <v>0.50749144896914256</v>
      </c>
      <c r="BL160" s="261">
        <v>1.6697139015220523</v>
      </c>
      <c r="BM160" s="261">
        <v>0.32637229877349194</v>
      </c>
      <c r="BN160" s="261">
        <v>1.7976064190242589</v>
      </c>
      <c r="BO160" s="261">
        <v>0.38023823483240943</v>
      </c>
      <c r="BP160" s="261">
        <v>75.215327217577538</v>
      </c>
      <c r="BQ160" s="261">
        <v>0.87624755222118555</v>
      </c>
      <c r="BR160" s="261">
        <v>18.410160899775551</v>
      </c>
      <c r="BS160" s="261">
        <v>1.979311944077019</v>
      </c>
      <c r="BT160" s="258"/>
    </row>
    <row r="161" spans="1:72">
      <c r="A161" s="53">
        <v>14704</v>
      </c>
      <c r="B161" s="39"/>
      <c r="C161" s="243"/>
      <c r="D161" s="243"/>
      <c r="E161" s="243"/>
      <c r="F161" s="41" t="s">
        <v>387</v>
      </c>
      <c r="G161" s="53">
        <v>14704</v>
      </c>
      <c r="H161" s="243"/>
      <c r="I161" s="41" t="s">
        <v>387</v>
      </c>
      <c r="J161" s="41"/>
      <c r="K161" s="41" t="s">
        <v>375</v>
      </c>
      <c r="L161" s="41"/>
      <c r="M161" s="41"/>
      <c r="N161" s="39"/>
      <c r="O161" s="53"/>
      <c r="P161" s="89"/>
      <c r="Q161" s="261">
        <v>40.799720000660663</v>
      </c>
      <c r="R161" s="261">
        <v>3.0148347761155461</v>
      </c>
      <c r="S161" s="262">
        <v>1145.8073762338684</v>
      </c>
      <c r="T161" s="262">
        <v>3862.1935113533264</v>
      </c>
      <c r="U161" s="262">
        <v>38480.414250256646</v>
      </c>
      <c r="V161" s="262">
        <v>3123.8307241569178</v>
      </c>
      <c r="W161" s="262">
        <v>517.26338252242033</v>
      </c>
      <c r="X161" s="262">
        <v>10174.2746456563</v>
      </c>
      <c r="Y161" s="262">
        <v>22719.857237773871</v>
      </c>
      <c r="Z161" s="262">
        <v>1360.8424058317696</v>
      </c>
      <c r="AA161" s="262">
        <v>359.0388085102378</v>
      </c>
      <c r="AB161" s="262">
        <v>221.41305320684421</v>
      </c>
      <c r="AC161" s="262">
        <v>7349.898740546706</v>
      </c>
      <c r="AD161" s="262">
        <v>153429.44190140508</v>
      </c>
      <c r="AE161" s="262">
        <v>44.093900351570518</v>
      </c>
      <c r="AF161" s="262">
        <v>81.734192718206202</v>
      </c>
      <c r="AG161" s="262">
        <v>30.932983301308049</v>
      </c>
      <c r="AH161" s="262">
        <v>183.85704518233857</v>
      </c>
      <c r="AI161" s="262">
        <v>7.925890762731413</v>
      </c>
      <c r="AJ161" s="262">
        <v>89.671584729572871</v>
      </c>
      <c r="AK161" s="261">
        <v>0.5681720860338566</v>
      </c>
      <c r="AL161" s="261">
        <v>59.988476655162579</v>
      </c>
      <c r="AM161" s="261">
        <v>68.203305597338556</v>
      </c>
      <c r="AN161" s="261">
        <v>33.330425894903478</v>
      </c>
      <c r="AO161" s="261">
        <v>71.848527045816752</v>
      </c>
      <c r="AP161" s="261">
        <v>5.756112732335148</v>
      </c>
      <c r="AQ161" s="261">
        <v>7.3066262666208219</v>
      </c>
      <c r="AR161" s="261">
        <v>0.12922025825522351</v>
      </c>
      <c r="AS161" s="261">
        <v>0.42521369824145716</v>
      </c>
      <c r="AT161" s="261">
        <v>2.7906234434648645</v>
      </c>
      <c r="AU161" s="261">
        <v>1.4612492630542244</v>
      </c>
      <c r="AV161" s="261">
        <v>3.0372709217631613</v>
      </c>
      <c r="AW161" s="262">
        <v>265.63446174875298</v>
      </c>
      <c r="AX161" s="261">
        <v>36.323361278684779</v>
      </c>
      <c r="AY161" s="261">
        <v>98.5297800462411</v>
      </c>
      <c r="AZ161" s="261">
        <v>10.154095737333185</v>
      </c>
      <c r="BA161" s="261">
        <v>41.654978835922506</v>
      </c>
      <c r="BB161" s="261">
        <v>9.499383369183958</v>
      </c>
      <c r="BC161" s="261">
        <v>2.0330569505732878</v>
      </c>
      <c r="BD161" s="261">
        <v>8.1843949479852665</v>
      </c>
      <c r="BE161" s="261">
        <v>1.3251856222806502</v>
      </c>
      <c r="BF161" s="261">
        <v>7.5781776757477983</v>
      </c>
      <c r="BG161" s="261">
        <v>1.44935983463588</v>
      </c>
      <c r="BH161" s="261">
        <v>3.989198034249982</v>
      </c>
      <c r="BI161" s="261">
        <v>0.61733786678659408</v>
      </c>
      <c r="BJ161" s="261">
        <v>3.7792111859963509</v>
      </c>
      <c r="BK161" s="261">
        <v>0.53822140349017233</v>
      </c>
      <c r="BL161" s="261">
        <v>1.8486101420711392</v>
      </c>
      <c r="BM161" s="261">
        <v>0.34868041847840786</v>
      </c>
      <c r="BN161" s="261">
        <v>1.900920661012943</v>
      </c>
      <c r="BO161" s="261">
        <v>0.4039458159041408</v>
      </c>
      <c r="BP161" s="261">
        <v>80.293047431513969</v>
      </c>
      <c r="BQ161" s="261">
        <v>0.91326921679289474</v>
      </c>
      <c r="BR161" s="261">
        <v>19.658956056926797</v>
      </c>
      <c r="BS161" s="261">
        <v>2.0940284111871446</v>
      </c>
      <c r="BT161" s="258"/>
    </row>
    <row r="162" spans="1:72">
      <c r="A162" s="53">
        <v>14704</v>
      </c>
      <c r="B162" s="39"/>
      <c r="C162" s="243"/>
      <c r="D162" s="243"/>
      <c r="E162" s="243"/>
      <c r="F162" s="41" t="s">
        <v>392</v>
      </c>
      <c r="G162" s="53">
        <v>14704</v>
      </c>
      <c r="H162" s="243"/>
      <c r="I162" s="41" t="s">
        <v>392</v>
      </c>
      <c r="J162" s="41"/>
      <c r="K162" s="41" t="s">
        <v>375</v>
      </c>
      <c r="L162" s="41"/>
      <c r="M162" s="41"/>
      <c r="N162" s="39"/>
      <c r="O162" s="53"/>
      <c r="P162" s="89"/>
      <c r="Q162" s="261">
        <v>42.270425594669661</v>
      </c>
      <c r="R162" s="261">
        <v>2.8578865118927252</v>
      </c>
      <c r="S162" s="262">
        <v>1148.276313225374</v>
      </c>
      <c r="T162" s="262">
        <v>3784.7690376314217</v>
      </c>
      <c r="U162" s="262">
        <v>37598.887360494176</v>
      </c>
      <c r="V162" s="262">
        <v>3043.9368205743517</v>
      </c>
      <c r="W162" s="262">
        <v>508.20990043469914</v>
      </c>
      <c r="X162" s="262">
        <v>10133.191848807672</v>
      </c>
      <c r="Y162" s="262">
        <v>22702.69794418522</v>
      </c>
      <c r="Z162" s="262">
        <v>1346.0354365894534</v>
      </c>
      <c r="AA162" s="262">
        <v>356.22922334560076</v>
      </c>
      <c r="AB162" s="262">
        <v>216.25773618083434</v>
      </c>
      <c r="AC162" s="262">
        <v>7315.0391935511316</v>
      </c>
      <c r="AD162" s="262">
        <v>151781.29977577119</v>
      </c>
      <c r="AE162" s="262">
        <v>43.858460340940866</v>
      </c>
      <c r="AF162" s="262">
        <v>82.70623337783428</v>
      </c>
      <c r="AG162" s="262">
        <v>25.29769934575576</v>
      </c>
      <c r="AH162" s="262">
        <v>179.61374175695181</v>
      </c>
      <c r="AI162" s="262">
        <v>7.6828203555402474</v>
      </c>
      <c r="AJ162" s="262">
        <v>86.977640245168885</v>
      </c>
      <c r="AK162" s="261">
        <v>0.54875579996766044</v>
      </c>
      <c r="AL162" s="261">
        <v>59.107016207711567</v>
      </c>
      <c r="AM162" s="261">
        <v>67.793612627318524</v>
      </c>
      <c r="AN162" s="261">
        <v>32.971878969741489</v>
      </c>
      <c r="AO162" s="261">
        <v>70.863192335879731</v>
      </c>
      <c r="AP162" s="261">
        <v>5.6155048994362948</v>
      </c>
      <c r="AQ162" s="261">
        <v>7.2329972531927851</v>
      </c>
      <c r="AR162" s="261">
        <v>0.11355724234589148</v>
      </c>
      <c r="AS162" s="261">
        <v>0.39471571702371266</v>
      </c>
      <c r="AT162" s="261">
        <v>2.7011369878370912</v>
      </c>
      <c r="AU162" s="261">
        <v>1.4283797613088045</v>
      </c>
      <c r="AV162" s="261">
        <v>3.1287755122749283</v>
      </c>
      <c r="AW162" s="262">
        <v>261.54843989448256</v>
      </c>
      <c r="AX162" s="261">
        <v>37.334258106101956</v>
      </c>
      <c r="AY162" s="261">
        <v>101.58822886594049</v>
      </c>
      <c r="AZ162" s="261">
        <v>10.476646964776652</v>
      </c>
      <c r="BA162" s="261">
        <v>42.541443559921028</v>
      </c>
      <c r="BB162" s="261">
        <v>9.5327893545878055</v>
      </c>
      <c r="BC162" s="261">
        <v>2.1061378245527087</v>
      </c>
      <c r="BD162" s="261">
        <v>8.2709385787030865</v>
      </c>
      <c r="BE162" s="261">
        <v>1.3351312784940603</v>
      </c>
      <c r="BF162" s="261">
        <v>7.4892496274710227</v>
      </c>
      <c r="BG162" s="261">
        <v>1.4419597879383823</v>
      </c>
      <c r="BH162" s="261">
        <v>3.9682808753401821</v>
      </c>
      <c r="BI162" s="261">
        <v>0.61057454735303285</v>
      </c>
      <c r="BJ162" s="261">
        <v>3.7911781239699098</v>
      </c>
      <c r="BK162" s="261">
        <v>0.545356548673537</v>
      </c>
      <c r="BL162" s="261">
        <v>1.8258178132804523</v>
      </c>
      <c r="BM162" s="261">
        <v>0.35122028647105297</v>
      </c>
      <c r="BN162" s="261">
        <v>1.8906407515347496</v>
      </c>
      <c r="BO162" s="261">
        <v>0.41328330844738459</v>
      </c>
      <c r="BP162" s="261">
        <v>78.999368834631014</v>
      </c>
      <c r="BQ162" s="261">
        <v>0.92051213462563342</v>
      </c>
      <c r="BR162" s="261">
        <v>19.987224099722489</v>
      </c>
      <c r="BS162" s="261">
        <v>2.2334881631341252</v>
      </c>
      <c r="BT162" s="258"/>
    </row>
    <row r="163" spans="1:72">
      <c r="A163" s="53">
        <v>14704</v>
      </c>
      <c r="B163" s="39"/>
      <c r="C163" s="243"/>
      <c r="D163" s="243"/>
      <c r="E163" s="243"/>
      <c r="F163" s="41" t="s">
        <v>393</v>
      </c>
      <c r="G163" s="53">
        <v>14704</v>
      </c>
      <c r="H163" s="243"/>
      <c r="I163" s="41" t="s">
        <v>393</v>
      </c>
      <c r="J163" s="41"/>
      <c r="K163" s="41" t="s">
        <v>375</v>
      </c>
      <c r="L163" s="41"/>
      <c r="M163" s="41"/>
      <c r="N163" s="39"/>
      <c r="O163" s="53"/>
      <c r="P163" s="89"/>
      <c r="Q163" s="261">
        <v>42.846847017662775</v>
      </c>
      <c r="R163" s="261">
        <v>2.7529724118392962</v>
      </c>
      <c r="S163" s="262">
        <v>1131.9472759305804</v>
      </c>
      <c r="T163" s="262">
        <v>3757.8768883276098</v>
      </c>
      <c r="U163" s="262">
        <v>38494.837907168789</v>
      </c>
      <c r="V163" s="262">
        <v>3014.0077635310631</v>
      </c>
      <c r="W163" s="262">
        <v>496.47207143244924</v>
      </c>
      <c r="X163" s="262">
        <v>10161.52033395169</v>
      </c>
      <c r="Y163" s="262">
        <v>23195.620446348847</v>
      </c>
      <c r="Z163" s="262">
        <v>1334.2355268631236</v>
      </c>
      <c r="AA163" s="262">
        <v>352.65586482757232</v>
      </c>
      <c r="AB163" s="262">
        <v>216.9426258905124</v>
      </c>
      <c r="AC163" s="262">
        <v>7064.6451442650869</v>
      </c>
      <c r="AD163" s="262">
        <v>151474.16906097336</v>
      </c>
      <c r="AE163" s="262">
        <v>42.963676234407224</v>
      </c>
      <c r="AF163" s="262">
        <v>80.794398223186761</v>
      </c>
      <c r="AG163" s="262">
        <v>25.104775085621569</v>
      </c>
      <c r="AH163" s="262">
        <v>173.6450345957052</v>
      </c>
      <c r="AI163" s="262">
        <v>7.3855029582201412</v>
      </c>
      <c r="AJ163" s="262">
        <v>83.90476832874721</v>
      </c>
      <c r="AK163" s="261">
        <v>0.53859295034451304</v>
      </c>
      <c r="AL163" s="261">
        <v>57.740036062233479</v>
      </c>
      <c r="AM163" s="261">
        <v>65.225903182058005</v>
      </c>
      <c r="AN163" s="261">
        <v>32.656309234740206</v>
      </c>
      <c r="AO163" s="261">
        <v>68.081995961407813</v>
      </c>
      <c r="AP163" s="261">
        <v>5.5296549571561746</v>
      </c>
      <c r="AQ163" s="261">
        <v>7.0518791746737195</v>
      </c>
      <c r="AR163" s="261">
        <v>0.11894095587346599</v>
      </c>
      <c r="AS163" s="261">
        <v>0.38605929185611204</v>
      </c>
      <c r="AT163" s="261">
        <v>2.5486193029114705</v>
      </c>
      <c r="AU163" s="261">
        <v>1.4317677148681089</v>
      </c>
      <c r="AV163" s="261">
        <v>3.0019665513572065</v>
      </c>
      <c r="AW163" s="262">
        <v>255.2342835442274</v>
      </c>
      <c r="AX163" s="261">
        <v>35.337797332440026</v>
      </c>
      <c r="AY163" s="261">
        <v>96.765254143772452</v>
      </c>
      <c r="AZ163" s="261">
        <v>10.025209041544645</v>
      </c>
      <c r="BA163" s="261">
        <v>40.714530189504174</v>
      </c>
      <c r="BB163" s="261">
        <v>9.2620490304463523</v>
      </c>
      <c r="BC163" s="261">
        <v>2.0176569730027594</v>
      </c>
      <c r="BD163" s="261">
        <v>7.9425591457736964</v>
      </c>
      <c r="BE163" s="261">
        <v>1.3187376506097803</v>
      </c>
      <c r="BF163" s="261">
        <v>7.2789139862496226</v>
      </c>
      <c r="BG163" s="261">
        <v>1.4335216758684164</v>
      </c>
      <c r="BH163" s="261">
        <v>3.9538058333124688</v>
      </c>
      <c r="BI163" s="261">
        <v>0.59361883565733276</v>
      </c>
      <c r="BJ163" s="261">
        <v>3.7773131062853653</v>
      </c>
      <c r="BK163" s="261">
        <v>0.54647106004775958</v>
      </c>
      <c r="BL163" s="261">
        <v>1.7643938427689094</v>
      </c>
      <c r="BM163" s="261">
        <v>0.33875043114251141</v>
      </c>
      <c r="BN163" s="261">
        <v>1.8658146183513005</v>
      </c>
      <c r="BO163" s="261">
        <v>0.39856797239008274</v>
      </c>
      <c r="BP163" s="261">
        <v>77.40306481778947</v>
      </c>
      <c r="BQ163" s="261">
        <v>0.88230662650228842</v>
      </c>
      <c r="BR163" s="261">
        <v>19.277302874542634</v>
      </c>
      <c r="BS163" s="261">
        <v>2.0565902494791306</v>
      </c>
      <c r="BT163" s="258"/>
    </row>
    <row r="164" spans="1:72">
      <c r="A164" s="39"/>
      <c r="B164" s="39"/>
      <c r="C164" s="243"/>
      <c r="D164" s="243"/>
      <c r="E164" s="243"/>
      <c r="F164" s="47" t="s">
        <v>376</v>
      </c>
      <c r="G164" s="243"/>
      <c r="H164" s="243"/>
      <c r="I164" s="243"/>
      <c r="J164" s="243"/>
      <c r="K164" s="243"/>
      <c r="L164" s="243"/>
      <c r="M164" s="243"/>
      <c r="N164" s="39"/>
      <c r="O164" s="53"/>
      <c r="P164" s="47"/>
      <c r="Q164" s="282">
        <f>AVERAGE(Q158:Q163)</f>
        <v>43.86702788126653</v>
      </c>
      <c r="R164" s="282">
        <f t="shared" ref="R164:BS164" si="8">AVERAGE(R158:R163)</f>
        <v>2.8358621123986993</v>
      </c>
      <c r="S164" s="266">
        <f t="shared" si="8"/>
        <v>1127.6844939896437</v>
      </c>
      <c r="T164" s="266">
        <f t="shared" si="8"/>
        <v>3775.8600420389844</v>
      </c>
      <c r="U164" s="266">
        <f t="shared" si="8"/>
        <v>37541.375795695887</v>
      </c>
      <c r="V164" s="266">
        <f t="shared" si="8"/>
        <v>3062.5972927692687</v>
      </c>
      <c r="W164" s="266">
        <f t="shared" si="8"/>
        <v>495.36320323963895</v>
      </c>
      <c r="X164" s="266">
        <f t="shared" si="8"/>
        <v>10115.239056376342</v>
      </c>
      <c r="Y164" s="266">
        <f t="shared" si="8"/>
        <v>22593.099254659759</v>
      </c>
      <c r="Z164" s="266">
        <f t="shared" si="8"/>
        <v>1368.7184272795157</v>
      </c>
      <c r="AA164" s="266">
        <f t="shared" si="8"/>
        <v>346.70736706186352</v>
      </c>
      <c r="AB164" s="266">
        <f t="shared" si="8"/>
        <v>215.1229089421785</v>
      </c>
      <c r="AC164" s="266">
        <f t="shared" si="8"/>
        <v>7233.8990122110308</v>
      </c>
      <c r="AD164" s="266">
        <f t="shared" si="8"/>
        <v>153317.58257945941</v>
      </c>
      <c r="AE164" s="266">
        <f t="shared" si="8"/>
        <v>43.349717752844498</v>
      </c>
      <c r="AF164" s="266">
        <f t="shared" si="8"/>
        <v>80.855486657398529</v>
      </c>
      <c r="AG164" s="266">
        <f t="shared" si="8"/>
        <v>26.266828531441586</v>
      </c>
      <c r="AH164" s="266">
        <f t="shared" si="8"/>
        <v>188.2218108283183</v>
      </c>
      <c r="AI164" s="266">
        <f t="shared" si="8"/>
        <v>8.1473657519769773</v>
      </c>
      <c r="AJ164" s="266">
        <f t="shared" si="8"/>
        <v>88.22121771694934</v>
      </c>
      <c r="AK164" s="282">
        <f t="shared" si="8"/>
        <v>0.52702085767620155</v>
      </c>
      <c r="AL164" s="282">
        <f t="shared" si="8"/>
        <v>58.8402986044184</v>
      </c>
      <c r="AM164" s="282">
        <f t="shared" si="8"/>
        <v>66.689209917988109</v>
      </c>
      <c r="AN164" s="282">
        <f t="shared" si="8"/>
        <v>31.993358070054924</v>
      </c>
      <c r="AO164" s="282">
        <f t="shared" si="8"/>
        <v>69.740643919496449</v>
      </c>
      <c r="AP164" s="282">
        <f t="shared" si="8"/>
        <v>5.5999797244181266</v>
      </c>
      <c r="AQ164" s="282">
        <f t="shared" si="8"/>
        <v>7.1169119318459169</v>
      </c>
      <c r="AR164" s="282">
        <f t="shared" si="8"/>
        <v>0.11691592445048822</v>
      </c>
      <c r="AS164" s="282">
        <f t="shared" si="8"/>
        <v>0.3947562959957045</v>
      </c>
      <c r="AT164" s="282">
        <f t="shared" si="8"/>
        <v>2.6758728083570005</v>
      </c>
      <c r="AU164" s="282">
        <f t="shared" si="8"/>
        <v>1.4027040229187444</v>
      </c>
      <c r="AV164" s="282">
        <f t="shared" si="8"/>
        <v>2.9978327296194469</v>
      </c>
      <c r="AW164" s="266">
        <f t="shared" si="8"/>
        <v>266.37872996366326</v>
      </c>
      <c r="AX164" s="282">
        <f t="shared" si="8"/>
        <v>35.96206112035015</v>
      </c>
      <c r="AY164" s="282">
        <f t="shared" si="8"/>
        <v>95.841999948396037</v>
      </c>
      <c r="AZ164" s="282">
        <f t="shared" si="8"/>
        <v>10.216300305857695</v>
      </c>
      <c r="BA164" s="282">
        <f t="shared" si="8"/>
        <v>41.408815991232366</v>
      </c>
      <c r="BB164" s="282">
        <f t="shared" si="8"/>
        <v>9.2128259895575919</v>
      </c>
      <c r="BC164" s="282">
        <f t="shared" si="8"/>
        <v>2.0072860557034136</v>
      </c>
      <c r="BD164" s="282">
        <f t="shared" si="8"/>
        <v>8.175803244803701</v>
      </c>
      <c r="BE164" s="282">
        <f t="shared" si="8"/>
        <v>1.2892013330997694</v>
      </c>
      <c r="BF164" s="282">
        <f t="shared" si="8"/>
        <v>7.4849997956053569</v>
      </c>
      <c r="BG164" s="282">
        <f t="shared" si="8"/>
        <v>1.4235875768509092</v>
      </c>
      <c r="BH164" s="282">
        <f t="shared" si="8"/>
        <v>3.910176374866873</v>
      </c>
      <c r="BI164" s="282">
        <f t="shared" si="8"/>
        <v>0.59145693322042037</v>
      </c>
      <c r="BJ164" s="282">
        <f t="shared" si="8"/>
        <v>3.7767769085474998</v>
      </c>
      <c r="BK164" s="282">
        <f t="shared" si="8"/>
        <v>0.53825674353010189</v>
      </c>
      <c r="BL164" s="282">
        <f t="shared" si="8"/>
        <v>1.7647559499404253</v>
      </c>
      <c r="BM164" s="282">
        <f t="shared" si="8"/>
        <v>0.35050390581091068</v>
      </c>
      <c r="BN164" s="282">
        <f t="shared" si="8"/>
        <v>1.8656637416538755</v>
      </c>
      <c r="BO164" s="282">
        <f t="shared" si="8"/>
        <v>0.39733922192900289</v>
      </c>
      <c r="BP164" s="282">
        <f t="shared" si="8"/>
        <v>77.58846805025199</v>
      </c>
      <c r="BQ164" s="282">
        <f t="shared" si="8"/>
        <v>0.89372258835700036</v>
      </c>
      <c r="BR164" s="282">
        <f t="shared" si="8"/>
        <v>19.216273988494578</v>
      </c>
      <c r="BS164" s="282">
        <f t="shared" si="8"/>
        <v>2.0647364613129033</v>
      </c>
      <c r="BT164" s="258"/>
    </row>
    <row r="165" spans="1:72">
      <c r="A165" s="39"/>
      <c r="B165" s="39"/>
      <c r="C165" s="243"/>
      <c r="D165" s="243"/>
      <c r="E165" s="243"/>
      <c r="F165" s="47" t="s">
        <v>718</v>
      </c>
      <c r="G165" s="243"/>
      <c r="H165" s="243"/>
      <c r="I165" s="243"/>
      <c r="J165" s="243"/>
      <c r="K165" s="243"/>
      <c r="L165" s="243"/>
      <c r="M165" s="243"/>
      <c r="N165" s="39"/>
      <c r="O165" s="205"/>
      <c r="P165" s="47"/>
      <c r="Q165" s="267">
        <f>(Q164/Q157)*100</f>
        <v>99.237688628328939</v>
      </c>
      <c r="R165" s="267">
        <f t="shared" ref="R165:BS165" si="9">(R164/R157)*100</f>
        <v>100.45561857593692</v>
      </c>
      <c r="S165" s="267">
        <f t="shared" si="9"/>
        <v>101.04808420786277</v>
      </c>
      <c r="T165" s="267">
        <f t="shared" si="9"/>
        <v>100.93388804581393</v>
      </c>
      <c r="U165" s="267">
        <f t="shared" si="9"/>
        <v>98.892543664030683</v>
      </c>
      <c r="V165" s="267">
        <f t="shared" si="9"/>
        <v>108.9545636644167</v>
      </c>
      <c r="W165" s="267">
        <f t="shared" si="9"/>
        <v>48.994877927981769</v>
      </c>
      <c r="X165" s="267">
        <f t="shared" si="9"/>
        <v>86.455034669883275</v>
      </c>
      <c r="Y165" s="267">
        <f t="shared" si="9"/>
        <v>80.402488450746475</v>
      </c>
      <c r="Z165" s="267">
        <f t="shared" si="9"/>
        <v>99.734648873438147</v>
      </c>
      <c r="AA165" s="267">
        <f t="shared" si="9"/>
        <v>97.389709848838066</v>
      </c>
      <c r="AB165" s="267">
        <f t="shared" si="9"/>
        <v>95.610181752079342</v>
      </c>
      <c r="AC165" s="267">
        <f t="shared" si="9"/>
        <v>98.688936046535218</v>
      </c>
      <c r="AD165" s="267">
        <f t="shared" si="9"/>
        <v>116.14968377231773</v>
      </c>
      <c r="AE165" s="267">
        <f t="shared" si="9"/>
        <v>108.37429438211123</v>
      </c>
      <c r="AF165" s="267">
        <f t="shared" si="9"/>
        <v>101.83310662140872</v>
      </c>
      <c r="AG165" s="267">
        <f t="shared" si="9"/>
        <v>101.02626358246765</v>
      </c>
      <c r="AH165" s="267">
        <f t="shared" si="9"/>
        <v>98.545450695454605</v>
      </c>
      <c r="AI165" s="267">
        <f t="shared" si="9"/>
        <v>95.761233568135623</v>
      </c>
      <c r="AJ165" s="267">
        <f t="shared" si="9"/>
        <v>84.828093958605137</v>
      </c>
      <c r="AK165" s="267">
        <f t="shared" si="9"/>
        <v>97.959267226059765</v>
      </c>
      <c r="AL165" s="267">
        <f t="shared" si="9"/>
        <v>100.74013594784688</v>
      </c>
      <c r="AM165" s="267">
        <f t="shared" si="9"/>
        <v>101.98686330935634</v>
      </c>
      <c r="AN165" s="267">
        <f t="shared" si="9"/>
        <v>97.359660600879238</v>
      </c>
      <c r="AO165" s="267">
        <f t="shared" si="9"/>
        <v>100.35780222111386</v>
      </c>
      <c r="AP165" s="267">
        <f t="shared" si="9"/>
        <v>100.35805957738577</v>
      </c>
      <c r="AQ165" s="267">
        <f t="shared" si="9"/>
        <v>101.51065371339205</v>
      </c>
      <c r="AR165" s="267">
        <f t="shared" si="9"/>
        <v>95.832724959416566</v>
      </c>
      <c r="AS165" s="267">
        <f t="shared" si="9"/>
        <v>143.54774399843799</v>
      </c>
      <c r="AT165" s="267">
        <f t="shared" si="9"/>
        <v>98.667876414343667</v>
      </c>
      <c r="AU165" s="267">
        <f t="shared" si="9"/>
        <v>100.48023086810491</v>
      </c>
      <c r="AV165" s="267">
        <f t="shared" si="9"/>
        <v>100.12801368134426</v>
      </c>
      <c r="AW165" s="267">
        <f t="shared" si="9"/>
        <v>101.45519464791141</v>
      </c>
      <c r="AX165" s="267">
        <f t="shared" si="9"/>
        <v>97.455519146771479</v>
      </c>
      <c r="AY165" s="267">
        <f t="shared" si="9"/>
        <v>98.885701851381569</v>
      </c>
      <c r="AZ165" s="267">
        <f t="shared" si="9"/>
        <v>97.140822533590338</v>
      </c>
      <c r="BA165" s="267">
        <f t="shared" si="9"/>
        <v>96.607367639298147</v>
      </c>
      <c r="BB165" s="267">
        <f t="shared" si="9"/>
        <v>100.00896645199298</v>
      </c>
      <c r="BC165" s="267">
        <f t="shared" si="9"/>
        <v>98.978602352239335</v>
      </c>
      <c r="BD165" s="267">
        <f t="shared" si="9"/>
        <v>96.265197748777823</v>
      </c>
      <c r="BE165" s="267">
        <f t="shared" si="9"/>
        <v>98.638204521788026</v>
      </c>
      <c r="BF165" s="267">
        <f t="shared" si="9"/>
        <v>98.009686992344598</v>
      </c>
      <c r="BG165" s="267">
        <f t="shared" si="9"/>
        <v>99.971037700204306</v>
      </c>
      <c r="BH165" s="267">
        <f t="shared" si="9"/>
        <v>96.738653509818732</v>
      </c>
      <c r="BI165" s="267">
        <f t="shared" si="9"/>
        <v>99.404526591667292</v>
      </c>
      <c r="BJ165" s="267">
        <f t="shared" si="9"/>
        <v>99.232183619219654</v>
      </c>
      <c r="BK165" s="267">
        <f t="shared" si="9"/>
        <v>99.126472104991137</v>
      </c>
      <c r="BL165" s="267">
        <f t="shared" si="9"/>
        <v>101.07422393702321</v>
      </c>
      <c r="BM165" s="267">
        <f t="shared" si="9"/>
        <v>103.08938406203254</v>
      </c>
      <c r="BN165" s="267">
        <f t="shared" si="9"/>
        <v>99.396043774846859</v>
      </c>
      <c r="BO165" s="267">
        <f t="shared" si="9"/>
        <v>100.08544632972365</v>
      </c>
      <c r="BP165" s="267">
        <f t="shared" si="9"/>
        <v>97.718473614926936</v>
      </c>
      <c r="BQ165" s="267">
        <f t="shared" si="9"/>
        <v>99.634625234894131</v>
      </c>
      <c r="BR165" s="267">
        <f t="shared" si="9"/>
        <v>97.401155600864612</v>
      </c>
      <c r="BS165" s="267">
        <f t="shared" si="9"/>
        <v>100.18129361052419</v>
      </c>
      <c r="BT165" s="54"/>
    </row>
    <row r="166" spans="1:72">
      <c r="A166" s="39"/>
      <c r="B166" s="39"/>
      <c r="C166" s="243"/>
      <c r="D166" s="243"/>
      <c r="E166" s="243"/>
      <c r="F166" s="47" t="s">
        <v>719</v>
      </c>
      <c r="G166" s="243"/>
      <c r="H166" s="243"/>
      <c r="I166" s="243"/>
      <c r="J166" s="243"/>
      <c r="K166" s="243"/>
      <c r="L166" s="243"/>
      <c r="M166" s="243"/>
      <c r="N166" s="39"/>
      <c r="O166" s="205"/>
      <c r="P166" s="47"/>
      <c r="Q166" s="269">
        <f>STDEV(Q158:Q163)</f>
        <v>2.9119587184185103</v>
      </c>
      <c r="R166" s="269">
        <f t="shared" ref="R166:BS166" si="10">STDEV(R158:R163)</f>
        <v>0.27231345605130541</v>
      </c>
      <c r="S166" s="267">
        <f t="shared" si="10"/>
        <v>34.838430585829904</v>
      </c>
      <c r="T166" s="267">
        <f t="shared" si="10"/>
        <v>128.39733296909674</v>
      </c>
      <c r="U166" s="267">
        <f t="shared" si="10"/>
        <v>2182.5210208646326</v>
      </c>
      <c r="V166" s="267">
        <f t="shared" si="10"/>
        <v>40.562121462694741</v>
      </c>
      <c r="W166" s="267">
        <f t="shared" si="10"/>
        <v>15.180587656312628</v>
      </c>
      <c r="X166" s="267">
        <f t="shared" si="10"/>
        <v>260.85290356768689</v>
      </c>
      <c r="Y166" s="267">
        <f t="shared" si="10"/>
        <v>518.46742800258255</v>
      </c>
      <c r="Z166" s="267">
        <f t="shared" si="10"/>
        <v>103.23433389304665</v>
      </c>
      <c r="AA166" s="267">
        <f t="shared" si="10"/>
        <v>11.999471515622831</v>
      </c>
      <c r="AB166" s="267">
        <f t="shared" si="10"/>
        <v>4.5861958632472062</v>
      </c>
      <c r="AC166" s="267">
        <f t="shared" si="10"/>
        <v>100.51939007920765</v>
      </c>
      <c r="AD166" s="267">
        <f t="shared" si="10"/>
        <v>3059.0966384963199</v>
      </c>
      <c r="AE166" s="267">
        <f t="shared" si="10"/>
        <v>0.63310930518473107</v>
      </c>
      <c r="AF166" s="267">
        <f t="shared" si="10"/>
        <v>1.4709701470189558</v>
      </c>
      <c r="AG166" s="267">
        <f t="shared" si="10"/>
        <v>2.3114955512436657</v>
      </c>
      <c r="AH166" s="267">
        <f t="shared" si="10"/>
        <v>13.862238221642171</v>
      </c>
      <c r="AI166" s="267">
        <f t="shared" si="10"/>
        <v>0.68327213894147187</v>
      </c>
      <c r="AJ166" s="267">
        <f t="shared" si="10"/>
        <v>3.3509032616397976</v>
      </c>
      <c r="AK166" s="269">
        <f t="shared" si="10"/>
        <v>3.6989203719061628E-2</v>
      </c>
      <c r="AL166" s="269">
        <f t="shared" si="10"/>
        <v>1.0299778243925992</v>
      </c>
      <c r="AM166" s="269">
        <f t="shared" si="10"/>
        <v>1.6168438722233178</v>
      </c>
      <c r="AN166" s="269">
        <f t="shared" si="10"/>
        <v>1.3278558963048355</v>
      </c>
      <c r="AO166" s="269">
        <f t="shared" si="10"/>
        <v>3.4993901858481253</v>
      </c>
      <c r="AP166" s="269">
        <f t="shared" si="10"/>
        <v>0.30885939008054764</v>
      </c>
      <c r="AQ166" s="269">
        <f t="shared" si="10"/>
        <v>0.14689684462756897</v>
      </c>
      <c r="AR166" s="269">
        <f t="shared" si="10"/>
        <v>7.170531572670032E-3</v>
      </c>
      <c r="AS166" s="269">
        <f t="shared" si="10"/>
        <v>2.3850127056954676E-2</v>
      </c>
      <c r="AT166" s="269">
        <f t="shared" si="10"/>
        <v>9.7260505727686228E-2</v>
      </c>
      <c r="AU166" s="269">
        <f t="shared" si="10"/>
        <v>6.1100406619948117E-2</v>
      </c>
      <c r="AV166" s="269">
        <f t="shared" si="10"/>
        <v>8.4233004479540796E-2</v>
      </c>
      <c r="AW166" s="267">
        <f t="shared" si="10"/>
        <v>11.760731253101579</v>
      </c>
      <c r="AX166" s="269">
        <f t="shared" si="10"/>
        <v>0.91478836031653554</v>
      </c>
      <c r="AY166" s="269">
        <f t="shared" si="10"/>
        <v>4.1377158376054526</v>
      </c>
      <c r="AZ166" s="269">
        <f t="shared" si="10"/>
        <v>0.28236818837684541</v>
      </c>
      <c r="BA166" s="269">
        <f t="shared" si="10"/>
        <v>1.0897992611155074</v>
      </c>
      <c r="BB166" s="269">
        <f t="shared" si="10"/>
        <v>0.28415259842751034</v>
      </c>
      <c r="BC166" s="269">
        <f t="shared" si="10"/>
        <v>5.893077904148563E-2</v>
      </c>
      <c r="BD166" s="269">
        <f t="shared" si="10"/>
        <v>0.30076039393769122</v>
      </c>
      <c r="BE166" s="269">
        <f t="shared" si="10"/>
        <v>4.2770604531464092E-2</v>
      </c>
      <c r="BF166" s="269">
        <f t="shared" si="10"/>
        <v>0.1626690947647374</v>
      </c>
      <c r="BG166" s="269">
        <f t="shared" si="10"/>
        <v>2.9508604515803529E-2</v>
      </c>
      <c r="BH166" s="269">
        <f t="shared" si="10"/>
        <v>8.6731091344791886E-2</v>
      </c>
      <c r="BI166" s="269">
        <f t="shared" si="10"/>
        <v>2.2248716199346645E-2</v>
      </c>
      <c r="BJ166" s="269">
        <f t="shared" si="10"/>
        <v>0.12749262710805326</v>
      </c>
      <c r="BK166" s="269">
        <f t="shared" si="10"/>
        <v>1.877393335870383E-2</v>
      </c>
      <c r="BL166" s="269">
        <f t="shared" si="10"/>
        <v>0.10974416877130233</v>
      </c>
      <c r="BM166" s="269">
        <f t="shared" si="10"/>
        <v>3.5800916001673615E-2</v>
      </c>
      <c r="BN166" s="269">
        <f t="shared" si="10"/>
        <v>6.7688488044522099E-2</v>
      </c>
      <c r="BO166" s="269">
        <f t="shared" si="10"/>
        <v>1.1524889347960761E-2</v>
      </c>
      <c r="BP166" s="269">
        <f t="shared" si="10"/>
        <v>1.8589667793561779</v>
      </c>
      <c r="BQ166" s="269">
        <f t="shared" si="10"/>
        <v>2.0676646927380537E-2</v>
      </c>
      <c r="BR166" s="269">
        <f t="shared" si="10"/>
        <v>0.57562156454053548</v>
      </c>
      <c r="BS166" s="269">
        <f t="shared" si="10"/>
        <v>9.234355406654772E-2</v>
      </c>
      <c r="BT166" s="258"/>
    </row>
    <row r="167" spans="1:72">
      <c r="A167" s="39"/>
      <c r="B167" s="39"/>
      <c r="C167" s="243"/>
      <c r="D167" s="243"/>
      <c r="E167" s="243"/>
      <c r="F167" s="47"/>
      <c r="G167" s="243"/>
      <c r="H167" s="243"/>
      <c r="I167" s="243"/>
      <c r="J167" s="243"/>
      <c r="K167" s="243"/>
      <c r="L167" s="243"/>
      <c r="M167" s="243"/>
      <c r="N167" s="39"/>
      <c r="O167" s="53"/>
      <c r="P167" s="47"/>
      <c r="Q167" s="283">
        <f>(Q166/Q164)*100</f>
        <v>6.638149104380207</v>
      </c>
      <c r="R167" s="283">
        <f t="shared" ref="R167:BR167" si="11">(R166/R164)*100</f>
        <v>9.6024928313940645</v>
      </c>
      <c r="S167" s="283">
        <f t="shared" si="11"/>
        <v>3.0893774607625182</v>
      </c>
      <c r="T167" s="283">
        <f t="shared" si="11"/>
        <v>3.4004791369269474</v>
      </c>
      <c r="U167" s="283">
        <f t="shared" si="11"/>
        <v>5.8136415477742256</v>
      </c>
      <c r="V167" s="283">
        <f t="shared" si="11"/>
        <v>1.3244353594402078</v>
      </c>
      <c r="W167" s="283">
        <f t="shared" si="11"/>
        <v>3.0645367998738502</v>
      </c>
      <c r="X167" s="283">
        <f t="shared" si="11"/>
        <v>2.578811060359993</v>
      </c>
      <c r="Y167" s="283">
        <f t="shared" si="11"/>
        <v>2.2948043655216988</v>
      </c>
      <c r="Z167" s="283">
        <f t="shared" si="11"/>
        <v>7.5424084191104734</v>
      </c>
      <c r="AA167" s="283">
        <f t="shared" si="11"/>
        <v>3.4609796778508448</v>
      </c>
      <c r="AB167" s="283">
        <f t="shared" si="11"/>
        <v>2.131895615301437</v>
      </c>
      <c r="AC167" s="283">
        <f t="shared" si="11"/>
        <v>1.3895603174654225</v>
      </c>
      <c r="AD167" s="283">
        <f t="shared" si="11"/>
        <v>1.9952679836384009</v>
      </c>
      <c r="AE167" s="283">
        <f t="shared" si="11"/>
        <v>1.4604692671688457</v>
      </c>
      <c r="AF167" s="283">
        <f t="shared" si="11"/>
        <v>1.8192582938146937</v>
      </c>
      <c r="AG167" s="283">
        <f t="shared" si="11"/>
        <v>8.8000557375123858</v>
      </c>
      <c r="AH167" s="283">
        <f t="shared" si="11"/>
        <v>7.3648415986637472</v>
      </c>
      <c r="AI167" s="283">
        <f t="shared" si="11"/>
        <v>8.3864178894346839</v>
      </c>
      <c r="AJ167" s="283">
        <f t="shared" si="11"/>
        <v>3.7982963150552966</v>
      </c>
      <c r="AK167" s="283">
        <f t="shared" si="11"/>
        <v>7.0185464541495577</v>
      </c>
      <c r="AL167" s="283">
        <f t="shared" si="11"/>
        <v>1.7504632859141487</v>
      </c>
      <c r="AM167" s="283">
        <f t="shared" si="11"/>
        <v>2.4244459849076812</v>
      </c>
      <c r="AN167" s="283">
        <f t="shared" si="11"/>
        <v>4.1504111365779988</v>
      </c>
      <c r="AO167" s="283">
        <f t="shared" si="11"/>
        <v>5.0177199251093354</v>
      </c>
      <c r="AP167" s="283">
        <f t="shared" si="11"/>
        <v>5.515366220591809</v>
      </c>
      <c r="AQ167" s="283">
        <f t="shared" si="11"/>
        <v>2.0640531460035683</v>
      </c>
      <c r="AR167" s="283">
        <f t="shared" si="11"/>
        <v>6.1330666514180638</v>
      </c>
      <c r="AS167" s="283">
        <f t="shared" si="11"/>
        <v>6.0417344318212471</v>
      </c>
      <c r="AT167" s="283">
        <f t="shared" si="11"/>
        <v>3.6347208067563073</v>
      </c>
      <c r="AU167" s="283">
        <f t="shared" si="11"/>
        <v>4.35590157450397</v>
      </c>
      <c r="AV167" s="283">
        <f t="shared" si="11"/>
        <v>2.8097966790239681</v>
      </c>
      <c r="AW167" s="283">
        <f t="shared" si="11"/>
        <v>4.4150414166723673</v>
      </c>
      <c r="AX167" s="283">
        <f t="shared" si="11"/>
        <v>2.5437595394077031</v>
      </c>
      <c r="AY167" s="283">
        <f t="shared" si="11"/>
        <v>4.3172261011177904</v>
      </c>
      <c r="AZ167" s="283">
        <f t="shared" si="11"/>
        <v>2.7638986709792062</v>
      </c>
      <c r="BA167" s="283">
        <f t="shared" si="11"/>
        <v>2.6318049309747336</v>
      </c>
      <c r="BB167" s="283">
        <f t="shared" si="11"/>
        <v>3.084315266017041</v>
      </c>
      <c r="BC167" s="283">
        <f t="shared" si="11"/>
        <v>2.9358435921000061</v>
      </c>
      <c r="BD167" s="283">
        <f t="shared" si="11"/>
        <v>3.6786647737498535</v>
      </c>
      <c r="BE167" s="283">
        <f t="shared" si="11"/>
        <v>3.317604739720986</v>
      </c>
      <c r="BF167" s="283">
        <f t="shared" si="11"/>
        <v>2.1732678584740213</v>
      </c>
      <c r="BG167" s="283">
        <f t="shared" si="11"/>
        <v>2.0728338035288947</v>
      </c>
      <c r="BH167" s="283">
        <f t="shared" si="11"/>
        <v>2.2180864244965104</v>
      </c>
      <c r="BI167" s="283">
        <f t="shared" si="11"/>
        <v>3.7616798366374269</v>
      </c>
      <c r="BJ167" s="283">
        <f t="shared" si="11"/>
        <v>3.37569917935887</v>
      </c>
      <c r="BK167" s="283">
        <f t="shared" si="11"/>
        <v>3.4879141941774674</v>
      </c>
      <c r="BL167" s="283">
        <f t="shared" si="11"/>
        <v>6.218659796840865</v>
      </c>
      <c r="BM167" s="283">
        <f t="shared" si="11"/>
        <v>10.214127548406676</v>
      </c>
      <c r="BN167" s="283">
        <f t="shared" si="11"/>
        <v>3.6281183223573579</v>
      </c>
      <c r="BO167" s="283">
        <f t="shared" si="11"/>
        <v>2.9005164131569279</v>
      </c>
      <c r="BP167" s="283">
        <f t="shared" si="11"/>
        <v>2.3959318002672441</v>
      </c>
      <c r="BQ167" s="283">
        <f t="shared" si="11"/>
        <v>2.3135419420686256</v>
      </c>
      <c r="BR167" s="283">
        <f t="shared" si="11"/>
        <v>2.995489993976872</v>
      </c>
      <c r="BS167" s="283">
        <f>(BS166/BS164)*100</f>
        <v>4.4724135886973801</v>
      </c>
      <c r="BT167" s="258"/>
    </row>
    <row r="168" spans="1:72">
      <c r="A168" s="39"/>
      <c r="B168" s="39"/>
      <c r="C168" s="243"/>
      <c r="D168" s="243"/>
      <c r="E168" s="243"/>
      <c r="F168" s="41"/>
      <c r="G168" s="243"/>
      <c r="H168" s="243"/>
      <c r="I168" s="243"/>
      <c r="J168" s="243"/>
      <c r="K168" s="243"/>
      <c r="L168" s="243"/>
      <c r="M168" s="243"/>
      <c r="N168" s="39"/>
      <c r="O168" s="205"/>
      <c r="P168" s="39"/>
      <c r="Q168" s="258"/>
      <c r="R168" s="258"/>
      <c r="S168" s="260"/>
      <c r="T168" s="260"/>
      <c r="U168" s="54"/>
      <c r="V168" s="260"/>
      <c r="W168" s="260"/>
      <c r="X168" s="260"/>
      <c r="Y168" s="260"/>
      <c r="Z168" s="54"/>
      <c r="AA168" s="54"/>
      <c r="AB168" s="54"/>
      <c r="AC168" s="54"/>
      <c r="AD168" s="54"/>
      <c r="AE168" s="54"/>
      <c r="AF168" s="54"/>
      <c r="AG168" s="54"/>
      <c r="AH168" s="54"/>
      <c r="AI168" s="258"/>
      <c r="AJ168" s="258"/>
      <c r="AK168" s="258"/>
      <c r="AL168" s="258"/>
      <c r="AM168" s="258"/>
      <c r="AN168" s="258"/>
      <c r="AO168" s="258"/>
      <c r="AP168" s="258"/>
      <c r="AQ168" s="258"/>
      <c r="AR168" s="258"/>
      <c r="AS168" s="258"/>
      <c r="AT168" s="258"/>
      <c r="AU168" s="258"/>
      <c r="AV168" s="258"/>
      <c r="AW168" s="258"/>
      <c r="AX168" s="258"/>
      <c r="AY168" s="258"/>
      <c r="AZ168" s="258"/>
      <c r="BA168" s="258"/>
      <c r="BB168" s="258"/>
      <c r="BC168" s="258"/>
      <c r="BD168" s="258"/>
      <c r="BE168" s="258"/>
      <c r="BF168" s="258"/>
      <c r="BG168" s="258"/>
      <c r="BH168" s="258"/>
      <c r="BI168" s="258"/>
      <c r="BJ168" s="258"/>
      <c r="BK168" s="258"/>
      <c r="BL168" s="258"/>
      <c r="BM168" s="258"/>
      <c r="BN168" s="258"/>
      <c r="BO168" s="258"/>
      <c r="BP168" s="258"/>
      <c r="BQ168" s="258"/>
      <c r="BR168" s="258"/>
      <c r="BS168" s="258"/>
      <c r="BT168" s="258"/>
    </row>
    <row r="169" spans="1:72" s="35" customFormat="1">
      <c r="A169" s="25" t="s">
        <v>400</v>
      </c>
      <c r="B169" s="53"/>
      <c r="C169" s="53"/>
      <c r="D169" s="53"/>
      <c r="E169" s="53"/>
      <c r="F169" s="90" t="s">
        <v>388</v>
      </c>
      <c r="G169" s="53"/>
      <c r="H169" s="116"/>
      <c r="I169" s="41"/>
      <c r="J169" s="41"/>
      <c r="K169" s="39"/>
      <c r="L169" s="39"/>
      <c r="M169" s="39"/>
      <c r="N169" s="39"/>
      <c r="O169" s="39"/>
      <c r="P169" s="53"/>
      <c r="Q169" s="265" t="s">
        <v>4</v>
      </c>
      <c r="R169" s="265" t="s">
        <v>5</v>
      </c>
      <c r="S169" s="267" t="s">
        <v>6</v>
      </c>
      <c r="T169" s="267" t="s">
        <v>7</v>
      </c>
      <c r="U169" s="267" t="s">
        <v>8</v>
      </c>
      <c r="V169" s="267" t="s">
        <v>9</v>
      </c>
      <c r="W169" s="267" t="s">
        <v>10</v>
      </c>
      <c r="X169" s="267" t="s">
        <v>11</v>
      </c>
      <c r="Y169" s="267" t="s">
        <v>12</v>
      </c>
      <c r="Z169" s="267" t="s">
        <v>13</v>
      </c>
      <c r="AA169" s="267" t="s">
        <v>14</v>
      </c>
      <c r="AB169" s="267" t="s">
        <v>15</v>
      </c>
      <c r="AC169" s="267" t="s">
        <v>16</v>
      </c>
      <c r="AD169" s="267" t="s">
        <v>17</v>
      </c>
      <c r="AE169" s="283" t="s">
        <v>18</v>
      </c>
      <c r="AF169" s="267" t="s">
        <v>19</v>
      </c>
      <c r="AG169" s="267" t="s">
        <v>20</v>
      </c>
      <c r="AH169" s="283" t="s">
        <v>21</v>
      </c>
      <c r="AI169" s="265" t="s">
        <v>22</v>
      </c>
      <c r="AJ169" s="265" t="s">
        <v>23</v>
      </c>
      <c r="AK169" s="265" t="s">
        <v>24</v>
      </c>
      <c r="AL169" s="265" t="s">
        <v>25</v>
      </c>
      <c r="AM169" s="269" t="s">
        <v>26</v>
      </c>
      <c r="AN169" s="265" t="s">
        <v>27</v>
      </c>
      <c r="AO169" s="269" t="s">
        <v>28</v>
      </c>
      <c r="AP169" s="265" t="s">
        <v>29</v>
      </c>
      <c r="AQ169" s="269" t="s">
        <v>30</v>
      </c>
      <c r="AR169" s="265" t="s">
        <v>31</v>
      </c>
      <c r="AS169" s="265" t="s">
        <v>32</v>
      </c>
      <c r="AT169" s="269" t="s">
        <v>33</v>
      </c>
      <c r="AU169" s="265" t="s">
        <v>34</v>
      </c>
      <c r="AV169" s="265" t="s">
        <v>35</v>
      </c>
      <c r="AW169" s="269" t="s">
        <v>36</v>
      </c>
      <c r="AX169" s="265" t="s">
        <v>37</v>
      </c>
      <c r="AY169" s="265" t="s">
        <v>38</v>
      </c>
      <c r="AZ169" s="265" t="s">
        <v>40</v>
      </c>
      <c r="BA169" s="265" t="s">
        <v>41</v>
      </c>
      <c r="BB169" s="265" t="s">
        <v>42</v>
      </c>
      <c r="BC169" s="265" t="s">
        <v>48</v>
      </c>
      <c r="BD169" s="265" t="s">
        <v>49</v>
      </c>
      <c r="BE169" s="265" t="s">
        <v>50</v>
      </c>
      <c r="BF169" s="265" t="s">
        <v>51</v>
      </c>
      <c r="BG169" s="269" t="s">
        <v>52</v>
      </c>
      <c r="BH169" s="269" t="s">
        <v>53</v>
      </c>
      <c r="BI169" s="269" t="s">
        <v>54</v>
      </c>
      <c r="BJ169" s="269" t="s">
        <v>55</v>
      </c>
      <c r="BK169" s="269" t="s">
        <v>56</v>
      </c>
      <c r="BL169" s="265" t="s">
        <v>57</v>
      </c>
      <c r="BM169" s="265" t="s">
        <v>58</v>
      </c>
      <c r="BN169" s="284"/>
      <c r="BO169" s="284"/>
      <c r="BP169" s="284"/>
      <c r="BQ169" s="284"/>
      <c r="BR169" s="284"/>
      <c r="BS169" s="284"/>
      <c r="BT169" s="284"/>
    </row>
    <row r="170" spans="1:72" s="46" customFormat="1">
      <c r="A170" s="90"/>
      <c r="B170" s="90"/>
      <c r="C170" s="90"/>
      <c r="D170" s="90"/>
      <c r="E170" s="90"/>
      <c r="F170" s="90" t="s">
        <v>401</v>
      </c>
      <c r="G170" s="90"/>
      <c r="H170" s="252"/>
      <c r="I170" s="285"/>
      <c r="J170" s="285"/>
      <c r="K170" s="49"/>
      <c r="L170" s="49"/>
      <c r="M170" s="49"/>
      <c r="N170" s="49"/>
      <c r="O170" s="49"/>
      <c r="P170" s="49"/>
      <c r="Q170" s="255">
        <v>65.3</v>
      </c>
      <c r="R170" s="255">
        <v>2.09</v>
      </c>
      <c r="S170" s="275">
        <v>12600</v>
      </c>
      <c r="T170" s="275">
        <v>15800</v>
      </c>
      <c r="U170" s="275">
        <v>79100</v>
      </c>
      <c r="V170" s="275">
        <v>1040</v>
      </c>
      <c r="W170" s="275">
        <v>1580</v>
      </c>
      <c r="X170" s="275">
        <v>23800</v>
      </c>
      <c r="Y170" s="275">
        <v>13100</v>
      </c>
      <c r="Z170" s="275">
        <v>3840</v>
      </c>
      <c r="AA170" s="275">
        <v>216</v>
      </c>
      <c r="AB170" s="275">
        <v>94.3</v>
      </c>
      <c r="AC170" s="275">
        <v>298</v>
      </c>
      <c r="AD170" s="275">
        <v>37900</v>
      </c>
      <c r="AE170" s="275">
        <v>13</v>
      </c>
      <c r="AF170" s="275">
        <v>42.8</v>
      </c>
      <c r="AG170" s="275">
        <v>32.9</v>
      </c>
      <c r="AH170" s="275">
        <v>147</v>
      </c>
      <c r="AI170" s="255">
        <v>18</v>
      </c>
      <c r="AJ170" s="255">
        <v>21.7</v>
      </c>
      <c r="AK170" s="255">
        <v>1.5</v>
      </c>
      <c r="AL170" s="255">
        <v>180</v>
      </c>
      <c r="AM170" s="255">
        <v>132</v>
      </c>
      <c r="AN170" s="255">
        <v>20</v>
      </c>
      <c r="AO170" s="255">
        <v>96</v>
      </c>
      <c r="AP170" s="255">
        <v>12</v>
      </c>
      <c r="AQ170" s="255">
        <v>2.5299999999999998</v>
      </c>
      <c r="AR170" s="255">
        <v>0.161</v>
      </c>
      <c r="AS170" s="255">
        <v>0.28000000000000003</v>
      </c>
      <c r="AT170" s="255">
        <v>2.35</v>
      </c>
      <c r="AU170" s="255">
        <v>1.07</v>
      </c>
      <c r="AV170" s="255">
        <v>10</v>
      </c>
      <c r="AW170" s="275">
        <v>920</v>
      </c>
      <c r="AX170" s="255">
        <v>35</v>
      </c>
      <c r="AY170" s="255">
        <v>72</v>
      </c>
      <c r="AZ170" s="255">
        <v>42.8</v>
      </c>
      <c r="BA170" s="255">
        <v>5.5</v>
      </c>
      <c r="BB170" s="255">
        <v>1.3</v>
      </c>
      <c r="BC170" s="255">
        <v>0.85</v>
      </c>
      <c r="BD170" s="255">
        <v>2</v>
      </c>
      <c r="BE170" s="255">
        <v>0.11</v>
      </c>
      <c r="BF170" s="255">
        <v>3</v>
      </c>
      <c r="BG170" s="255">
        <v>1</v>
      </c>
      <c r="BH170" s="255">
        <v>1.3</v>
      </c>
      <c r="BI170" s="255">
        <v>0.85</v>
      </c>
      <c r="BJ170" s="255">
        <v>21.5</v>
      </c>
      <c r="BK170" s="255">
        <v>2.7</v>
      </c>
      <c r="BL170" s="255">
        <v>12</v>
      </c>
      <c r="BM170" s="255">
        <v>3.4</v>
      </c>
      <c r="BN170" s="286"/>
      <c r="BO170" s="286"/>
      <c r="BP170" s="286"/>
      <c r="BQ170" s="286"/>
      <c r="BR170" s="286"/>
      <c r="BS170" s="286"/>
      <c r="BT170" s="286"/>
    </row>
    <row r="171" spans="1:72" s="35" customFormat="1">
      <c r="A171" s="53">
        <v>14705</v>
      </c>
      <c r="B171" s="39" t="s">
        <v>670</v>
      </c>
      <c r="C171" s="39"/>
      <c r="D171" s="53"/>
      <c r="E171" s="39"/>
      <c r="F171" s="41" t="s">
        <v>402</v>
      </c>
      <c r="G171" s="53">
        <v>14705</v>
      </c>
      <c r="H171" s="243"/>
      <c r="I171" s="41" t="s">
        <v>394</v>
      </c>
      <c r="J171" s="41"/>
      <c r="K171" s="41" t="s">
        <v>395</v>
      </c>
      <c r="L171" s="41"/>
      <c r="M171" s="41"/>
      <c r="N171" s="39"/>
      <c r="O171" s="39"/>
      <c r="P171" s="89"/>
      <c r="Q171" s="261">
        <v>57.076840358331346</v>
      </c>
      <c r="R171" s="261">
        <v>2.0626723427854219</v>
      </c>
      <c r="S171" s="262">
        <v>13558.428418201895</v>
      </c>
      <c r="T171" s="262">
        <v>16216.46004644889</v>
      </c>
      <c r="U171" s="262">
        <v>81277.323031604115</v>
      </c>
      <c r="V171" s="262">
        <v>1073.6169733968393</v>
      </c>
      <c r="W171" s="262">
        <v>1683.2581143854534</v>
      </c>
      <c r="X171" s="262">
        <v>25340.171572093917</v>
      </c>
      <c r="Y171" s="262">
        <v>14316.333341041956</v>
      </c>
      <c r="Z171" s="262">
        <v>2876.0943692927735</v>
      </c>
      <c r="AA171" s="262">
        <v>221.29866035681161</v>
      </c>
      <c r="AB171" s="262">
        <v>87.488749450463729</v>
      </c>
      <c r="AC171" s="262">
        <v>273.1269713642626</v>
      </c>
      <c r="AD171" s="262">
        <v>37178.843022418892</v>
      </c>
      <c r="AE171" s="262">
        <v>12.209889249114887</v>
      </c>
      <c r="AF171" s="262">
        <v>41.257384353357438</v>
      </c>
      <c r="AG171" s="262">
        <v>30.128835254885917</v>
      </c>
      <c r="AH171" s="262">
        <v>131.99078394734363</v>
      </c>
      <c r="AI171" s="261">
        <v>16.458670953896625</v>
      </c>
      <c r="AJ171" s="261">
        <v>19.176844976404936</v>
      </c>
      <c r="AK171" s="261">
        <v>0.73224845545895101</v>
      </c>
      <c r="AL171" s="261">
        <v>128.70090859915021</v>
      </c>
      <c r="AM171" s="261">
        <v>126.1953490379465</v>
      </c>
      <c r="AN171" s="261">
        <v>17.614768245626895</v>
      </c>
      <c r="AO171" s="261">
        <v>74.630837913311311</v>
      </c>
      <c r="AP171" s="261">
        <v>10.111064094684201</v>
      </c>
      <c r="AQ171" s="261">
        <v>2.6227099564033161</v>
      </c>
      <c r="AR171" s="261">
        <v>0.16180266858512546</v>
      </c>
      <c r="AS171" s="261">
        <v>0.23601421031291006</v>
      </c>
      <c r="AT171" s="261">
        <v>2.2953319388891931</v>
      </c>
      <c r="AU171" s="261">
        <v>1.065171968049341</v>
      </c>
      <c r="AV171" s="261">
        <v>8.0879960394533761</v>
      </c>
      <c r="AW171" s="262">
        <v>863.36597398830907</v>
      </c>
      <c r="AX171" s="261">
        <v>29.831360145794307</v>
      </c>
      <c r="AY171" s="261">
        <v>57.099063622361619</v>
      </c>
      <c r="AZ171" s="261">
        <v>26.044131960565714</v>
      </c>
      <c r="BA171" s="261">
        <v>5.0580808985302719</v>
      </c>
      <c r="BB171" s="261">
        <v>1.0971073587613944</v>
      </c>
      <c r="BC171" s="261">
        <v>0.28195724928539301</v>
      </c>
      <c r="BD171" s="261">
        <v>1.7221884895845812</v>
      </c>
      <c r="BE171" s="261">
        <v>0.2627851512338763</v>
      </c>
      <c r="BF171" s="261">
        <v>2.4097229081275215</v>
      </c>
      <c r="BG171" s="261">
        <v>0.67074441810544505</v>
      </c>
      <c r="BH171" s="261">
        <v>1.1521634036286872</v>
      </c>
      <c r="BI171" s="261">
        <v>0.82828121006220912</v>
      </c>
      <c r="BJ171" s="261">
        <v>21.056908946753527</v>
      </c>
      <c r="BK171" s="261">
        <v>0.35185333880871844</v>
      </c>
      <c r="BL171" s="261">
        <v>9.622463544306143</v>
      </c>
      <c r="BM171" s="261">
        <v>2.893126083708693</v>
      </c>
      <c r="BN171" s="284"/>
      <c r="BO171" s="284"/>
      <c r="BP171" s="284"/>
      <c r="BQ171" s="284"/>
      <c r="BR171" s="284"/>
      <c r="BS171" s="284"/>
      <c r="BT171" s="284"/>
    </row>
    <row r="172" spans="1:72" s="35" customFormat="1">
      <c r="A172" s="53">
        <v>14705</v>
      </c>
      <c r="B172" s="39" t="s">
        <v>670</v>
      </c>
      <c r="C172" s="39"/>
      <c r="D172" s="53"/>
      <c r="E172" s="39"/>
      <c r="F172" s="41" t="s">
        <v>396</v>
      </c>
      <c r="G172" s="53">
        <v>14705</v>
      </c>
      <c r="H172" s="243"/>
      <c r="I172" s="41" t="s">
        <v>396</v>
      </c>
      <c r="J172" s="41"/>
      <c r="K172" s="41" t="s">
        <v>395</v>
      </c>
      <c r="L172" s="41"/>
      <c r="M172" s="41"/>
      <c r="N172" s="39"/>
      <c r="O172" s="39"/>
      <c r="P172" s="89"/>
      <c r="Q172" s="261">
        <v>56.338016431130157</v>
      </c>
      <c r="R172" s="261">
        <v>1.4419187445606982</v>
      </c>
      <c r="S172" s="262">
        <v>12678.435674141845</v>
      </c>
      <c r="T172" s="262">
        <v>15204.280601186178</v>
      </c>
      <c r="U172" s="262">
        <v>74444.195458864342</v>
      </c>
      <c r="V172" s="262">
        <v>1035.945861447681</v>
      </c>
      <c r="W172" s="262">
        <v>1631.4423280168639</v>
      </c>
      <c r="X172" s="262">
        <v>24275.833808901451</v>
      </c>
      <c r="Y172" s="262">
        <v>13607.49695565597</v>
      </c>
      <c r="Z172" s="262">
        <v>3068.1832081549514</v>
      </c>
      <c r="AA172" s="262">
        <v>211.680721174415</v>
      </c>
      <c r="AB172" s="262">
        <v>84.688532980443924</v>
      </c>
      <c r="AC172" s="262">
        <v>260.11793725387912</v>
      </c>
      <c r="AD172" s="262">
        <v>35538.581808536233</v>
      </c>
      <c r="AE172" s="262">
        <v>11.690862974523213</v>
      </c>
      <c r="AF172" s="262">
        <v>39.840730108531616</v>
      </c>
      <c r="AG172" s="262">
        <v>28.461952733852257</v>
      </c>
      <c r="AH172" s="262">
        <v>142.39584446606972</v>
      </c>
      <c r="AI172" s="261">
        <v>15.504469529150207</v>
      </c>
      <c r="AJ172" s="261">
        <v>18.658712333039887</v>
      </c>
      <c r="AK172" s="261">
        <v>0.6894752465932471</v>
      </c>
      <c r="AL172" s="261">
        <v>122.2271222132279</v>
      </c>
      <c r="AM172" s="261">
        <v>120.08539904509173</v>
      </c>
      <c r="AN172" s="261">
        <v>18.979688019940031</v>
      </c>
      <c r="AO172" s="261">
        <v>94.062982581389434</v>
      </c>
      <c r="AP172" s="261">
        <v>10.914130844114055</v>
      </c>
      <c r="AQ172" s="261">
        <v>2.5345053765870693</v>
      </c>
      <c r="AR172" s="261">
        <v>0.15478640903522378</v>
      </c>
      <c r="AS172" s="261">
        <v>0.21806246566369494</v>
      </c>
      <c r="AT172" s="261">
        <v>2.2526121092989762</v>
      </c>
      <c r="AU172" s="261">
        <v>1.0114201180142608</v>
      </c>
      <c r="AV172" s="261">
        <v>7.7252460048345277</v>
      </c>
      <c r="AW172" s="262">
        <v>816.78141564892996</v>
      </c>
      <c r="AX172" s="261">
        <v>31.945619358756943</v>
      </c>
      <c r="AY172" s="261">
        <v>58.148419680586507</v>
      </c>
      <c r="AZ172" s="261">
        <v>26.586406770465327</v>
      </c>
      <c r="BA172" s="261">
        <v>5.1691754280045634</v>
      </c>
      <c r="BB172" s="261">
        <v>1.1004868502844958</v>
      </c>
      <c r="BC172" s="261">
        <v>0.30207571448091636</v>
      </c>
      <c r="BD172" s="261">
        <v>1.916814969724485</v>
      </c>
      <c r="BE172" s="261">
        <v>0.32290941744513552</v>
      </c>
      <c r="BF172" s="261">
        <v>2.8553741635683156</v>
      </c>
      <c r="BG172" s="261">
        <v>0.73947115976569522</v>
      </c>
      <c r="BH172" s="261">
        <v>1.3012284898706894</v>
      </c>
      <c r="BI172" s="261">
        <v>0.77064447116395973</v>
      </c>
      <c r="BJ172" s="261">
        <v>20.169186082844007</v>
      </c>
      <c r="BK172" s="261">
        <v>0.35924588352797121</v>
      </c>
      <c r="BL172" s="261">
        <v>9.759340635340978</v>
      </c>
      <c r="BM172" s="261">
        <v>3.1196596514783592</v>
      </c>
      <c r="BN172" s="284"/>
      <c r="BO172" s="284"/>
      <c r="BP172" s="284"/>
      <c r="BQ172" s="284"/>
      <c r="BR172" s="284"/>
      <c r="BS172" s="284"/>
      <c r="BT172" s="284"/>
    </row>
    <row r="173" spans="1:72" s="35" customFormat="1">
      <c r="A173" s="53"/>
      <c r="B173" s="53"/>
      <c r="C173" s="53"/>
      <c r="D173" s="53"/>
      <c r="E173" s="53"/>
      <c r="F173" s="47" t="s">
        <v>376</v>
      </c>
      <c r="G173" s="53"/>
      <c r="H173" s="53"/>
      <c r="I173" s="53"/>
      <c r="J173" s="53"/>
      <c r="K173" s="53"/>
      <c r="L173" s="53"/>
      <c r="M173" s="53"/>
      <c r="N173" s="53"/>
      <c r="O173" s="53"/>
      <c r="P173" s="47"/>
      <c r="Q173" s="286">
        <f>AVERAGE(Q171:Q172)</f>
        <v>56.707428394730755</v>
      </c>
      <c r="R173" s="286">
        <f t="shared" ref="R173:BM173" si="12">AVERAGE(R171:R172)</f>
        <v>1.7522955436730601</v>
      </c>
      <c r="S173" s="287">
        <f t="shared" si="12"/>
        <v>13118.432046171871</v>
      </c>
      <c r="T173" s="287">
        <f t="shared" si="12"/>
        <v>15710.370323817533</v>
      </c>
      <c r="U173" s="287">
        <f t="shared" si="12"/>
        <v>77860.759245234221</v>
      </c>
      <c r="V173" s="287">
        <f t="shared" si="12"/>
        <v>1054.7814174222601</v>
      </c>
      <c r="W173" s="287">
        <f t="shared" si="12"/>
        <v>1657.3502212011585</v>
      </c>
      <c r="X173" s="287">
        <f t="shared" si="12"/>
        <v>24808.002690497684</v>
      </c>
      <c r="Y173" s="287">
        <f t="shared" si="12"/>
        <v>13961.915148348962</v>
      </c>
      <c r="Z173" s="287">
        <f t="shared" si="12"/>
        <v>2972.1387887238625</v>
      </c>
      <c r="AA173" s="287">
        <f t="shared" si="12"/>
        <v>216.48969076561332</v>
      </c>
      <c r="AB173" s="287">
        <f t="shared" si="12"/>
        <v>86.088641215453833</v>
      </c>
      <c r="AC173" s="287">
        <f t="shared" si="12"/>
        <v>266.62245430907086</v>
      </c>
      <c r="AD173" s="287">
        <f t="shared" si="12"/>
        <v>36358.712415477567</v>
      </c>
      <c r="AE173" s="287">
        <f t="shared" si="12"/>
        <v>11.95037611181905</v>
      </c>
      <c r="AF173" s="287">
        <f t="shared" si="12"/>
        <v>40.549057230944527</v>
      </c>
      <c r="AG173" s="287">
        <f t="shared" si="12"/>
        <v>29.295393994369086</v>
      </c>
      <c r="AH173" s="287">
        <f t="shared" si="12"/>
        <v>137.19331420670667</v>
      </c>
      <c r="AI173" s="286">
        <f t="shared" si="12"/>
        <v>15.981570241523416</v>
      </c>
      <c r="AJ173" s="286">
        <f t="shared" si="12"/>
        <v>18.917778654722412</v>
      </c>
      <c r="AK173" s="286">
        <f t="shared" si="12"/>
        <v>0.71086185102609911</v>
      </c>
      <c r="AL173" s="286">
        <f t="shared" si="12"/>
        <v>125.46401540618905</v>
      </c>
      <c r="AM173" s="286">
        <f t="shared" si="12"/>
        <v>123.14037404151912</v>
      </c>
      <c r="AN173" s="286">
        <f t="shared" si="12"/>
        <v>18.297228132783463</v>
      </c>
      <c r="AO173" s="286">
        <f t="shared" si="12"/>
        <v>84.346910247350365</v>
      </c>
      <c r="AP173" s="286">
        <f t="shared" si="12"/>
        <v>10.512597469399129</v>
      </c>
      <c r="AQ173" s="286">
        <f t="shared" si="12"/>
        <v>2.5786076664951927</v>
      </c>
      <c r="AR173" s="286">
        <f t="shared" si="12"/>
        <v>0.15829453881017463</v>
      </c>
      <c r="AS173" s="286">
        <f t="shared" si="12"/>
        <v>0.2270383379883025</v>
      </c>
      <c r="AT173" s="286">
        <f t="shared" si="12"/>
        <v>2.2739720240940846</v>
      </c>
      <c r="AU173" s="286">
        <f t="shared" si="12"/>
        <v>1.0382960430318009</v>
      </c>
      <c r="AV173" s="286">
        <f t="shared" si="12"/>
        <v>7.9066210221439519</v>
      </c>
      <c r="AW173" s="287">
        <f t="shared" si="12"/>
        <v>840.07369481861951</v>
      </c>
      <c r="AX173" s="286">
        <f t="shared" si="12"/>
        <v>30.888489752275625</v>
      </c>
      <c r="AY173" s="286">
        <f t="shared" si="12"/>
        <v>57.623741651474063</v>
      </c>
      <c r="AZ173" s="286">
        <f t="shared" si="12"/>
        <v>26.315269365515519</v>
      </c>
      <c r="BA173" s="286">
        <f t="shared" si="12"/>
        <v>5.1136281632674176</v>
      </c>
      <c r="BB173" s="286">
        <f t="shared" si="12"/>
        <v>1.0987971045229452</v>
      </c>
      <c r="BC173" s="286">
        <f t="shared" si="12"/>
        <v>0.29201648188315465</v>
      </c>
      <c r="BD173" s="286">
        <f t="shared" si="12"/>
        <v>1.8195017296545331</v>
      </c>
      <c r="BE173" s="286">
        <f t="shared" si="12"/>
        <v>0.29284728433950591</v>
      </c>
      <c r="BF173" s="286">
        <f t="shared" si="12"/>
        <v>2.6325485358479188</v>
      </c>
      <c r="BG173" s="286">
        <f t="shared" si="12"/>
        <v>0.70510778893557013</v>
      </c>
      <c r="BH173" s="286">
        <f t="shared" si="12"/>
        <v>1.2266959467496883</v>
      </c>
      <c r="BI173" s="286">
        <f t="shared" si="12"/>
        <v>0.79946284061308437</v>
      </c>
      <c r="BJ173" s="286">
        <f t="shared" si="12"/>
        <v>20.613047514798765</v>
      </c>
      <c r="BK173" s="286">
        <f t="shared" si="12"/>
        <v>0.35554961116834483</v>
      </c>
      <c r="BL173" s="286">
        <f t="shared" si="12"/>
        <v>9.6909020898235596</v>
      </c>
      <c r="BM173" s="286">
        <f t="shared" si="12"/>
        <v>3.0063928675935259</v>
      </c>
      <c r="BN173" s="284"/>
      <c r="BO173" s="284"/>
      <c r="BP173" s="284"/>
      <c r="BQ173" s="284"/>
      <c r="BR173" s="284"/>
      <c r="BS173" s="284"/>
      <c r="BT173" s="284"/>
    </row>
    <row r="174" spans="1:72" s="35" customFormat="1">
      <c r="A174" s="53"/>
      <c r="B174" s="53"/>
      <c r="C174" s="53"/>
      <c r="D174" s="53"/>
      <c r="E174" s="53"/>
      <c r="F174" s="47" t="s">
        <v>718</v>
      </c>
      <c r="G174" s="53"/>
      <c r="H174" s="53"/>
      <c r="I174" s="53"/>
      <c r="J174" s="53"/>
      <c r="K174" s="53"/>
      <c r="L174" s="53"/>
      <c r="M174" s="53"/>
      <c r="N174" s="53"/>
      <c r="O174" s="53"/>
      <c r="P174" s="47"/>
      <c r="Q174" s="287">
        <f>(Q173/Q170)*100</f>
        <v>86.841391109848018</v>
      </c>
      <c r="R174" s="287">
        <f t="shared" ref="R174:BM174" si="13">(R173/R170)*100</f>
        <v>83.841892041773207</v>
      </c>
      <c r="S174" s="287">
        <f t="shared" si="13"/>
        <v>104.1145400489831</v>
      </c>
      <c r="T174" s="287">
        <f t="shared" si="13"/>
        <v>99.432723568465391</v>
      </c>
      <c r="U174" s="287">
        <f t="shared" si="13"/>
        <v>98.433323950991436</v>
      </c>
      <c r="V174" s="287">
        <f t="shared" si="13"/>
        <v>101.42129013675579</v>
      </c>
      <c r="W174" s="287">
        <f t="shared" si="13"/>
        <v>104.89558362032649</v>
      </c>
      <c r="X174" s="287">
        <f t="shared" si="13"/>
        <v>104.23530542225919</v>
      </c>
      <c r="Y174" s="287">
        <f t="shared" si="13"/>
        <v>106.57950494922872</v>
      </c>
      <c r="Z174" s="287">
        <f t="shared" si="13"/>
        <v>77.399447623017252</v>
      </c>
      <c r="AA174" s="287">
        <f t="shared" si="13"/>
        <v>100.22670868778394</v>
      </c>
      <c r="AB174" s="287">
        <f t="shared" si="13"/>
        <v>91.29230245541234</v>
      </c>
      <c r="AC174" s="287">
        <f t="shared" si="13"/>
        <v>89.470622251366066</v>
      </c>
      <c r="AD174" s="287">
        <f t="shared" si="13"/>
        <v>95.933278141101766</v>
      </c>
      <c r="AE174" s="287">
        <f t="shared" si="13"/>
        <v>91.925970090915783</v>
      </c>
      <c r="AF174" s="287">
        <f t="shared" si="13"/>
        <v>94.740787922767595</v>
      </c>
      <c r="AG174" s="287">
        <f t="shared" si="13"/>
        <v>89.04375074276318</v>
      </c>
      <c r="AH174" s="287">
        <f t="shared" si="13"/>
        <v>93.328785174630397</v>
      </c>
      <c r="AI174" s="287">
        <f t="shared" si="13"/>
        <v>88.78650134179675</v>
      </c>
      <c r="AJ174" s="287">
        <f t="shared" si="13"/>
        <v>87.178703477983461</v>
      </c>
      <c r="AK174" s="287">
        <f t="shared" si="13"/>
        <v>47.390790068406609</v>
      </c>
      <c r="AL174" s="287">
        <f t="shared" si="13"/>
        <v>69.70223078121613</v>
      </c>
      <c r="AM174" s="287">
        <f t="shared" si="13"/>
        <v>93.288162152666004</v>
      </c>
      <c r="AN174" s="287">
        <f t="shared" si="13"/>
        <v>91.486140663917311</v>
      </c>
      <c r="AO174" s="287">
        <f t="shared" si="13"/>
        <v>87.861364840989964</v>
      </c>
      <c r="AP174" s="287">
        <f t="shared" si="13"/>
        <v>87.604978911659401</v>
      </c>
      <c r="AQ174" s="287">
        <f t="shared" si="13"/>
        <v>101.9212516401262</v>
      </c>
      <c r="AR174" s="287">
        <f t="shared" si="13"/>
        <v>98.319589323089829</v>
      </c>
      <c r="AS174" s="287">
        <f t="shared" si="13"/>
        <v>81.085120710108029</v>
      </c>
      <c r="AT174" s="287">
        <f t="shared" si="13"/>
        <v>96.764766982726997</v>
      </c>
      <c r="AU174" s="287">
        <f t="shared" si="13"/>
        <v>97.03701336745803</v>
      </c>
      <c r="AV174" s="287">
        <f t="shared" si="13"/>
        <v>79.066210221439519</v>
      </c>
      <c r="AW174" s="287">
        <f t="shared" si="13"/>
        <v>91.312358132458641</v>
      </c>
      <c r="AX174" s="287">
        <f t="shared" si="13"/>
        <v>88.25282786364464</v>
      </c>
      <c r="AY174" s="287">
        <f t="shared" si="13"/>
        <v>80.032974515936189</v>
      </c>
      <c r="AZ174" s="287">
        <f t="shared" si="13"/>
        <v>61.484274218494207</v>
      </c>
      <c r="BA174" s="287">
        <f t="shared" si="13"/>
        <v>92.975057513953047</v>
      </c>
      <c r="BB174" s="287">
        <f t="shared" si="13"/>
        <v>84.522854194072707</v>
      </c>
      <c r="BC174" s="287">
        <f t="shared" si="13"/>
        <v>34.35488022154761</v>
      </c>
      <c r="BD174" s="287">
        <f t="shared" si="13"/>
        <v>90.975086482726653</v>
      </c>
      <c r="BE174" s="287">
        <f t="shared" si="13"/>
        <v>266.22480394500536</v>
      </c>
      <c r="BF174" s="287">
        <f t="shared" si="13"/>
        <v>87.751617861597296</v>
      </c>
      <c r="BG174" s="287">
        <f t="shared" si="13"/>
        <v>70.510778893557017</v>
      </c>
      <c r="BH174" s="287">
        <f t="shared" si="13"/>
        <v>94.36122667305294</v>
      </c>
      <c r="BI174" s="287">
        <f t="shared" si="13"/>
        <v>94.054451836833451</v>
      </c>
      <c r="BJ174" s="287">
        <f t="shared" si="13"/>
        <v>95.874639603715181</v>
      </c>
      <c r="BK174" s="287">
        <f t="shared" si="13"/>
        <v>13.168504117346103</v>
      </c>
      <c r="BL174" s="287">
        <f t="shared" si="13"/>
        <v>80.757517415196332</v>
      </c>
      <c r="BM174" s="287">
        <f t="shared" si="13"/>
        <v>88.423319635103709</v>
      </c>
      <c r="BN174" s="284"/>
      <c r="BO174" s="284"/>
      <c r="BP174" s="284"/>
      <c r="BQ174" s="284"/>
      <c r="BR174" s="284"/>
      <c r="BS174" s="284"/>
      <c r="BT174" s="284"/>
    </row>
    <row r="175" spans="1:72" s="34" customFormat="1">
      <c r="A175" s="78"/>
      <c r="B175" s="78"/>
      <c r="C175" s="78"/>
      <c r="D175" s="78"/>
      <c r="E175" s="78"/>
      <c r="F175" s="47" t="s">
        <v>719</v>
      </c>
      <c r="G175" s="78"/>
      <c r="H175" s="78"/>
      <c r="I175" s="78"/>
      <c r="J175" s="78"/>
      <c r="K175" s="78"/>
      <c r="L175" s="78"/>
      <c r="M175" s="78"/>
      <c r="N175" s="78"/>
      <c r="O175" s="78"/>
      <c r="P175" s="47"/>
      <c r="Q175" s="263">
        <f>STDEV(Q171:Q172)</f>
        <v>0.52242740902683671</v>
      </c>
      <c r="R175" s="263">
        <f t="shared" ref="R175:BM175" si="14">STDEV(R171:R172)</f>
        <v>0.43893907875065213</v>
      </c>
      <c r="S175" s="263">
        <f t="shared" si="14"/>
        <v>622.248836719819</v>
      </c>
      <c r="T175" s="263">
        <f t="shared" si="14"/>
        <v>715.71894952290211</v>
      </c>
      <c r="U175" s="263">
        <f t="shared" si="14"/>
        <v>4831.7508433970679</v>
      </c>
      <c r="V175" s="263">
        <f t="shared" si="14"/>
        <v>26.637498714087435</v>
      </c>
      <c r="W175" s="263">
        <f t="shared" si="14"/>
        <v>36.639293913743067</v>
      </c>
      <c r="X175" s="263">
        <f t="shared" si="14"/>
        <v>752.60044982631507</v>
      </c>
      <c r="Y175" s="263">
        <f t="shared" si="14"/>
        <v>501.22301485819196</v>
      </c>
      <c r="Z175" s="263">
        <f t="shared" si="14"/>
        <v>135.82732054969603</v>
      </c>
      <c r="AA175" s="263">
        <f t="shared" si="14"/>
        <v>6.8009100169124421</v>
      </c>
      <c r="AB175" s="263">
        <f t="shared" si="14"/>
        <v>1.9800520547412608</v>
      </c>
      <c r="AC175" s="263">
        <f t="shared" si="14"/>
        <v>9.1987762361392651</v>
      </c>
      <c r="AD175" s="263">
        <f t="shared" si="14"/>
        <v>1159.8398272537061</v>
      </c>
      <c r="AE175" s="263">
        <f t="shared" si="14"/>
        <v>0.36700699837776379</v>
      </c>
      <c r="AF175" s="263">
        <f t="shared" si="14"/>
        <v>1.0017258231130457</v>
      </c>
      <c r="AG175" s="263">
        <f t="shared" si="14"/>
        <v>1.1786639340642289</v>
      </c>
      <c r="AH175" s="263">
        <f t="shared" si="14"/>
        <v>7.3574888514476333</v>
      </c>
      <c r="AI175" s="263">
        <f t="shared" si="14"/>
        <v>0.67472229805605777</v>
      </c>
      <c r="AJ175" s="263">
        <f t="shared" si="14"/>
        <v>0.36637510567753767</v>
      </c>
      <c r="AK175" s="263">
        <f t="shared" si="14"/>
        <v>3.0245226042047785E-2</v>
      </c>
      <c r="AL175" s="263">
        <f t="shared" si="14"/>
        <v>4.577658253438817</v>
      </c>
      <c r="AM175" s="263">
        <f t="shared" si="14"/>
        <v>4.3203870726583027</v>
      </c>
      <c r="AN175" s="263">
        <f t="shared" si="14"/>
        <v>0.96514402819243095</v>
      </c>
      <c r="AO175" s="263">
        <f t="shared" si="14"/>
        <v>13.740601267796102</v>
      </c>
      <c r="AP175" s="263">
        <f t="shared" si="14"/>
        <v>0.56785394426728808</v>
      </c>
      <c r="AQ175" s="263">
        <f t="shared" si="14"/>
        <v>6.2370056519778151E-2</v>
      </c>
      <c r="AR175" s="263">
        <f t="shared" si="14"/>
        <v>4.961244706300349E-3</v>
      </c>
      <c r="AS175" s="263">
        <f t="shared" si="14"/>
        <v>1.269380037558933E-2</v>
      </c>
      <c r="AT175" s="263">
        <f t="shared" si="14"/>
        <v>3.0207481194376114E-2</v>
      </c>
      <c r="AU175" s="263">
        <f t="shared" si="14"/>
        <v>3.800829766112758E-2</v>
      </c>
      <c r="AV175" s="263">
        <f t="shared" si="14"/>
        <v>0.25650300935464254</v>
      </c>
      <c r="AW175" s="264">
        <f t="shared" si="14"/>
        <v>32.940257100355296</v>
      </c>
      <c r="AX175" s="263">
        <f t="shared" si="14"/>
        <v>1.4950070266720132</v>
      </c>
      <c r="AY175" s="263">
        <f t="shared" si="14"/>
        <v>0.74200678465000358</v>
      </c>
      <c r="AZ175" s="263">
        <f t="shared" si="14"/>
        <v>0.38344619534666236</v>
      </c>
      <c r="BA175" s="263">
        <f t="shared" si="14"/>
        <v>7.855569514400032E-2</v>
      </c>
      <c r="BB175" s="263">
        <f t="shared" si="14"/>
        <v>2.3896613729474203E-3</v>
      </c>
      <c r="BC175" s="263">
        <f t="shared" si="14"/>
        <v>1.4225903166820101E-2</v>
      </c>
      <c r="BD175" s="263">
        <f t="shared" si="14"/>
        <v>0.13762170390539491</v>
      </c>
      <c r="BE175" s="263">
        <f t="shared" si="14"/>
        <v>4.2514276351846805E-2</v>
      </c>
      <c r="BF175" s="263">
        <f t="shared" si="14"/>
        <v>0.31512302476648379</v>
      </c>
      <c r="BG175" s="263">
        <f t="shared" si="14"/>
        <v>4.8597145076818893E-2</v>
      </c>
      <c r="BH175" s="263">
        <f t="shared" si="14"/>
        <v>0.1054049333198773</v>
      </c>
      <c r="BI175" s="263">
        <f t="shared" si="14"/>
        <v>4.07553289204306E-2</v>
      </c>
      <c r="BJ175" s="263">
        <f t="shared" si="14"/>
        <v>0.62771485688476425</v>
      </c>
      <c r="BK175" s="263">
        <f t="shared" si="14"/>
        <v>5.2273185012084358E-3</v>
      </c>
      <c r="BL175" s="263">
        <f t="shared" si="14"/>
        <v>9.6786719259820159E-2</v>
      </c>
      <c r="BM175" s="263">
        <f t="shared" si="14"/>
        <v>0.16018342193631335</v>
      </c>
      <c r="BN175" s="263"/>
      <c r="BO175" s="263"/>
      <c r="BP175" s="263"/>
      <c r="BQ175" s="263"/>
      <c r="BR175" s="263"/>
      <c r="BS175" s="263"/>
      <c r="BT175" s="263"/>
    </row>
    <row r="176" spans="1:72">
      <c r="A176" s="39"/>
      <c r="B176" s="39"/>
      <c r="C176" s="243"/>
      <c r="D176" s="243"/>
      <c r="E176" s="243"/>
      <c r="F176" s="47" t="s">
        <v>720</v>
      </c>
      <c r="G176" s="243"/>
      <c r="H176" s="243"/>
      <c r="I176" s="243"/>
      <c r="J176" s="243"/>
      <c r="K176" s="243"/>
      <c r="L176" s="243"/>
      <c r="M176" s="243"/>
      <c r="N176" s="39"/>
      <c r="O176" s="205"/>
      <c r="P176" s="47"/>
      <c r="Q176" s="283">
        <f>(Q175/Q173)*100</f>
        <v>0.92126803104226207</v>
      </c>
      <c r="R176" s="283">
        <f t="shared" ref="R176:BM176" si="15">(R175/R173)*100</f>
        <v>25.049374823528542</v>
      </c>
      <c r="S176" s="283">
        <f t="shared" si="15"/>
        <v>4.7433171474284483</v>
      </c>
      <c r="T176" s="283">
        <f t="shared" si="15"/>
        <v>4.5557102396106117</v>
      </c>
      <c r="U176" s="283">
        <f t="shared" si="15"/>
        <v>6.2056302690020511</v>
      </c>
      <c r="V176" s="283">
        <f t="shared" si="15"/>
        <v>2.5254046264093084</v>
      </c>
      <c r="W176" s="283">
        <f t="shared" si="15"/>
        <v>2.2107152396063201</v>
      </c>
      <c r="X176" s="283">
        <f t="shared" si="15"/>
        <v>3.0337002910540107</v>
      </c>
      <c r="Y176" s="283">
        <f t="shared" si="15"/>
        <v>3.5899302461916416</v>
      </c>
      <c r="Z176" s="283">
        <f t="shared" si="15"/>
        <v>4.5700194440790485</v>
      </c>
      <c r="AA176" s="283">
        <f t="shared" si="15"/>
        <v>3.141447517829187</v>
      </c>
      <c r="AB176" s="283">
        <f t="shared" si="15"/>
        <v>2.3000154570749807</v>
      </c>
      <c r="AC176" s="283">
        <f t="shared" si="15"/>
        <v>3.4501131046809621</v>
      </c>
      <c r="AD176" s="283">
        <f t="shared" si="15"/>
        <v>3.1899914771458544</v>
      </c>
      <c r="AE176" s="283">
        <f t="shared" si="15"/>
        <v>3.0710916120438245</v>
      </c>
      <c r="AF176" s="283">
        <f t="shared" si="15"/>
        <v>2.4704047184322468</v>
      </c>
      <c r="AG176" s="283">
        <f t="shared" si="15"/>
        <v>4.0233762832846072</v>
      </c>
      <c r="AH176" s="283">
        <f t="shared" si="15"/>
        <v>5.3628625374282004</v>
      </c>
      <c r="AI176" s="283">
        <f t="shared" si="15"/>
        <v>4.2218773741205355</v>
      </c>
      <c r="AJ176" s="283">
        <f t="shared" si="15"/>
        <v>1.9366708553072118</v>
      </c>
      <c r="AK176" s="283">
        <f t="shared" si="15"/>
        <v>4.2547262873074532</v>
      </c>
      <c r="AL176" s="283">
        <f t="shared" si="15"/>
        <v>3.6485826144003712</v>
      </c>
      <c r="AM176" s="283">
        <f t="shared" si="15"/>
        <v>3.5085057246956244</v>
      </c>
      <c r="AN176" s="283">
        <f t="shared" si="15"/>
        <v>5.274810048759055</v>
      </c>
      <c r="AO176" s="283">
        <f t="shared" si="15"/>
        <v>16.290580446279883</v>
      </c>
      <c r="AP176" s="283">
        <f t="shared" si="15"/>
        <v>5.4016521218494349</v>
      </c>
      <c r="AQ176" s="283">
        <f t="shared" si="15"/>
        <v>2.4187493634714374</v>
      </c>
      <c r="AR176" s="283">
        <f t="shared" si="15"/>
        <v>3.1341856412682869</v>
      </c>
      <c r="AS176" s="283">
        <f t="shared" si="15"/>
        <v>5.5910382748852498</v>
      </c>
      <c r="AT176" s="283">
        <f t="shared" si="15"/>
        <v>1.328401619470684</v>
      </c>
      <c r="AU176" s="283">
        <f t="shared" si="15"/>
        <v>3.6606416750028452</v>
      </c>
      <c r="AV176" s="283">
        <f t="shared" si="15"/>
        <v>3.2441545969670043</v>
      </c>
      <c r="AW176" s="283">
        <f t="shared" si="15"/>
        <v>3.9211151716240131</v>
      </c>
      <c r="AX176" s="283">
        <f t="shared" si="15"/>
        <v>4.8400133469195357</v>
      </c>
      <c r="AY176" s="283">
        <f t="shared" si="15"/>
        <v>1.2876754674104409</v>
      </c>
      <c r="AZ176" s="283">
        <f t="shared" si="15"/>
        <v>1.4571243410836756</v>
      </c>
      <c r="BA176" s="283">
        <f t="shared" si="15"/>
        <v>1.5362027240910328</v>
      </c>
      <c r="BB176" s="283">
        <f t="shared" si="15"/>
        <v>0.21747976611067957</v>
      </c>
      <c r="BC176" s="283">
        <f t="shared" si="15"/>
        <v>4.8716096691118791</v>
      </c>
      <c r="BD176" s="283">
        <f t="shared" si="15"/>
        <v>7.5637028348153859</v>
      </c>
      <c r="BE176" s="283">
        <f t="shared" si="15"/>
        <v>14.51755868173216</v>
      </c>
      <c r="BF176" s="283">
        <f t="shared" si="15"/>
        <v>11.970264573488127</v>
      </c>
      <c r="BG176" s="283">
        <f t="shared" si="15"/>
        <v>6.8921583110266136</v>
      </c>
      <c r="BH176" s="283">
        <f t="shared" si="15"/>
        <v>8.5925883752337491</v>
      </c>
      <c r="BI176" s="283">
        <f t="shared" si="15"/>
        <v>5.0978390551806694</v>
      </c>
      <c r="BJ176" s="283">
        <f t="shared" si="15"/>
        <v>3.0452307279363118</v>
      </c>
      <c r="BK176" s="283">
        <f t="shared" si="15"/>
        <v>1.4702079082666799</v>
      </c>
      <c r="BL176" s="283">
        <f t="shared" si="15"/>
        <v>0.99873797467684799</v>
      </c>
      <c r="BM176" s="283">
        <f t="shared" si="15"/>
        <v>5.3280934658593884</v>
      </c>
      <c r="BN176" s="258"/>
      <c r="BO176" s="258"/>
      <c r="BP176" s="258"/>
      <c r="BQ176" s="258"/>
      <c r="BR176" s="258"/>
      <c r="BS176" s="258"/>
      <c r="BT176" s="258"/>
    </row>
    <row r="177" spans="1:72" s="34" customFormat="1">
      <c r="A177" s="78"/>
      <c r="B177" s="78"/>
      <c r="C177" s="78"/>
      <c r="D177" s="78"/>
      <c r="E177" s="78"/>
      <c r="F177" s="78"/>
      <c r="G177" s="78"/>
      <c r="H177" s="78"/>
      <c r="I177" s="78"/>
      <c r="J177" s="78"/>
      <c r="K177" s="78"/>
      <c r="L177" s="78"/>
      <c r="M177" s="78"/>
      <c r="N177" s="78"/>
      <c r="O177" s="78"/>
      <c r="P177" s="78"/>
      <c r="Q177" s="78"/>
      <c r="R177" s="78"/>
      <c r="S177" s="78"/>
      <c r="T177" s="78"/>
      <c r="U177" s="78"/>
      <c r="V177" s="78"/>
      <c r="W177" s="78"/>
      <c r="X177" s="78"/>
      <c r="Y177" s="78"/>
      <c r="Z177" s="78"/>
      <c r="AA177" s="78"/>
      <c r="AB177" s="78"/>
      <c r="AC177" s="78"/>
      <c r="AD177" s="78"/>
      <c r="AE177" s="78"/>
      <c r="AF177" s="78"/>
      <c r="AG177" s="78"/>
      <c r="AH177" s="78"/>
      <c r="AI177" s="78"/>
      <c r="AJ177" s="78"/>
      <c r="AK177" s="78"/>
      <c r="AL177" s="78"/>
      <c r="AM177" s="78"/>
      <c r="AN177" s="78"/>
      <c r="AO177" s="78"/>
      <c r="AP177" s="78"/>
      <c r="AQ177" s="78"/>
      <c r="AR177" s="78"/>
      <c r="AS177" s="78"/>
      <c r="AT177" s="78"/>
      <c r="AU177" s="78"/>
      <c r="AV177" s="78"/>
      <c r="AW177" s="78"/>
      <c r="AX177" s="78"/>
      <c r="AY177" s="78"/>
      <c r="AZ177" s="78"/>
      <c r="BA177" s="78"/>
      <c r="BB177" s="78"/>
      <c r="BC177" s="78"/>
      <c r="BD177" s="78"/>
      <c r="BE177" s="78"/>
      <c r="BF177" s="78"/>
      <c r="BG177" s="78"/>
      <c r="BH177" s="78"/>
      <c r="BI177" s="78"/>
      <c r="BJ177" s="78"/>
      <c r="BK177" s="78"/>
      <c r="BL177" s="78"/>
      <c r="BM177" s="78"/>
      <c r="BN177" s="78"/>
      <c r="BO177" s="78"/>
      <c r="BP177" s="78"/>
      <c r="BQ177" s="78"/>
      <c r="BR177" s="78"/>
      <c r="BS177" s="78"/>
      <c r="BT177" s="78"/>
    </row>
    <row r="178" spans="1:72" s="34" customFormat="1">
      <c r="A178" s="78"/>
      <c r="B178" s="78"/>
      <c r="C178" s="78"/>
      <c r="D178" s="78"/>
      <c r="E178" s="78"/>
      <c r="F178" s="78"/>
      <c r="G178" s="78"/>
      <c r="H178" s="78"/>
      <c r="I178" s="78"/>
      <c r="J178" s="78"/>
      <c r="K178" s="78"/>
      <c r="L178" s="78"/>
      <c r="M178" s="78"/>
      <c r="N178" s="78"/>
      <c r="O178" s="78"/>
      <c r="P178" s="78"/>
      <c r="Q178" s="78"/>
      <c r="R178" s="78"/>
      <c r="S178" s="78"/>
      <c r="T178" s="78"/>
      <c r="U178" s="78"/>
      <c r="V178" s="78"/>
      <c r="W178" s="78"/>
      <c r="X178" s="78"/>
      <c r="Y178" s="78"/>
      <c r="Z178" s="78"/>
      <c r="AA178" s="78"/>
      <c r="AB178" s="78"/>
      <c r="AC178" s="78"/>
      <c r="AD178" s="78"/>
      <c r="AE178" s="78"/>
      <c r="AF178" s="78"/>
      <c r="AG178" s="78"/>
      <c r="AH178" s="78"/>
      <c r="AI178" s="78"/>
      <c r="AJ178" s="78"/>
      <c r="AK178" s="78"/>
      <c r="AL178" s="78"/>
      <c r="AM178" s="78"/>
      <c r="AN178" s="78"/>
      <c r="AO178" s="78"/>
      <c r="AP178" s="78"/>
      <c r="AQ178" s="78"/>
      <c r="AR178" s="78"/>
      <c r="AS178" s="78"/>
      <c r="AT178" s="78"/>
      <c r="AU178" s="78"/>
      <c r="AV178" s="78"/>
      <c r="AW178" s="78"/>
      <c r="AX178" s="78"/>
      <c r="AY178" s="78"/>
      <c r="AZ178" s="78"/>
      <c r="BA178" s="78"/>
      <c r="BB178" s="78"/>
      <c r="BC178" s="78"/>
      <c r="BD178" s="78"/>
      <c r="BE178" s="78"/>
      <c r="BF178" s="78"/>
      <c r="BG178" s="78"/>
      <c r="BH178" s="78"/>
      <c r="BI178" s="78"/>
      <c r="BJ178" s="78"/>
      <c r="BK178" s="78"/>
      <c r="BL178" s="78"/>
      <c r="BM178" s="78"/>
      <c r="BN178" s="78"/>
      <c r="BO178" s="78"/>
      <c r="BP178" s="78"/>
      <c r="BQ178" s="78"/>
      <c r="BR178" s="78"/>
      <c r="BS178" s="78"/>
      <c r="BT178" s="78"/>
    </row>
    <row r="179" spans="1:72" s="34" customFormat="1">
      <c r="A179" s="16"/>
      <c r="B179" s="16"/>
      <c r="C179" s="16"/>
      <c r="D179" s="16"/>
      <c r="E179" s="16"/>
      <c r="F179" s="16"/>
      <c r="G179" s="16"/>
      <c r="H179" s="16"/>
      <c r="I179" s="16"/>
      <c r="J179" s="16"/>
      <c r="K179" s="16"/>
      <c r="L179" s="16"/>
      <c r="M179" s="16"/>
    </row>
    <row r="180" spans="1:72" s="34" customFormat="1">
      <c r="A180" s="16"/>
      <c r="B180" s="16"/>
      <c r="C180" s="16"/>
      <c r="D180" s="16"/>
      <c r="E180" s="16"/>
      <c r="F180" s="16"/>
      <c r="G180" s="16"/>
      <c r="H180" s="16"/>
      <c r="I180" s="16"/>
      <c r="J180" s="16"/>
      <c r="K180" s="16"/>
      <c r="L180" s="16"/>
      <c r="M180" s="16"/>
    </row>
    <row r="181" spans="1:72" s="34" customFormat="1">
      <c r="A181" s="16"/>
      <c r="B181" s="16"/>
      <c r="C181" s="16"/>
      <c r="D181" s="16"/>
      <c r="E181" s="16"/>
      <c r="F181" s="16"/>
      <c r="G181" s="16"/>
      <c r="H181" s="16"/>
      <c r="I181" s="16"/>
      <c r="J181" s="16"/>
      <c r="K181" s="16"/>
      <c r="L181" s="16"/>
      <c r="M181" s="16"/>
    </row>
    <row r="182" spans="1:72" s="34" customFormat="1">
      <c r="A182" s="16"/>
      <c r="B182" s="16"/>
      <c r="C182" s="16"/>
      <c r="D182" s="16"/>
      <c r="E182" s="16"/>
      <c r="F182" s="16"/>
      <c r="G182" s="16"/>
      <c r="H182" s="16"/>
      <c r="I182" s="16"/>
      <c r="J182" s="16"/>
      <c r="K182" s="16"/>
      <c r="L182" s="16"/>
      <c r="M182" s="16"/>
    </row>
  </sheetData>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2:S9"/>
  <sheetViews>
    <sheetView workbookViewId="0"/>
  </sheetViews>
  <sheetFormatPr defaultColWidth="8.7109375" defaultRowHeight="15"/>
  <cols>
    <col min="1" max="16384" width="8.7109375" style="115"/>
  </cols>
  <sheetData>
    <row r="2" spans="1:19">
      <c r="A2" s="131" t="s">
        <v>1167</v>
      </c>
      <c r="B2" s="309"/>
      <c r="C2" s="309"/>
      <c r="D2" s="309"/>
      <c r="E2" s="309"/>
      <c r="F2" s="309"/>
      <c r="G2" s="309"/>
      <c r="H2" s="309"/>
      <c r="I2" s="309"/>
      <c r="J2" s="309"/>
      <c r="K2" s="309"/>
      <c r="L2" s="309"/>
      <c r="M2" s="309"/>
      <c r="N2" s="309"/>
      <c r="O2" s="309"/>
      <c r="P2" s="309"/>
      <c r="Q2" s="309"/>
      <c r="R2" s="309"/>
      <c r="S2" s="309"/>
    </row>
    <row r="3" spans="1:19" ht="15.75">
      <c r="A3" s="34"/>
      <c r="B3" s="34"/>
      <c r="C3" s="373" t="s">
        <v>1052</v>
      </c>
      <c r="D3" s="373"/>
      <c r="E3" s="373"/>
      <c r="F3" s="373"/>
      <c r="G3" s="373"/>
      <c r="H3" s="373"/>
      <c r="I3" s="373"/>
      <c r="J3" s="373"/>
      <c r="K3" s="373"/>
      <c r="L3" s="373"/>
      <c r="M3" s="373"/>
    </row>
    <row r="4" spans="1:19" ht="78">
      <c r="A4" s="374" t="s">
        <v>1053</v>
      </c>
      <c r="B4" s="375" t="s">
        <v>1054</v>
      </c>
      <c r="C4" s="376" t="s">
        <v>1028</v>
      </c>
      <c r="D4" s="377" t="s">
        <v>1055</v>
      </c>
      <c r="E4" s="377" t="s">
        <v>1029</v>
      </c>
      <c r="F4" s="377" t="s">
        <v>1030</v>
      </c>
      <c r="G4" s="377" t="s">
        <v>1031</v>
      </c>
      <c r="H4" s="376" t="s">
        <v>1032</v>
      </c>
      <c r="I4" s="376" t="s">
        <v>1033</v>
      </c>
      <c r="J4" s="377" t="s">
        <v>1026</v>
      </c>
      <c r="K4" s="377" t="s">
        <v>1025</v>
      </c>
      <c r="L4" s="376" t="s">
        <v>1034</v>
      </c>
      <c r="M4" s="376" t="s">
        <v>1027</v>
      </c>
    </row>
    <row r="5" spans="1:19" ht="15.75">
      <c r="A5" s="378" t="s">
        <v>305</v>
      </c>
      <c r="B5" s="379" t="s">
        <v>1056</v>
      </c>
      <c r="C5" s="380">
        <v>31.2</v>
      </c>
      <c r="D5" s="381">
        <v>39.799999999999997</v>
      </c>
      <c r="E5" s="382">
        <v>5.2</v>
      </c>
      <c r="F5" s="382">
        <v>5.3</v>
      </c>
      <c r="G5" s="381" t="s">
        <v>1057</v>
      </c>
      <c r="H5" s="383">
        <v>2.2000000000000002</v>
      </c>
      <c r="I5" s="380">
        <v>15.6</v>
      </c>
      <c r="J5" s="384" t="s">
        <v>1058</v>
      </c>
      <c r="K5" s="384" t="s">
        <v>1058</v>
      </c>
      <c r="L5" s="385">
        <v>0.7</v>
      </c>
      <c r="M5" s="384" t="s">
        <v>1058</v>
      </c>
    </row>
    <row r="6" spans="1:19" ht="15.75">
      <c r="A6" s="378" t="s">
        <v>189</v>
      </c>
      <c r="B6" s="379" t="s">
        <v>1059</v>
      </c>
      <c r="C6" s="380">
        <v>71.5</v>
      </c>
      <c r="D6" s="381">
        <v>2.7</v>
      </c>
      <c r="E6" s="381" t="s">
        <v>1057</v>
      </c>
      <c r="F6" s="384" t="s">
        <v>1058</v>
      </c>
      <c r="G6" s="381" t="s">
        <v>1057</v>
      </c>
      <c r="H6" s="383">
        <v>1.9</v>
      </c>
      <c r="I6" s="380">
        <v>22.9</v>
      </c>
      <c r="J6" s="384" t="s">
        <v>1058</v>
      </c>
      <c r="K6" s="384" t="s">
        <v>1058</v>
      </c>
      <c r="L6" s="384" t="s">
        <v>1058</v>
      </c>
      <c r="M6" s="383">
        <v>1</v>
      </c>
    </row>
    <row r="7" spans="1:19" ht="15.75">
      <c r="A7" s="378" t="s">
        <v>261</v>
      </c>
      <c r="B7" s="379" t="s">
        <v>1060</v>
      </c>
      <c r="C7" s="380">
        <v>44</v>
      </c>
      <c r="D7" s="381">
        <v>34.799999999999997</v>
      </c>
      <c r="E7" s="382">
        <v>6.6</v>
      </c>
      <c r="F7" s="386">
        <v>0.8</v>
      </c>
      <c r="G7" s="382">
        <v>5.0999999999999996</v>
      </c>
      <c r="H7" s="384" t="s">
        <v>1058</v>
      </c>
      <c r="I7" s="383">
        <v>4.4000000000000004</v>
      </c>
      <c r="J7" s="382">
        <v>2.9</v>
      </c>
      <c r="K7" s="381" t="s">
        <v>1057</v>
      </c>
      <c r="L7" s="383">
        <v>1.3</v>
      </c>
      <c r="M7" s="384" t="s">
        <v>1058</v>
      </c>
    </row>
    <row r="8" spans="1:19" ht="15.75">
      <c r="A8" s="313" t="s">
        <v>1035</v>
      </c>
      <c r="B8" s="313"/>
      <c r="C8" s="313"/>
      <c r="D8" s="313"/>
      <c r="E8" s="313"/>
      <c r="F8" s="34"/>
      <c r="G8" s="34"/>
      <c r="H8" s="34"/>
      <c r="I8" s="34"/>
      <c r="J8" s="34"/>
      <c r="K8" s="34"/>
      <c r="L8" s="34"/>
      <c r="M8" s="34"/>
    </row>
    <row r="9" spans="1:19" ht="15.75">
      <c r="A9" s="34"/>
      <c r="B9" s="34"/>
      <c r="C9" s="34"/>
      <c r="D9" s="34"/>
      <c r="E9" s="34"/>
      <c r="F9" s="34"/>
      <c r="G9" s="34"/>
      <c r="H9" s="34"/>
      <c r="I9" s="34"/>
      <c r="J9" s="34"/>
      <c r="K9" s="34"/>
      <c r="L9" s="34"/>
      <c r="M9" s="34"/>
    </row>
  </sheetData>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CW140"/>
  <sheetViews>
    <sheetView workbookViewId="0"/>
  </sheetViews>
  <sheetFormatPr defaultColWidth="9.140625" defaultRowHeight="15.75"/>
  <cols>
    <col min="1" max="1" width="12" style="35" bestFit="1" customWidth="1"/>
    <col min="2" max="2" width="17.85546875" style="35" bestFit="1" customWidth="1"/>
    <col min="3" max="3" width="18.28515625" style="35" bestFit="1" customWidth="1"/>
    <col min="4" max="4" width="11.85546875" style="35" bestFit="1" customWidth="1"/>
    <col min="5" max="5" width="11.42578125" style="35" bestFit="1" customWidth="1"/>
    <col min="6" max="6" width="29.42578125" style="35" bestFit="1" customWidth="1"/>
    <col min="7" max="7" width="11.85546875" style="35" bestFit="1" customWidth="1"/>
    <col min="8" max="8" width="9.7109375" style="35" bestFit="1" customWidth="1"/>
    <col min="9" max="9" width="10.7109375" style="35" bestFit="1" customWidth="1"/>
    <col min="10" max="10" width="14.140625" style="35" bestFit="1" customWidth="1"/>
    <col min="11" max="11" width="12" style="35" bestFit="1" customWidth="1"/>
    <col min="12" max="12" width="13.140625" style="35" bestFit="1" customWidth="1"/>
    <col min="13" max="13" width="20.85546875" style="35" bestFit="1" customWidth="1"/>
    <col min="14" max="14" width="13.140625" style="35" bestFit="1" customWidth="1"/>
    <col min="15" max="15" width="13.7109375" style="35" bestFit="1" customWidth="1"/>
    <col min="16" max="16" width="12" style="35" bestFit="1" customWidth="1"/>
    <col min="17" max="17" width="11.85546875" style="35" bestFit="1" customWidth="1"/>
    <col min="18" max="18" width="13.140625" style="35" bestFit="1" customWidth="1"/>
    <col min="19" max="19" width="10.7109375" style="35" customWidth="1"/>
    <col min="20" max="20" width="11.7109375" style="35" customWidth="1"/>
    <col min="21" max="21" width="11.85546875" style="35" bestFit="1" customWidth="1"/>
    <col min="22" max="22" width="13.140625" style="35" bestFit="1" customWidth="1"/>
    <col min="23" max="23" width="11.5703125" style="35" customWidth="1"/>
    <col min="24" max="26" width="13.28515625" style="35" bestFit="1" customWidth="1"/>
    <col min="27" max="27" width="14.42578125" style="35" bestFit="1" customWidth="1"/>
    <col min="28" max="30" width="14.28515625" style="35" bestFit="1" customWidth="1"/>
    <col min="31" max="31" width="16.5703125" style="35" bestFit="1" customWidth="1"/>
    <col min="32" max="32" width="15.42578125" style="35" bestFit="1" customWidth="1"/>
    <col min="33" max="34" width="14.28515625" style="35" bestFit="1" customWidth="1"/>
    <col min="35" max="35" width="15.42578125" style="35" bestFit="1" customWidth="1"/>
    <col min="36" max="37" width="15" style="35" bestFit="1" customWidth="1"/>
    <col min="38" max="38" width="14.28515625" style="35" bestFit="1" customWidth="1"/>
    <col min="39" max="39" width="16.5703125" style="35" bestFit="1" customWidth="1"/>
    <col min="40" max="41" width="14.28515625" style="35" bestFit="1" customWidth="1"/>
    <col min="42" max="42" width="13.140625" style="35" bestFit="1" customWidth="1"/>
    <col min="43" max="43" width="15.42578125" style="35" bestFit="1" customWidth="1"/>
    <col min="44" max="45" width="14.28515625" style="35" bestFit="1" customWidth="1"/>
    <col min="46" max="46" width="13.140625" style="35" bestFit="1" customWidth="1"/>
    <col min="47" max="47" width="11.85546875" style="35" bestFit="1" customWidth="1"/>
    <col min="48" max="48" width="12" style="35" bestFit="1" customWidth="1"/>
    <col min="49" max="50" width="11.85546875" style="35" bestFit="1" customWidth="1"/>
    <col min="51" max="51" width="14.28515625" style="35" bestFit="1" customWidth="1"/>
    <col min="52" max="52" width="13.140625" style="35" bestFit="1" customWidth="1"/>
    <col min="53" max="53" width="11.85546875" style="35" bestFit="1" customWidth="1"/>
    <col min="54" max="54" width="13.140625" style="35" bestFit="1" customWidth="1"/>
    <col min="55" max="55" width="14.28515625" style="35" bestFit="1" customWidth="1"/>
    <col min="56" max="58" width="13.140625" style="35" bestFit="1" customWidth="1"/>
    <col min="59" max="59" width="11.85546875" style="35" bestFit="1" customWidth="1"/>
    <col min="60" max="60" width="12" style="35" bestFit="1" customWidth="1"/>
    <col min="61" max="62" width="11.85546875" style="35" bestFit="1" customWidth="1"/>
    <col min="63" max="65" width="13.140625" style="35" bestFit="1" customWidth="1"/>
    <col min="66" max="67" width="14.28515625" style="35" bestFit="1" customWidth="1"/>
    <col min="68" max="70" width="13.140625" style="35" bestFit="1" customWidth="1"/>
    <col min="71" max="71" width="14.28515625" style="35" bestFit="1" customWidth="1"/>
    <col min="72" max="72" width="12" style="35" bestFit="1" customWidth="1"/>
    <col min="73" max="74" width="11.85546875" style="35" bestFit="1" customWidth="1"/>
    <col min="75" max="75" width="14.42578125" style="35" bestFit="1" customWidth="1"/>
    <col min="76" max="76" width="11.85546875" style="35" bestFit="1" customWidth="1"/>
    <col min="77" max="77" width="10.7109375" style="35" bestFit="1" customWidth="1"/>
    <col min="78" max="78" width="9.28515625" style="35" bestFit="1" customWidth="1"/>
    <col min="79" max="79" width="9.7109375" style="35" bestFit="1" customWidth="1"/>
    <col min="80" max="80" width="11.5703125" style="35" bestFit="1" customWidth="1"/>
    <col min="81" max="83" width="9.28515625" style="35" bestFit="1" customWidth="1"/>
    <col min="84" max="84" width="11.5703125" style="35" bestFit="1" customWidth="1"/>
    <col min="85" max="86" width="9.28515625" style="35" bestFit="1" customWidth="1"/>
    <col min="87" max="87" width="10.28515625" style="35" bestFit="1" customWidth="1"/>
    <col min="88" max="88" width="11.5703125" style="35" bestFit="1" customWidth="1"/>
    <col min="89" max="90" width="9.28515625" style="35" bestFit="1" customWidth="1"/>
    <col min="91" max="91" width="10.28515625" style="35" bestFit="1" customWidth="1"/>
    <col min="92" max="95" width="9.28515625" style="35" bestFit="1" customWidth="1"/>
    <col min="96" max="96" width="11.5703125" style="35" bestFit="1" customWidth="1"/>
    <col min="97" max="98" width="9.28515625" style="35" bestFit="1" customWidth="1"/>
    <col min="99" max="99" width="10.28515625" style="35" bestFit="1" customWidth="1"/>
    <col min="100" max="100" width="11.5703125" style="35" bestFit="1" customWidth="1"/>
    <col min="101" max="101" width="9.28515625" style="35" bestFit="1" customWidth="1"/>
    <col min="102" max="16384" width="9.140625" style="35"/>
  </cols>
  <sheetData>
    <row r="1" spans="1:101" s="13" customFormat="1">
      <c r="A1" s="106" t="s">
        <v>1178</v>
      </c>
      <c r="C1" s="118"/>
      <c r="E1" s="58"/>
      <c r="F1" s="119"/>
      <c r="G1" s="58"/>
      <c r="H1" s="58"/>
      <c r="I1" s="58"/>
      <c r="J1" s="58"/>
      <c r="K1" s="58"/>
      <c r="L1" s="58"/>
      <c r="M1" s="58"/>
      <c r="N1" s="58"/>
      <c r="O1" s="58"/>
      <c r="P1" s="58"/>
      <c r="Q1" s="58"/>
      <c r="R1" s="58"/>
      <c r="S1" s="58"/>
      <c r="T1" s="58"/>
      <c r="U1" s="58"/>
      <c r="V1" s="58"/>
      <c r="W1" s="58"/>
      <c r="X1" s="58"/>
      <c r="Y1" s="58"/>
      <c r="Z1" s="58"/>
      <c r="AA1" s="58"/>
      <c r="AB1" s="58"/>
      <c r="AC1" s="58"/>
      <c r="AD1" s="58"/>
      <c r="AE1" s="58"/>
      <c r="AF1" s="58"/>
      <c r="AG1" s="58"/>
      <c r="AH1" s="58"/>
      <c r="AI1" s="58"/>
      <c r="AJ1" s="58"/>
      <c r="AK1" s="58"/>
      <c r="AL1" s="58"/>
      <c r="AM1" s="58"/>
      <c r="AN1" s="58"/>
      <c r="AO1" s="58"/>
      <c r="AP1" s="58"/>
      <c r="AQ1" s="58"/>
      <c r="AR1" s="58"/>
      <c r="AS1" s="58"/>
      <c r="AT1" s="58"/>
      <c r="AU1" s="58"/>
      <c r="AV1" s="58"/>
      <c r="AW1" s="58"/>
      <c r="AX1" s="58"/>
      <c r="AY1" s="58"/>
      <c r="AZ1" s="58"/>
      <c r="BA1" s="58"/>
      <c r="BB1" s="58"/>
      <c r="BC1" s="58"/>
      <c r="BD1" s="58"/>
      <c r="BE1" s="58"/>
      <c r="BF1" s="58"/>
      <c r="BG1" s="58"/>
      <c r="BH1" s="58"/>
      <c r="BI1" s="58"/>
    </row>
    <row r="2" spans="1:101" s="367" customFormat="1">
      <c r="A2" s="387" t="s">
        <v>1190</v>
      </c>
    </row>
    <row r="3" spans="1:101" s="314" customFormat="1" ht="42" customHeight="1">
      <c r="A3" s="336" t="s">
        <v>0</v>
      </c>
      <c r="B3" s="336" t="s">
        <v>405</v>
      </c>
      <c r="C3" s="83" t="s">
        <v>1</v>
      </c>
      <c r="D3" s="83" t="s">
        <v>301</v>
      </c>
      <c r="E3" s="83" t="s">
        <v>300</v>
      </c>
      <c r="F3" s="83" t="s">
        <v>348</v>
      </c>
      <c r="G3" s="83" t="s">
        <v>302</v>
      </c>
      <c r="H3" s="26" t="s">
        <v>303</v>
      </c>
      <c r="I3" s="26" t="s">
        <v>363</v>
      </c>
      <c r="J3" s="26" t="s">
        <v>681</v>
      </c>
      <c r="K3" s="26" t="s">
        <v>680</v>
      </c>
      <c r="L3" s="83" t="s">
        <v>686</v>
      </c>
      <c r="M3" s="83" t="s">
        <v>693</v>
      </c>
      <c r="N3" s="315" t="s">
        <v>1061</v>
      </c>
      <c r="O3" s="315" t="s">
        <v>1062</v>
      </c>
      <c r="P3" s="315" t="s">
        <v>1063</v>
      </c>
      <c r="Q3" s="315" t="s">
        <v>1064</v>
      </c>
      <c r="R3" s="315" t="s">
        <v>1065</v>
      </c>
      <c r="S3" s="315" t="s">
        <v>1066</v>
      </c>
      <c r="T3" s="315" t="s">
        <v>1067</v>
      </c>
      <c r="U3" s="315" t="s">
        <v>1068</v>
      </c>
      <c r="V3" s="315" t="s">
        <v>1069</v>
      </c>
      <c r="W3" s="315" t="s">
        <v>1070</v>
      </c>
      <c r="X3" s="315" t="s">
        <v>1071</v>
      </c>
      <c r="Y3" s="315" t="s">
        <v>1072</v>
      </c>
      <c r="Z3" s="315" t="s">
        <v>1073</v>
      </c>
      <c r="AA3" s="315" t="s">
        <v>1074</v>
      </c>
      <c r="AB3" s="315" t="s">
        <v>1075</v>
      </c>
      <c r="AC3" s="315" t="s">
        <v>1076</v>
      </c>
      <c r="AD3" s="315" t="s">
        <v>1077</v>
      </c>
      <c r="AE3" s="315" t="s">
        <v>1078</v>
      </c>
      <c r="AF3" s="315" t="s">
        <v>1079</v>
      </c>
      <c r="AG3" s="315" t="s">
        <v>1080</v>
      </c>
      <c r="AH3" s="315" t="s">
        <v>1081</v>
      </c>
      <c r="AI3" s="315" t="s">
        <v>1082</v>
      </c>
      <c r="AJ3" s="315" t="s">
        <v>1083</v>
      </c>
      <c r="AK3" s="315" t="s">
        <v>1084</v>
      </c>
      <c r="AL3" s="315" t="s">
        <v>1085</v>
      </c>
      <c r="AM3" s="315" t="s">
        <v>1086</v>
      </c>
      <c r="AN3" s="315" t="s">
        <v>1087</v>
      </c>
      <c r="AO3" s="315" t="s">
        <v>1088</v>
      </c>
      <c r="AP3" s="315" t="s">
        <v>509</v>
      </c>
      <c r="AQ3" s="315" t="s">
        <v>1089</v>
      </c>
      <c r="AR3" s="315" t="s">
        <v>1090</v>
      </c>
      <c r="AS3" s="315" t="s">
        <v>1091</v>
      </c>
      <c r="AT3" s="315" t="s">
        <v>1092</v>
      </c>
      <c r="AU3" s="315" t="s">
        <v>1093</v>
      </c>
      <c r="AV3" s="315" t="s">
        <v>1094</v>
      </c>
      <c r="AW3" s="315" t="s">
        <v>1095</v>
      </c>
      <c r="AX3" s="315" t="s">
        <v>1096</v>
      </c>
      <c r="AY3" s="315" t="s">
        <v>1097</v>
      </c>
      <c r="AZ3" s="315" t="s">
        <v>1098</v>
      </c>
      <c r="BA3" s="315" t="s">
        <v>1099</v>
      </c>
      <c r="BB3" s="315" t="s">
        <v>1100</v>
      </c>
      <c r="BC3" s="315" t="s">
        <v>1101</v>
      </c>
      <c r="BD3" s="315" t="s">
        <v>1102</v>
      </c>
      <c r="BE3" s="315" t="s">
        <v>1103</v>
      </c>
      <c r="BF3" s="315" t="s">
        <v>1104</v>
      </c>
      <c r="BG3" s="315" t="s">
        <v>1105</v>
      </c>
      <c r="BH3" s="315" t="s">
        <v>1106</v>
      </c>
      <c r="BI3" s="315" t="s">
        <v>1107</v>
      </c>
      <c r="BJ3" s="315" t="s">
        <v>1108</v>
      </c>
      <c r="BK3" s="315" t="s">
        <v>1109</v>
      </c>
      <c r="BL3" s="315" t="s">
        <v>1110</v>
      </c>
      <c r="BM3" s="315" t="s">
        <v>1111</v>
      </c>
      <c r="BN3" s="315" t="s">
        <v>1112</v>
      </c>
      <c r="BO3" s="315" t="s">
        <v>1113</v>
      </c>
      <c r="BP3" s="315" t="s">
        <v>1114</v>
      </c>
      <c r="BQ3" s="315" t="s">
        <v>1115</v>
      </c>
      <c r="BR3" s="315" t="s">
        <v>1116</v>
      </c>
      <c r="BS3" s="315" t="s">
        <v>1117</v>
      </c>
      <c r="BT3" s="315" t="s">
        <v>1118</v>
      </c>
      <c r="BU3" s="315" t="s">
        <v>1119</v>
      </c>
      <c r="BV3" s="315" t="s">
        <v>1120</v>
      </c>
      <c r="BW3" s="315" t="s">
        <v>1121</v>
      </c>
      <c r="BX3" s="315" t="s">
        <v>1122</v>
      </c>
      <c r="BY3" s="315" t="s">
        <v>1123</v>
      </c>
      <c r="BZ3" s="315" t="s">
        <v>1124</v>
      </c>
      <c r="CA3" s="315" t="s">
        <v>1125</v>
      </c>
      <c r="CB3" s="315" t="s">
        <v>1126</v>
      </c>
      <c r="CC3" s="315" t="s">
        <v>1127</v>
      </c>
      <c r="CD3" s="315" t="s">
        <v>1128</v>
      </c>
      <c r="CE3" s="315" t="s">
        <v>1129</v>
      </c>
      <c r="CF3" s="315" t="s">
        <v>1130</v>
      </c>
      <c r="CG3" s="315" t="s">
        <v>1131</v>
      </c>
      <c r="CH3" s="315" t="s">
        <v>1132</v>
      </c>
      <c r="CI3" s="315" t="s">
        <v>1133</v>
      </c>
      <c r="CJ3" s="315" t="s">
        <v>1134</v>
      </c>
      <c r="CK3" s="315" t="s">
        <v>1135</v>
      </c>
      <c r="CL3" s="315" t="s">
        <v>1136</v>
      </c>
      <c r="CM3" s="315" t="s">
        <v>1137</v>
      </c>
      <c r="CN3" s="315" t="s">
        <v>1138</v>
      </c>
      <c r="CO3" s="315" t="s">
        <v>1139</v>
      </c>
      <c r="CP3" s="315" t="s">
        <v>1140</v>
      </c>
      <c r="CQ3" s="315" t="s">
        <v>1141</v>
      </c>
      <c r="CR3" s="315" t="s">
        <v>1142</v>
      </c>
      <c r="CS3" s="315" t="s">
        <v>1143</v>
      </c>
      <c r="CT3" s="315" t="s">
        <v>1144</v>
      </c>
      <c r="CU3" s="315" t="s">
        <v>1145</v>
      </c>
      <c r="CV3" s="315" t="s">
        <v>1146</v>
      </c>
      <c r="CW3" s="315" t="s">
        <v>1147</v>
      </c>
    </row>
    <row r="4" spans="1:101" s="317" customFormat="1" ht="18">
      <c r="A4" s="316"/>
      <c r="N4" s="32" t="s">
        <v>403</v>
      </c>
      <c r="O4" s="32" t="s">
        <v>403</v>
      </c>
      <c r="P4" s="32" t="s">
        <v>403</v>
      </c>
      <c r="Q4" s="32" t="s">
        <v>407</v>
      </c>
      <c r="R4" s="32" t="s">
        <v>403</v>
      </c>
      <c r="S4" s="32" t="s">
        <v>403</v>
      </c>
      <c r="T4" s="32" t="s">
        <v>403</v>
      </c>
      <c r="U4" s="32" t="s">
        <v>407</v>
      </c>
      <c r="V4" s="32" t="s">
        <v>403</v>
      </c>
      <c r="W4" s="32" t="s">
        <v>403</v>
      </c>
      <c r="X4" s="32" t="s">
        <v>403</v>
      </c>
      <c r="Y4" s="32" t="s">
        <v>407</v>
      </c>
      <c r="Z4" s="32" t="s">
        <v>403</v>
      </c>
      <c r="AA4" s="32" t="s">
        <v>403</v>
      </c>
      <c r="AB4" s="32" t="s">
        <v>403</v>
      </c>
      <c r="AC4" s="32" t="s">
        <v>407</v>
      </c>
      <c r="AD4" s="32" t="s">
        <v>403</v>
      </c>
      <c r="AE4" s="32" t="s">
        <v>403</v>
      </c>
      <c r="AF4" s="32" t="s">
        <v>403</v>
      </c>
      <c r="AG4" s="32" t="s">
        <v>407</v>
      </c>
      <c r="AH4" s="32" t="s">
        <v>403</v>
      </c>
      <c r="AI4" s="32" t="s">
        <v>403</v>
      </c>
      <c r="AJ4" s="32" t="s">
        <v>403</v>
      </c>
      <c r="AK4" s="32" t="s">
        <v>407</v>
      </c>
      <c r="AL4" s="32" t="s">
        <v>403</v>
      </c>
      <c r="AM4" s="32" t="s">
        <v>403</v>
      </c>
      <c r="AN4" s="32" t="s">
        <v>403</v>
      </c>
      <c r="AO4" s="32" t="s">
        <v>407</v>
      </c>
      <c r="AP4" s="32" t="s">
        <v>403</v>
      </c>
      <c r="AQ4" s="32" t="s">
        <v>403</v>
      </c>
      <c r="AR4" s="32" t="s">
        <v>403</v>
      </c>
      <c r="AS4" s="32" t="s">
        <v>407</v>
      </c>
      <c r="AT4" s="32" t="s">
        <v>403</v>
      </c>
      <c r="AU4" s="32" t="s">
        <v>403</v>
      </c>
      <c r="AV4" s="32" t="s">
        <v>403</v>
      </c>
      <c r="AW4" s="32" t="s">
        <v>407</v>
      </c>
      <c r="AX4" s="32" t="s">
        <v>403</v>
      </c>
      <c r="AY4" s="32" t="s">
        <v>403</v>
      </c>
      <c r="AZ4" s="32" t="s">
        <v>403</v>
      </c>
      <c r="BA4" s="32" t="s">
        <v>407</v>
      </c>
      <c r="BB4" s="32" t="s">
        <v>403</v>
      </c>
      <c r="BC4" s="32" t="s">
        <v>403</v>
      </c>
      <c r="BD4" s="32" t="s">
        <v>403</v>
      </c>
      <c r="BE4" s="32" t="s">
        <v>407</v>
      </c>
      <c r="BF4" s="32" t="s">
        <v>403</v>
      </c>
      <c r="BG4" s="32" t="s">
        <v>403</v>
      </c>
      <c r="BH4" s="32" t="s">
        <v>403</v>
      </c>
      <c r="BI4" s="32" t="s">
        <v>407</v>
      </c>
      <c r="BJ4" s="32" t="s">
        <v>403</v>
      </c>
      <c r="BK4" s="32" t="s">
        <v>403</v>
      </c>
      <c r="BL4" s="32" t="s">
        <v>403</v>
      </c>
      <c r="BM4" s="32" t="s">
        <v>407</v>
      </c>
      <c r="BN4" s="32" t="s">
        <v>403</v>
      </c>
      <c r="BO4" s="32" t="s">
        <v>403</v>
      </c>
      <c r="BP4" s="32" t="s">
        <v>403</v>
      </c>
      <c r="BQ4" s="32" t="s">
        <v>407</v>
      </c>
      <c r="BR4" s="32" t="s">
        <v>403</v>
      </c>
      <c r="BS4" s="32" t="s">
        <v>403</v>
      </c>
      <c r="BT4" s="32" t="s">
        <v>403</v>
      </c>
      <c r="BU4" s="32" t="s">
        <v>407</v>
      </c>
      <c r="BV4" s="32" t="s">
        <v>403</v>
      </c>
      <c r="BW4" s="32" t="s">
        <v>403</v>
      </c>
      <c r="BX4" s="32" t="s">
        <v>403</v>
      </c>
      <c r="BY4" s="32" t="s">
        <v>407</v>
      </c>
      <c r="BZ4" s="32" t="s">
        <v>403</v>
      </c>
      <c r="CA4" s="32" t="s">
        <v>403</v>
      </c>
      <c r="CB4" s="32" t="s">
        <v>403</v>
      </c>
      <c r="CC4" s="32" t="s">
        <v>407</v>
      </c>
      <c r="CD4" s="32" t="s">
        <v>403</v>
      </c>
      <c r="CE4" s="32" t="s">
        <v>403</v>
      </c>
      <c r="CF4" s="32" t="s">
        <v>403</v>
      </c>
      <c r="CG4" s="32" t="s">
        <v>407</v>
      </c>
      <c r="CH4" s="32" t="s">
        <v>403</v>
      </c>
      <c r="CI4" s="32" t="s">
        <v>403</v>
      </c>
      <c r="CJ4" s="32" t="s">
        <v>403</v>
      </c>
      <c r="CK4" s="32" t="s">
        <v>407</v>
      </c>
      <c r="CL4" s="32" t="s">
        <v>403</v>
      </c>
      <c r="CM4" s="32" t="s">
        <v>403</v>
      </c>
      <c r="CN4" s="32" t="s">
        <v>403</v>
      </c>
      <c r="CO4" s="32" t="s">
        <v>407</v>
      </c>
      <c r="CP4" s="32" t="s">
        <v>403</v>
      </c>
      <c r="CQ4" s="32" t="s">
        <v>403</v>
      </c>
      <c r="CR4" s="32" t="s">
        <v>403</v>
      </c>
      <c r="CS4" s="32" t="s">
        <v>407</v>
      </c>
      <c r="CT4" s="32" t="s">
        <v>403</v>
      </c>
      <c r="CU4" s="32" t="s">
        <v>403</v>
      </c>
      <c r="CV4" s="32" t="s">
        <v>403</v>
      </c>
      <c r="CW4" s="32" t="s">
        <v>407</v>
      </c>
    </row>
    <row r="5" spans="1:101" s="318" customFormat="1">
      <c r="A5" s="316"/>
      <c r="B5" s="17"/>
      <c r="C5" s="17"/>
      <c r="D5" s="17"/>
      <c r="E5" s="17"/>
      <c r="F5" s="17"/>
      <c r="G5" s="17"/>
      <c r="H5" s="17"/>
      <c r="I5" s="17"/>
      <c r="J5" s="17"/>
      <c r="K5" s="17"/>
      <c r="L5" s="17"/>
      <c r="M5" s="17"/>
      <c r="N5" s="18"/>
      <c r="O5" s="18"/>
      <c r="P5" s="18"/>
      <c r="Q5" s="18"/>
      <c r="R5" s="18"/>
      <c r="S5" s="18"/>
      <c r="T5" s="18"/>
      <c r="U5" s="18"/>
      <c r="V5" s="18"/>
      <c r="W5" s="18"/>
      <c r="X5" s="18"/>
      <c r="Y5" s="18"/>
      <c r="Z5" s="18"/>
      <c r="AA5" s="18"/>
      <c r="AB5" s="18"/>
      <c r="AC5" s="18"/>
      <c r="AD5" s="18"/>
      <c r="AE5" s="18"/>
      <c r="AF5" s="18"/>
      <c r="AG5" s="18"/>
      <c r="AH5" s="18"/>
      <c r="AI5" s="18"/>
      <c r="AJ5" s="18"/>
      <c r="AK5" s="18"/>
      <c r="AL5" s="18"/>
      <c r="AM5" s="18"/>
      <c r="AN5" s="18"/>
      <c r="AO5" s="18"/>
      <c r="AP5" s="18"/>
      <c r="AQ5" s="18"/>
      <c r="AR5" s="18"/>
      <c r="AS5" s="18"/>
      <c r="AT5" s="18"/>
      <c r="AU5" s="18"/>
      <c r="AV5" s="18"/>
      <c r="AW5" s="18"/>
      <c r="AX5" s="18"/>
      <c r="AY5" s="18"/>
      <c r="AZ5" s="18"/>
      <c r="BA5" s="18"/>
      <c r="BB5" s="18"/>
      <c r="BC5" s="18"/>
      <c r="BD5" s="18"/>
      <c r="BE5" s="18"/>
      <c r="BF5" s="18"/>
      <c r="BG5" s="18"/>
      <c r="BH5" s="18"/>
      <c r="BI5" s="18"/>
      <c r="BJ5" s="18"/>
      <c r="BK5" s="18"/>
      <c r="BL5" s="18"/>
      <c r="BM5" s="18"/>
      <c r="BN5" s="18"/>
      <c r="BO5" s="18"/>
      <c r="BP5" s="18"/>
      <c r="BQ5" s="18"/>
      <c r="BR5" s="18"/>
      <c r="BS5" s="18"/>
      <c r="BT5" s="18"/>
      <c r="BU5" s="18"/>
      <c r="BV5" s="18"/>
      <c r="BW5" s="18"/>
      <c r="BX5" s="18"/>
      <c r="BY5" s="18"/>
      <c r="BZ5" s="18"/>
      <c r="CA5" s="18"/>
      <c r="CB5" s="18"/>
      <c r="CC5" s="18"/>
      <c r="CD5" s="18"/>
      <c r="CE5" s="18"/>
      <c r="CF5" s="18"/>
      <c r="CG5" s="18"/>
      <c r="CH5" s="18"/>
      <c r="CI5" s="18"/>
      <c r="CJ5" s="18"/>
      <c r="CK5" s="18"/>
      <c r="CL5" s="18"/>
      <c r="CM5" s="18"/>
      <c r="CN5" s="18"/>
      <c r="CO5" s="18"/>
      <c r="CP5" s="18"/>
      <c r="CQ5" s="18"/>
      <c r="CR5" s="18"/>
      <c r="CS5" s="18"/>
      <c r="CT5" s="18"/>
      <c r="CU5" s="18"/>
      <c r="CV5" s="18"/>
      <c r="CW5" s="18"/>
    </row>
    <row r="6" spans="1:101">
      <c r="A6" s="17" t="s">
        <v>97</v>
      </c>
      <c r="B6" s="317" t="s">
        <v>98</v>
      </c>
      <c r="C6" s="155" t="s">
        <v>339</v>
      </c>
      <c r="D6" s="53">
        <v>0.258245</v>
      </c>
      <c r="E6" s="53">
        <v>34.717754999999997</v>
      </c>
      <c r="F6" s="53" t="s">
        <v>372</v>
      </c>
      <c r="G6" s="53" t="s">
        <v>330</v>
      </c>
      <c r="H6" s="116" t="s">
        <v>347</v>
      </c>
      <c r="I6" s="154" t="s">
        <v>371</v>
      </c>
      <c r="J6" s="116" t="s">
        <v>687</v>
      </c>
      <c r="K6" s="53" t="s">
        <v>366</v>
      </c>
      <c r="L6" s="53" t="s">
        <v>684</v>
      </c>
      <c r="M6" s="53" t="s">
        <v>683</v>
      </c>
      <c r="N6" s="319">
        <v>84750.476714461358</v>
      </c>
      <c r="O6" s="319">
        <v>1109.1237294504654</v>
      </c>
      <c r="P6" s="319">
        <v>573.13430481202113</v>
      </c>
      <c r="Q6" s="320">
        <v>1.3086932043902126</v>
      </c>
      <c r="R6" s="320">
        <v>8.4033048715267977</v>
      </c>
      <c r="S6" s="320">
        <v>0.22993813942122468</v>
      </c>
      <c r="T6" s="320">
        <v>0.26240193369209985</v>
      </c>
      <c r="U6" s="320">
        <v>3.1226039957351208</v>
      </c>
      <c r="V6" s="319">
        <v>453.17164148230529</v>
      </c>
      <c r="W6" s="320">
        <v>78.737477531007343</v>
      </c>
      <c r="X6" s="320">
        <v>38.079144550647428</v>
      </c>
      <c r="Y6" s="320">
        <v>17.374758330742051</v>
      </c>
      <c r="Z6" s="320">
        <v>7.3524960701585998E-2</v>
      </c>
      <c r="AA6" s="320">
        <v>4.1481191044569772E-2</v>
      </c>
      <c r="AB6" s="320">
        <v>1.490567495686647E-2</v>
      </c>
      <c r="AC6" s="320">
        <v>56.417835043705075</v>
      </c>
      <c r="AD6" s="320">
        <v>60.99982475831866</v>
      </c>
      <c r="AE6" s="320">
        <v>11.93546284315731</v>
      </c>
      <c r="AF6" s="320">
        <v>6.4812767189883278</v>
      </c>
      <c r="AG6" s="320">
        <v>19.566388740370357</v>
      </c>
      <c r="AH6" s="321">
        <v>1344.0187702484768</v>
      </c>
      <c r="AI6" s="320">
        <v>1.763180705305037</v>
      </c>
      <c r="AJ6" s="320">
        <v>0.85980382115656584</v>
      </c>
      <c r="AK6" s="320">
        <v>0.13118720841815826</v>
      </c>
      <c r="AL6" s="320">
        <v>66.982230706871434</v>
      </c>
      <c r="AM6" s="320">
        <v>5.8973669067188395</v>
      </c>
      <c r="AN6" s="320">
        <v>6.5141860249693035</v>
      </c>
      <c r="AO6" s="320">
        <v>9.7252449735165953</v>
      </c>
      <c r="AP6" s="321">
        <v>120621.35158000367</v>
      </c>
      <c r="AQ6" s="321">
        <v>140.16084436763049</v>
      </c>
      <c r="AR6" s="320">
        <v>91.802172343118073</v>
      </c>
      <c r="AS6" s="320">
        <v>0.11619903319908249</v>
      </c>
      <c r="AT6" s="320">
        <v>16.987311221658359</v>
      </c>
      <c r="AU6" s="322">
        <v>-0.14932802389248384</v>
      </c>
      <c r="AV6" s="322">
        <v>-0.38883349950149554</v>
      </c>
      <c r="AW6" s="320" t="s">
        <v>288</v>
      </c>
      <c r="AX6" s="321">
        <v>4722.275138993642</v>
      </c>
      <c r="AY6" s="321">
        <v>416.47259675326245</v>
      </c>
      <c r="AZ6" s="321">
        <v>893.29535991894943</v>
      </c>
      <c r="BA6" s="320">
        <v>18.916630937970261</v>
      </c>
      <c r="BB6" s="321">
        <v>1870.2315790417933</v>
      </c>
      <c r="BC6" s="321">
        <v>461.46290060033152</v>
      </c>
      <c r="BD6" s="321">
        <v>267.99278644557114</v>
      </c>
      <c r="BE6" s="320">
        <v>24.674104841966169</v>
      </c>
      <c r="BF6" s="320">
        <v>2.7685213524906458</v>
      </c>
      <c r="BG6" s="320">
        <v>4.6219847583955946E-3</v>
      </c>
      <c r="BH6" s="320">
        <v>5.2091217057184211E-2</v>
      </c>
      <c r="BI6" s="320">
        <v>1.88155374024193</v>
      </c>
      <c r="BJ6" s="323">
        <v>277.10459324479308</v>
      </c>
      <c r="BK6" s="320">
        <v>11.483981637983508</v>
      </c>
      <c r="BL6" s="320">
        <v>9.173967950164597</v>
      </c>
      <c r="BM6" s="320">
        <v>4.1442768968606032</v>
      </c>
      <c r="BN6" s="320">
        <v>18.536504555845532</v>
      </c>
      <c r="BO6" s="320">
        <v>3.3412087280097351</v>
      </c>
      <c r="BP6" s="320">
        <v>0.88091902962527435</v>
      </c>
      <c r="BQ6" s="320">
        <v>18.025020402004955</v>
      </c>
      <c r="BR6" s="320">
        <v>0.82560697859976517</v>
      </c>
      <c r="BS6" s="320">
        <v>3.5208188165205398E-3</v>
      </c>
      <c r="BT6" s="320">
        <v>1.9335244590589828E-2</v>
      </c>
      <c r="BU6" s="320">
        <v>2.3419429694480693</v>
      </c>
      <c r="BV6" s="320">
        <v>1.0862893717661948</v>
      </c>
      <c r="BW6" s="320">
        <v>8.3322917608120328E-2</v>
      </c>
      <c r="BX6" s="320">
        <v>0.24547085304439681</v>
      </c>
      <c r="BY6" s="320">
        <v>22.597188136461877</v>
      </c>
      <c r="BZ6" s="320">
        <v>73.407700852970592</v>
      </c>
      <c r="CA6" s="320">
        <v>20.83958350378424</v>
      </c>
      <c r="CB6" s="320">
        <v>15.861454743331119</v>
      </c>
      <c r="CC6" s="320">
        <v>28.388824689556973</v>
      </c>
      <c r="CD6" s="323">
        <v>277.85130419063108</v>
      </c>
      <c r="CE6" s="320">
        <v>4.0697799857346082</v>
      </c>
      <c r="CF6" s="320">
        <v>1.5539860069539411</v>
      </c>
      <c r="CG6" s="320">
        <v>1.4647330872135738</v>
      </c>
      <c r="CH6" s="323">
        <v>108.75349305597727</v>
      </c>
      <c r="CI6" s="320">
        <v>34.327537414172035</v>
      </c>
      <c r="CJ6" s="320">
        <v>12.806351642861088</v>
      </c>
      <c r="CK6" s="320">
        <v>31.564537790526938</v>
      </c>
      <c r="CL6" s="320">
        <v>8.7330681986135108</v>
      </c>
      <c r="CM6" s="320">
        <v>2.5828995129374338E-2</v>
      </c>
      <c r="CN6" s="320">
        <v>7.4123400557259772E-2</v>
      </c>
      <c r="CO6" s="320">
        <v>0.84876699541895062</v>
      </c>
      <c r="CP6" s="320">
        <v>2.1112616444243759</v>
      </c>
      <c r="CQ6" s="320">
        <v>5.4658520886387306E-2</v>
      </c>
      <c r="CR6" s="320">
        <v>7.9045940361261599E-2</v>
      </c>
      <c r="CS6" s="320">
        <v>3.7440144176357188</v>
      </c>
      <c r="CT6" s="320">
        <v>0.44583999999999996</v>
      </c>
      <c r="CU6" s="322">
        <v>-1.1199601791936286E-2</v>
      </c>
      <c r="CV6" s="320">
        <v>3.6440542448307266E-2</v>
      </c>
      <c r="CW6" s="320">
        <v>8.1734573946499349</v>
      </c>
    </row>
    <row r="7" spans="1:101">
      <c r="A7" s="17" t="s">
        <v>105</v>
      </c>
      <c r="B7" s="53" t="s">
        <v>106</v>
      </c>
      <c r="C7" s="155" t="s">
        <v>339</v>
      </c>
      <c r="D7" s="53">
        <v>0.25812800000000002</v>
      </c>
      <c r="E7" s="53">
        <v>34.720103999999999</v>
      </c>
      <c r="F7" s="53" t="s">
        <v>372</v>
      </c>
      <c r="G7" s="53" t="s">
        <v>330</v>
      </c>
      <c r="H7" s="116" t="s">
        <v>347</v>
      </c>
      <c r="I7" s="154" t="s">
        <v>371</v>
      </c>
      <c r="J7" s="116" t="s">
        <v>687</v>
      </c>
      <c r="K7" s="53" t="s">
        <v>368</v>
      </c>
      <c r="L7" s="53" t="s">
        <v>684</v>
      </c>
      <c r="M7" s="53" t="s">
        <v>683</v>
      </c>
      <c r="N7" s="319">
        <v>70963.178581070155</v>
      </c>
      <c r="O7" s="319">
        <v>893.64066389461868</v>
      </c>
      <c r="P7" s="319">
        <v>393.01528384158019</v>
      </c>
      <c r="Q7" s="320">
        <v>1.25930191088284</v>
      </c>
      <c r="R7" s="320">
        <v>25.537457130828905</v>
      </c>
      <c r="S7" s="320">
        <v>1.3958488638104416</v>
      </c>
      <c r="T7" s="320">
        <v>1.6595177879692558</v>
      </c>
      <c r="U7" s="320">
        <v>6.4983673960469623</v>
      </c>
      <c r="V7" s="319">
        <v>662.43982923962972</v>
      </c>
      <c r="W7" s="320">
        <v>97.298358496343951</v>
      </c>
      <c r="X7" s="320">
        <v>38.618605049688014</v>
      </c>
      <c r="Y7" s="320">
        <v>14.687878687491695</v>
      </c>
      <c r="Z7" s="320">
        <v>0.14110532454557653</v>
      </c>
      <c r="AA7" s="320">
        <v>6.59641288577313E-2</v>
      </c>
      <c r="AB7" s="320">
        <v>2.07143393850675E-2</v>
      </c>
      <c r="AC7" s="320">
        <v>46.748150057530339</v>
      </c>
      <c r="AD7" s="320">
        <v>51.167767624245151</v>
      </c>
      <c r="AE7" s="320">
        <v>13.983347983741135</v>
      </c>
      <c r="AF7" s="320">
        <v>7.3947623340812152</v>
      </c>
      <c r="AG7" s="320">
        <v>27.328430832529254</v>
      </c>
      <c r="AH7" s="321">
        <v>1071.8748816682303</v>
      </c>
      <c r="AI7" s="320">
        <v>1.4868829886286479</v>
      </c>
      <c r="AJ7" s="320">
        <v>0.68350719312511909</v>
      </c>
      <c r="AK7" s="320">
        <v>0.13871796177502665</v>
      </c>
      <c r="AL7" s="320">
        <v>53.752521312068929</v>
      </c>
      <c r="AM7" s="320">
        <v>6.6489188125352872</v>
      </c>
      <c r="AN7" s="320">
        <v>7.3653369311488106</v>
      </c>
      <c r="AO7" s="320">
        <v>13.702309680299757</v>
      </c>
      <c r="AP7" s="321">
        <v>86065.516302046977</v>
      </c>
      <c r="AQ7" s="321">
        <v>191.79127492658122</v>
      </c>
      <c r="AR7" s="321">
        <v>128.47245075532982</v>
      </c>
      <c r="AS7" s="320">
        <v>0.22284334442785381</v>
      </c>
      <c r="AT7" s="320">
        <v>12.854635376507972</v>
      </c>
      <c r="AU7" s="322">
        <v>-0.14885874958650347</v>
      </c>
      <c r="AV7" s="322">
        <v>-0.38922155688622756</v>
      </c>
      <c r="AW7" s="320" t="s">
        <v>288</v>
      </c>
      <c r="AX7" s="321">
        <v>4040.2247074126553</v>
      </c>
      <c r="AY7" s="321">
        <v>498.34450042941705</v>
      </c>
      <c r="AZ7" s="321">
        <v>870.53055740351897</v>
      </c>
      <c r="BA7" s="320">
        <v>21.546587639205924</v>
      </c>
      <c r="BB7" s="321">
        <v>2262.0828661065639</v>
      </c>
      <c r="BC7" s="321">
        <v>791.38744586614882</v>
      </c>
      <c r="BD7" s="321">
        <v>413.82471920968379</v>
      </c>
      <c r="BE7" s="320">
        <v>34.984900762201676</v>
      </c>
      <c r="BF7" s="320">
        <v>2.6259335538737827</v>
      </c>
      <c r="BG7" s="320">
        <v>7.7515834959898233E-3</v>
      </c>
      <c r="BH7" s="320">
        <v>7.5929863763183295E-2</v>
      </c>
      <c r="BI7" s="320">
        <v>2.8915378933016567</v>
      </c>
      <c r="BJ7" s="323">
        <v>172.94636292860238</v>
      </c>
      <c r="BK7" s="320">
        <v>16.656230493428151</v>
      </c>
      <c r="BL7" s="320">
        <v>12.170917957504932</v>
      </c>
      <c r="BM7" s="320">
        <v>9.6308648597047153</v>
      </c>
      <c r="BN7" s="320">
        <v>33.250754419297451</v>
      </c>
      <c r="BO7" s="320">
        <v>7.56924524528017</v>
      </c>
      <c r="BP7" s="320">
        <v>1.7799892405444171</v>
      </c>
      <c r="BQ7" s="320">
        <v>22.764130851982333</v>
      </c>
      <c r="BR7" s="320">
        <v>1.3568278291703542</v>
      </c>
      <c r="BS7" s="320">
        <v>1.1153532054329741E-2</v>
      </c>
      <c r="BT7" s="320">
        <v>3.1914876521354031E-2</v>
      </c>
      <c r="BU7" s="320">
        <v>2.3521684796860849</v>
      </c>
      <c r="BV7" s="320">
        <v>0.96731883813472896</v>
      </c>
      <c r="BW7" s="320">
        <v>8.8498816265215746E-2</v>
      </c>
      <c r="BX7" s="320">
        <v>0.20835918268110507</v>
      </c>
      <c r="BY7" s="320">
        <v>21.539866119312009</v>
      </c>
      <c r="BZ7" s="323">
        <v>102.63438294816342</v>
      </c>
      <c r="CA7" s="320">
        <v>19.945281796029992</v>
      </c>
      <c r="CB7" s="320">
        <v>14.257156814798392</v>
      </c>
      <c r="CC7" s="320">
        <v>19.433333375330534</v>
      </c>
      <c r="CD7" s="323">
        <v>199.877553990038</v>
      </c>
      <c r="CE7" s="320">
        <v>3.6513053869885712</v>
      </c>
      <c r="CF7" s="320">
        <v>1.5754740113141097</v>
      </c>
      <c r="CG7" s="320">
        <v>1.8267710976543938</v>
      </c>
      <c r="CH7" s="320">
        <v>76.167902712360359</v>
      </c>
      <c r="CI7" s="320">
        <v>18.198583397098773</v>
      </c>
      <c r="CJ7" s="320">
        <v>8.139797119717409</v>
      </c>
      <c r="CK7" s="320">
        <v>23.892719569585243</v>
      </c>
      <c r="CL7" s="320">
        <v>9.2001516207971257</v>
      </c>
      <c r="CM7" s="320">
        <v>3.3647696140930848E-2</v>
      </c>
      <c r="CN7" s="320">
        <v>6.4738078446888822E-2</v>
      </c>
      <c r="CO7" s="320">
        <v>0.70366316899111869</v>
      </c>
      <c r="CP7" s="320">
        <v>2.3476273150654015</v>
      </c>
      <c r="CQ7" s="320">
        <v>7.4148510786416738E-2</v>
      </c>
      <c r="CR7" s="320">
        <v>9.3229081522729684E-2</v>
      </c>
      <c r="CS7" s="320">
        <v>3.9712044975985661</v>
      </c>
      <c r="CT7" s="320">
        <v>0.32069999999999999</v>
      </c>
      <c r="CU7" s="322">
        <v>-1.116440621898776E-2</v>
      </c>
      <c r="CV7" s="320">
        <v>3.5001195886433328E-2</v>
      </c>
      <c r="CW7" s="320">
        <v>10.913999340952083</v>
      </c>
    </row>
    <row r="8" spans="1:101">
      <c r="A8" s="17" t="s">
        <v>113</v>
      </c>
      <c r="B8" s="53" t="s">
        <v>114</v>
      </c>
      <c r="C8" s="155" t="s">
        <v>339</v>
      </c>
      <c r="D8" s="53">
        <v>0.26076500000000002</v>
      </c>
      <c r="E8" s="53">
        <v>34.720081</v>
      </c>
      <c r="F8" s="53" t="s">
        <v>372</v>
      </c>
      <c r="G8" s="53" t="s">
        <v>330</v>
      </c>
      <c r="H8" s="116" t="s">
        <v>347</v>
      </c>
      <c r="I8" s="154" t="s">
        <v>371</v>
      </c>
      <c r="J8" s="116" t="s">
        <v>687</v>
      </c>
      <c r="K8" s="53" t="s">
        <v>366</v>
      </c>
      <c r="L8" s="53" t="s">
        <v>684</v>
      </c>
      <c r="M8" s="53" t="s">
        <v>683</v>
      </c>
      <c r="N8" s="319">
        <v>77048.708625484433</v>
      </c>
      <c r="O8" s="319">
        <v>759.35808957625625</v>
      </c>
      <c r="P8" s="319">
        <v>397.10983491466487</v>
      </c>
      <c r="Q8" s="320">
        <v>0.9855558946059908</v>
      </c>
      <c r="R8" s="320">
        <v>16.395236345996992</v>
      </c>
      <c r="S8" s="320">
        <v>1.0748493768183924</v>
      </c>
      <c r="T8" s="320">
        <v>1.0434686643632061</v>
      </c>
      <c r="U8" s="320">
        <v>6.5558638749408704</v>
      </c>
      <c r="V8" s="319">
        <v>619.47835020593482</v>
      </c>
      <c r="W8" s="320">
        <v>77.173724985933717</v>
      </c>
      <c r="X8" s="320">
        <v>37.078384112722048</v>
      </c>
      <c r="Y8" s="320">
        <v>12.457856672517877</v>
      </c>
      <c r="Z8" s="320">
        <v>0.11982944644025005</v>
      </c>
      <c r="AA8" s="320">
        <v>5.2897016562620969E-2</v>
      </c>
      <c r="AB8" s="320">
        <v>1.7356334510872366E-2</v>
      </c>
      <c r="AC8" s="320">
        <v>44.143587518779654</v>
      </c>
      <c r="AD8" s="320">
        <v>53.386309735231784</v>
      </c>
      <c r="AE8" s="320">
        <v>15.096165505758751</v>
      </c>
      <c r="AF8" s="320">
        <v>8.7175171351201044</v>
      </c>
      <c r="AG8" s="320">
        <v>28.277222345256391</v>
      </c>
      <c r="AH8" s="321">
        <v>1413.0369616135163</v>
      </c>
      <c r="AI8" s="320">
        <v>1.6131840861474864</v>
      </c>
      <c r="AJ8" s="320">
        <v>0.81606983306438163</v>
      </c>
      <c r="AK8" s="320">
        <v>0.11416432336670276</v>
      </c>
      <c r="AL8" s="320">
        <v>60.331680720753198</v>
      </c>
      <c r="AM8" s="320">
        <v>5.7367473392323332</v>
      </c>
      <c r="AN8" s="320">
        <v>6.8184430296288854</v>
      </c>
      <c r="AO8" s="320">
        <v>11.301596355633174</v>
      </c>
      <c r="AP8" s="321">
        <v>108201.59600657447</v>
      </c>
      <c r="AQ8" s="321">
        <v>177.55274549090285</v>
      </c>
      <c r="AR8" s="321">
        <v>130.10662661873866</v>
      </c>
      <c r="AS8" s="320">
        <v>0.16409438681488073</v>
      </c>
      <c r="AT8" s="320">
        <v>14.212661681453953</v>
      </c>
      <c r="AU8" s="322">
        <v>-0.14997500416597234</v>
      </c>
      <c r="AV8" s="322">
        <v>-0.38889812198770152</v>
      </c>
      <c r="AW8" s="320" t="s">
        <v>288</v>
      </c>
      <c r="AX8" s="321">
        <v>4608.0806991820136</v>
      </c>
      <c r="AY8" s="321">
        <v>532.59042081252301</v>
      </c>
      <c r="AZ8" s="321">
        <v>940.25470181416438</v>
      </c>
      <c r="BA8" s="320">
        <v>20.404475598291285</v>
      </c>
      <c r="BB8" s="321">
        <v>2170.8194539805418</v>
      </c>
      <c r="BC8" s="321">
        <v>739.69910865005284</v>
      </c>
      <c r="BD8" s="321">
        <v>421.23105878989946</v>
      </c>
      <c r="BE8" s="320">
        <v>34.074648966946427</v>
      </c>
      <c r="BF8" s="320">
        <v>3.0829449495169219</v>
      </c>
      <c r="BG8" s="320">
        <v>6.3205512569188124E-3</v>
      </c>
      <c r="BH8" s="320">
        <v>8.7742871592805471E-2</v>
      </c>
      <c r="BI8" s="320">
        <v>2.8460732523477019</v>
      </c>
      <c r="BJ8" s="323">
        <v>215.62021031957937</v>
      </c>
      <c r="BK8" s="320">
        <v>15.327060111960433</v>
      </c>
      <c r="BL8" s="320">
        <v>12.851677806882222</v>
      </c>
      <c r="BM8" s="320">
        <v>7.1083596891235672</v>
      </c>
      <c r="BN8" s="320">
        <v>50.690068048083418</v>
      </c>
      <c r="BO8" s="320">
        <v>8.811474099996893</v>
      </c>
      <c r="BP8" s="320">
        <v>2.22311759709515</v>
      </c>
      <c r="BQ8" s="320">
        <v>17.383038609533003</v>
      </c>
      <c r="BR8" s="320">
        <v>4.8839432501664852</v>
      </c>
      <c r="BS8" s="320">
        <v>1.3048389621979253E-2</v>
      </c>
      <c r="BT8" s="320">
        <v>4.1748852554601666E-2</v>
      </c>
      <c r="BU8" s="320">
        <v>0.85481854346236563</v>
      </c>
      <c r="BV8" s="320">
        <v>1.0252643835562731</v>
      </c>
      <c r="BW8" s="320">
        <v>8.5276707855077322E-2</v>
      </c>
      <c r="BX8" s="320">
        <v>0.19492157050891754</v>
      </c>
      <c r="BY8" s="320">
        <v>19.011834765273399</v>
      </c>
      <c r="BZ8" s="320">
        <v>91.734982178670293</v>
      </c>
      <c r="CA8" s="320">
        <v>17.064160644596239</v>
      </c>
      <c r="CB8" s="320">
        <v>14.182096152156948</v>
      </c>
      <c r="CC8" s="320">
        <v>18.6015849562828</v>
      </c>
      <c r="CD8" s="323">
        <v>243.76940053013709</v>
      </c>
      <c r="CE8" s="320">
        <v>4.5052154189092031</v>
      </c>
      <c r="CF8" s="320">
        <v>1.9972389014267957</v>
      </c>
      <c r="CG8" s="320">
        <v>1.848146407675243</v>
      </c>
      <c r="CH8" s="323">
        <v>126.04293762429808</v>
      </c>
      <c r="CI8" s="320">
        <v>33.285407241535324</v>
      </c>
      <c r="CJ8" s="320">
        <v>12.082657204030461</v>
      </c>
      <c r="CK8" s="320">
        <v>26.407990696591551</v>
      </c>
      <c r="CL8" s="320">
        <v>9.3025127504711502</v>
      </c>
      <c r="CM8" s="320">
        <v>3.3320894684855072E-2</v>
      </c>
      <c r="CN8" s="320">
        <v>6.3810337229936329E-2</v>
      </c>
      <c r="CO8" s="320">
        <v>0.68594732349820731</v>
      </c>
      <c r="CP8" s="320">
        <v>2.3684828815202299</v>
      </c>
      <c r="CQ8" s="320">
        <v>7.0869033761905439E-2</v>
      </c>
      <c r="CR8" s="320">
        <v>9.1522743590665742E-2</v>
      </c>
      <c r="CS8" s="320">
        <v>3.8641927414700641</v>
      </c>
      <c r="CT8" s="320">
        <v>1.03304</v>
      </c>
      <c r="CU8" s="322">
        <v>-1.1248125312447925E-2</v>
      </c>
      <c r="CV8" s="320">
        <v>3.2133754126535019E-2</v>
      </c>
      <c r="CW8" s="320">
        <v>3.110601150636473</v>
      </c>
    </row>
    <row r="9" spans="1:101">
      <c r="A9" s="17" t="s">
        <v>109</v>
      </c>
      <c r="B9" s="53" t="s">
        <v>110</v>
      </c>
      <c r="C9" s="155" t="s">
        <v>339</v>
      </c>
      <c r="D9" s="53">
        <v>0.26076500000000002</v>
      </c>
      <c r="E9" s="53">
        <v>34.720081</v>
      </c>
      <c r="F9" s="53" t="s">
        <v>372</v>
      </c>
      <c r="G9" s="53" t="s">
        <v>330</v>
      </c>
      <c r="H9" s="116" t="s">
        <v>347</v>
      </c>
      <c r="I9" s="154" t="s">
        <v>371</v>
      </c>
      <c r="J9" s="116" t="s">
        <v>687</v>
      </c>
      <c r="K9" s="53" t="s">
        <v>361</v>
      </c>
      <c r="L9" s="53" t="s">
        <v>685</v>
      </c>
      <c r="M9" s="53" t="s">
        <v>690</v>
      </c>
      <c r="N9" s="319">
        <v>80011.667510655607</v>
      </c>
      <c r="O9" s="319">
        <v>1093.1536815395607</v>
      </c>
      <c r="P9" s="319">
        <v>527.98810244484912</v>
      </c>
      <c r="Q9" s="320">
        <v>1.366242843762729</v>
      </c>
      <c r="R9" s="320">
        <v>95.858783473345241</v>
      </c>
      <c r="S9" s="320">
        <v>5.8745570333353498</v>
      </c>
      <c r="T9" s="320">
        <v>5.5033843224258936</v>
      </c>
      <c r="U9" s="320">
        <v>6.128345072279</v>
      </c>
      <c r="V9" s="319">
        <v>507.55219552872285</v>
      </c>
      <c r="W9" s="320">
        <v>68.292212166521367</v>
      </c>
      <c r="X9" s="320">
        <v>33.816190309569443</v>
      </c>
      <c r="Y9" s="320">
        <v>13.455209684470107</v>
      </c>
      <c r="Z9" s="320">
        <v>0.12388898038316966</v>
      </c>
      <c r="AA9" s="320">
        <v>5.2148293993299864E-2</v>
      </c>
      <c r="AB9" s="320">
        <v>1.4753174169736309E-2</v>
      </c>
      <c r="AC9" s="320">
        <v>42.092762271521785</v>
      </c>
      <c r="AD9" s="320">
        <v>67.946066082699048</v>
      </c>
      <c r="AE9" s="320">
        <v>13.263793839245764</v>
      </c>
      <c r="AF9" s="320">
        <v>7.2165267817770244</v>
      </c>
      <c r="AG9" s="320">
        <v>19.521062224709272</v>
      </c>
      <c r="AH9" s="321">
        <v>1005.0197695967014</v>
      </c>
      <c r="AI9" s="320">
        <v>2.4142467784143906</v>
      </c>
      <c r="AJ9" s="320">
        <v>1.2788987470653912</v>
      </c>
      <c r="AK9" s="320">
        <v>0.24021883463876434</v>
      </c>
      <c r="AL9" s="320">
        <v>71.988749870230635</v>
      </c>
      <c r="AM9" s="320">
        <v>8.7392070883847328</v>
      </c>
      <c r="AN9" s="320">
        <v>8.8419373329340178</v>
      </c>
      <c r="AO9" s="320">
        <v>12.282387663173475</v>
      </c>
      <c r="AP9" s="321">
        <v>95772.178305627385</v>
      </c>
      <c r="AQ9" s="321">
        <v>220.60166947975321</v>
      </c>
      <c r="AR9" s="321">
        <v>151.89108545772129</v>
      </c>
      <c r="AS9" s="320">
        <v>0.23034003547018736</v>
      </c>
      <c r="AT9" s="320">
        <v>17.397885928787186</v>
      </c>
      <c r="AU9" s="322">
        <v>-0.14950166112956811</v>
      </c>
      <c r="AV9" s="322">
        <v>-0.38889812198770152</v>
      </c>
      <c r="AW9" s="320" t="s">
        <v>288</v>
      </c>
      <c r="AX9" s="321">
        <v>6852.1343416753989</v>
      </c>
      <c r="AY9" s="321">
        <v>630.4622362936492</v>
      </c>
      <c r="AZ9" s="321">
        <v>999.78902867902696</v>
      </c>
      <c r="BA9" s="320">
        <v>14.590913995923946</v>
      </c>
      <c r="BB9" s="321">
        <v>2297.9640433266113</v>
      </c>
      <c r="BC9" s="321">
        <v>567.91674200879447</v>
      </c>
      <c r="BD9" s="321">
        <v>321.55460781268357</v>
      </c>
      <c r="BE9" s="320">
        <v>24.713908977733993</v>
      </c>
      <c r="BF9" s="320">
        <v>2.5297377676953663</v>
      </c>
      <c r="BG9" s="320">
        <v>6.784620172976946E-3</v>
      </c>
      <c r="BH9" s="320">
        <v>6.9392437068967402E-2</v>
      </c>
      <c r="BI9" s="320">
        <v>2.743068390530655</v>
      </c>
      <c r="BJ9" s="323">
        <v>239.98456757153579</v>
      </c>
      <c r="BK9" s="320">
        <v>12.234680303170325</v>
      </c>
      <c r="BL9" s="320">
        <v>9.8748536299720193</v>
      </c>
      <c r="BM9" s="320">
        <v>5.0981112773109256</v>
      </c>
      <c r="BN9" s="320">
        <v>24.82878665742475</v>
      </c>
      <c r="BO9" s="320">
        <v>4.6764231959440581</v>
      </c>
      <c r="BP9" s="320">
        <v>1.2339979922280058</v>
      </c>
      <c r="BQ9" s="320">
        <v>18.834682743329427</v>
      </c>
      <c r="BR9" s="320">
        <v>0.83496394065241142</v>
      </c>
      <c r="BS9" s="320">
        <v>4.6863190035513098E-3</v>
      </c>
      <c r="BT9" s="320">
        <v>2.6193549173510685E-2</v>
      </c>
      <c r="BU9" s="320">
        <v>3.137087471471399</v>
      </c>
      <c r="BV9" s="320">
        <v>0.8886378196020196</v>
      </c>
      <c r="BW9" s="320">
        <v>8.5787540962100936E-2</v>
      </c>
      <c r="BX9" s="320">
        <v>0.21684598963877141</v>
      </c>
      <c r="BY9" s="320">
        <v>24.402066269910371</v>
      </c>
      <c r="BZ9" s="323">
        <v>107.89657861895247</v>
      </c>
      <c r="CA9" s="320">
        <v>17.786871901746654</v>
      </c>
      <c r="CB9" s="320">
        <v>14.298106515702569</v>
      </c>
      <c r="CC9" s="320">
        <v>16.485112066956976</v>
      </c>
      <c r="CD9" s="323">
        <v>225.55527837058887</v>
      </c>
      <c r="CE9" s="320">
        <v>5.7112577842256451</v>
      </c>
      <c r="CF9" s="320">
        <v>2.3784532158063509</v>
      </c>
      <c r="CG9" s="320">
        <v>2.5320878436025822</v>
      </c>
      <c r="CH9" s="323">
        <v>122.06678504614395</v>
      </c>
      <c r="CI9" s="320">
        <v>39.700251901974127</v>
      </c>
      <c r="CJ9" s="320">
        <v>14.94846152001179</v>
      </c>
      <c r="CK9" s="320">
        <v>32.523386183200081</v>
      </c>
      <c r="CL9" s="320">
        <v>7.7575305524927378</v>
      </c>
      <c r="CM9" s="320">
        <v>3.0354913185264128E-2</v>
      </c>
      <c r="CN9" s="320">
        <v>6.968483945097842E-2</v>
      </c>
      <c r="CO9" s="320">
        <v>0.89828636805802198</v>
      </c>
      <c r="CP9" s="320">
        <v>1.9100544621487934</v>
      </c>
      <c r="CQ9" s="320">
        <v>7.7968031660267612E-2</v>
      </c>
      <c r="CR9" s="320">
        <v>7.9032989447018184E-2</v>
      </c>
      <c r="CS9" s="320">
        <v>4.1377348663716536</v>
      </c>
      <c r="CT9" s="320">
        <v>4.4837199999999999</v>
      </c>
      <c r="CU9" s="320">
        <v>0.10871851817672416</v>
      </c>
      <c r="CV9" s="320">
        <v>3.5245756075111406E-2</v>
      </c>
      <c r="CW9" s="320">
        <v>2.4247392383271964</v>
      </c>
    </row>
    <row r="10" spans="1:101">
      <c r="A10" s="17" t="s">
        <v>119</v>
      </c>
      <c r="B10" s="317" t="s">
        <v>120</v>
      </c>
      <c r="C10" s="155" t="s">
        <v>339</v>
      </c>
      <c r="D10" s="53">
        <v>0.25726700000000002</v>
      </c>
      <c r="E10" s="53">
        <v>34.722675000000002</v>
      </c>
      <c r="F10" s="53" t="s">
        <v>372</v>
      </c>
      <c r="G10" s="53" t="s">
        <v>330</v>
      </c>
      <c r="H10" s="116" t="s">
        <v>347</v>
      </c>
      <c r="I10" s="154" t="s">
        <v>371</v>
      </c>
      <c r="J10" s="116" t="s">
        <v>687</v>
      </c>
      <c r="K10" s="53" t="s">
        <v>366</v>
      </c>
      <c r="L10" s="53" t="s">
        <v>684</v>
      </c>
      <c r="M10" s="53" t="s">
        <v>683</v>
      </c>
      <c r="N10" s="319">
        <v>57634.369503218724</v>
      </c>
      <c r="O10" s="319">
        <v>740.02353724054262</v>
      </c>
      <c r="P10" s="319">
        <v>492.01354883023674</v>
      </c>
      <c r="Q10" s="320">
        <v>1.2839969338073773</v>
      </c>
      <c r="R10" s="320">
        <v>9.2646140646525694</v>
      </c>
      <c r="S10" s="320">
        <v>0.5042775127467598</v>
      </c>
      <c r="T10" s="320">
        <v>0.56736105663758774</v>
      </c>
      <c r="U10" s="320">
        <v>6.1239578106361652</v>
      </c>
      <c r="V10" s="319">
        <v>521.37164288639178</v>
      </c>
      <c r="W10" s="320">
        <v>1.7903148331360057</v>
      </c>
      <c r="X10" s="320">
        <v>1.5163553060971349</v>
      </c>
      <c r="Y10" s="320">
        <v>0.34338554034595242</v>
      </c>
      <c r="Z10" s="320">
        <v>6.244550036505344E-2</v>
      </c>
      <c r="AA10" s="320">
        <v>1.7807443523424889E-2</v>
      </c>
      <c r="AB10" s="320">
        <v>1.4263974775215195E-2</v>
      </c>
      <c r="AC10" s="320">
        <v>28.516776099676385</v>
      </c>
      <c r="AD10" s="320">
        <v>34.078834448188893</v>
      </c>
      <c r="AE10" s="320">
        <v>8.3320335442427691</v>
      </c>
      <c r="AF10" s="320">
        <v>5.7749537358990972</v>
      </c>
      <c r="AG10" s="320">
        <v>24.449291412563472</v>
      </c>
      <c r="AH10" s="321">
        <v>290.45712851788704</v>
      </c>
      <c r="AI10" s="320">
        <v>1.5277348839416713</v>
      </c>
      <c r="AJ10" s="320">
        <v>1.1333383338596208</v>
      </c>
      <c r="AK10" s="320">
        <v>0.52597603361887879</v>
      </c>
      <c r="AL10" s="321">
        <v>244.74732682769945</v>
      </c>
      <c r="AM10" s="320">
        <v>35.654447880981188</v>
      </c>
      <c r="AN10" s="320">
        <v>42.201717287270931</v>
      </c>
      <c r="AO10" s="320">
        <v>17.242973737147562</v>
      </c>
      <c r="AP10" s="321">
        <v>56823.314208523108</v>
      </c>
      <c r="AQ10" s="321">
        <v>330.79216237968927</v>
      </c>
      <c r="AR10" s="321">
        <v>232.58188091478581</v>
      </c>
      <c r="AS10" s="320">
        <v>0.58214162089488386</v>
      </c>
      <c r="AT10" s="320">
        <v>13.600768638751868</v>
      </c>
      <c r="AU10" s="320">
        <v>0.26898821619216406</v>
      </c>
      <c r="AV10" s="322">
        <v>-0.38871369294605806</v>
      </c>
      <c r="AW10" s="320">
        <v>1.9777427536393186</v>
      </c>
      <c r="AX10" s="321">
        <v>17318.057976181983</v>
      </c>
      <c r="AY10" s="321">
        <v>341.26224498865105</v>
      </c>
      <c r="AZ10" s="321">
        <v>819.60972973115076</v>
      </c>
      <c r="BA10" s="320">
        <v>4.7326884507395883</v>
      </c>
      <c r="BB10" s="320">
        <v>663.49916050228228</v>
      </c>
      <c r="BC10" s="320">
        <v>68.602262682748332</v>
      </c>
      <c r="BD10" s="320">
        <v>44.70845549674587</v>
      </c>
      <c r="BE10" s="320">
        <v>10.339464880530524</v>
      </c>
      <c r="BF10" s="320">
        <v>2.7093198199428352</v>
      </c>
      <c r="BG10" s="320">
        <v>1.191362951712182E-2</v>
      </c>
      <c r="BH10" s="320">
        <v>7.5932983749736907E-2</v>
      </c>
      <c r="BI10" s="320">
        <v>2.8026585562474877</v>
      </c>
      <c r="BJ10" s="320">
        <v>83.966726451080788</v>
      </c>
      <c r="BK10" s="320">
        <v>5.7238375701422743</v>
      </c>
      <c r="BL10" s="320">
        <v>5.812562408390419</v>
      </c>
      <c r="BM10" s="320">
        <v>6.9224592336308728</v>
      </c>
      <c r="BN10" s="320">
        <v>27.726507031817398</v>
      </c>
      <c r="BO10" s="320">
        <v>0.37799752320538055</v>
      </c>
      <c r="BP10" s="320">
        <v>0.17333161980178374</v>
      </c>
      <c r="BQ10" s="320">
        <v>1.3633074038919204</v>
      </c>
      <c r="BR10" s="320">
        <v>0.59607128175923951</v>
      </c>
      <c r="BS10" s="320">
        <v>4.5348609489360139E-3</v>
      </c>
      <c r="BT10" s="320">
        <v>2.0450807128828127E-2</v>
      </c>
      <c r="BU10" s="320">
        <v>3.4309331374713765</v>
      </c>
      <c r="BV10" s="320">
        <v>0.98612170553068945</v>
      </c>
      <c r="BW10" s="320">
        <v>9.2916071782940091E-2</v>
      </c>
      <c r="BX10" s="320">
        <v>0.23534277688436883</v>
      </c>
      <c r="BY10" s="320">
        <v>23.865489986118618</v>
      </c>
      <c r="BZ10" s="323">
        <v>336.8106458300802</v>
      </c>
      <c r="CA10" s="320">
        <v>2.2068136189684333</v>
      </c>
      <c r="CB10" s="320">
        <v>2.7508249578943356</v>
      </c>
      <c r="CC10" s="320">
        <v>0.81672743779070356</v>
      </c>
      <c r="CD10" s="323">
        <v>131.0572051678848</v>
      </c>
      <c r="CE10" s="320">
        <v>1.8250894914641769</v>
      </c>
      <c r="CF10" s="320">
        <v>1.2305322613588379</v>
      </c>
      <c r="CG10" s="320">
        <v>1.392589967965691</v>
      </c>
      <c r="CH10" s="320">
        <v>84.060697372149605</v>
      </c>
      <c r="CI10" s="320">
        <v>23.62593148196742</v>
      </c>
      <c r="CJ10" s="320">
        <v>13.754605211161225</v>
      </c>
      <c r="CK10" s="320">
        <v>28.10579999993552</v>
      </c>
      <c r="CL10" s="320">
        <v>3.042200806740881</v>
      </c>
      <c r="CM10" s="320">
        <v>6.3475580162339382E-2</v>
      </c>
      <c r="CN10" s="320">
        <v>3.348675613523569E-2</v>
      </c>
      <c r="CO10" s="320">
        <v>2.0865019830936462</v>
      </c>
      <c r="CP10" s="320">
        <v>1.0182480946154147</v>
      </c>
      <c r="CQ10" s="320">
        <v>8.9566178188585602E-2</v>
      </c>
      <c r="CR10" s="320">
        <v>7.8444800160509032E-2</v>
      </c>
      <c r="CS10" s="320">
        <v>8.7961056506974504</v>
      </c>
      <c r="CT10" s="320">
        <v>1.8359799999999999</v>
      </c>
      <c r="CU10" s="320">
        <v>4.8016876023366094E-2</v>
      </c>
      <c r="CV10" s="320">
        <v>2.9986517915124702E-2</v>
      </c>
      <c r="CW10" s="320">
        <v>2.6153267477513968</v>
      </c>
    </row>
    <row r="11" spans="1:101">
      <c r="A11" s="17" t="s">
        <v>148</v>
      </c>
      <c r="B11" s="317" t="s">
        <v>149</v>
      </c>
      <c r="C11" s="155" t="s">
        <v>340</v>
      </c>
      <c r="D11" s="53">
        <v>0.26547500000000002</v>
      </c>
      <c r="E11" s="53">
        <v>34.728920000000002</v>
      </c>
      <c r="F11" s="53" t="s">
        <v>373</v>
      </c>
      <c r="G11" s="53" t="s">
        <v>330</v>
      </c>
      <c r="H11" s="116" t="s">
        <v>347</v>
      </c>
      <c r="I11" s="154" t="s">
        <v>371</v>
      </c>
      <c r="J11" s="116" t="s">
        <v>687</v>
      </c>
      <c r="K11" s="53" t="s">
        <v>370</v>
      </c>
      <c r="L11" s="53" t="s">
        <v>684</v>
      </c>
      <c r="M11" s="53" t="s">
        <v>683</v>
      </c>
      <c r="N11" s="319">
        <v>78910.949483062359</v>
      </c>
      <c r="O11" s="319">
        <v>1515.9508540874701</v>
      </c>
      <c r="P11" s="319">
        <v>830.51705534987354</v>
      </c>
      <c r="Q11" s="320">
        <v>1.9210906268626986</v>
      </c>
      <c r="R11" s="320">
        <v>4.8290385735962911</v>
      </c>
      <c r="S11" s="320">
        <v>6.0487318203437966E-2</v>
      </c>
      <c r="T11" s="320">
        <v>9.7338218595221598E-2</v>
      </c>
      <c r="U11" s="320">
        <v>2.0156852572567399</v>
      </c>
      <c r="V11" s="319">
        <v>565.53387764946194</v>
      </c>
      <c r="W11" s="320">
        <v>98.68117497027346</v>
      </c>
      <c r="X11" s="320">
        <v>47.091961084252034</v>
      </c>
      <c r="Y11" s="320">
        <v>17.449206647075453</v>
      </c>
      <c r="Z11" s="320">
        <v>0.1468093495789575</v>
      </c>
      <c r="AA11" s="320">
        <v>6.0659459308351073E-2</v>
      </c>
      <c r="AB11" s="320">
        <v>2.3124821448958739E-2</v>
      </c>
      <c r="AC11" s="320">
        <v>41.318526021891408</v>
      </c>
      <c r="AD11" s="320">
        <v>65.41159116996279</v>
      </c>
      <c r="AE11" s="320">
        <v>13.815590321784116</v>
      </c>
      <c r="AF11" s="320">
        <v>7.3009277729212059</v>
      </c>
      <c r="AG11" s="320">
        <v>21.121012460752183</v>
      </c>
      <c r="AH11" s="321">
        <v>1195.9238012202518</v>
      </c>
      <c r="AI11" s="320">
        <v>3.3324518981415823</v>
      </c>
      <c r="AJ11" s="320">
        <v>1.9719706383002786</v>
      </c>
      <c r="AK11" s="320">
        <v>0.27865085507465776</v>
      </c>
      <c r="AL11" s="320">
        <v>53.948860488250261</v>
      </c>
      <c r="AM11" s="320">
        <v>7.4883497708818707</v>
      </c>
      <c r="AN11" s="320">
        <v>6.6572629121381919</v>
      </c>
      <c r="AO11" s="320">
        <v>13.880459574327411</v>
      </c>
      <c r="AP11" s="321">
        <v>85090.831318719516</v>
      </c>
      <c r="AQ11" s="321">
        <v>173.85900549341679</v>
      </c>
      <c r="AR11" s="321">
        <v>140.12828219484442</v>
      </c>
      <c r="AS11" s="320">
        <v>0.20432166756275275</v>
      </c>
      <c r="AT11" s="320">
        <v>19.872148557948567</v>
      </c>
      <c r="AU11" s="322">
        <v>-0.14950166112956811</v>
      </c>
      <c r="AV11" s="322">
        <v>-0.38993501083152809</v>
      </c>
      <c r="AW11" s="320" t="s">
        <v>288</v>
      </c>
      <c r="AX11" s="321">
        <v>3763.6080313270149</v>
      </c>
      <c r="AY11" s="321">
        <v>488.32014960570064</v>
      </c>
      <c r="AZ11" s="321">
        <v>803.16833208946753</v>
      </c>
      <c r="BA11" s="320">
        <v>21.34038203245829</v>
      </c>
      <c r="BB11" s="321">
        <v>2036.2509560433402</v>
      </c>
      <c r="BC11" s="321">
        <v>565.76810107805272</v>
      </c>
      <c r="BD11" s="321">
        <v>296.20340649780212</v>
      </c>
      <c r="BE11" s="320">
        <v>27.784792409743169</v>
      </c>
      <c r="BF11" s="320">
        <v>3.1599046361635996</v>
      </c>
      <c r="BG11" s="320">
        <v>5.5682501071465853E-3</v>
      </c>
      <c r="BH11" s="320">
        <v>7.3958392339739151E-2</v>
      </c>
      <c r="BI11" s="320">
        <v>2.3405260871901219</v>
      </c>
      <c r="BJ11" s="323">
        <v>369.64521666906273</v>
      </c>
      <c r="BK11" s="320">
        <v>21.096929998888726</v>
      </c>
      <c r="BL11" s="320">
        <v>16.665183912686306</v>
      </c>
      <c r="BM11" s="320">
        <v>5.7073455972180103</v>
      </c>
      <c r="BN11" s="320">
        <v>17.530373250600199</v>
      </c>
      <c r="BO11" s="320">
        <v>2.0251150051805471</v>
      </c>
      <c r="BP11" s="320">
        <v>0.59778398284655709</v>
      </c>
      <c r="BQ11" s="320">
        <v>11.552035865016233</v>
      </c>
      <c r="BR11" s="320">
        <v>0.55314660815406214</v>
      </c>
      <c r="BS11" s="320">
        <v>2.9031157410307853E-3</v>
      </c>
      <c r="BT11" s="320">
        <v>1.8088312077330266E-2</v>
      </c>
      <c r="BU11" s="320">
        <v>3.2700755659867151</v>
      </c>
      <c r="BV11" s="320">
        <v>0.83572782219980357</v>
      </c>
      <c r="BW11" s="320">
        <v>9.6138515812849074E-2</v>
      </c>
      <c r="BX11" s="320">
        <v>0.19894721502145535</v>
      </c>
      <c r="BY11" s="320">
        <v>23.805264074825978</v>
      </c>
      <c r="BZ11" s="323">
        <v>124.1791146418815</v>
      </c>
      <c r="CA11" s="320">
        <v>19.035269736612669</v>
      </c>
      <c r="CB11" s="320">
        <v>14.081395168650189</v>
      </c>
      <c r="CC11" s="320">
        <v>15.328881826471569</v>
      </c>
      <c r="CD11" s="323">
        <v>150.64371934346809</v>
      </c>
      <c r="CE11" s="320">
        <v>3.3239644723820869</v>
      </c>
      <c r="CF11" s="320">
        <v>1.1106339334421269</v>
      </c>
      <c r="CG11" s="320">
        <v>2.2065071725980419</v>
      </c>
      <c r="CH11" s="323">
        <v>101.83463078233716</v>
      </c>
      <c r="CI11" s="320">
        <v>26.988813081913719</v>
      </c>
      <c r="CJ11" s="320">
        <v>12.422149609891159</v>
      </c>
      <c r="CK11" s="320">
        <v>26.502588436344414</v>
      </c>
      <c r="CL11" s="320">
        <v>8.9951136960524156</v>
      </c>
      <c r="CM11" s="320">
        <v>3.3846106903602464E-2</v>
      </c>
      <c r="CN11" s="320">
        <v>5.2068680334853221E-2</v>
      </c>
      <c r="CO11" s="320">
        <v>0.57885516619655419</v>
      </c>
      <c r="CP11" s="320">
        <v>2.1956849992008509</v>
      </c>
      <c r="CQ11" s="320">
        <v>7.9343610437479284E-2</v>
      </c>
      <c r="CR11" s="320">
        <v>0.11107892887096335</v>
      </c>
      <c r="CS11" s="320">
        <v>5.058964692630866</v>
      </c>
      <c r="CT11" s="320">
        <v>8.3000000000000004E-2</v>
      </c>
      <c r="CU11" s="322">
        <v>-1.1212624584717607E-2</v>
      </c>
      <c r="CV11" s="322">
        <v>-2.9245125812364603E-2</v>
      </c>
      <c r="CW11" s="320" t="s">
        <v>288</v>
      </c>
    </row>
    <row r="12" spans="1:101">
      <c r="A12" s="17" t="s">
        <v>150</v>
      </c>
      <c r="B12" s="317" t="s">
        <v>151</v>
      </c>
      <c r="C12" s="155" t="s">
        <v>340</v>
      </c>
      <c r="D12" s="53">
        <v>0.26495800000000003</v>
      </c>
      <c r="E12" s="53">
        <v>34.729039</v>
      </c>
      <c r="F12" s="53" t="s">
        <v>373</v>
      </c>
      <c r="G12" s="53" t="s">
        <v>330</v>
      </c>
      <c r="H12" s="116" t="s">
        <v>347</v>
      </c>
      <c r="I12" s="154" t="s">
        <v>371</v>
      </c>
      <c r="J12" s="116" t="s">
        <v>687</v>
      </c>
      <c r="K12" s="53" t="s">
        <v>368</v>
      </c>
      <c r="L12" s="53" t="s">
        <v>684</v>
      </c>
      <c r="M12" s="53" t="s">
        <v>683</v>
      </c>
      <c r="N12" s="319">
        <v>87451.32516523909</v>
      </c>
      <c r="O12" s="319">
        <v>1727.2983888501415</v>
      </c>
      <c r="P12" s="319">
        <v>1077.056303158525</v>
      </c>
      <c r="Q12" s="320">
        <v>1.9751540477933465</v>
      </c>
      <c r="R12" s="320">
        <v>8.2687969228122071</v>
      </c>
      <c r="S12" s="320">
        <v>0.10133868281499765</v>
      </c>
      <c r="T12" s="320">
        <v>0.14963505074097352</v>
      </c>
      <c r="U12" s="320">
        <v>1.8096350912689103</v>
      </c>
      <c r="V12" s="319">
        <v>410.56543687088561</v>
      </c>
      <c r="W12" s="321">
        <v>115.79674055639833</v>
      </c>
      <c r="X12" s="320">
        <v>61.536437434257188</v>
      </c>
      <c r="Y12" s="320">
        <v>28.204210622048549</v>
      </c>
      <c r="Z12" s="320">
        <v>0.18014861836015975</v>
      </c>
      <c r="AA12" s="320">
        <v>7.9827772425561647E-2</v>
      </c>
      <c r="AB12" s="320">
        <v>3.3744243840226847E-2</v>
      </c>
      <c r="AC12" s="320">
        <v>44.312175775873577</v>
      </c>
      <c r="AD12" s="320">
        <v>78.508531118177402</v>
      </c>
      <c r="AE12" s="320">
        <v>12.54750814749932</v>
      </c>
      <c r="AF12" s="320">
        <v>6.3728106994766032</v>
      </c>
      <c r="AG12" s="320">
        <v>15.982349903619767</v>
      </c>
      <c r="AH12" s="321">
        <v>1682.3184556667823</v>
      </c>
      <c r="AI12" s="320">
        <v>3.0239079061373362</v>
      </c>
      <c r="AJ12" s="320">
        <v>2.5148803776260751</v>
      </c>
      <c r="AK12" s="320">
        <v>0.17974646214879803</v>
      </c>
      <c r="AL12" s="320">
        <v>63.172730458119865</v>
      </c>
      <c r="AM12" s="320">
        <v>7.2612196338819857</v>
      </c>
      <c r="AN12" s="320">
        <v>8.3258850949102285</v>
      </c>
      <c r="AO12" s="320">
        <v>13.179555536909781</v>
      </c>
      <c r="AP12" s="321">
        <v>115981.70354456625</v>
      </c>
      <c r="AQ12" s="321">
        <v>176.78557661205798</v>
      </c>
      <c r="AR12" s="321">
        <v>181.41234785095418</v>
      </c>
      <c r="AS12" s="320">
        <v>0.1564146260200826</v>
      </c>
      <c r="AT12" s="320">
        <v>23.542302786797663</v>
      </c>
      <c r="AU12" s="320">
        <v>0.18322642103023198</v>
      </c>
      <c r="AV12" s="322">
        <v>-0.38954553021474947</v>
      </c>
      <c r="AW12" s="320">
        <v>0.77828589110230928</v>
      </c>
      <c r="AX12" s="321">
        <v>4986.524629986463</v>
      </c>
      <c r="AY12" s="321">
        <v>518.96797481206761</v>
      </c>
      <c r="AZ12" s="321">
        <v>847.24473330158742</v>
      </c>
      <c r="BA12" s="320">
        <v>16.990685821677921</v>
      </c>
      <c r="BB12" s="321">
        <v>2617.1165954421331</v>
      </c>
      <c r="BC12" s="321">
        <v>599.88492167626919</v>
      </c>
      <c r="BD12" s="321">
        <v>284.65707603010549</v>
      </c>
      <c r="BE12" s="320">
        <v>22.921597101214562</v>
      </c>
      <c r="BF12" s="320">
        <v>3.1848220734691015</v>
      </c>
      <c r="BG12" s="320">
        <v>2.9743616574030322E-3</v>
      </c>
      <c r="BH12" s="320">
        <v>5.6721769680035679E-2</v>
      </c>
      <c r="BI12" s="320">
        <v>1.781002780423802</v>
      </c>
      <c r="BJ12" s="323">
        <v>444.96222705958093</v>
      </c>
      <c r="BK12" s="320">
        <v>21.579659770852444</v>
      </c>
      <c r="BL12" s="320">
        <v>17.176817244567172</v>
      </c>
      <c r="BM12" s="320">
        <v>4.8497734096343654</v>
      </c>
      <c r="BN12" s="320">
        <v>21.968397967379531</v>
      </c>
      <c r="BO12" s="320">
        <v>3.958522029585438</v>
      </c>
      <c r="BP12" s="320">
        <v>1.2714572376572453</v>
      </c>
      <c r="BQ12" s="320">
        <v>18.019165691842321</v>
      </c>
      <c r="BR12" s="320">
        <v>0.67777537753449768</v>
      </c>
      <c r="BS12" s="320">
        <v>2.5518120216634671E-3</v>
      </c>
      <c r="BT12" s="320">
        <v>2.1592390530549337E-2</v>
      </c>
      <c r="BU12" s="320">
        <v>3.1857738192105272</v>
      </c>
      <c r="BV12" s="320">
        <v>1.2804055285950515</v>
      </c>
      <c r="BW12" s="320">
        <v>0.11514111658288179</v>
      </c>
      <c r="BX12" s="320">
        <v>0.30067222808284633</v>
      </c>
      <c r="BY12" s="320">
        <v>23.482578087019387</v>
      </c>
      <c r="BZ12" s="320">
        <v>65.080217579035562</v>
      </c>
      <c r="CA12" s="320">
        <v>17.268502401442145</v>
      </c>
      <c r="CB12" s="320">
        <v>13.374611597222415</v>
      </c>
      <c r="CC12" s="320">
        <v>26.534180498813953</v>
      </c>
      <c r="CD12" s="323">
        <v>213.619449868781</v>
      </c>
      <c r="CE12" s="320">
        <v>2.9663180600048697</v>
      </c>
      <c r="CF12" s="320">
        <v>1.0783451331239469</v>
      </c>
      <c r="CG12" s="320">
        <v>1.3885992412334063</v>
      </c>
      <c r="CH12" s="323">
        <v>119.95077045515757</v>
      </c>
      <c r="CI12" s="320">
        <v>19.946061602767791</v>
      </c>
      <c r="CJ12" s="320">
        <v>10.382198703207109</v>
      </c>
      <c r="CK12" s="320">
        <v>16.628539797686777</v>
      </c>
      <c r="CL12" s="320">
        <v>10.24339062989314</v>
      </c>
      <c r="CM12" s="320">
        <v>3.5734965095353469E-2</v>
      </c>
      <c r="CN12" s="320">
        <v>7.4917663180963281E-2</v>
      </c>
      <c r="CO12" s="320">
        <v>0.73137563418046503</v>
      </c>
      <c r="CP12" s="320">
        <v>2.315214627877118</v>
      </c>
      <c r="CQ12" s="320">
        <v>8.3528488200154363E-2</v>
      </c>
      <c r="CR12" s="320">
        <v>0.12269435433492375</v>
      </c>
      <c r="CS12" s="320">
        <v>5.2994807849596857</v>
      </c>
      <c r="CT12" s="320">
        <v>6.5500000000000003E-2</v>
      </c>
      <c r="CU12" s="322">
        <v>-1.120890069744271E-2</v>
      </c>
      <c r="CV12" s="322">
        <v>-2.9215914766106209E-2</v>
      </c>
      <c r="CW12" s="320" t="s">
        <v>288</v>
      </c>
    </row>
    <row r="13" spans="1:101">
      <c r="A13" s="17" t="s">
        <v>154</v>
      </c>
      <c r="B13" s="317" t="s">
        <v>155</v>
      </c>
      <c r="C13" s="155" t="s">
        <v>340</v>
      </c>
      <c r="D13" s="53">
        <v>0.20325199999999999</v>
      </c>
      <c r="E13" s="53">
        <v>34.716146999999999</v>
      </c>
      <c r="F13" s="53" t="s">
        <v>351</v>
      </c>
      <c r="G13" s="53" t="s">
        <v>330</v>
      </c>
      <c r="H13" s="116" t="s">
        <v>347</v>
      </c>
      <c r="I13" s="154" t="s">
        <v>371</v>
      </c>
      <c r="J13" s="116" t="s">
        <v>687</v>
      </c>
      <c r="K13" s="53" t="s">
        <v>367</v>
      </c>
      <c r="L13" s="53" t="s">
        <v>684</v>
      </c>
      <c r="M13" s="53" t="s">
        <v>683</v>
      </c>
      <c r="N13" s="319">
        <v>75968.022063565557</v>
      </c>
      <c r="O13" s="319">
        <v>1217.8647437428301</v>
      </c>
      <c r="P13" s="319">
        <v>247.71245265480411</v>
      </c>
      <c r="Q13" s="320">
        <v>1.6031281461083624</v>
      </c>
      <c r="R13" s="320">
        <v>24.430934841054878</v>
      </c>
      <c r="S13" s="320">
        <v>0.28179388232344843</v>
      </c>
      <c r="T13" s="320">
        <v>0.39626713540864755</v>
      </c>
      <c r="U13" s="320">
        <v>1.6219892443196313</v>
      </c>
      <c r="V13" s="319">
        <v>519.20850120062312</v>
      </c>
      <c r="W13" s="321">
        <v>115.94486987866685</v>
      </c>
      <c r="X13" s="320">
        <v>36.305953429468126</v>
      </c>
      <c r="Y13" s="320">
        <v>22.331080791349667</v>
      </c>
      <c r="Z13" s="320">
        <v>0.11678127644201661</v>
      </c>
      <c r="AA13" s="320">
        <v>5.9240835293729019E-2</v>
      </c>
      <c r="AB13" s="320">
        <v>2.9750530287078185E-2</v>
      </c>
      <c r="AC13" s="320">
        <v>50.728025158333367</v>
      </c>
      <c r="AD13" s="320">
        <v>48.147357986522529</v>
      </c>
      <c r="AE13" s="320">
        <v>15.331662042352919</v>
      </c>
      <c r="AF13" s="320">
        <v>8.0364335142227077</v>
      </c>
      <c r="AG13" s="320">
        <v>31.843205283755292</v>
      </c>
      <c r="AH13" s="321">
        <v>257.25252946886656</v>
      </c>
      <c r="AI13" s="320">
        <v>0.77394108229962799</v>
      </c>
      <c r="AJ13" s="320">
        <v>0.19059972052767116</v>
      </c>
      <c r="AK13" s="320">
        <v>0.30084877450866526</v>
      </c>
      <c r="AL13" s="320">
        <v>45.158678194515097</v>
      </c>
      <c r="AM13" s="320">
        <v>6.7692664014631552</v>
      </c>
      <c r="AN13" s="320">
        <v>6.6759295402894718</v>
      </c>
      <c r="AO13" s="320">
        <v>14.989956907740801</v>
      </c>
      <c r="AP13" s="321">
        <v>60259.049904074796</v>
      </c>
      <c r="AQ13" s="321">
        <v>240.98982194908498</v>
      </c>
      <c r="AR13" s="320">
        <v>58.26511152739527</v>
      </c>
      <c r="AS13" s="320">
        <v>0.39992303617914982</v>
      </c>
      <c r="AT13" s="320">
        <v>14.340211062798497</v>
      </c>
      <c r="AU13" s="322">
        <v>-0.14975041597337771</v>
      </c>
      <c r="AV13" s="322">
        <v>-0.38981358189081228</v>
      </c>
      <c r="AW13" s="320" t="s">
        <v>288</v>
      </c>
      <c r="AX13" s="321">
        <v>3862.5699738640205</v>
      </c>
      <c r="AY13" s="321">
        <v>440.72018982013196</v>
      </c>
      <c r="AZ13" s="321">
        <v>741.06240991412926</v>
      </c>
      <c r="BA13" s="320">
        <v>19.185734237269713</v>
      </c>
      <c r="BB13" s="321">
        <v>1966.6309914266305</v>
      </c>
      <c r="BC13" s="321">
        <v>797.08738012111314</v>
      </c>
      <c r="BD13" s="321">
        <v>475.3184618622837</v>
      </c>
      <c r="BE13" s="320">
        <v>40.530602009017016</v>
      </c>
      <c r="BF13" s="320">
        <v>1.7349063228649859</v>
      </c>
      <c r="BG13" s="320">
        <v>9.0251001047371888E-3</v>
      </c>
      <c r="BH13" s="320">
        <v>0.10487788395166871</v>
      </c>
      <c r="BI13" s="320">
        <v>6.04516120377472</v>
      </c>
      <c r="BJ13" s="320">
        <v>77.975252206712128</v>
      </c>
      <c r="BK13" s="320">
        <v>4.3303017955480492</v>
      </c>
      <c r="BL13" s="320">
        <v>3.2064350316054089</v>
      </c>
      <c r="BM13" s="320">
        <v>5.5534309578998649</v>
      </c>
      <c r="BN13" s="320">
        <v>17.916076758088597</v>
      </c>
      <c r="BO13" s="320">
        <v>4.4415103042119721</v>
      </c>
      <c r="BP13" s="320">
        <v>0.50971465633794077</v>
      </c>
      <c r="BQ13" s="320">
        <v>24.790641188823649</v>
      </c>
      <c r="BR13" s="320">
        <v>0.73197281999955544</v>
      </c>
      <c r="BS13" s="320">
        <v>3.8970316291252467E-3</v>
      </c>
      <c r="BT13" s="320">
        <v>3.045762014996773E-2</v>
      </c>
      <c r="BU13" s="320">
        <v>4.1610315735475298</v>
      </c>
      <c r="BV13" s="320">
        <v>0.76297657611057901</v>
      </c>
      <c r="BW13" s="320">
        <v>0.10556012379534481</v>
      </c>
      <c r="BX13" s="320">
        <v>0.22113941956030903</v>
      </c>
      <c r="BY13" s="320">
        <v>28.983775712697508</v>
      </c>
      <c r="BZ13" s="320">
        <v>44.872680335765587</v>
      </c>
      <c r="CA13" s="320">
        <v>11.322946221479537</v>
      </c>
      <c r="CB13" s="320">
        <v>9.7684285247685967</v>
      </c>
      <c r="CC13" s="320">
        <v>25.233496498881141</v>
      </c>
      <c r="CD13" s="323">
        <v>163.12934432091856</v>
      </c>
      <c r="CE13" s="320">
        <v>3.5302340916720016</v>
      </c>
      <c r="CF13" s="320">
        <v>1.2032301464532911</v>
      </c>
      <c r="CG13" s="320">
        <v>2.1640705455954619</v>
      </c>
      <c r="CH13" s="320">
        <v>88.487843461030735</v>
      </c>
      <c r="CI13" s="320">
        <v>18.018116866051059</v>
      </c>
      <c r="CJ13" s="320">
        <v>5.2730072775217289</v>
      </c>
      <c r="CK13" s="320">
        <v>20.362251085920157</v>
      </c>
      <c r="CL13" s="320">
        <v>7.0627449564233196</v>
      </c>
      <c r="CM13" s="320">
        <v>2.3393299968833409E-2</v>
      </c>
      <c r="CN13" s="320">
        <v>2.345250061487893E-2</v>
      </c>
      <c r="CO13" s="320">
        <v>0.33205928799042506</v>
      </c>
      <c r="CP13" s="320">
        <v>2.0700308804520406</v>
      </c>
      <c r="CQ13" s="320">
        <v>0.11042050029485184</v>
      </c>
      <c r="CR13" s="320">
        <v>3.0884199266763779E-2</v>
      </c>
      <c r="CS13" s="320">
        <v>5.3342441089931416</v>
      </c>
      <c r="CT13" s="320">
        <v>21.142099999999999</v>
      </c>
      <c r="CU13" s="320">
        <v>10.847543796696662</v>
      </c>
      <c r="CV13" s="320">
        <v>1.0608716450192073</v>
      </c>
      <c r="CW13" s="320">
        <v>51.307787763262226</v>
      </c>
    </row>
    <row r="14" spans="1:101">
      <c r="A14" s="17" t="s">
        <v>183</v>
      </c>
      <c r="B14" s="317" t="s">
        <v>184</v>
      </c>
      <c r="C14" s="155" t="s">
        <v>343</v>
      </c>
      <c r="D14" s="53">
        <v>0.19486300000000001</v>
      </c>
      <c r="E14" s="53">
        <v>34.750653</v>
      </c>
      <c r="F14" s="53" t="s">
        <v>355</v>
      </c>
      <c r="G14" s="53" t="s">
        <v>330</v>
      </c>
      <c r="H14" s="116" t="s">
        <v>347</v>
      </c>
      <c r="I14" s="154" t="s">
        <v>371</v>
      </c>
      <c r="J14" s="116" t="s">
        <v>687</v>
      </c>
      <c r="K14" s="53" t="s">
        <v>366</v>
      </c>
      <c r="L14" s="53" t="s">
        <v>684</v>
      </c>
      <c r="M14" s="53" t="s">
        <v>683</v>
      </c>
      <c r="N14" s="319">
        <v>49616.580883370611</v>
      </c>
      <c r="O14" s="319">
        <v>644.79173397073259</v>
      </c>
      <c r="P14" s="319">
        <v>287.83586630273697</v>
      </c>
      <c r="Q14" s="320">
        <v>1.2995489058111209</v>
      </c>
      <c r="R14" s="319">
        <v>190.91850566026287</v>
      </c>
      <c r="S14" s="320">
        <v>4.7488018004661132</v>
      </c>
      <c r="T14" s="320">
        <v>5.0098594899862272</v>
      </c>
      <c r="U14" s="320">
        <v>2.6240827062103715</v>
      </c>
      <c r="V14" s="319">
        <v>483.83125221070179</v>
      </c>
      <c r="W14" s="320">
        <v>49.3298786519956</v>
      </c>
      <c r="X14" s="320">
        <v>25.13013913677084</v>
      </c>
      <c r="Y14" s="320">
        <v>10.195678436768926</v>
      </c>
      <c r="Z14" s="320">
        <v>0.30836089172295156</v>
      </c>
      <c r="AA14" s="320">
        <v>7.7837862856673629E-2</v>
      </c>
      <c r="AB14" s="320">
        <v>4.1786865416787451E-2</v>
      </c>
      <c r="AC14" s="320">
        <v>25.24245614343581</v>
      </c>
      <c r="AD14" s="320">
        <v>30.814540761030482</v>
      </c>
      <c r="AE14" s="320">
        <v>11.864871199446608</v>
      </c>
      <c r="AF14" s="320">
        <v>7.1509445985959283</v>
      </c>
      <c r="AG14" s="320">
        <v>38.504131187479786</v>
      </c>
      <c r="AH14" s="321">
        <v>106.78444902175021</v>
      </c>
      <c r="AI14" s="320">
        <v>1.5493390006994978</v>
      </c>
      <c r="AJ14" s="320">
        <v>0.5117765348512664</v>
      </c>
      <c r="AK14" s="320">
        <v>1.4509032119310963</v>
      </c>
      <c r="AL14" s="320">
        <v>36.861406327480047</v>
      </c>
      <c r="AM14" s="320">
        <v>5.7311673022562779</v>
      </c>
      <c r="AN14" s="320">
        <v>5.9057309339942385</v>
      </c>
      <c r="AO14" s="320">
        <v>16.021447693902925</v>
      </c>
      <c r="AP14" s="321">
        <v>39675.446299144663</v>
      </c>
      <c r="AQ14" s="321">
        <v>437.45304224043122</v>
      </c>
      <c r="AR14" s="321">
        <v>201.69623473201358</v>
      </c>
      <c r="AS14" s="320">
        <v>1.1025787559946414</v>
      </c>
      <c r="AT14" s="320">
        <v>8.0731772898552272</v>
      </c>
      <c r="AU14" s="322">
        <v>-0.14965918536990855</v>
      </c>
      <c r="AV14" s="322">
        <v>-0.38773819386909691</v>
      </c>
      <c r="AW14" s="320" t="s">
        <v>288</v>
      </c>
      <c r="AX14" s="321">
        <v>2606.4421870392302</v>
      </c>
      <c r="AY14" s="321">
        <v>250.35267014198018</v>
      </c>
      <c r="AZ14" s="321">
        <v>620.99143571037325</v>
      </c>
      <c r="BA14" s="320">
        <v>23.825252629745997</v>
      </c>
      <c r="BB14" s="321">
        <v>1524.0159384046892</v>
      </c>
      <c r="BC14" s="321">
        <v>679.6247876229952</v>
      </c>
      <c r="BD14" s="321">
        <v>465.96034473474793</v>
      </c>
      <c r="BE14" s="320">
        <v>44.594335957825578</v>
      </c>
      <c r="BF14" s="320">
        <v>1.7137579349647101</v>
      </c>
      <c r="BG14" s="320">
        <v>1.090427274484752E-2</v>
      </c>
      <c r="BH14" s="320">
        <v>0.11453149310427148</v>
      </c>
      <c r="BI14" s="320">
        <v>6.6830612869856632</v>
      </c>
      <c r="BJ14" s="320">
        <v>25.823791387085514</v>
      </c>
      <c r="BK14" s="320">
        <v>2.219515522145119</v>
      </c>
      <c r="BL14" s="320">
        <v>1.8435861976965482</v>
      </c>
      <c r="BM14" s="320">
        <v>8.5948476305268606</v>
      </c>
      <c r="BN14" s="320">
        <v>50.384579747039155</v>
      </c>
      <c r="BO14" s="320">
        <v>10.270534345707199</v>
      </c>
      <c r="BP14" s="320">
        <v>2.9489413293561064</v>
      </c>
      <c r="BQ14" s="320">
        <v>20.38428105835446</v>
      </c>
      <c r="BR14" s="320">
        <v>1.4433927545541683</v>
      </c>
      <c r="BS14" s="320">
        <v>7.7422938628245999E-3</v>
      </c>
      <c r="BT14" s="320">
        <v>3.1121326754307909E-2</v>
      </c>
      <c r="BU14" s="320">
        <v>2.1561232489296089</v>
      </c>
      <c r="BV14" s="320">
        <v>0.43641770803892505</v>
      </c>
      <c r="BW14" s="320">
        <v>7.4827647377475714E-2</v>
      </c>
      <c r="BX14" s="320">
        <v>0.18054559838583642</v>
      </c>
      <c r="BY14" s="320">
        <v>41.369906642223867</v>
      </c>
      <c r="BZ14" s="320">
        <v>99.674900450623355</v>
      </c>
      <c r="CA14" s="320">
        <v>7.8085828675764493</v>
      </c>
      <c r="CB14" s="320">
        <v>7.9774592812021048</v>
      </c>
      <c r="CC14" s="320">
        <v>8.0034785539153397</v>
      </c>
      <c r="CD14" s="320">
        <v>90.261723935716532</v>
      </c>
      <c r="CE14" s="320">
        <v>2.9735230845739529</v>
      </c>
      <c r="CF14" s="320">
        <v>1.2580978054724259</v>
      </c>
      <c r="CG14" s="320">
        <v>3.2943344697157184</v>
      </c>
      <c r="CH14" s="320">
        <v>73.860525343132977</v>
      </c>
      <c r="CI14" s="320">
        <v>15.579560731151117</v>
      </c>
      <c r="CJ14" s="320">
        <v>9.4881021316544238</v>
      </c>
      <c r="CK14" s="320">
        <v>21.093216787686433</v>
      </c>
      <c r="CL14" s="320">
        <v>8.0895471578510012</v>
      </c>
      <c r="CM14" s="320">
        <v>4.2294442861487577E-2</v>
      </c>
      <c r="CN14" s="320">
        <v>2.4670670370600008E-2</v>
      </c>
      <c r="CO14" s="320">
        <v>0.52282831209458147</v>
      </c>
      <c r="CP14" s="320">
        <v>1.9535046797097924</v>
      </c>
      <c r="CQ14" s="320">
        <v>8.9939379025410687E-2</v>
      </c>
      <c r="CR14" s="320">
        <v>5.2047321158746336E-2</v>
      </c>
      <c r="CS14" s="320">
        <v>4.6040012066299143</v>
      </c>
      <c r="CT14" s="320">
        <v>6.8764050000000001</v>
      </c>
      <c r="CU14" s="320">
        <v>1.4488945936633135</v>
      </c>
      <c r="CV14" s="320">
        <v>0.11733388606545095</v>
      </c>
      <c r="CW14" s="320">
        <v>21.07052440429721</v>
      </c>
    </row>
    <row r="15" spans="1:101">
      <c r="A15" s="17" t="s">
        <v>185</v>
      </c>
      <c r="B15" s="317" t="s">
        <v>186</v>
      </c>
      <c r="C15" s="155" t="s">
        <v>343</v>
      </c>
      <c r="D15" s="53">
        <v>0.19508500000000001</v>
      </c>
      <c r="E15" s="53">
        <v>34.751396</v>
      </c>
      <c r="F15" s="53" t="s">
        <v>355</v>
      </c>
      <c r="G15" s="53" t="s">
        <v>330</v>
      </c>
      <c r="H15" s="116" t="s">
        <v>347</v>
      </c>
      <c r="I15" s="154" t="s">
        <v>371</v>
      </c>
      <c r="J15" s="116" t="s">
        <v>687</v>
      </c>
      <c r="K15" s="53" t="s">
        <v>367</v>
      </c>
      <c r="L15" s="53" t="s">
        <v>684</v>
      </c>
      <c r="M15" s="53" t="s">
        <v>683</v>
      </c>
      <c r="N15" s="319">
        <v>74130.361696454653</v>
      </c>
      <c r="O15" s="319">
        <v>1174.0883447778399</v>
      </c>
      <c r="P15" s="319">
        <v>377.91808430296464</v>
      </c>
      <c r="Q15" s="320">
        <v>1.5838157509408073</v>
      </c>
      <c r="R15" s="319">
        <v>103.18378413501281</v>
      </c>
      <c r="S15" s="320">
        <v>2.6049037946278304</v>
      </c>
      <c r="T15" s="320">
        <v>2.5860626826516482</v>
      </c>
      <c r="U15" s="320">
        <v>2.5245282642662086</v>
      </c>
      <c r="V15" s="319">
        <v>481.64320409050094</v>
      </c>
      <c r="W15" s="320">
        <v>90.025496558506347</v>
      </c>
      <c r="X15" s="320">
        <v>33.79872685157283</v>
      </c>
      <c r="Y15" s="320">
        <v>18.691324987861872</v>
      </c>
      <c r="Z15" s="320">
        <v>0.26349670661430774</v>
      </c>
      <c r="AA15" s="320">
        <v>0.12198914732394533</v>
      </c>
      <c r="AB15" s="320">
        <v>5.0339351174306816E-2</v>
      </c>
      <c r="AC15" s="320">
        <v>46.296270223409834</v>
      </c>
      <c r="AD15" s="320">
        <v>53.789567785734775</v>
      </c>
      <c r="AE15" s="320">
        <v>17.649329845530705</v>
      </c>
      <c r="AF15" s="320">
        <v>8.4942125557644435</v>
      </c>
      <c r="AG15" s="320">
        <v>32.81180825961458</v>
      </c>
      <c r="AH15" s="321">
        <v>102.12634228695497</v>
      </c>
      <c r="AI15" s="320">
        <v>0.34326916044394434</v>
      </c>
      <c r="AJ15" s="320">
        <v>0.14567156693677821</v>
      </c>
      <c r="AK15" s="320">
        <v>0.33612205505160009</v>
      </c>
      <c r="AL15" s="320">
        <v>65.616652238357105</v>
      </c>
      <c r="AM15" s="320">
        <v>10.439458051971293</v>
      </c>
      <c r="AN15" s="320">
        <v>10.251563123836231</v>
      </c>
      <c r="AO15" s="320">
        <v>15.909769389101456</v>
      </c>
      <c r="AP15" s="321">
        <v>59907.820668918503</v>
      </c>
      <c r="AQ15" s="321">
        <v>247.17750258670344</v>
      </c>
      <c r="AR15" s="321">
        <v>105.51274736216773</v>
      </c>
      <c r="AS15" s="320">
        <v>0.41259638529121889</v>
      </c>
      <c r="AT15" s="320">
        <v>13.390218803670713</v>
      </c>
      <c r="AU15" s="322">
        <v>-0.15005001667222409</v>
      </c>
      <c r="AV15" s="322">
        <v>-0.38870431893687707</v>
      </c>
      <c r="AW15" s="320" t="s">
        <v>288</v>
      </c>
      <c r="AX15" s="321">
        <v>2880.0235377288927</v>
      </c>
      <c r="AY15" s="321">
        <v>593.3396563361614</v>
      </c>
      <c r="AZ15" s="321">
        <v>949.06863322996116</v>
      </c>
      <c r="BA15" s="320">
        <v>32.953502664022345</v>
      </c>
      <c r="BB15" s="321">
        <v>2400.35794050292</v>
      </c>
      <c r="BC15" s="321">
        <v>1050.3786719852528</v>
      </c>
      <c r="BD15" s="321">
        <v>627.38878767972892</v>
      </c>
      <c r="BE15" s="320">
        <v>43.759251662490755</v>
      </c>
      <c r="BF15" s="320">
        <v>2.2550454938604063</v>
      </c>
      <c r="BG15" s="320">
        <v>6.448241049101769E-3</v>
      </c>
      <c r="BH15" s="320">
        <v>0.12862889372608968</v>
      </c>
      <c r="BI15" s="320">
        <v>5.7040487243514644</v>
      </c>
      <c r="BJ15" s="320">
        <v>44.342539023469776</v>
      </c>
      <c r="BK15" s="320">
        <v>3.8800784719559727</v>
      </c>
      <c r="BL15" s="320">
        <v>2.82883868493143</v>
      </c>
      <c r="BM15" s="320">
        <v>8.7502397413515531</v>
      </c>
      <c r="BN15" s="320">
        <v>38.801086307584086</v>
      </c>
      <c r="BO15" s="320">
        <v>9.2449379688515521</v>
      </c>
      <c r="BP15" s="320">
        <v>1.528939154642587</v>
      </c>
      <c r="BQ15" s="320">
        <v>23.826492628492542</v>
      </c>
      <c r="BR15" s="320">
        <v>1.6348183114451595</v>
      </c>
      <c r="BS15" s="320">
        <v>8.2931071299501974E-3</v>
      </c>
      <c r="BT15" s="320">
        <v>2.1970360402024224E-2</v>
      </c>
      <c r="BU15" s="320">
        <v>1.3439022702530592</v>
      </c>
      <c r="BV15" s="320">
        <v>1.0049427314561374</v>
      </c>
      <c r="BW15" s="320">
        <v>0.11329901769774131</v>
      </c>
      <c r="BX15" s="320">
        <v>0.24627223566172721</v>
      </c>
      <c r="BY15" s="320">
        <v>24.506096512075345</v>
      </c>
      <c r="BZ15" s="320">
        <v>37.906767575234021</v>
      </c>
      <c r="CA15" s="320">
        <v>15.143998015629647</v>
      </c>
      <c r="CB15" s="320">
        <v>12.641074122852157</v>
      </c>
      <c r="CC15" s="320">
        <v>39.950644658828189</v>
      </c>
      <c r="CD15" s="323">
        <v>149.83963942393811</v>
      </c>
      <c r="CE15" s="320">
        <v>2.2756556125267267</v>
      </c>
      <c r="CF15" s="320">
        <v>0.7802917848731068</v>
      </c>
      <c r="CG15" s="320">
        <v>1.5187273683222517</v>
      </c>
      <c r="CH15" s="323">
        <v>102.58836938191655</v>
      </c>
      <c r="CI15" s="320">
        <v>20.806853147840453</v>
      </c>
      <c r="CJ15" s="320">
        <v>7.4015369837289855</v>
      </c>
      <c r="CK15" s="320">
        <v>20.281883095714861</v>
      </c>
      <c r="CL15" s="320">
        <v>9.2339821090693164</v>
      </c>
      <c r="CM15" s="320">
        <v>2.3164180698731492E-2</v>
      </c>
      <c r="CN15" s="320">
        <v>3.4911248179531867E-2</v>
      </c>
      <c r="CO15" s="320">
        <v>0.37807359562937831</v>
      </c>
      <c r="CP15" s="320">
        <v>2.5986938822523875</v>
      </c>
      <c r="CQ15" s="320">
        <v>0.11142525001734845</v>
      </c>
      <c r="CR15" s="320">
        <v>5.1842479821854616E-2</v>
      </c>
      <c r="CS15" s="320">
        <v>4.2877404983449576</v>
      </c>
      <c r="CT15" s="320">
        <v>16.768075</v>
      </c>
      <c r="CU15" s="320">
        <v>5.864994996713448</v>
      </c>
      <c r="CV15" s="320">
        <v>0.2452872602698416</v>
      </c>
      <c r="CW15" s="320">
        <v>34.977151501966972</v>
      </c>
    </row>
    <row r="16" spans="1:101">
      <c r="A16" s="17" t="s">
        <v>207</v>
      </c>
      <c r="B16" s="317" t="s">
        <v>208</v>
      </c>
      <c r="C16" s="155" t="s">
        <v>341</v>
      </c>
      <c r="D16" s="53">
        <v>0.21768199999999999</v>
      </c>
      <c r="E16" s="53">
        <v>34.802346</v>
      </c>
      <c r="F16" s="53" t="s">
        <v>356</v>
      </c>
      <c r="G16" s="53" t="s">
        <v>330</v>
      </c>
      <c r="H16" s="116" t="s">
        <v>347</v>
      </c>
      <c r="I16" s="154" t="s">
        <v>371</v>
      </c>
      <c r="J16" s="116" t="s">
        <v>687</v>
      </c>
      <c r="K16" s="53" t="s">
        <v>366</v>
      </c>
      <c r="L16" s="53" t="s">
        <v>684</v>
      </c>
      <c r="M16" s="53" t="s">
        <v>683</v>
      </c>
      <c r="N16" s="319">
        <v>36607.369219921711</v>
      </c>
      <c r="O16" s="319">
        <v>349.11017375194126</v>
      </c>
      <c r="P16" s="319">
        <v>157.35322929567633</v>
      </c>
      <c r="Q16" s="320">
        <v>0.95366091907515638</v>
      </c>
      <c r="R16" s="320">
        <v>57.933006547320808</v>
      </c>
      <c r="S16" s="320">
        <v>1.4648562194709771</v>
      </c>
      <c r="T16" s="320">
        <v>1.6920778348012726</v>
      </c>
      <c r="U16" s="320">
        <v>2.9207492164577209</v>
      </c>
      <c r="V16" s="319">
        <v>413.3994034200457</v>
      </c>
      <c r="W16" s="320">
        <v>27.01921354423353</v>
      </c>
      <c r="X16" s="320">
        <v>16.155561364478451</v>
      </c>
      <c r="Y16" s="320">
        <v>6.535861764846314</v>
      </c>
      <c r="Z16" s="320">
        <v>0.36826773139632002</v>
      </c>
      <c r="AA16" s="320">
        <v>8.5546489285733773E-2</v>
      </c>
      <c r="AB16" s="320">
        <v>5.1061959487409679E-2</v>
      </c>
      <c r="AC16" s="320">
        <v>23.229428481658335</v>
      </c>
      <c r="AD16" s="320">
        <v>11.095454656351992</v>
      </c>
      <c r="AE16" s="320">
        <v>2.9461220719450356</v>
      </c>
      <c r="AF16" s="320">
        <v>2.0451812123973223</v>
      </c>
      <c r="AG16" s="320">
        <v>26.552513287577828</v>
      </c>
      <c r="AH16" s="320">
        <v>72.645520623612995</v>
      </c>
      <c r="AI16" s="320">
        <v>3.3549676789729754</v>
      </c>
      <c r="AJ16" s="320">
        <v>1.2043510361423495</v>
      </c>
      <c r="AK16" s="320">
        <v>4.6182719184511747</v>
      </c>
      <c r="AL16" s="320">
        <v>39.6071201261989</v>
      </c>
      <c r="AM16" s="320">
        <v>4.665771778864344</v>
      </c>
      <c r="AN16" s="320">
        <v>5.7342115178679425</v>
      </c>
      <c r="AO16" s="320">
        <v>14.477729003263068</v>
      </c>
      <c r="AP16" s="321">
        <v>23587.995043392908</v>
      </c>
      <c r="AQ16" s="321">
        <v>272.32663684634116</v>
      </c>
      <c r="AR16" s="321">
        <v>156.8605058381778</v>
      </c>
      <c r="AS16" s="320">
        <v>1.1545137106624115</v>
      </c>
      <c r="AT16" s="320">
        <v>4.3092190909481909</v>
      </c>
      <c r="AU16" s="322">
        <v>-0.15005001667222409</v>
      </c>
      <c r="AV16" s="322">
        <v>-0.38812406700945434</v>
      </c>
      <c r="AW16" s="320" t="s">
        <v>288</v>
      </c>
      <c r="AX16" s="321">
        <v>2498.9959889729998</v>
      </c>
      <c r="AY16" s="321">
        <v>323.03055434160609</v>
      </c>
      <c r="AZ16" s="321">
        <v>627.96874326399927</v>
      </c>
      <c r="BA16" s="320">
        <v>25.128841584178474</v>
      </c>
      <c r="BB16" s="321">
        <v>687.12547274335179</v>
      </c>
      <c r="BC16" s="321">
        <v>282.67194098659718</v>
      </c>
      <c r="BD16" s="321">
        <v>211.71260458981121</v>
      </c>
      <c r="BE16" s="320">
        <v>41.138329489958807</v>
      </c>
      <c r="BF16" s="320">
        <v>1.2593111380226123</v>
      </c>
      <c r="BG16" s="320">
        <v>1.6248140985225312E-2</v>
      </c>
      <c r="BH16" s="320">
        <v>8.5016386469106267E-2</v>
      </c>
      <c r="BI16" s="320">
        <v>6.7510231508473888</v>
      </c>
      <c r="BJ16" s="320">
        <v>12.144729275664575</v>
      </c>
      <c r="BK16" s="320">
        <v>0.76509237310608602</v>
      </c>
      <c r="BL16" s="320">
        <v>0.72587515606237418</v>
      </c>
      <c r="BM16" s="320">
        <v>6.2997894456088579</v>
      </c>
      <c r="BN16" s="320">
        <v>28.725548848700686</v>
      </c>
      <c r="BO16" s="320">
        <v>3.775576336695611</v>
      </c>
      <c r="BP16" s="320">
        <v>1.3270514291858644</v>
      </c>
      <c r="BQ16" s="320">
        <v>13.143617748025685</v>
      </c>
      <c r="BR16" s="320">
        <v>0.93635322096687301</v>
      </c>
      <c r="BS16" s="320">
        <v>5.4707907056660947E-3</v>
      </c>
      <c r="BT16" s="320">
        <v>2.2538000479496147E-2</v>
      </c>
      <c r="BU16" s="320">
        <v>2.4069976986060384</v>
      </c>
      <c r="BV16" s="320">
        <v>0.48872569680402694</v>
      </c>
      <c r="BW16" s="320">
        <v>9.8369984136355088E-2</v>
      </c>
      <c r="BX16" s="320">
        <v>0.17758149892104966</v>
      </c>
      <c r="BY16" s="320">
        <v>36.335617317101637</v>
      </c>
      <c r="BZ16" s="320">
        <v>67.822968693718309</v>
      </c>
      <c r="CA16" s="320">
        <v>7.3889193944242004</v>
      </c>
      <c r="CB16" s="320">
        <v>8.2431970084369652</v>
      </c>
      <c r="CC16" s="320">
        <v>12.153990259055766</v>
      </c>
      <c r="CD16" s="320">
        <v>50.871247476336222</v>
      </c>
      <c r="CE16" s="320">
        <v>2.1763872524612462</v>
      </c>
      <c r="CF16" s="320">
        <v>1.3542249784168712</v>
      </c>
      <c r="CG16" s="320">
        <v>4.278226621970763</v>
      </c>
      <c r="CH16" s="320">
        <v>66.314289120201636</v>
      </c>
      <c r="CI16" s="320">
        <v>19.624007495141548</v>
      </c>
      <c r="CJ16" s="320">
        <v>11.550176076165656</v>
      </c>
      <c r="CK16" s="320">
        <v>29.592426844191856</v>
      </c>
      <c r="CL16" s="320">
        <v>5.196703388408328</v>
      </c>
      <c r="CM16" s="320">
        <v>6.9585750981367073E-2</v>
      </c>
      <c r="CN16" s="320">
        <v>3.9573915987057319E-2</v>
      </c>
      <c r="CO16" s="320">
        <v>1.3390364194459083</v>
      </c>
      <c r="CP16" s="320">
        <v>1.4796344393478866</v>
      </c>
      <c r="CQ16" s="320">
        <v>4.3623972514107906E-2</v>
      </c>
      <c r="CR16" s="320">
        <v>3.3467663377046028E-2</v>
      </c>
      <c r="CS16" s="320">
        <v>2.9482939403150232</v>
      </c>
      <c r="CT16" s="320">
        <v>0.55713499999999994</v>
      </c>
      <c r="CU16" s="320">
        <v>6.3270466917320106E-2</v>
      </c>
      <c r="CV16" s="322">
        <v>-2.9109305025709072E-2</v>
      </c>
      <c r="CW16" s="320">
        <v>11.356397806154723</v>
      </c>
    </row>
    <row r="17" spans="1:101">
      <c r="A17" s="17" t="s">
        <v>223</v>
      </c>
      <c r="B17" s="317" t="s">
        <v>224</v>
      </c>
      <c r="C17" s="155" t="s">
        <v>341</v>
      </c>
      <c r="D17" s="53">
        <v>0.17374600000000001</v>
      </c>
      <c r="E17" s="53">
        <v>34.768698000000001</v>
      </c>
      <c r="F17" s="53" t="s">
        <v>358</v>
      </c>
      <c r="G17" s="53" t="s">
        <v>330</v>
      </c>
      <c r="H17" s="116" t="s">
        <v>347</v>
      </c>
      <c r="I17" s="154" t="s">
        <v>371</v>
      </c>
      <c r="J17" s="116" t="s">
        <v>687</v>
      </c>
      <c r="K17" s="53" t="s">
        <v>366</v>
      </c>
      <c r="L17" s="53" t="s">
        <v>684</v>
      </c>
      <c r="M17" s="53" t="s">
        <v>683</v>
      </c>
      <c r="N17" s="319">
        <v>65139.538015763239</v>
      </c>
      <c r="O17" s="319">
        <v>1099.1876772792782</v>
      </c>
      <c r="P17" s="319">
        <v>288.52187131613022</v>
      </c>
      <c r="Q17" s="320">
        <v>1.6874354819852788</v>
      </c>
      <c r="R17" s="320">
        <v>42.169318806236909</v>
      </c>
      <c r="S17" s="320">
        <v>0.90032657469815902</v>
      </c>
      <c r="T17" s="320">
        <v>1.0682601774204685</v>
      </c>
      <c r="U17" s="320">
        <v>2.5332640119917498</v>
      </c>
      <c r="V17" s="319">
        <v>355.73996736251019</v>
      </c>
      <c r="W17" s="320">
        <v>41.260415165369899</v>
      </c>
      <c r="X17" s="320">
        <v>17.269921534061456</v>
      </c>
      <c r="Y17" s="320">
        <v>11.598476120431034</v>
      </c>
      <c r="Z17" s="320">
        <v>0.16837520977329121</v>
      </c>
      <c r="AA17" s="320">
        <v>7.2103158716333646E-2</v>
      </c>
      <c r="AB17" s="320">
        <v>2.8999498733534995E-2</v>
      </c>
      <c r="AC17" s="320">
        <v>42.822906539161522</v>
      </c>
      <c r="AD17" s="320">
        <v>76.626887936748162</v>
      </c>
      <c r="AE17" s="320">
        <v>25.623847411833896</v>
      </c>
      <c r="AF17" s="320">
        <v>11.675137089366952</v>
      </c>
      <c r="AG17" s="320">
        <v>33.439759987362606</v>
      </c>
      <c r="AH17" s="321">
        <v>648.64090536580943</v>
      </c>
      <c r="AI17" s="320">
        <v>3.1260711392750622</v>
      </c>
      <c r="AJ17" s="320">
        <v>0.91334920842449152</v>
      </c>
      <c r="AK17" s="320">
        <v>0.48194172051361356</v>
      </c>
      <c r="AL17" s="320">
        <v>48.420242433245392</v>
      </c>
      <c r="AM17" s="320">
        <v>6.8805989480586094</v>
      </c>
      <c r="AN17" s="320">
        <v>6.8924795526199363</v>
      </c>
      <c r="AO17" s="320">
        <v>14.234706821475045</v>
      </c>
      <c r="AP17" s="321">
        <v>61243.866807350299</v>
      </c>
      <c r="AQ17" s="321">
        <v>416.96228299576279</v>
      </c>
      <c r="AR17" s="321">
        <v>111.26935189443678</v>
      </c>
      <c r="AS17" s="320">
        <v>0.68082292110549802</v>
      </c>
      <c r="AT17" s="320">
        <v>15.684239248795127</v>
      </c>
      <c r="AU17" s="322">
        <v>-0.14953171703752907</v>
      </c>
      <c r="AV17" s="322">
        <v>-0.38948069241011984</v>
      </c>
      <c r="AW17" s="320" t="s">
        <v>288</v>
      </c>
      <c r="AX17" s="321">
        <v>22095.175492734063</v>
      </c>
      <c r="AY17" s="321">
        <v>660.36285874538612</v>
      </c>
      <c r="AZ17" s="321">
        <v>904.51104025714926</v>
      </c>
      <c r="BA17" s="320">
        <v>4.0937038067635863</v>
      </c>
      <c r="BB17" s="321">
        <v>1885.0816909949915</v>
      </c>
      <c r="BC17" s="321">
        <v>798.1486634432548</v>
      </c>
      <c r="BD17" s="321">
        <v>450.840899691419</v>
      </c>
      <c r="BE17" s="320">
        <v>42.34026924435156</v>
      </c>
      <c r="BF17" s="320">
        <v>1.7289071825749109</v>
      </c>
      <c r="BG17" s="320">
        <v>1.2943601602317173E-2</v>
      </c>
      <c r="BH17" s="320">
        <v>0.12419664203825684</v>
      </c>
      <c r="BI17" s="320">
        <v>7.1835343903937767</v>
      </c>
      <c r="BJ17" s="323">
        <v>375.28593875643628</v>
      </c>
      <c r="BK17" s="320">
        <v>14.697805389619042</v>
      </c>
      <c r="BL17" s="320">
        <v>11.746432220477999</v>
      </c>
      <c r="BM17" s="320">
        <v>3.9164284807265428</v>
      </c>
      <c r="BN17" s="320">
        <v>24.249367642233789</v>
      </c>
      <c r="BO17" s="320">
        <v>6.7063105992244925</v>
      </c>
      <c r="BP17" s="320">
        <v>1.2652902187115935</v>
      </c>
      <c r="BQ17" s="320">
        <v>27.655610233499367</v>
      </c>
      <c r="BR17" s="320">
        <v>0.54581108603670858</v>
      </c>
      <c r="BS17" s="320">
        <v>9.8126886996442297E-3</v>
      </c>
      <c r="BT17" s="320">
        <v>3.4577796774710332E-2</v>
      </c>
      <c r="BU17" s="320">
        <v>6.3351217407087992</v>
      </c>
      <c r="BV17" s="320">
        <v>0.87331636951382385</v>
      </c>
      <c r="BW17" s="320">
        <v>0.10603877294486222</v>
      </c>
      <c r="BX17" s="320">
        <v>0.2292053471987969</v>
      </c>
      <c r="BY17" s="320">
        <v>26.245396880216017</v>
      </c>
      <c r="BZ17" s="320">
        <v>45.308719565780869</v>
      </c>
      <c r="CA17" s="320">
        <v>12.492681217025359</v>
      </c>
      <c r="CB17" s="320">
        <v>11.011913554149078</v>
      </c>
      <c r="CC17" s="320">
        <v>27.572355468770255</v>
      </c>
      <c r="CD17" s="323">
        <v>129.83446359289272</v>
      </c>
      <c r="CE17" s="320">
        <v>4.6204812915456683</v>
      </c>
      <c r="CF17" s="320">
        <v>1.8065318365249048</v>
      </c>
      <c r="CG17" s="320">
        <v>3.5587479346266568</v>
      </c>
      <c r="CH17" s="323">
        <v>137.62962518309141</v>
      </c>
      <c r="CI17" s="320">
        <v>44.063032260493934</v>
      </c>
      <c r="CJ17" s="320">
        <v>12.397930815748147</v>
      </c>
      <c r="CK17" s="320">
        <v>32.015659565937213</v>
      </c>
      <c r="CL17" s="320">
        <v>8.428993412752428</v>
      </c>
      <c r="CM17" s="320">
        <v>2.9199874521694067E-2</v>
      </c>
      <c r="CN17" s="320">
        <v>2.0581379039858093E-2</v>
      </c>
      <c r="CO17" s="320">
        <v>0.34642184531212078</v>
      </c>
      <c r="CP17" s="320">
        <v>2.0137866548985062</v>
      </c>
      <c r="CQ17" s="320">
        <v>0.12040556828962048</v>
      </c>
      <c r="CR17" s="320">
        <v>3.6107514954217247E-2</v>
      </c>
      <c r="CS17" s="320">
        <v>5.9790627769200739</v>
      </c>
      <c r="CT17" s="320">
        <v>1.6044850000000002</v>
      </c>
      <c r="CU17" s="320">
        <v>7.3981328105561461E-2</v>
      </c>
      <c r="CV17" s="322">
        <v>-2.9211051930758986E-2</v>
      </c>
      <c r="CW17" s="320">
        <v>4.6109080549560417</v>
      </c>
    </row>
    <row r="18" spans="1:101">
      <c r="A18" s="17" t="s">
        <v>227</v>
      </c>
      <c r="B18" s="317" t="s">
        <v>228</v>
      </c>
      <c r="C18" s="155" t="s">
        <v>341</v>
      </c>
      <c r="D18" s="53">
        <v>0.10542700000000001</v>
      </c>
      <c r="E18" s="53">
        <v>34.698397999999997</v>
      </c>
      <c r="F18" s="53" t="s">
        <v>359</v>
      </c>
      <c r="G18" s="53" t="s">
        <v>334</v>
      </c>
      <c r="H18" s="116" t="s">
        <v>347</v>
      </c>
      <c r="I18" s="154" t="s">
        <v>371</v>
      </c>
      <c r="J18" s="116" t="s">
        <v>687</v>
      </c>
      <c r="K18" s="53" t="s">
        <v>364</v>
      </c>
      <c r="L18" s="53" t="s">
        <v>685</v>
      </c>
      <c r="M18" s="53" t="s">
        <v>690</v>
      </c>
      <c r="N18" s="319">
        <v>124638.79754977295</v>
      </c>
      <c r="O18" s="319">
        <v>139.3890915687027</v>
      </c>
      <c r="P18" s="320">
        <v>35.17737493771935</v>
      </c>
      <c r="Q18" s="320">
        <v>0.11183443222247021</v>
      </c>
      <c r="R18" s="319">
        <v>847.14286756759645</v>
      </c>
      <c r="S18" s="320">
        <v>11.460256758069169</v>
      </c>
      <c r="T18" s="320">
        <v>13.689355582865236</v>
      </c>
      <c r="U18" s="320">
        <v>1.615944146725985</v>
      </c>
      <c r="V18" s="319">
        <v>401.42436410353861</v>
      </c>
      <c r="W18" s="320">
        <v>3.0678803129051788</v>
      </c>
      <c r="X18" s="320">
        <v>1.8749241659504676</v>
      </c>
      <c r="Y18" s="320">
        <v>0.76424865734205571</v>
      </c>
      <c r="Z18" s="320">
        <v>0.75286293201295562</v>
      </c>
      <c r="AA18" s="320">
        <v>1.6784400142143135E-2</v>
      </c>
      <c r="AB18" s="320">
        <v>9.1074593700026692E-3</v>
      </c>
      <c r="AC18" s="320">
        <v>2.2294098206251309</v>
      </c>
      <c r="AD18" s="320">
        <v>54.609810244009843</v>
      </c>
      <c r="AE18" s="320">
        <v>3.5765612880130879</v>
      </c>
      <c r="AF18" s="320">
        <v>2.8333727101804169</v>
      </c>
      <c r="AG18" s="320">
        <v>6.5493018049909839</v>
      </c>
      <c r="AH18" s="321">
        <v>250.74175998212709</v>
      </c>
      <c r="AI18" s="320">
        <v>0.1126308110329849</v>
      </c>
      <c r="AJ18" s="320" t="s">
        <v>1148</v>
      </c>
      <c r="AK18" s="320">
        <v>4.4919047804806524E-2</v>
      </c>
      <c r="AL18" s="321">
        <v>100.87957843543428</v>
      </c>
      <c r="AM18" s="320">
        <v>2.1840093343277074</v>
      </c>
      <c r="AN18" s="320">
        <v>2.6669757730772408</v>
      </c>
      <c r="AO18" s="320">
        <v>2.6437221630383587</v>
      </c>
      <c r="AP18" s="321">
        <v>48903.940389546151</v>
      </c>
      <c r="AQ18" s="320">
        <v>17.70359343359867</v>
      </c>
      <c r="AR18" s="320">
        <v>13.966397175914075</v>
      </c>
      <c r="AS18" s="320">
        <v>3.6200750476505651E-2</v>
      </c>
      <c r="AT18" s="320">
        <v>36.614600138898425</v>
      </c>
      <c r="AU18" s="322">
        <v>-0.14975552968568104</v>
      </c>
      <c r="AV18" s="322">
        <v>-0.38935108153078207</v>
      </c>
      <c r="AW18" s="320" t="s">
        <v>288</v>
      </c>
      <c r="AX18" s="321">
        <v>1417.9416698450596</v>
      </c>
      <c r="AY18" s="321">
        <v>113.76461172222008</v>
      </c>
      <c r="AZ18" s="321">
        <v>469.36720771898337</v>
      </c>
      <c r="BA18" s="320">
        <v>33.102011013631596</v>
      </c>
      <c r="BB18" s="321">
        <v>745.81623391194728</v>
      </c>
      <c r="BC18" s="320">
        <v>58.832142705170604</v>
      </c>
      <c r="BD18" s="320">
        <v>43.017908940415012</v>
      </c>
      <c r="BE18" s="320">
        <v>7.8882893707723261</v>
      </c>
      <c r="BF18" s="320">
        <v>4.5134701682645888</v>
      </c>
      <c r="BG18" s="320">
        <v>1.19460946875062E-2</v>
      </c>
      <c r="BH18" s="320">
        <v>5.2055099324414295E-2</v>
      </c>
      <c r="BI18" s="320">
        <v>1.1533276477692833</v>
      </c>
      <c r="BJ18" s="323">
        <v>124.67817638921332</v>
      </c>
      <c r="BK18" s="320">
        <v>0.49774452921444134</v>
      </c>
      <c r="BL18" s="320">
        <v>0.42930463043438161</v>
      </c>
      <c r="BM18" s="320">
        <v>0.39922345965392569</v>
      </c>
      <c r="BN18" s="323">
        <v>290.39741028858617</v>
      </c>
      <c r="BO18" s="320">
        <v>5.279048305581699</v>
      </c>
      <c r="BP18" s="320">
        <v>0.81824279379286746</v>
      </c>
      <c r="BQ18" s="320">
        <v>1.8178703110112369</v>
      </c>
      <c r="BR18" s="320">
        <v>8.6127014819759715</v>
      </c>
      <c r="BS18" s="320">
        <v>2.8347608032776965E-3</v>
      </c>
      <c r="BT18" s="320">
        <v>1.6593600124121557E-2</v>
      </c>
      <c r="BU18" s="320">
        <v>0.19266428958262891</v>
      </c>
      <c r="BV18" s="320">
        <v>0.29812447273074533</v>
      </c>
      <c r="BW18" s="320">
        <v>7.782587182114091E-2</v>
      </c>
      <c r="BX18" s="320">
        <v>0.16216907178534756</v>
      </c>
      <c r="BY18" s="320">
        <v>54.396430557987941</v>
      </c>
      <c r="BZ18" s="323">
        <v>164.63997708987148</v>
      </c>
      <c r="CA18" s="320">
        <v>1.3620333358408707</v>
      </c>
      <c r="CB18" s="320">
        <v>2.6008394086080449</v>
      </c>
      <c r="CC18" s="320">
        <v>1.5797131745155271</v>
      </c>
      <c r="CD18" s="323">
        <v>184.65388557463442</v>
      </c>
      <c r="CE18" s="320">
        <v>0.65435532624018433</v>
      </c>
      <c r="CF18" s="320">
        <v>0.28657798043443888</v>
      </c>
      <c r="CG18" s="320">
        <v>0.35436856592747051</v>
      </c>
      <c r="CH18" s="323">
        <v>168.7227839118826</v>
      </c>
      <c r="CI18" s="320">
        <v>9.4303418166119553</v>
      </c>
      <c r="CJ18" s="320">
        <v>9.903136642903311</v>
      </c>
      <c r="CK18" s="320">
        <v>5.8694720495338295</v>
      </c>
      <c r="CL18" s="320">
        <v>12.128447788559699</v>
      </c>
      <c r="CM18" s="320">
        <v>6.6210579702157485E-3</v>
      </c>
      <c r="CN18" s="320">
        <v>7.06671324627211E-3</v>
      </c>
      <c r="CO18" s="320">
        <v>5.826560306371497E-2</v>
      </c>
      <c r="CP18" s="320">
        <v>5.9958800443878255</v>
      </c>
      <c r="CQ18" s="320">
        <v>4.7796376423741051E-2</v>
      </c>
      <c r="CR18" s="320">
        <v>4.9953501370380196E-2</v>
      </c>
      <c r="CS18" s="320">
        <v>0.83313043290679134</v>
      </c>
      <c r="CT18" s="320">
        <v>3.3985000000000001E-2</v>
      </c>
      <c r="CU18" s="320">
        <v>2.4306858153078953E-2</v>
      </c>
      <c r="CV18" s="322">
        <v>-2.9201331114808649E-2</v>
      </c>
      <c r="CW18" s="320">
        <v>71.522313235483153</v>
      </c>
    </row>
    <row r="19" spans="1:101">
      <c r="A19" s="17" t="s">
        <v>235</v>
      </c>
      <c r="B19" s="317" t="s">
        <v>236</v>
      </c>
      <c r="C19" s="155" t="s">
        <v>341</v>
      </c>
      <c r="D19" s="53">
        <v>0.105629</v>
      </c>
      <c r="E19" s="53">
        <v>34.699337</v>
      </c>
      <c r="F19" s="53" t="s">
        <v>359</v>
      </c>
      <c r="G19" s="53" t="s">
        <v>334</v>
      </c>
      <c r="H19" s="116" t="s">
        <v>347</v>
      </c>
      <c r="I19" s="154" t="s">
        <v>371</v>
      </c>
      <c r="J19" s="116" t="s">
        <v>687</v>
      </c>
      <c r="K19" s="53" t="s">
        <v>361</v>
      </c>
      <c r="L19" s="53" t="s">
        <v>685</v>
      </c>
      <c r="M19" s="53" t="s">
        <v>690</v>
      </c>
      <c r="N19" s="319">
        <v>105034.03276753232</v>
      </c>
      <c r="O19" s="319">
        <v>739.45186942083762</v>
      </c>
      <c r="P19" s="319">
        <v>256.58331590510397</v>
      </c>
      <c r="Q19" s="320">
        <v>0.70401169024656729</v>
      </c>
      <c r="R19" s="319">
        <v>3405.0887543515419</v>
      </c>
      <c r="S19" s="320">
        <v>58.488181934375937</v>
      </c>
      <c r="T19" s="320">
        <v>59.797131586075196</v>
      </c>
      <c r="U19" s="320">
        <v>1.7561108064997513</v>
      </c>
      <c r="V19" s="319">
        <v>444.43373216925801</v>
      </c>
      <c r="W19" s="320">
        <v>14.907354752965423</v>
      </c>
      <c r="X19" s="320">
        <v>8.4667479213749495</v>
      </c>
      <c r="Y19" s="320">
        <v>3.3542356652820655</v>
      </c>
      <c r="Z19" s="320">
        <v>0.95927187722801965</v>
      </c>
      <c r="AA19" s="320">
        <v>0.18875981977635994</v>
      </c>
      <c r="AB19" s="320">
        <v>0.10268958620009142</v>
      </c>
      <c r="AC19" s="320">
        <v>19.677405775911389</v>
      </c>
      <c r="AD19" s="320">
        <v>39.624478382086174</v>
      </c>
      <c r="AE19" s="320">
        <v>6.3272541921738963</v>
      </c>
      <c r="AF19" s="320">
        <v>3.7002651035726011</v>
      </c>
      <c r="AG19" s="320">
        <v>15.968044124548991</v>
      </c>
      <c r="AH19" s="321">
        <v>237.75408724017146</v>
      </c>
      <c r="AI19" s="320">
        <v>1.0626193810295073</v>
      </c>
      <c r="AJ19" s="320">
        <v>0.35934517457268372</v>
      </c>
      <c r="AK19" s="320">
        <v>0.44694053143914358</v>
      </c>
      <c r="AL19" s="320">
        <v>63.779702255265207</v>
      </c>
      <c r="AM19" s="320">
        <v>8.5037276278292744</v>
      </c>
      <c r="AN19" s="320">
        <v>8.1407262453253164</v>
      </c>
      <c r="AO19" s="320">
        <v>13.332968526248123</v>
      </c>
      <c r="AP19" s="321">
        <v>50472.110786425845</v>
      </c>
      <c r="AQ19" s="321">
        <v>265.75528883255754</v>
      </c>
      <c r="AR19" s="321">
        <v>105.66173697599285</v>
      </c>
      <c r="AS19" s="320">
        <v>0.52653888393356185</v>
      </c>
      <c r="AT19" s="320">
        <v>50.011077310696784</v>
      </c>
      <c r="AU19" s="320">
        <v>0.24327878354373969</v>
      </c>
      <c r="AV19" s="322">
        <v>-0.389156826875104</v>
      </c>
      <c r="AW19" s="320">
        <v>0.48644979597691096</v>
      </c>
      <c r="AX19" s="321">
        <v>8077.8040405143411</v>
      </c>
      <c r="AY19" s="321">
        <v>453.89300913613602</v>
      </c>
      <c r="AZ19" s="321">
        <v>750.9878480645051</v>
      </c>
      <c r="BA19" s="320">
        <v>9.29693075367903</v>
      </c>
      <c r="BB19" s="321">
        <v>821.51879302021666</v>
      </c>
      <c r="BC19" s="321">
        <v>186.9093502001046</v>
      </c>
      <c r="BD19" s="321">
        <v>113.18379799106832</v>
      </c>
      <c r="BE19" s="320">
        <v>22.751682832836298</v>
      </c>
      <c r="BF19" s="320">
        <v>3.9093057208537418</v>
      </c>
      <c r="BG19" s="320">
        <v>1.9569276281998955E-2</v>
      </c>
      <c r="BH19" s="320">
        <v>8.928109892047173E-2</v>
      </c>
      <c r="BI19" s="320">
        <v>2.2838095891096972</v>
      </c>
      <c r="BJ19" s="320">
        <v>98.852426557873187</v>
      </c>
      <c r="BK19" s="320">
        <v>4.5578057214180507</v>
      </c>
      <c r="BL19" s="320">
        <v>3.5264427001608758</v>
      </c>
      <c r="BM19" s="320">
        <v>4.6107170861907791</v>
      </c>
      <c r="BN19" s="323">
        <v>141.05717052506412</v>
      </c>
      <c r="BO19" s="320">
        <v>10.612619986006427</v>
      </c>
      <c r="BP19" s="320">
        <v>2.4133223949458866</v>
      </c>
      <c r="BQ19" s="320">
        <v>7.5236302745209924</v>
      </c>
      <c r="BR19" s="320">
        <v>5.1981266000730146</v>
      </c>
      <c r="BS19" s="320">
        <v>1.8061873919655552E-2</v>
      </c>
      <c r="BT19" s="320">
        <v>5.7139139182077442E-2</v>
      </c>
      <c r="BU19" s="320">
        <v>1.09922561680731</v>
      </c>
      <c r="BV19" s="320">
        <v>0.74024472713417955</v>
      </c>
      <c r="BW19" s="320">
        <v>9.3903134924714513E-2</v>
      </c>
      <c r="BX19" s="320">
        <v>0.18493083937984778</v>
      </c>
      <c r="BY19" s="320">
        <v>24.982391984850508</v>
      </c>
      <c r="BZ19" s="323">
        <v>162.63806390964967</v>
      </c>
      <c r="CA19" s="320">
        <v>6.627507116252322</v>
      </c>
      <c r="CB19" s="320">
        <v>7.3313519433356147</v>
      </c>
      <c r="CC19" s="320">
        <v>4.5077712849609428</v>
      </c>
      <c r="CD19" s="323">
        <v>154.12704495010365</v>
      </c>
      <c r="CE19" s="320">
        <v>1.467440564625758</v>
      </c>
      <c r="CF19" s="320">
        <v>0.55393468611028895</v>
      </c>
      <c r="CG19" s="320">
        <v>0.95209803386603564</v>
      </c>
      <c r="CH19" s="323">
        <v>145.97143784732785</v>
      </c>
      <c r="CI19" s="320">
        <v>17.072265752074919</v>
      </c>
      <c r="CJ19" s="320">
        <v>8.062055209081409</v>
      </c>
      <c r="CK19" s="320">
        <v>11.695620735017268</v>
      </c>
      <c r="CL19" s="320">
        <v>13.541667892638836</v>
      </c>
      <c r="CM19" s="320">
        <v>5.3171169565549604E-2</v>
      </c>
      <c r="CN19" s="320">
        <v>6.776090542467883E-2</v>
      </c>
      <c r="CO19" s="320">
        <v>0.50038817937274349</v>
      </c>
      <c r="CP19" s="320">
        <v>5.1468137707855881</v>
      </c>
      <c r="CQ19" s="320">
        <v>0.25952185849209702</v>
      </c>
      <c r="CR19" s="320">
        <v>0.12505612061661353</v>
      </c>
      <c r="CS19" s="320">
        <v>5.0423790339024581</v>
      </c>
      <c r="CT19" s="320">
        <v>9.0802549999999993</v>
      </c>
      <c r="CU19" s="320">
        <v>0.89740164548438284</v>
      </c>
      <c r="CV19" s="322">
        <v>-2.9186762015632799E-2</v>
      </c>
      <c r="CW19" s="320">
        <v>9.8830004827439648</v>
      </c>
    </row>
    <row r="20" spans="1:101">
      <c r="A20" s="17" t="s">
        <v>249</v>
      </c>
      <c r="B20" s="317" t="s">
        <v>250</v>
      </c>
      <c r="C20" s="155" t="s">
        <v>341</v>
      </c>
      <c r="D20" s="53">
        <v>0.105629</v>
      </c>
      <c r="E20" s="53">
        <v>34.699337</v>
      </c>
      <c r="F20" s="53" t="s">
        <v>359</v>
      </c>
      <c r="G20" s="53" t="s">
        <v>334</v>
      </c>
      <c r="H20" s="116" t="s">
        <v>347</v>
      </c>
      <c r="I20" s="154" t="s">
        <v>371</v>
      </c>
      <c r="J20" s="116" t="s">
        <v>687</v>
      </c>
      <c r="K20" s="53" t="s">
        <v>366</v>
      </c>
      <c r="L20" s="53" t="s">
        <v>684</v>
      </c>
      <c r="M20" s="53" t="s">
        <v>683</v>
      </c>
      <c r="N20" s="319">
        <v>53131.837715362562</v>
      </c>
      <c r="O20" s="319">
        <v>419.93251106289171</v>
      </c>
      <c r="P20" s="319">
        <v>159.33954220667746</v>
      </c>
      <c r="Q20" s="320">
        <v>0.79035947017784447</v>
      </c>
      <c r="R20" s="319">
        <v>8567.4218191252348</v>
      </c>
      <c r="S20" s="319">
        <v>633.83762495809128</v>
      </c>
      <c r="T20" s="319">
        <v>614.32850321472984</v>
      </c>
      <c r="U20" s="320">
        <v>7.3982306268983082</v>
      </c>
      <c r="V20" s="319">
        <v>276.6926919036589</v>
      </c>
      <c r="W20" s="320">
        <v>16.842259488226134</v>
      </c>
      <c r="X20" s="320">
        <v>9.1556020125095294</v>
      </c>
      <c r="Y20" s="320">
        <v>6.0869910847122801</v>
      </c>
      <c r="Z20" s="320">
        <v>1.0311527753766523</v>
      </c>
      <c r="AA20" s="320">
        <v>0.10925169721483294</v>
      </c>
      <c r="AB20" s="320">
        <v>5.0717174574523571E-2</v>
      </c>
      <c r="AC20" s="320">
        <v>10.59510286193297</v>
      </c>
      <c r="AD20" s="320">
        <v>46.97086967083689</v>
      </c>
      <c r="AE20" s="320">
        <v>9.4783899231382911</v>
      </c>
      <c r="AF20" s="320">
        <v>6.0188409327577643</v>
      </c>
      <c r="AG20" s="320">
        <v>20.1792940806953</v>
      </c>
      <c r="AH20" s="321">
        <v>120.79736136135149</v>
      </c>
      <c r="AI20" s="320">
        <v>1.0893231120773115</v>
      </c>
      <c r="AJ20" s="320">
        <v>0.27340214732150619</v>
      </c>
      <c r="AK20" s="320">
        <v>0.90177724066234022</v>
      </c>
      <c r="AL20" s="320">
        <v>38.712320064626454</v>
      </c>
      <c r="AM20" s="320">
        <v>5.0429903092706567</v>
      </c>
      <c r="AN20" s="320">
        <v>5.0732520762500908</v>
      </c>
      <c r="AO20" s="320">
        <v>13.105006539987244</v>
      </c>
      <c r="AP20" s="321">
        <v>38697.413784871409</v>
      </c>
      <c r="AQ20" s="321">
        <v>811.36398121625484</v>
      </c>
      <c r="AR20" s="321">
        <v>338.73752965840998</v>
      </c>
      <c r="AS20" s="320">
        <v>2.0966878709952814</v>
      </c>
      <c r="AT20" s="320">
        <v>21.361033417340099</v>
      </c>
      <c r="AU20" s="322">
        <v>-0.14980366056572378</v>
      </c>
      <c r="AV20" s="322">
        <v>-0.38928630843453671</v>
      </c>
      <c r="AW20" s="320" t="s">
        <v>288</v>
      </c>
      <c r="AX20" s="321">
        <v>2611.3029512284274</v>
      </c>
      <c r="AY20" s="321">
        <v>159.28715292776027</v>
      </c>
      <c r="AZ20" s="321">
        <v>512.00973269570761</v>
      </c>
      <c r="BA20" s="320">
        <v>19.607442807616192</v>
      </c>
      <c r="BB20" s="321">
        <v>1390.8297277272327</v>
      </c>
      <c r="BC20" s="321">
        <v>457.31964771204053</v>
      </c>
      <c r="BD20" s="321">
        <v>313.97281407720936</v>
      </c>
      <c r="BE20" s="320">
        <v>32.881066502608533</v>
      </c>
      <c r="BF20" s="320">
        <v>3.4970601447497645</v>
      </c>
      <c r="BG20" s="320">
        <v>2.5658354730514851E-2</v>
      </c>
      <c r="BH20" s="320">
        <v>0.14167430273858472</v>
      </c>
      <c r="BI20" s="320">
        <v>4.0512400952349754</v>
      </c>
      <c r="BJ20" s="320">
        <v>61.824411056587174</v>
      </c>
      <c r="BK20" s="320">
        <v>3.3634304647873163</v>
      </c>
      <c r="BL20" s="320">
        <v>2.8837918105988671</v>
      </c>
      <c r="BM20" s="320">
        <v>5.4402951961949251</v>
      </c>
      <c r="BN20" s="323">
        <v>181.44435052100087</v>
      </c>
      <c r="BO20" s="320">
        <v>34.417843362243154</v>
      </c>
      <c r="BP20" s="320">
        <v>11.056970711460004</v>
      </c>
      <c r="BQ20" s="320">
        <v>18.968815101388088</v>
      </c>
      <c r="BR20" s="320">
        <v>7.0137295940795417</v>
      </c>
      <c r="BS20" s="320">
        <v>8.6961479259502136E-2</v>
      </c>
      <c r="BT20" s="320">
        <v>0.17180386289876476</v>
      </c>
      <c r="BU20" s="320">
        <v>2.4495364498196301</v>
      </c>
      <c r="BV20" s="320">
        <v>0.93195374302787559</v>
      </c>
      <c r="BW20" s="320">
        <v>0.10158182504642377</v>
      </c>
      <c r="BX20" s="320">
        <v>0.23275024108290929</v>
      </c>
      <c r="BY20" s="320">
        <v>24.97444136301382</v>
      </c>
      <c r="BZ20" s="320">
        <v>80.891364309497561</v>
      </c>
      <c r="CA20" s="320">
        <v>3.6976261696184483</v>
      </c>
      <c r="CB20" s="320">
        <v>4.3556446402420619</v>
      </c>
      <c r="CC20" s="320">
        <v>5.3845607345389528</v>
      </c>
      <c r="CD20" s="320">
        <v>72.627141025889415</v>
      </c>
      <c r="CE20" s="320">
        <v>1.3229465309635391</v>
      </c>
      <c r="CF20" s="320">
        <v>0.80469391453618211</v>
      </c>
      <c r="CG20" s="320">
        <v>1.8215594229324654</v>
      </c>
      <c r="CH20" s="323">
        <v>130.10275234743642</v>
      </c>
      <c r="CI20" s="320">
        <v>28.195010590043267</v>
      </c>
      <c r="CJ20" s="320">
        <v>14.230154570555664</v>
      </c>
      <c r="CK20" s="320">
        <v>21.671340599120562</v>
      </c>
      <c r="CL20" s="320">
        <v>8.7996525161611974</v>
      </c>
      <c r="CM20" s="320">
        <v>7.649467997624862E-2</v>
      </c>
      <c r="CN20" s="320">
        <v>3.9926233546254512E-2</v>
      </c>
      <c r="CO20" s="320">
        <v>0.86929205256412823</v>
      </c>
      <c r="CP20" s="320">
        <v>2.7889899937608145</v>
      </c>
      <c r="CQ20" s="320">
        <v>0.21512926612417321</v>
      </c>
      <c r="CR20" s="320">
        <v>0.10977544799853693</v>
      </c>
      <c r="CS20" s="320">
        <v>7.7135187507102563</v>
      </c>
      <c r="CT20" s="320">
        <v>5.7652700000000001</v>
      </c>
      <c r="CU20" s="320">
        <v>0.13994349298015168</v>
      </c>
      <c r="CV20" s="322">
        <v>-2.9196473132590248E-2</v>
      </c>
      <c r="CW20" s="320">
        <v>2.4273536708627987</v>
      </c>
    </row>
    <row r="21" spans="1:101">
      <c r="A21" s="17" t="s">
        <v>237</v>
      </c>
      <c r="B21" s="317" t="s">
        <v>238</v>
      </c>
      <c r="C21" s="155" t="s">
        <v>341</v>
      </c>
      <c r="D21" s="53">
        <v>0.105629</v>
      </c>
      <c r="E21" s="53">
        <v>34.699337</v>
      </c>
      <c r="F21" s="53" t="s">
        <v>359</v>
      </c>
      <c r="G21" s="53" t="s">
        <v>334</v>
      </c>
      <c r="H21" s="116" t="s">
        <v>347</v>
      </c>
      <c r="I21" s="154" t="s">
        <v>371</v>
      </c>
      <c r="J21" s="116" t="s">
        <v>687</v>
      </c>
      <c r="K21" s="53" t="s">
        <v>368</v>
      </c>
      <c r="L21" s="53" t="s">
        <v>684</v>
      </c>
      <c r="M21" s="53" t="s">
        <v>683</v>
      </c>
      <c r="N21" s="319">
        <v>59918.485180517935</v>
      </c>
      <c r="O21" s="319">
        <v>454.83665409609392</v>
      </c>
      <c r="P21" s="319">
        <v>227.64794268207984</v>
      </c>
      <c r="Q21" s="320">
        <v>0.75909237812971408</v>
      </c>
      <c r="R21" s="319">
        <v>1615.4860798335631</v>
      </c>
      <c r="S21" s="319">
        <v>120.26911556909796</v>
      </c>
      <c r="T21" s="319">
        <v>120.72605073107692</v>
      </c>
      <c r="U21" s="320">
        <v>7.4730480341566814</v>
      </c>
      <c r="V21" s="319">
        <v>306.09811370404771</v>
      </c>
      <c r="W21" s="320">
        <v>24.976213349641991</v>
      </c>
      <c r="X21" s="320">
        <v>14.558558790110412</v>
      </c>
      <c r="Y21" s="320">
        <v>8.1595450058180869</v>
      </c>
      <c r="Z21" s="320">
        <v>0.53172092771879464</v>
      </c>
      <c r="AA21" s="320">
        <v>0.12037301744450102</v>
      </c>
      <c r="AB21" s="320">
        <v>7.2389162354354025E-2</v>
      </c>
      <c r="AC21" s="320">
        <v>22.638382499054348</v>
      </c>
      <c r="AD21" s="320">
        <v>44.646642372854679</v>
      </c>
      <c r="AE21" s="320">
        <v>9.8920803381362372</v>
      </c>
      <c r="AF21" s="320">
        <v>6.4394466544460078</v>
      </c>
      <c r="AG21" s="320">
        <v>22.156381336641473</v>
      </c>
      <c r="AH21" s="321">
        <v>148.17756179905476</v>
      </c>
      <c r="AI21" s="320">
        <v>0.87007995479858857</v>
      </c>
      <c r="AJ21" s="320">
        <v>0.31919028002392158</v>
      </c>
      <c r="AK21" s="320">
        <v>0.5871873880463182</v>
      </c>
      <c r="AL21" s="320">
        <v>40.871547881027148</v>
      </c>
      <c r="AM21" s="320">
        <v>4.7195242048231707</v>
      </c>
      <c r="AN21" s="320">
        <v>5.1590255553262834</v>
      </c>
      <c r="AO21" s="320">
        <v>12.622535291160672</v>
      </c>
      <c r="AP21" s="321">
        <v>35489.460231546473</v>
      </c>
      <c r="AQ21" s="321">
        <v>339.95722381687932</v>
      </c>
      <c r="AR21" s="321">
        <v>190.92469270914526</v>
      </c>
      <c r="AS21" s="320">
        <v>0.95791038127622019</v>
      </c>
      <c r="AT21" s="320">
        <v>25.487301367790156</v>
      </c>
      <c r="AU21" s="322">
        <v>-0.14945200929923616</v>
      </c>
      <c r="AV21" s="322">
        <v>-0.38793103448275867</v>
      </c>
      <c r="AW21" s="320" t="s">
        <v>288</v>
      </c>
      <c r="AX21" s="321">
        <v>2236.133302906399</v>
      </c>
      <c r="AY21" s="321">
        <v>245.34764941118127</v>
      </c>
      <c r="AZ21" s="321">
        <v>631.2914296272819</v>
      </c>
      <c r="BA21" s="320">
        <v>28.231386241900925</v>
      </c>
      <c r="BB21" s="321">
        <v>1991.9466163171708</v>
      </c>
      <c r="BC21" s="321">
        <v>757.9398183778178</v>
      </c>
      <c r="BD21" s="321">
        <v>585.05672574116306</v>
      </c>
      <c r="BE21" s="320">
        <v>38.050207378506059</v>
      </c>
      <c r="BF21" s="320">
        <v>3.7529046455796133</v>
      </c>
      <c r="BG21" s="320">
        <v>2.7830979663321247E-2</v>
      </c>
      <c r="BH21" s="320">
        <v>0.18265444727189817</v>
      </c>
      <c r="BI21" s="320">
        <v>4.8670154059746515</v>
      </c>
      <c r="BJ21" s="320">
        <v>58.891170942941756</v>
      </c>
      <c r="BK21" s="320">
        <v>3.0361174948056475</v>
      </c>
      <c r="BL21" s="320">
        <v>2.5230717405829384</v>
      </c>
      <c r="BM21" s="320">
        <v>5.1554714334806979</v>
      </c>
      <c r="BN21" s="320">
        <v>99.237828038084501</v>
      </c>
      <c r="BO21" s="320">
        <v>14.2150546202854</v>
      </c>
      <c r="BP21" s="320">
        <v>4.1157900535285963</v>
      </c>
      <c r="BQ21" s="320">
        <v>14.324229884223271</v>
      </c>
      <c r="BR21" s="320">
        <v>3.7467775339091709</v>
      </c>
      <c r="BS21" s="320">
        <v>2.5020741337943114E-2</v>
      </c>
      <c r="BT21" s="320">
        <v>6.1270353576291139E-2</v>
      </c>
      <c r="BU21" s="320">
        <v>1.635281332339078</v>
      </c>
      <c r="BV21" s="320">
        <v>0.58041229979133491</v>
      </c>
      <c r="BW21" s="320">
        <v>7.5174850734596052E-2</v>
      </c>
      <c r="BX21" s="320">
        <v>0.181937460540438</v>
      </c>
      <c r="BY21" s="320">
        <v>31.346244834206079</v>
      </c>
      <c r="BZ21" s="320">
        <v>88.47026105599052</v>
      </c>
      <c r="CA21" s="320">
        <v>6.6186233001084691</v>
      </c>
      <c r="CB21" s="320">
        <v>7.3502239482505844</v>
      </c>
      <c r="CC21" s="320">
        <v>8.3081296025551676</v>
      </c>
      <c r="CD21" s="320">
        <v>89.39625450381196</v>
      </c>
      <c r="CE21" s="320">
        <v>1.3624187284830169</v>
      </c>
      <c r="CF21" s="320">
        <v>0.68626958808492478</v>
      </c>
      <c r="CG21" s="320">
        <v>1.5240221595916212</v>
      </c>
      <c r="CH21" s="323">
        <v>127.05738996824385</v>
      </c>
      <c r="CI21" s="320">
        <v>34.29394828399014</v>
      </c>
      <c r="CJ21" s="320">
        <v>17.625814880440341</v>
      </c>
      <c r="CK21" s="320">
        <v>26.990911974944087</v>
      </c>
      <c r="CL21" s="320">
        <v>9.3043470620905815</v>
      </c>
      <c r="CM21" s="320">
        <v>5.5802237093681491E-2</v>
      </c>
      <c r="CN21" s="320">
        <v>4.0265506208713608E-2</v>
      </c>
      <c r="CO21" s="320">
        <v>0.59974371894445822</v>
      </c>
      <c r="CP21" s="320">
        <v>3.3758712707897529</v>
      </c>
      <c r="CQ21" s="320">
        <v>0.17400023500413789</v>
      </c>
      <c r="CR21" s="320">
        <v>0.1087975709269957</v>
      </c>
      <c r="CS21" s="320">
        <v>5.1542319314631975</v>
      </c>
      <c r="CT21" s="320">
        <v>2.3111900000000003</v>
      </c>
      <c r="CU21" s="320">
        <v>7.3733866925655644E-2</v>
      </c>
      <c r="CV21" s="322">
        <v>-2.9094827586206896E-2</v>
      </c>
      <c r="CW21" s="320">
        <v>3.1902988038913129</v>
      </c>
    </row>
    <row r="22" spans="1:101">
      <c r="A22" s="17" t="s">
        <v>257</v>
      </c>
      <c r="B22" s="317" t="s">
        <v>258</v>
      </c>
      <c r="C22" s="155" t="s">
        <v>342</v>
      </c>
      <c r="D22" s="53">
        <v>0.10229199999999999</v>
      </c>
      <c r="E22" s="53">
        <v>34.713501999999998</v>
      </c>
      <c r="F22" s="53" t="s">
        <v>335</v>
      </c>
      <c r="G22" s="53" t="s">
        <v>334</v>
      </c>
      <c r="H22" s="116" t="s">
        <v>347</v>
      </c>
      <c r="I22" s="154" t="s">
        <v>371</v>
      </c>
      <c r="J22" s="116" t="s">
        <v>687</v>
      </c>
      <c r="K22" s="53" t="s">
        <v>361</v>
      </c>
      <c r="L22" s="53" t="s">
        <v>685</v>
      </c>
      <c r="M22" s="53" t="s">
        <v>690</v>
      </c>
      <c r="N22" s="319">
        <v>85795.331525819507</v>
      </c>
      <c r="O22" s="319">
        <v>595.6178399024725</v>
      </c>
      <c r="P22" s="319">
        <v>295.92034078937979</v>
      </c>
      <c r="Q22" s="320">
        <v>0.69423106048984196</v>
      </c>
      <c r="R22" s="319">
        <v>5348.1686304467912</v>
      </c>
      <c r="S22" s="319">
        <v>254.18062981391995</v>
      </c>
      <c r="T22" s="319">
        <v>244.19411408722513</v>
      </c>
      <c r="U22" s="320">
        <v>4.7526667047647946</v>
      </c>
      <c r="V22" s="319">
        <v>458.34081036379553</v>
      </c>
      <c r="W22" s="320">
        <v>33.007552451636769</v>
      </c>
      <c r="X22" s="320">
        <v>19.134791346230244</v>
      </c>
      <c r="Y22" s="320">
        <v>7.2015303253135858</v>
      </c>
      <c r="Z22" s="320">
        <v>0.90292857157794482</v>
      </c>
      <c r="AA22" s="320">
        <v>0.20026619465146528</v>
      </c>
      <c r="AB22" s="320">
        <v>0.11438579467197951</v>
      </c>
      <c r="AC22" s="320">
        <v>22.179627597948638</v>
      </c>
      <c r="AD22" s="320">
        <v>31.355025720276195</v>
      </c>
      <c r="AE22" s="320">
        <v>9.2966751328750856</v>
      </c>
      <c r="AF22" s="320">
        <v>6.1396169456817429</v>
      </c>
      <c r="AG22" s="320">
        <v>29.649712986404126</v>
      </c>
      <c r="AH22" s="321">
        <v>128.29289007260647</v>
      </c>
      <c r="AI22" s="320">
        <v>3.2823357617011695</v>
      </c>
      <c r="AJ22" s="320">
        <v>1.2298675109912771</v>
      </c>
      <c r="AK22" s="320">
        <v>2.55847051215664</v>
      </c>
      <c r="AL22" s="320">
        <v>27.76105878508492</v>
      </c>
      <c r="AM22" s="320">
        <v>3.8234361144552853</v>
      </c>
      <c r="AN22" s="320">
        <v>4.1557873235949128</v>
      </c>
      <c r="AO22" s="320">
        <v>14.969844470873269</v>
      </c>
      <c r="AP22" s="321">
        <v>51533.775712779687</v>
      </c>
      <c r="AQ22" s="321">
        <v>695.81303700169155</v>
      </c>
      <c r="AR22" s="321">
        <v>321.81342338147306</v>
      </c>
      <c r="AS22" s="320">
        <v>1.3502077567142809</v>
      </c>
      <c r="AT22" s="320">
        <v>23.605961172963781</v>
      </c>
      <c r="AU22" s="320">
        <v>0.24269203858580288</v>
      </c>
      <c r="AV22" s="322">
        <v>-0.38822163238221635</v>
      </c>
      <c r="AW22" s="320">
        <v>1.0280964066981575</v>
      </c>
      <c r="AX22" s="321">
        <v>11712.625923039659</v>
      </c>
      <c r="AY22" s="321">
        <v>426.69928717642921</v>
      </c>
      <c r="AZ22" s="321">
        <v>813.62374715017597</v>
      </c>
      <c r="BA22" s="320">
        <v>6.946552826806446</v>
      </c>
      <c r="BB22" s="321">
        <v>1418.9753142462171</v>
      </c>
      <c r="BC22" s="321">
        <v>377.37989714846265</v>
      </c>
      <c r="BD22" s="321">
        <v>261.90257656373245</v>
      </c>
      <c r="BE22" s="320">
        <v>26.595240478086328</v>
      </c>
      <c r="BF22" s="320">
        <v>1.610649067559363</v>
      </c>
      <c r="BG22" s="320">
        <v>2.6098883802941154E-2</v>
      </c>
      <c r="BH22" s="320">
        <v>0.12098605097723396</v>
      </c>
      <c r="BI22" s="320">
        <v>7.5116332548197882</v>
      </c>
      <c r="BJ22" s="320">
        <v>81.825439792567892</v>
      </c>
      <c r="BK22" s="320">
        <v>5.609554039043708</v>
      </c>
      <c r="BL22" s="320">
        <v>4.5941312921664101</v>
      </c>
      <c r="BM22" s="320">
        <v>6.855513460439985</v>
      </c>
      <c r="BN22" s="323">
        <v>105.90567370674759</v>
      </c>
      <c r="BO22" s="320">
        <v>31.335269183684666</v>
      </c>
      <c r="BP22" s="320">
        <v>10.374777239859169</v>
      </c>
      <c r="BQ22" s="320">
        <v>29.587904110266944</v>
      </c>
      <c r="BR22" s="320">
        <v>2.825701823316765</v>
      </c>
      <c r="BS22" s="320">
        <v>3.0518552364711404E-2</v>
      </c>
      <c r="BT22" s="320">
        <v>7.9166857600868362E-2</v>
      </c>
      <c r="BU22" s="320">
        <v>2.8016706132122438</v>
      </c>
      <c r="BV22" s="320">
        <v>0.24750905252856295</v>
      </c>
      <c r="BW22" s="320">
        <v>8.1033808899669157E-2</v>
      </c>
      <c r="BX22" s="320">
        <v>0.16284478424791629</v>
      </c>
      <c r="BY22" s="320">
        <v>65.793465969946183</v>
      </c>
      <c r="BZ22" s="323">
        <v>303.77095891293834</v>
      </c>
      <c r="CA22" s="320">
        <v>17.370585768552136</v>
      </c>
      <c r="CB22" s="320">
        <v>16.078037567724813</v>
      </c>
      <c r="CC22" s="320">
        <v>5.7183167972059499</v>
      </c>
      <c r="CD22" s="323">
        <v>105.33566705474026</v>
      </c>
      <c r="CE22" s="320">
        <v>3.4417772881363566</v>
      </c>
      <c r="CF22" s="320">
        <v>2.0529489050122685</v>
      </c>
      <c r="CG22" s="320">
        <v>3.2674376916868559</v>
      </c>
      <c r="CH22" s="323">
        <v>173.89556189839783</v>
      </c>
      <c r="CI22" s="320">
        <v>47.254277064245898</v>
      </c>
      <c r="CJ22" s="320">
        <v>21.550851152837602</v>
      </c>
      <c r="CK22" s="320">
        <v>27.173940811586217</v>
      </c>
      <c r="CL22" s="320">
        <v>3.53046319003648</v>
      </c>
      <c r="CM22" s="320">
        <v>3.1379000144146504E-2</v>
      </c>
      <c r="CN22" s="320">
        <v>2.0520085647210654E-2</v>
      </c>
      <c r="CO22" s="320">
        <v>0.8888068917614822</v>
      </c>
      <c r="CP22" s="320">
        <v>1.13375519265418</v>
      </c>
      <c r="CQ22" s="320">
        <v>8.5571707940081954E-2</v>
      </c>
      <c r="CR22" s="320">
        <v>6.4694436544364395E-2</v>
      </c>
      <c r="CS22" s="320">
        <v>7.5476353708911468</v>
      </c>
      <c r="CT22" s="320">
        <v>88.313275000000004</v>
      </c>
      <c r="CU22" s="320">
        <v>10.063927139007514</v>
      </c>
      <c r="CV22" s="320">
        <v>4.7668617025310072</v>
      </c>
      <c r="CW22" s="320">
        <v>11.39571274987539</v>
      </c>
    </row>
    <row r="23" spans="1:101">
      <c r="A23" s="17" t="s">
        <v>263</v>
      </c>
      <c r="B23" s="317" t="s">
        <v>264</v>
      </c>
      <c r="C23" s="155" t="s">
        <v>342</v>
      </c>
      <c r="D23" s="53">
        <v>0.1033</v>
      </c>
      <c r="E23" s="53">
        <v>34.713628999999997</v>
      </c>
      <c r="F23" s="53" t="s">
        <v>335</v>
      </c>
      <c r="G23" s="53" t="s">
        <v>334</v>
      </c>
      <c r="H23" s="116" t="s">
        <v>347</v>
      </c>
      <c r="I23" s="154" t="s">
        <v>371</v>
      </c>
      <c r="J23" s="116" t="s">
        <v>687</v>
      </c>
      <c r="K23" s="53" t="s">
        <v>366</v>
      </c>
      <c r="L23" s="53" t="s">
        <v>684</v>
      </c>
      <c r="M23" s="53" t="s">
        <v>683</v>
      </c>
      <c r="N23" s="319">
        <v>58818.935690224207</v>
      </c>
      <c r="O23" s="319">
        <v>765.14385246905329</v>
      </c>
      <c r="P23" s="319">
        <v>279.97485213437881</v>
      </c>
      <c r="Q23" s="320">
        <v>1.3008461365210002</v>
      </c>
      <c r="R23" s="319">
        <v>993.96252720498876</v>
      </c>
      <c r="S23" s="320">
        <v>30.645625756183783</v>
      </c>
      <c r="T23" s="320">
        <v>31.287698195275922</v>
      </c>
      <c r="U23" s="320">
        <v>3.1477744219650381</v>
      </c>
      <c r="V23" s="319">
        <v>569.24948220250974</v>
      </c>
      <c r="W23" s="320">
        <v>46.541266181496958</v>
      </c>
      <c r="X23" s="320">
        <v>20.813462889082018</v>
      </c>
      <c r="Y23" s="320">
        <v>8.1758996075713526</v>
      </c>
      <c r="Z23" s="320">
        <v>0.26483149153700153</v>
      </c>
      <c r="AA23" s="320">
        <v>7.4044155879062309E-2</v>
      </c>
      <c r="AB23" s="320">
        <v>4.1099145765046328E-2</v>
      </c>
      <c r="AC23" s="320">
        <v>27.958969475016932</v>
      </c>
      <c r="AD23" s="320">
        <v>23.78313643176304</v>
      </c>
      <c r="AE23" s="320">
        <v>9.9429292556526256</v>
      </c>
      <c r="AF23" s="320">
        <v>5.1753535358246801</v>
      </c>
      <c r="AG23" s="320">
        <v>41.806635908515275</v>
      </c>
      <c r="AH23" s="320">
        <v>99.730157685867809</v>
      </c>
      <c r="AI23" s="320">
        <v>1.832144717851329</v>
      </c>
      <c r="AJ23" s="320">
        <v>0.60177655112392758</v>
      </c>
      <c r="AK23" s="320">
        <v>1.83710199639136</v>
      </c>
      <c r="AL23" s="320">
        <v>24.152541533732531</v>
      </c>
      <c r="AM23" s="320">
        <v>5.2652066498984906</v>
      </c>
      <c r="AN23" s="320">
        <v>4.6467127055134974</v>
      </c>
      <c r="AO23" s="320">
        <v>21.799803728915506</v>
      </c>
      <c r="AP23" s="321">
        <v>36564.099039729779</v>
      </c>
      <c r="AQ23" s="321">
        <v>905.59195596361144</v>
      </c>
      <c r="AR23" s="321">
        <v>328.74305438844732</v>
      </c>
      <c r="AS23" s="320">
        <v>2.4767243819671703</v>
      </c>
      <c r="AT23" s="320">
        <v>13.576534471267067</v>
      </c>
      <c r="AU23" s="320">
        <v>0.15074808125865127</v>
      </c>
      <c r="AV23" s="322">
        <v>-0.38857712103602859</v>
      </c>
      <c r="AW23" s="320">
        <v>1.1103575921947502</v>
      </c>
      <c r="AX23" s="321">
        <v>2662.8305437271379</v>
      </c>
      <c r="AY23" s="321">
        <v>355.52072411515167</v>
      </c>
      <c r="AZ23" s="321">
        <v>660.60678103381144</v>
      </c>
      <c r="BA23" s="320">
        <v>24.808442376853865</v>
      </c>
      <c r="BB23" s="321">
        <v>2041.3884341625933</v>
      </c>
      <c r="BC23" s="321">
        <v>952.71639271533161</v>
      </c>
      <c r="BD23" s="321">
        <v>550.74002322183696</v>
      </c>
      <c r="BE23" s="320">
        <v>46.670020108453755</v>
      </c>
      <c r="BF23" s="320">
        <v>2.7496048356724785</v>
      </c>
      <c r="BG23" s="320">
        <v>3.3262863603260327E-2</v>
      </c>
      <c r="BH23" s="320">
        <v>0.19245885014442807</v>
      </c>
      <c r="BI23" s="320">
        <v>6.9995094439582575</v>
      </c>
      <c r="BJ23" s="320">
        <v>33.38366587974631</v>
      </c>
      <c r="BK23" s="320">
        <v>3.4597218770585099</v>
      </c>
      <c r="BL23" s="320">
        <v>2.2900932678217778</v>
      </c>
      <c r="BM23" s="320">
        <v>10.363516965215927</v>
      </c>
      <c r="BN23" s="320">
        <v>38.001836533911998</v>
      </c>
      <c r="BO23" s="320">
        <v>8.9588014960637015</v>
      </c>
      <c r="BP23" s="320">
        <v>2.8382716868846596</v>
      </c>
      <c r="BQ23" s="320">
        <v>23.574654051440554</v>
      </c>
      <c r="BR23" s="320">
        <v>0.95424535353548412</v>
      </c>
      <c r="BS23" s="320">
        <v>1.2407230469106511E-2</v>
      </c>
      <c r="BT23" s="320">
        <v>3.8371353201146985E-2</v>
      </c>
      <c r="BU23" s="320">
        <v>4.0211202558106169</v>
      </c>
      <c r="BV23" s="320">
        <v>0.3747472728216697</v>
      </c>
      <c r="BW23" s="320">
        <v>8.9574509209976866E-2</v>
      </c>
      <c r="BX23" s="320">
        <v>0.18281417200043423</v>
      </c>
      <c r="BY23" s="320">
        <v>48.783322857543432</v>
      </c>
      <c r="BZ23" s="323">
        <v>154.53860379160699</v>
      </c>
      <c r="CA23" s="320">
        <v>14.492759533071373</v>
      </c>
      <c r="CB23" s="320">
        <v>11.557223931620493</v>
      </c>
      <c r="CC23" s="320">
        <v>9.3780836486750232</v>
      </c>
      <c r="CD23" s="320">
        <v>72.340933210567741</v>
      </c>
      <c r="CE23" s="320">
        <v>4.2861621010447095</v>
      </c>
      <c r="CF23" s="320">
        <v>1.5152047401132362</v>
      </c>
      <c r="CG23" s="320">
        <v>5.9249472059873511</v>
      </c>
      <c r="CH23" s="320">
        <v>73.325083037455784</v>
      </c>
      <c r="CI23" s="320">
        <v>24.796343078031018</v>
      </c>
      <c r="CJ23" s="320">
        <v>12.101851275331926</v>
      </c>
      <c r="CK23" s="320">
        <v>33.8169996553084</v>
      </c>
      <c r="CL23" s="320">
        <v>6.4273846846892804</v>
      </c>
      <c r="CM23" s="320">
        <v>8.316721666043235E-2</v>
      </c>
      <c r="CN23" s="320">
        <v>3.8231403541365859E-2</v>
      </c>
      <c r="CO23" s="320">
        <v>1.29395112849781</v>
      </c>
      <c r="CP23" s="320">
        <v>1.9461690816747323</v>
      </c>
      <c r="CQ23" s="320">
        <v>0.22802533005017778</v>
      </c>
      <c r="CR23" s="320">
        <v>0.10718720928798751</v>
      </c>
      <c r="CS23" s="320">
        <v>11.716624839911425</v>
      </c>
      <c r="CT23" s="320">
        <v>5.6278050000000004</v>
      </c>
      <c r="CU23" s="320">
        <v>2.1833251961982385</v>
      </c>
      <c r="CV23" s="320">
        <v>7.7996704911610981E-2</v>
      </c>
      <c r="CW23" s="320">
        <v>38.795324219624497</v>
      </c>
    </row>
    <row r="24" spans="1:101">
      <c r="A24" s="17" t="s">
        <v>279</v>
      </c>
      <c r="B24" s="317" t="s">
        <v>280</v>
      </c>
      <c r="C24" s="155" t="s">
        <v>342</v>
      </c>
      <c r="D24" s="53">
        <v>0.156392</v>
      </c>
      <c r="E24" s="53">
        <v>34.817486000000002</v>
      </c>
      <c r="F24" s="53" t="s">
        <v>679</v>
      </c>
      <c r="G24" s="53" t="s">
        <v>334</v>
      </c>
      <c r="H24" s="116" t="s">
        <v>347</v>
      </c>
      <c r="I24" s="154" t="s">
        <v>371</v>
      </c>
      <c r="J24" s="116" t="s">
        <v>687</v>
      </c>
      <c r="K24" s="53" t="s">
        <v>361</v>
      </c>
      <c r="L24" s="53" t="s">
        <v>685</v>
      </c>
      <c r="M24" s="53" t="s">
        <v>690</v>
      </c>
      <c r="N24" s="319">
        <v>43282.458486143827</v>
      </c>
      <c r="O24" s="319">
        <v>558.86500897922099</v>
      </c>
      <c r="P24" s="319">
        <v>229.91838884520425</v>
      </c>
      <c r="Q24" s="320">
        <v>1.2912044013353181</v>
      </c>
      <c r="R24" s="319">
        <v>1662.2146913751978</v>
      </c>
      <c r="S24" s="320">
        <v>19.901208605042005</v>
      </c>
      <c r="T24" s="320">
        <v>21.195183393450172</v>
      </c>
      <c r="U24" s="320">
        <v>1.2751170774405074</v>
      </c>
      <c r="V24" s="319">
        <v>354.38003920360177</v>
      </c>
      <c r="W24" s="320">
        <v>7.1813642598575296</v>
      </c>
      <c r="X24" s="320">
        <v>3.3376673146534261</v>
      </c>
      <c r="Y24" s="320">
        <v>2.0264584529072827</v>
      </c>
      <c r="Z24" s="320">
        <v>0.21911955107939865</v>
      </c>
      <c r="AA24" s="320">
        <v>1.4014600108013952E-2</v>
      </c>
      <c r="AB24" s="320">
        <v>1.5677602639623311E-2</v>
      </c>
      <c r="AC24" s="320">
        <v>7.1548168853004288</v>
      </c>
      <c r="AD24" s="320">
        <v>7.8891814298595593</v>
      </c>
      <c r="AE24" s="320">
        <v>1.2024096494806751</v>
      </c>
      <c r="AF24" s="320">
        <v>1.0064994528933178</v>
      </c>
      <c r="AG24" s="320">
        <v>15.241247272241779</v>
      </c>
      <c r="AH24" s="321">
        <v>190.35475716493016</v>
      </c>
      <c r="AI24" s="320">
        <v>34.35130970000575</v>
      </c>
      <c r="AJ24" s="320">
        <v>13.680127683787465</v>
      </c>
      <c r="AK24" s="320">
        <v>18.045942329795597</v>
      </c>
      <c r="AL24" s="320">
        <v>18.234275126837382</v>
      </c>
      <c r="AM24" s="320">
        <v>2.032917471228223</v>
      </c>
      <c r="AN24" s="320">
        <v>2.6253538153835567</v>
      </c>
      <c r="AO24" s="320">
        <v>14.397906125259324</v>
      </c>
      <c r="AP24" s="321">
        <v>16395.028574993969</v>
      </c>
      <c r="AQ24" s="321">
        <v>1382.7528802664274</v>
      </c>
      <c r="AR24" s="321">
        <v>511.18240337481603</v>
      </c>
      <c r="AS24" s="320">
        <v>8.4339766407936008</v>
      </c>
      <c r="AT24" s="320">
        <v>19.718265163665418</v>
      </c>
      <c r="AU24" s="320">
        <v>0.18077376685873831</v>
      </c>
      <c r="AV24" s="322">
        <v>-0.38957882470451144</v>
      </c>
      <c r="AW24" s="320">
        <v>0.91678332428477372</v>
      </c>
      <c r="AX24" s="321">
        <v>3398.310958514629</v>
      </c>
      <c r="AY24" s="321">
        <v>212.48409559497918</v>
      </c>
      <c r="AZ24" s="321">
        <v>584.62122241953398</v>
      </c>
      <c r="BA24" s="320">
        <v>17.203288032095408</v>
      </c>
      <c r="BB24" s="321">
        <v>219.90020951440852</v>
      </c>
      <c r="BC24" s="320">
        <v>71.818176512844033</v>
      </c>
      <c r="BD24" s="320">
        <v>58.331573227243183</v>
      </c>
      <c r="BE24" s="320">
        <v>32.659439784725755</v>
      </c>
      <c r="BF24" s="320">
        <v>1.9785238799526184</v>
      </c>
      <c r="BG24" s="320">
        <v>6.7429254513123413E-2</v>
      </c>
      <c r="BH24" s="320">
        <v>0.17234243125105703</v>
      </c>
      <c r="BI24" s="320">
        <v>8.7106571215700601</v>
      </c>
      <c r="BJ24" s="320">
        <v>16.368949047677805</v>
      </c>
      <c r="BK24" s="320">
        <v>2.2928491457992326</v>
      </c>
      <c r="BL24" s="320">
        <v>2.2766886367512806</v>
      </c>
      <c r="BM24" s="320">
        <v>14.007308221931996</v>
      </c>
      <c r="BN24" s="320">
        <v>63.857570770902306</v>
      </c>
      <c r="BO24" s="320">
        <v>17.563738410709757</v>
      </c>
      <c r="BP24" s="320">
        <v>5.8629370373457332</v>
      </c>
      <c r="BQ24" s="320">
        <v>27.504551455178355</v>
      </c>
      <c r="BR24" s="320">
        <v>2.6425897020567719</v>
      </c>
      <c r="BS24" s="320">
        <v>3.4149160027126695E-2</v>
      </c>
      <c r="BT24" s="320">
        <v>9.3998944065560489E-2</v>
      </c>
      <c r="BU24" s="320">
        <v>3.5570767566527461</v>
      </c>
      <c r="BV24" s="320">
        <v>0.25882482761062731</v>
      </c>
      <c r="BW24" s="320">
        <v>0.1003561817325789</v>
      </c>
      <c r="BX24" s="320">
        <v>0.15093454051273891</v>
      </c>
      <c r="BY24" s="320">
        <v>58.315325429213793</v>
      </c>
      <c r="BZ24" s="320">
        <v>64.965695001380411</v>
      </c>
      <c r="CA24" s="320">
        <v>5.4530829436838619</v>
      </c>
      <c r="CB24" s="320">
        <v>5.9522021642890577</v>
      </c>
      <c r="CC24" s="320">
        <v>9.1620695571140782</v>
      </c>
      <c r="CD24" s="320">
        <v>32.697886949976855</v>
      </c>
      <c r="CE24" s="320">
        <v>0.63162993807833434</v>
      </c>
      <c r="CF24" s="320">
        <v>0.41552497617377276</v>
      </c>
      <c r="CG24" s="320">
        <v>1.9317148507016335</v>
      </c>
      <c r="CH24" s="320">
        <v>61.697806461934967</v>
      </c>
      <c r="CI24" s="320">
        <v>10.429150705459881</v>
      </c>
      <c r="CJ24" s="320">
        <v>10.980303374646605</v>
      </c>
      <c r="CK24" s="320">
        <v>17.796910464590024</v>
      </c>
      <c r="CL24" s="320">
        <v>10.419614078319427</v>
      </c>
      <c r="CM24" s="320">
        <v>0.19749763961964459</v>
      </c>
      <c r="CN24" s="320">
        <v>6.8753065844137512E-2</v>
      </c>
      <c r="CO24" s="320">
        <v>1.8954410224327509</v>
      </c>
      <c r="CP24" s="320">
        <v>2.769714650690918</v>
      </c>
      <c r="CQ24" s="320">
        <v>0.14594016282961531</v>
      </c>
      <c r="CR24" s="320">
        <v>8.5645899637127404E-2</v>
      </c>
      <c r="CS24" s="320">
        <v>5.2691407323570267</v>
      </c>
      <c r="CT24" s="320">
        <v>4.1999950000000004</v>
      </c>
      <c r="CU24" s="320">
        <v>3.4834349990903409E-2</v>
      </c>
      <c r="CV24" s="322">
        <v>-2.9218411852838355E-2</v>
      </c>
      <c r="CW24" s="320">
        <v>0.82939027286707268</v>
      </c>
    </row>
    <row r="25" spans="1:101">
      <c r="A25" s="17" t="s">
        <v>285</v>
      </c>
      <c r="B25" s="317" t="s">
        <v>286</v>
      </c>
      <c r="C25" s="155" t="s">
        <v>342</v>
      </c>
      <c r="D25" s="53">
        <v>0.156392</v>
      </c>
      <c r="E25" s="53">
        <v>34.817486000000002</v>
      </c>
      <c r="F25" s="53" t="s">
        <v>679</v>
      </c>
      <c r="G25" s="53" t="s">
        <v>334</v>
      </c>
      <c r="H25" s="116" t="s">
        <v>347</v>
      </c>
      <c r="I25" s="154" t="s">
        <v>371</v>
      </c>
      <c r="J25" s="116" t="s">
        <v>687</v>
      </c>
      <c r="K25" s="53" t="s">
        <v>366</v>
      </c>
      <c r="L25" s="53" t="s">
        <v>684</v>
      </c>
      <c r="M25" s="53" t="s">
        <v>683</v>
      </c>
      <c r="N25" s="319">
        <v>64155.449829243327</v>
      </c>
      <c r="O25" s="319">
        <v>686.32984406260812</v>
      </c>
      <c r="P25" s="319">
        <v>257.86182966025297</v>
      </c>
      <c r="Q25" s="320">
        <v>1.0697919598246903</v>
      </c>
      <c r="R25" s="320">
        <v>34.373290331117161</v>
      </c>
      <c r="S25" s="320">
        <v>2.7461260450851128</v>
      </c>
      <c r="T25" s="320">
        <v>20.530974082434472</v>
      </c>
      <c r="U25" s="320">
        <v>59.729440750827301</v>
      </c>
      <c r="V25" s="319">
        <v>218.83549781528001</v>
      </c>
      <c r="W25" s="320">
        <v>17.423223922381421</v>
      </c>
      <c r="X25" s="320">
        <v>3.6280567310660867</v>
      </c>
      <c r="Y25" s="320">
        <v>7.9617905213387452</v>
      </c>
      <c r="Z25" s="320">
        <v>9.0943269844087585E-2</v>
      </c>
      <c r="AA25" s="320">
        <v>3.3238893143753181E-2</v>
      </c>
      <c r="AB25" s="320">
        <v>1.0982957146703E-2</v>
      </c>
      <c r="AC25" s="320">
        <v>36.549041177799822</v>
      </c>
      <c r="AD25" s="320">
        <v>25.388571024756356</v>
      </c>
      <c r="AE25" s="320">
        <v>6.3494535078280512</v>
      </c>
      <c r="AF25" s="320">
        <v>0.98077781257054164</v>
      </c>
      <c r="AG25" s="320">
        <v>25.009101542724515</v>
      </c>
      <c r="AH25" s="321">
        <v>128.48060839727793</v>
      </c>
      <c r="AI25" s="320">
        <v>0.90258041755098717</v>
      </c>
      <c r="AJ25" s="320">
        <v>15.056749612043614</v>
      </c>
      <c r="AK25" s="320">
        <v>11.719083369753577</v>
      </c>
      <c r="AL25" s="320">
        <v>22.036247386605474</v>
      </c>
      <c r="AM25" s="320">
        <v>3.641788802550062</v>
      </c>
      <c r="AN25" s="320">
        <v>2.5218830334488467</v>
      </c>
      <c r="AO25" s="320">
        <v>16.526356500987955</v>
      </c>
      <c r="AP25" s="321">
        <v>31368.627866427731</v>
      </c>
      <c r="AQ25" s="321">
        <v>374.07253829493288</v>
      </c>
      <c r="AR25" s="321">
        <v>596.32984965951664</v>
      </c>
      <c r="AS25" s="320">
        <v>1.9010390004904822</v>
      </c>
      <c r="AT25" s="320">
        <v>28.495942381271067</v>
      </c>
      <c r="AU25" s="322">
        <v>-0.14930325149303253</v>
      </c>
      <c r="AV25" s="322">
        <v>-0.38851070894902878</v>
      </c>
      <c r="AW25" s="320" t="s">
        <v>288</v>
      </c>
      <c r="AX25" s="321">
        <v>969.46598887345215</v>
      </c>
      <c r="AY25" s="321">
        <v>314.98147190255457</v>
      </c>
      <c r="AZ25" s="321">
        <v>575.81106031182503</v>
      </c>
      <c r="BA25" s="320">
        <v>59.394663342541222</v>
      </c>
      <c r="BB25" s="321">
        <v>732.17668255409558</v>
      </c>
      <c r="BC25" s="321">
        <v>345.4845735178406</v>
      </c>
      <c r="BD25" s="320">
        <v>56.825947041258061</v>
      </c>
      <c r="BE25" s="320">
        <v>47.185956853018887</v>
      </c>
      <c r="BF25" s="320">
        <v>2.5486483403016633</v>
      </c>
      <c r="BG25" s="320">
        <v>1.4109008544370296E-2</v>
      </c>
      <c r="BH25" s="320">
        <v>0.17326965182232032</v>
      </c>
      <c r="BI25" s="320">
        <v>6.7984919332500686</v>
      </c>
      <c r="BJ25" s="320">
        <v>30.542581651635867</v>
      </c>
      <c r="BK25" s="320">
        <v>0.70085615882734675</v>
      </c>
      <c r="BL25" s="320">
        <v>2.2494902467536986</v>
      </c>
      <c r="BM25" s="320">
        <v>7.3650953033736606</v>
      </c>
      <c r="BN25" s="320">
        <v>24.996796856687997</v>
      </c>
      <c r="BO25" s="320">
        <v>8.7336208955753492</v>
      </c>
      <c r="BP25" s="320">
        <v>6.7174165396006398</v>
      </c>
      <c r="BQ25" s="320">
        <v>34.938960162164264</v>
      </c>
      <c r="BR25" s="320">
        <v>0.40165329355404183</v>
      </c>
      <c r="BS25" s="320">
        <v>7.9126784276558858E-3</v>
      </c>
      <c r="BT25" s="320">
        <v>8.0335062623819231E-2</v>
      </c>
      <c r="BU25" s="320">
        <v>20.001096446383372</v>
      </c>
      <c r="BV25" s="320">
        <v>0.66191127890270596</v>
      </c>
      <c r="BW25" s="320">
        <v>0.10792984676673709</v>
      </c>
      <c r="BX25" s="320">
        <v>0.2321551858395535</v>
      </c>
      <c r="BY25" s="320">
        <v>35.073459727776886</v>
      </c>
      <c r="BZ25" s="320">
        <v>61.894862714002159</v>
      </c>
      <c r="CA25" s="320">
        <v>6.3980441399821339</v>
      </c>
      <c r="CB25" s="320">
        <v>5.9108017308077399</v>
      </c>
      <c r="CC25" s="320">
        <v>10.336955054808996</v>
      </c>
      <c r="CD25" s="320">
        <v>79.853914150141307</v>
      </c>
      <c r="CE25" s="320">
        <v>2.1197221876184438</v>
      </c>
      <c r="CF25" s="320">
        <v>0.44411923375598295</v>
      </c>
      <c r="CG25" s="320">
        <v>2.6545000457121524</v>
      </c>
      <c r="CH25" s="320">
        <v>92.400850890942536</v>
      </c>
      <c r="CI25" s="320">
        <v>30.058082668913993</v>
      </c>
      <c r="CJ25" s="320">
        <v>11.860498091875773</v>
      </c>
      <c r="CK25" s="320">
        <v>32.530092936471426</v>
      </c>
      <c r="CL25" s="320">
        <v>9.5484045884818016</v>
      </c>
      <c r="CM25" s="320">
        <v>6.923154599372236E-2</v>
      </c>
      <c r="CN25" s="320">
        <v>8.1400999475555874E-2</v>
      </c>
      <c r="CO25" s="320">
        <v>0.85250890576787608</v>
      </c>
      <c r="CP25" s="320">
        <v>2.7046567978003249</v>
      </c>
      <c r="CQ25" s="320">
        <v>0.22833718627163677</v>
      </c>
      <c r="CR25" s="320">
        <v>0.10123245081230661</v>
      </c>
      <c r="CS25" s="320">
        <v>8.442371928939064</v>
      </c>
      <c r="CT25" s="320">
        <v>0.78137500000000004</v>
      </c>
      <c r="CU25" s="320">
        <v>6.9426671440836682E-2</v>
      </c>
      <c r="CV25" s="322">
        <v>-2.9138303171177153E-2</v>
      </c>
      <c r="CW25" s="320">
        <v>8.8851923136569102</v>
      </c>
    </row>
    <row r="26" spans="1:101">
      <c r="A26" s="41"/>
      <c r="B26" s="154"/>
      <c r="C26" s="155"/>
      <c r="D26" s="53"/>
      <c r="E26" s="53"/>
      <c r="F26" s="53"/>
      <c r="G26" s="327"/>
      <c r="H26" s="328"/>
      <c r="I26" s="329"/>
      <c r="J26" s="328"/>
      <c r="K26" s="327"/>
      <c r="L26" s="327"/>
      <c r="M26" s="330" t="s">
        <v>880</v>
      </c>
      <c r="N26" s="324">
        <f>MIN(N6:N25)</f>
        <v>36607.369219921711</v>
      </c>
      <c r="O26" s="324">
        <f t="shared" ref="O26:BZ26" si="0">MIN(O6:O25)</f>
        <v>139.3890915687027</v>
      </c>
      <c r="P26" s="326">
        <f t="shared" si="0"/>
        <v>35.17737493771935</v>
      </c>
      <c r="Q26" s="326">
        <f t="shared" si="0"/>
        <v>0.11183443222247021</v>
      </c>
      <c r="R26" s="326">
        <f t="shared" si="0"/>
        <v>4.8290385735962911</v>
      </c>
      <c r="S26" s="326">
        <f t="shared" si="0"/>
        <v>6.0487318203437966E-2</v>
      </c>
      <c r="T26" s="326">
        <f t="shared" si="0"/>
        <v>9.7338218595221598E-2</v>
      </c>
      <c r="U26" s="326">
        <f t="shared" si="0"/>
        <v>1.2751170774405074</v>
      </c>
      <c r="V26" s="324">
        <f t="shared" si="0"/>
        <v>218.83549781528001</v>
      </c>
      <c r="W26" s="326">
        <f t="shared" si="0"/>
        <v>1.7903148331360057</v>
      </c>
      <c r="X26" s="326">
        <f t="shared" si="0"/>
        <v>1.5163553060971349</v>
      </c>
      <c r="Y26" s="326">
        <f t="shared" si="0"/>
        <v>0.34338554034595242</v>
      </c>
      <c r="Z26" s="326">
        <f t="shared" si="0"/>
        <v>6.244550036505344E-2</v>
      </c>
      <c r="AA26" s="326">
        <f t="shared" si="0"/>
        <v>1.4014600108013952E-2</v>
      </c>
      <c r="AB26" s="326">
        <f t="shared" si="0"/>
        <v>9.1074593700026692E-3</v>
      </c>
      <c r="AC26" s="326">
        <f t="shared" si="0"/>
        <v>2.2294098206251309</v>
      </c>
      <c r="AD26" s="326">
        <f t="shared" si="0"/>
        <v>7.8891814298595593</v>
      </c>
      <c r="AE26" s="326">
        <f t="shared" si="0"/>
        <v>1.2024096494806751</v>
      </c>
      <c r="AF26" s="326">
        <f t="shared" si="0"/>
        <v>0.98077781257054164</v>
      </c>
      <c r="AG26" s="326">
        <f t="shared" si="0"/>
        <v>6.5493018049909839</v>
      </c>
      <c r="AH26" s="326">
        <f t="shared" si="0"/>
        <v>72.645520623612995</v>
      </c>
      <c r="AI26" s="326">
        <f t="shared" si="0"/>
        <v>0.1126308110329849</v>
      </c>
      <c r="AJ26" s="326">
        <f t="shared" si="0"/>
        <v>0.14567156693677821</v>
      </c>
      <c r="AK26" s="326">
        <f t="shared" si="0"/>
        <v>4.4919047804806524E-2</v>
      </c>
      <c r="AL26" s="326">
        <f t="shared" si="0"/>
        <v>18.234275126837382</v>
      </c>
      <c r="AM26" s="326">
        <f t="shared" si="0"/>
        <v>2.032917471228223</v>
      </c>
      <c r="AN26" s="326">
        <f t="shared" si="0"/>
        <v>2.5218830334488467</v>
      </c>
      <c r="AO26" s="326">
        <f t="shared" si="0"/>
        <v>2.6437221630383587</v>
      </c>
      <c r="AP26" s="324">
        <f t="shared" si="0"/>
        <v>16395.028574993969</v>
      </c>
      <c r="AQ26" s="325">
        <f t="shared" si="0"/>
        <v>17.70359343359867</v>
      </c>
      <c r="AR26" s="326">
        <f t="shared" si="0"/>
        <v>13.966397175914075</v>
      </c>
      <c r="AS26" s="326">
        <f t="shared" si="0"/>
        <v>3.6200750476505651E-2</v>
      </c>
      <c r="AT26" s="326">
        <f t="shared" si="0"/>
        <v>4.3092190909481909</v>
      </c>
      <c r="AU26" s="326">
        <f t="shared" si="0"/>
        <v>-0.15005001667222409</v>
      </c>
      <c r="AV26" s="326">
        <f t="shared" si="0"/>
        <v>-0.38993501083152809</v>
      </c>
      <c r="AW26" s="326">
        <f t="shared" si="0"/>
        <v>0.48644979597691096</v>
      </c>
      <c r="AX26" s="324">
        <f t="shared" si="0"/>
        <v>969.46598887345215</v>
      </c>
      <c r="AY26" s="324">
        <f t="shared" si="0"/>
        <v>113.76461172222008</v>
      </c>
      <c r="AZ26" s="324">
        <f t="shared" si="0"/>
        <v>469.36720771898337</v>
      </c>
      <c r="BA26" s="326">
        <f t="shared" si="0"/>
        <v>4.0937038067635863</v>
      </c>
      <c r="BB26" s="324">
        <f t="shared" si="0"/>
        <v>219.90020951440852</v>
      </c>
      <c r="BC26" s="326">
        <f t="shared" si="0"/>
        <v>58.832142705170604</v>
      </c>
      <c r="BD26" s="326">
        <f t="shared" si="0"/>
        <v>43.017908940415012</v>
      </c>
      <c r="BE26" s="326">
        <f t="shared" si="0"/>
        <v>7.8882893707723261</v>
      </c>
      <c r="BF26" s="326">
        <f t="shared" si="0"/>
        <v>1.2593111380226123</v>
      </c>
      <c r="BG26" s="326">
        <f t="shared" si="0"/>
        <v>2.9743616574030322E-3</v>
      </c>
      <c r="BH26" s="326">
        <f t="shared" si="0"/>
        <v>5.2055099324414295E-2</v>
      </c>
      <c r="BI26" s="326">
        <f t="shared" si="0"/>
        <v>1.1533276477692833</v>
      </c>
      <c r="BJ26" s="326">
        <f t="shared" si="0"/>
        <v>12.144729275664575</v>
      </c>
      <c r="BK26" s="326">
        <f t="shared" si="0"/>
        <v>0.49774452921444134</v>
      </c>
      <c r="BL26" s="326">
        <f t="shared" si="0"/>
        <v>0.42930463043438161</v>
      </c>
      <c r="BM26" s="326">
        <f t="shared" si="0"/>
        <v>0.39922345965392569</v>
      </c>
      <c r="BN26" s="326">
        <f t="shared" si="0"/>
        <v>17.530373250600199</v>
      </c>
      <c r="BO26" s="326">
        <f t="shared" si="0"/>
        <v>0.37799752320538055</v>
      </c>
      <c r="BP26" s="326">
        <f t="shared" si="0"/>
        <v>0.17333161980178374</v>
      </c>
      <c r="BQ26" s="326">
        <f t="shared" si="0"/>
        <v>1.3633074038919204</v>
      </c>
      <c r="BR26" s="326">
        <f t="shared" si="0"/>
        <v>0.40165329355404183</v>
      </c>
      <c r="BS26" s="326">
        <f t="shared" si="0"/>
        <v>2.5518120216634671E-3</v>
      </c>
      <c r="BT26" s="326">
        <f t="shared" si="0"/>
        <v>1.6593600124121557E-2</v>
      </c>
      <c r="BU26" s="326">
        <f t="shared" si="0"/>
        <v>0.19266428958262891</v>
      </c>
      <c r="BV26" s="326">
        <f t="shared" si="0"/>
        <v>0.24750905252856295</v>
      </c>
      <c r="BW26" s="326">
        <f t="shared" si="0"/>
        <v>7.4827647377475714E-2</v>
      </c>
      <c r="BX26" s="326">
        <f t="shared" si="0"/>
        <v>0.15093454051273891</v>
      </c>
      <c r="BY26" s="326">
        <f t="shared" si="0"/>
        <v>19.011834765273399</v>
      </c>
      <c r="BZ26" s="326">
        <f t="shared" si="0"/>
        <v>37.906767575234021</v>
      </c>
      <c r="CA26" s="326">
        <f t="shared" ref="CA26:CW26" si="1">MIN(CA6:CA25)</f>
        <v>1.3620333358408707</v>
      </c>
      <c r="CB26" s="326">
        <f t="shared" si="1"/>
        <v>2.6008394086080449</v>
      </c>
      <c r="CC26" s="326">
        <f t="shared" si="1"/>
        <v>0.81672743779070356</v>
      </c>
      <c r="CD26" s="326">
        <f t="shared" si="1"/>
        <v>32.697886949976855</v>
      </c>
      <c r="CE26" s="326">
        <f t="shared" si="1"/>
        <v>0.63162993807833434</v>
      </c>
      <c r="CF26" s="326">
        <f t="shared" si="1"/>
        <v>0.28657798043443888</v>
      </c>
      <c r="CG26" s="326">
        <f t="shared" si="1"/>
        <v>0.35436856592747051</v>
      </c>
      <c r="CH26" s="326">
        <f t="shared" si="1"/>
        <v>61.697806461934967</v>
      </c>
      <c r="CI26" s="326">
        <f t="shared" si="1"/>
        <v>9.4303418166119553</v>
      </c>
      <c r="CJ26" s="326">
        <f t="shared" si="1"/>
        <v>5.2730072775217289</v>
      </c>
      <c r="CK26" s="326">
        <f t="shared" si="1"/>
        <v>5.8694720495338295</v>
      </c>
      <c r="CL26" s="326">
        <f t="shared" si="1"/>
        <v>3.042200806740881</v>
      </c>
      <c r="CM26" s="326">
        <f t="shared" si="1"/>
        <v>6.6210579702157485E-3</v>
      </c>
      <c r="CN26" s="326">
        <f t="shared" si="1"/>
        <v>7.06671324627211E-3</v>
      </c>
      <c r="CO26" s="326">
        <f t="shared" si="1"/>
        <v>5.826560306371497E-2</v>
      </c>
      <c r="CP26" s="326">
        <f t="shared" si="1"/>
        <v>1.0182480946154147</v>
      </c>
      <c r="CQ26" s="326">
        <f t="shared" si="1"/>
        <v>4.3623972514107906E-2</v>
      </c>
      <c r="CR26" s="326">
        <f t="shared" si="1"/>
        <v>3.0884199266763779E-2</v>
      </c>
      <c r="CS26" s="326">
        <f t="shared" si="1"/>
        <v>0.83313043290679134</v>
      </c>
      <c r="CT26" s="326">
        <f t="shared" si="1"/>
        <v>3.3985000000000001E-2</v>
      </c>
      <c r="CU26" s="326">
        <f t="shared" si="1"/>
        <v>-1.1248125312447925E-2</v>
      </c>
      <c r="CV26" s="326">
        <f t="shared" si="1"/>
        <v>-2.9245125812364603E-2</v>
      </c>
      <c r="CW26" s="326">
        <f t="shared" si="1"/>
        <v>0.82939027286707268</v>
      </c>
    </row>
    <row r="27" spans="1:101">
      <c r="A27" s="41"/>
      <c r="B27" s="53"/>
      <c r="C27" s="155"/>
      <c r="D27" s="53"/>
      <c r="E27" s="53"/>
      <c r="F27" s="53"/>
      <c r="G27" s="327"/>
      <c r="H27" s="328"/>
      <c r="I27" s="329"/>
      <c r="J27" s="328"/>
      <c r="K27" s="327"/>
      <c r="L27" s="327"/>
      <c r="M27" s="330" t="s">
        <v>881</v>
      </c>
      <c r="N27" s="324">
        <f>MAX(N6:N25)</f>
        <v>124638.79754977295</v>
      </c>
      <c r="O27" s="324">
        <f t="shared" ref="O27:BZ27" si="2">MAX(O6:O25)</f>
        <v>1727.2983888501415</v>
      </c>
      <c r="P27" s="324">
        <f t="shared" si="2"/>
        <v>1077.056303158525</v>
      </c>
      <c r="Q27" s="326">
        <f t="shared" si="2"/>
        <v>1.9751540477933465</v>
      </c>
      <c r="R27" s="324">
        <f t="shared" si="2"/>
        <v>8567.4218191252348</v>
      </c>
      <c r="S27" s="324">
        <f t="shared" si="2"/>
        <v>633.83762495809128</v>
      </c>
      <c r="T27" s="324">
        <f t="shared" si="2"/>
        <v>614.32850321472984</v>
      </c>
      <c r="U27" s="324">
        <f t="shared" si="2"/>
        <v>59.729440750827301</v>
      </c>
      <c r="V27" s="324">
        <f t="shared" si="2"/>
        <v>662.43982923962972</v>
      </c>
      <c r="W27" s="324">
        <f t="shared" si="2"/>
        <v>115.94486987866685</v>
      </c>
      <c r="X27" s="324">
        <f t="shared" si="2"/>
        <v>61.536437434257188</v>
      </c>
      <c r="Y27" s="324">
        <f t="shared" si="2"/>
        <v>28.204210622048549</v>
      </c>
      <c r="Z27" s="324">
        <f t="shared" si="2"/>
        <v>1.0311527753766523</v>
      </c>
      <c r="AA27" s="324">
        <f t="shared" si="2"/>
        <v>0.20026619465146528</v>
      </c>
      <c r="AB27" s="324">
        <f t="shared" si="2"/>
        <v>0.11438579467197951</v>
      </c>
      <c r="AC27" s="324">
        <f t="shared" si="2"/>
        <v>56.417835043705075</v>
      </c>
      <c r="AD27" s="324">
        <f t="shared" si="2"/>
        <v>78.508531118177402</v>
      </c>
      <c r="AE27" s="324">
        <f t="shared" si="2"/>
        <v>25.623847411833896</v>
      </c>
      <c r="AF27" s="324">
        <f t="shared" si="2"/>
        <v>11.675137089366952</v>
      </c>
      <c r="AG27" s="324">
        <f t="shared" si="2"/>
        <v>41.806635908515275</v>
      </c>
      <c r="AH27" s="324">
        <f t="shared" si="2"/>
        <v>1682.3184556667823</v>
      </c>
      <c r="AI27" s="324">
        <f t="shared" si="2"/>
        <v>34.35130970000575</v>
      </c>
      <c r="AJ27" s="324">
        <f t="shared" si="2"/>
        <v>15.056749612043614</v>
      </c>
      <c r="AK27" s="324">
        <f t="shared" si="2"/>
        <v>18.045942329795597</v>
      </c>
      <c r="AL27" s="324">
        <f t="shared" si="2"/>
        <v>244.74732682769945</v>
      </c>
      <c r="AM27" s="326">
        <f t="shared" si="2"/>
        <v>35.654447880981188</v>
      </c>
      <c r="AN27" s="326">
        <f t="shared" si="2"/>
        <v>42.201717287270931</v>
      </c>
      <c r="AO27" s="326">
        <f t="shared" si="2"/>
        <v>21.799803728915506</v>
      </c>
      <c r="AP27" s="324">
        <f t="shared" si="2"/>
        <v>120621.35158000367</v>
      </c>
      <c r="AQ27" s="325">
        <f t="shared" si="2"/>
        <v>1382.7528802664274</v>
      </c>
      <c r="AR27" s="325">
        <f t="shared" si="2"/>
        <v>596.32984965951664</v>
      </c>
      <c r="AS27" s="326">
        <f t="shared" si="2"/>
        <v>8.4339766407936008</v>
      </c>
      <c r="AT27" s="326">
        <f t="shared" si="2"/>
        <v>50.011077310696784</v>
      </c>
      <c r="AU27" s="326">
        <f t="shared" si="2"/>
        <v>0.26898821619216406</v>
      </c>
      <c r="AV27" s="326">
        <f t="shared" si="2"/>
        <v>-0.38773819386909691</v>
      </c>
      <c r="AW27" s="326">
        <f t="shared" si="2"/>
        <v>1.9777427536393186</v>
      </c>
      <c r="AX27" s="324">
        <f t="shared" si="2"/>
        <v>22095.175492734063</v>
      </c>
      <c r="AY27" s="324">
        <f t="shared" si="2"/>
        <v>660.36285874538612</v>
      </c>
      <c r="AZ27" s="324">
        <f t="shared" si="2"/>
        <v>999.78902867902696</v>
      </c>
      <c r="BA27" s="326">
        <f t="shared" si="2"/>
        <v>59.394663342541222</v>
      </c>
      <c r="BB27" s="324">
        <f t="shared" si="2"/>
        <v>2617.1165954421331</v>
      </c>
      <c r="BC27" s="324">
        <f t="shared" si="2"/>
        <v>1050.3786719852528</v>
      </c>
      <c r="BD27" s="324">
        <f t="shared" si="2"/>
        <v>627.38878767972892</v>
      </c>
      <c r="BE27" s="326">
        <f t="shared" si="2"/>
        <v>47.185956853018887</v>
      </c>
      <c r="BF27" s="326">
        <f t="shared" si="2"/>
        <v>4.5134701682645888</v>
      </c>
      <c r="BG27" s="326">
        <f t="shared" si="2"/>
        <v>6.7429254513123413E-2</v>
      </c>
      <c r="BH27" s="326">
        <f t="shared" si="2"/>
        <v>0.19245885014442807</v>
      </c>
      <c r="BI27" s="326">
        <f t="shared" si="2"/>
        <v>8.7106571215700601</v>
      </c>
      <c r="BJ27" s="326">
        <f t="shared" si="2"/>
        <v>444.96222705958093</v>
      </c>
      <c r="BK27" s="326">
        <f t="shared" si="2"/>
        <v>21.579659770852444</v>
      </c>
      <c r="BL27" s="326">
        <f t="shared" si="2"/>
        <v>17.176817244567172</v>
      </c>
      <c r="BM27" s="326">
        <f t="shared" si="2"/>
        <v>14.007308221931996</v>
      </c>
      <c r="BN27" s="326">
        <f t="shared" si="2"/>
        <v>290.39741028858617</v>
      </c>
      <c r="BO27" s="326">
        <f t="shared" si="2"/>
        <v>34.417843362243154</v>
      </c>
      <c r="BP27" s="326">
        <f t="shared" si="2"/>
        <v>11.056970711460004</v>
      </c>
      <c r="BQ27" s="326">
        <f t="shared" si="2"/>
        <v>34.938960162164264</v>
      </c>
      <c r="BR27" s="326">
        <f t="shared" si="2"/>
        <v>8.6127014819759715</v>
      </c>
      <c r="BS27" s="326">
        <f t="shared" si="2"/>
        <v>8.6961479259502136E-2</v>
      </c>
      <c r="BT27" s="326">
        <f t="shared" si="2"/>
        <v>0.17180386289876476</v>
      </c>
      <c r="BU27" s="326">
        <f t="shared" si="2"/>
        <v>20.001096446383372</v>
      </c>
      <c r="BV27" s="326">
        <f t="shared" si="2"/>
        <v>1.2804055285950515</v>
      </c>
      <c r="BW27" s="326">
        <f t="shared" si="2"/>
        <v>0.11514111658288179</v>
      </c>
      <c r="BX27" s="326">
        <f t="shared" si="2"/>
        <v>0.30067222808284633</v>
      </c>
      <c r="BY27" s="326">
        <f t="shared" si="2"/>
        <v>65.793465969946183</v>
      </c>
      <c r="BZ27" s="326">
        <f t="shared" si="2"/>
        <v>336.8106458300802</v>
      </c>
      <c r="CA27" s="326">
        <f t="shared" ref="CA27:CW27" si="3">MAX(CA6:CA25)</f>
        <v>20.83958350378424</v>
      </c>
      <c r="CB27" s="326">
        <f t="shared" si="3"/>
        <v>16.078037567724813</v>
      </c>
      <c r="CC27" s="326">
        <f t="shared" si="3"/>
        <v>39.950644658828189</v>
      </c>
      <c r="CD27" s="326">
        <f t="shared" si="3"/>
        <v>277.85130419063108</v>
      </c>
      <c r="CE27" s="326">
        <f t="shared" si="3"/>
        <v>5.7112577842256451</v>
      </c>
      <c r="CF27" s="326">
        <f t="shared" si="3"/>
        <v>2.3784532158063509</v>
      </c>
      <c r="CG27" s="326">
        <f t="shared" si="3"/>
        <v>5.9249472059873511</v>
      </c>
      <c r="CH27" s="326">
        <f t="shared" si="3"/>
        <v>173.89556189839783</v>
      </c>
      <c r="CI27" s="326">
        <f t="shared" si="3"/>
        <v>47.254277064245898</v>
      </c>
      <c r="CJ27" s="326">
        <f t="shared" si="3"/>
        <v>21.550851152837602</v>
      </c>
      <c r="CK27" s="326">
        <f t="shared" si="3"/>
        <v>33.8169996553084</v>
      </c>
      <c r="CL27" s="326">
        <f t="shared" si="3"/>
        <v>13.541667892638836</v>
      </c>
      <c r="CM27" s="326">
        <f t="shared" si="3"/>
        <v>0.19749763961964459</v>
      </c>
      <c r="CN27" s="326">
        <f t="shared" si="3"/>
        <v>8.1400999475555874E-2</v>
      </c>
      <c r="CO27" s="326">
        <f t="shared" si="3"/>
        <v>2.0865019830936462</v>
      </c>
      <c r="CP27" s="326">
        <f t="shared" si="3"/>
        <v>5.9958800443878255</v>
      </c>
      <c r="CQ27" s="326">
        <f t="shared" si="3"/>
        <v>0.25952185849209702</v>
      </c>
      <c r="CR27" s="326">
        <f t="shared" si="3"/>
        <v>0.12505612061661353</v>
      </c>
      <c r="CS27" s="326">
        <f t="shared" si="3"/>
        <v>11.716624839911425</v>
      </c>
      <c r="CT27" s="326">
        <f t="shared" si="3"/>
        <v>88.313275000000004</v>
      </c>
      <c r="CU27" s="326">
        <f t="shared" si="3"/>
        <v>10.847543796696662</v>
      </c>
      <c r="CV27" s="326">
        <f t="shared" si="3"/>
        <v>4.7668617025310072</v>
      </c>
      <c r="CW27" s="326">
        <f t="shared" si="3"/>
        <v>71.522313235483153</v>
      </c>
    </row>
    <row r="28" spans="1:101">
      <c r="A28" s="41"/>
      <c r="B28" s="53"/>
      <c r="C28" s="155"/>
      <c r="D28" s="53"/>
      <c r="E28" s="53"/>
      <c r="F28" s="53"/>
      <c r="G28" s="327"/>
      <c r="H28" s="328"/>
      <c r="I28" s="329"/>
      <c r="J28" s="328"/>
      <c r="K28" s="327"/>
      <c r="L28" s="327"/>
      <c r="M28" s="330" t="s">
        <v>699</v>
      </c>
      <c r="N28" s="324">
        <f>PERCENTILE(N6:N25,0.25)</f>
        <v>58522.794143472835</v>
      </c>
      <c r="O28" s="324">
        <f t="shared" ref="O28:BZ28" si="4">PERCENTILE(O6:O25,0.25)</f>
        <v>586.42963217165959</v>
      </c>
      <c r="P28" s="324">
        <f t="shared" si="4"/>
        <v>243.26393670240415</v>
      </c>
      <c r="Q28" s="326">
        <f t="shared" si="4"/>
        <v>0.9128355568508284</v>
      </c>
      <c r="R28" s="325">
        <f t="shared" si="4"/>
        <v>22.422010217290406</v>
      </c>
      <c r="S28" s="326">
        <f t="shared" si="4"/>
        <v>0.80131430921030922</v>
      </c>
      <c r="T28" s="331">
        <f t="shared" si="4"/>
        <v>0.92444176243180154</v>
      </c>
      <c r="U28" s="331">
        <f t="shared" si="4"/>
        <v>1.9641727157597826</v>
      </c>
      <c r="V28" s="332">
        <f t="shared" si="4"/>
        <v>390.0032649182815</v>
      </c>
      <c r="W28" s="333">
        <f t="shared" si="4"/>
        <v>17.277982813842598</v>
      </c>
      <c r="X28" s="331">
        <f t="shared" si="4"/>
        <v>8.9833884897258844</v>
      </c>
      <c r="Y28" s="331">
        <f t="shared" si="4"/>
        <v>6.423644094812806</v>
      </c>
      <c r="Z28" s="331">
        <f t="shared" si="4"/>
        <v>0.12287409689743975</v>
      </c>
      <c r="AA28" s="331">
        <f t="shared" si="4"/>
        <v>4.9481518256117338E-2</v>
      </c>
      <c r="AB28" s="331">
        <f t="shared" si="4"/>
        <v>1.5484620718934101E-2</v>
      </c>
      <c r="AC28" s="331">
        <f t="shared" si="4"/>
        <v>22.523693773777921</v>
      </c>
      <c r="AD28" s="331">
        <f t="shared" si="4"/>
        <v>31.219904480464766</v>
      </c>
      <c r="AE28" s="331">
        <f t="shared" si="4"/>
        <v>7.8363885351390898</v>
      </c>
      <c r="AF28" s="331">
        <f t="shared" si="4"/>
        <v>4.8065814277616603</v>
      </c>
      <c r="AG28" s="331">
        <f t="shared" si="4"/>
        <v>19.555057111455085</v>
      </c>
      <c r="AH28" s="324">
        <f t="shared" si="4"/>
        <v>126.41900789479273</v>
      </c>
      <c r="AI28" s="331">
        <f t="shared" si="4"/>
        <v>1.0226096401598772</v>
      </c>
      <c r="AJ28" s="331">
        <f t="shared" si="4"/>
        <v>0.43556085471197503</v>
      </c>
      <c r="AK28" s="331">
        <f t="shared" si="4"/>
        <v>0.22510074151627277</v>
      </c>
      <c r="AL28" s="331">
        <f t="shared" si="4"/>
        <v>38.24959163033985</v>
      </c>
      <c r="AM28" s="326">
        <f t="shared" si="4"/>
        <v>4.706086098333464</v>
      </c>
      <c r="AN28" s="326">
        <f t="shared" si="4"/>
        <v>4.9666172335659429</v>
      </c>
      <c r="AO28" s="326">
        <f t="shared" si="4"/>
        <v>12.984388727780601</v>
      </c>
      <c r="AP28" s="324">
        <f t="shared" si="4"/>
        <v>38164.085098586002</v>
      </c>
      <c r="AQ28" s="325">
        <f t="shared" si="4"/>
        <v>188.23164256766162</v>
      </c>
      <c r="AR28" s="333">
        <f t="shared" si="4"/>
        <v>109.8674481648258</v>
      </c>
      <c r="AS28" s="326">
        <f t="shared" si="4"/>
        <v>0.21821292521157853</v>
      </c>
      <c r="AT28" s="326">
        <f t="shared" si="4"/>
        <v>13.594710096880668</v>
      </c>
      <c r="AU28" s="326">
        <f t="shared" si="4"/>
        <v>-0.14975169440145353</v>
      </c>
      <c r="AV28" s="326">
        <f t="shared" si="4"/>
        <v>-0.38938348425061653</v>
      </c>
      <c r="AW28" s="326">
        <f t="shared" si="4"/>
        <v>0.81291024939792544</v>
      </c>
      <c r="AX28" s="324">
        <f t="shared" si="4"/>
        <v>2610.087760181128</v>
      </c>
      <c r="AY28" s="324">
        <f t="shared" si="4"/>
        <v>298.82427146241099</v>
      </c>
      <c r="AZ28" s="324">
        <f t="shared" si="4"/>
        <v>626.2244163755928</v>
      </c>
      <c r="BA28" s="326">
        <f t="shared" si="4"/>
        <v>16.390742865239428</v>
      </c>
      <c r="BB28" s="324">
        <f t="shared" si="4"/>
        <v>802.59315324314935</v>
      </c>
      <c r="BC28" s="324">
        <f t="shared" si="4"/>
        <v>329.78141538502973</v>
      </c>
      <c r="BD28" s="324">
        <f t="shared" si="4"/>
        <v>187.08040294012548</v>
      </c>
      <c r="BE28" s="326">
        <f t="shared" si="4"/>
        <v>24.703957943792037</v>
      </c>
      <c r="BF28" s="326">
        <f t="shared" si="4"/>
        <v>1.9176194906807102</v>
      </c>
      <c r="BG28" s="326">
        <f t="shared" si="4"/>
        <v>6.7005253920081522E-3</v>
      </c>
      <c r="BH28" s="326">
        <f t="shared" si="4"/>
        <v>7.5436995907322252E-2</v>
      </c>
      <c r="BI28" s="326">
        <f t="shared" si="4"/>
        <v>2.6424328146955216</v>
      </c>
      <c r="BJ28" s="326">
        <f t="shared" si="4"/>
        <v>41.602820737538906</v>
      </c>
      <c r="BK28" s="326">
        <f t="shared" si="4"/>
        <v>2.8503004075540437</v>
      </c>
      <c r="BL28" s="326">
        <f t="shared" si="4"/>
        <v>2.2867421100541536</v>
      </c>
      <c r="BM28" s="326">
        <f t="shared" si="4"/>
        <v>5.0360268103917853</v>
      </c>
      <c r="BN28" s="326">
        <f t="shared" si="4"/>
        <v>24.683931903627009</v>
      </c>
      <c r="BO28" s="326">
        <f t="shared" si="4"/>
        <v>4.3207632355553383</v>
      </c>
      <c r="BP28" s="326">
        <f t="shared" si="4"/>
        <v>1.1457282515773231</v>
      </c>
      <c r="BQ28" s="326">
        <f t="shared" si="4"/>
        <v>14.029076850173874</v>
      </c>
      <c r="BR28" s="326">
        <f t="shared" si="4"/>
        <v>0.718423459383291</v>
      </c>
      <c r="BS28" s="326">
        <f t="shared" si="4"/>
        <v>4.375403618983322E-3</v>
      </c>
      <c r="BT28" s="326">
        <f t="shared" si="4"/>
        <v>2.1875867934155503E-2</v>
      </c>
      <c r="BU28" s="326">
        <f t="shared" si="4"/>
        <v>2.0259127697819763</v>
      </c>
      <c r="BV28" s="326">
        <f t="shared" si="4"/>
        <v>0.47564869961275147</v>
      </c>
      <c r="BW28" s="326">
        <f t="shared" si="4"/>
        <v>8.478826029333808E-2</v>
      </c>
      <c r="BX28" s="326">
        <f t="shared" si="4"/>
        <v>0.18158949500178762</v>
      </c>
      <c r="BY28" s="326">
        <f t="shared" si="4"/>
        <v>23.85043350829546</v>
      </c>
      <c r="BZ28" s="326">
        <f t="shared" si="4"/>
        <v>65.051586934621781</v>
      </c>
      <c r="CA28" s="326">
        <f t="shared" ref="CA28:CW28" si="5">PERCENTILE(CA6:CA25,0.25)</f>
        <v>6.5634785100768855</v>
      </c>
      <c r="CB28" s="326">
        <f t="shared" si="5"/>
        <v>6.9865644985739754</v>
      </c>
      <c r="CC28" s="326">
        <f t="shared" si="5"/>
        <v>7.4321881147379925</v>
      </c>
      <c r="CD28" s="326">
        <f t="shared" si="5"/>
        <v>87.01066941539429</v>
      </c>
      <c r="CE28" s="326">
        <f t="shared" si="5"/>
        <v>1.7356772597545722</v>
      </c>
      <c r="CF28" s="326">
        <f t="shared" si="5"/>
        <v>0.75678623567606129</v>
      </c>
      <c r="CG28" s="326">
        <f t="shared" si="5"/>
        <v>1.5052287980450823</v>
      </c>
      <c r="CH28" s="326">
        <f t="shared" si="5"/>
        <v>82.087498707202286</v>
      </c>
      <c r="CI28" s="326">
        <f t="shared" si="5"/>
        <v>18.153466764336844</v>
      </c>
      <c r="CJ28" s="326">
        <f t="shared" si="5"/>
        <v>9.7993780150910901</v>
      </c>
      <c r="CK28" s="326">
        <f t="shared" si="5"/>
        <v>20.342159088368831</v>
      </c>
      <c r="CL28" s="326">
        <f t="shared" si="5"/>
        <v>7.583834153475383</v>
      </c>
      <c r="CM28" s="326">
        <f t="shared" si="5"/>
        <v>3.0066153519371613E-2</v>
      </c>
      <c r="CN28" s="326">
        <f t="shared" si="5"/>
        <v>3.1282734694076768E-2</v>
      </c>
      <c r="CO28" s="326">
        <f t="shared" si="5"/>
        <v>0.51721827891412198</v>
      </c>
      <c r="CP28" s="326">
        <f t="shared" si="5"/>
        <v>1.9516707802010274</v>
      </c>
      <c r="CQ28" s="326">
        <f t="shared" si="5"/>
        <v>7.70131514418049E-2</v>
      </c>
      <c r="CR28" s="326">
        <f t="shared" si="5"/>
        <v>5.1996110824523406E-2</v>
      </c>
      <c r="CS28" s="326">
        <f t="shared" si="5"/>
        <v>4.0961022741783815</v>
      </c>
      <c r="CT28" s="326">
        <f t="shared" si="5"/>
        <v>0.5293112499999999</v>
      </c>
      <c r="CU28" s="326">
        <f t="shared" si="5"/>
        <v>1.5439042060062275E-2</v>
      </c>
      <c r="CV28" s="326">
        <f t="shared" si="5"/>
        <v>-2.9197687628144849E-2</v>
      </c>
      <c r="CW28" s="326">
        <f t="shared" si="5"/>
        <v>3.130525563950183</v>
      </c>
    </row>
    <row r="29" spans="1:101">
      <c r="A29" s="41"/>
      <c r="B29" s="53"/>
      <c r="C29" s="155"/>
      <c r="D29" s="53"/>
      <c r="E29" s="53"/>
      <c r="F29" s="53"/>
      <c r="G29" s="327"/>
      <c r="H29" s="328"/>
      <c r="I29" s="329"/>
      <c r="J29" s="328"/>
      <c r="K29" s="327"/>
      <c r="L29" s="327"/>
      <c r="M29" s="330" t="s">
        <v>700</v>
      </c>
      <c r="N29" s="324">
        <f>PERCENTILE(N6:N25,0.5)</f>
        <v>72546.770138762397</v>
      </c>
      <c r="O29" s="324">
        <f t="shared" ref="O29:BZ29" si="6">PERCENTILE(O6:O25,0.5)</f>
        <v>749.69081340839944</v>
      </c>
      <c r="P29" s="324">
        <f t="shared" si="6"/>
        <v>288.1788688094336</v>
      </c>
      <c r="Q29" s="326">
        <f t="shared" si="6"/>
        <v>1.2876006675713478</v>
      </c>
      <c r="R29" s="325">
        <f t="shared" si="6"/>
        <v>76.895895010333021</v>
      </c>
      <c r="S29" s="326">
        <f t="shared" si="6"/>
        <v>2.6755149198564716</v>
      </c>
      <c r="T29" s="331">
        <f t="shared" si="6"/>
        <v>3.7979610863189377</v>
      </c>
      <c r="U29" s="331">
        <f t="shared" si="6"/>
        <v>3.0216766060964209</v>
      </c>
      <c r="V29" s="332">
        <f t="shared" si="6"/>
        <v>455.75622592305041</v>
      </c>
      <c r="W29" s="333">
        <f t="shared" si="6"/>
        <v>43.900840673433429</v>
      </c>
      <c r="X29" s="331">
        <f t="shared" si="6"/>
        <v>19.974127117656131</v>
      </c>
      <c r="Y29" s="331">
        <f t="shared" si="6"/>
        <v>9.1857890221701393</v>
      </c>
      <c r="Z29" s="331">
        <f t="shared" si="6"/>
        <v>0.1996340847197792</v>
      </c>
      <c r="AA29" s="331">
        <f t="shared" si="6"/>
        <v>6.9033643787032473E-2</v>
      </c>
      <c r="AB29" s="331">
        <f t="shared" si="6"/>
        <v>2.937501451030659E-2</v>
      </c>
      <c r="AC29" s="331">
        <f t="shared" si="6"/>
        <v>32.532908638738107</v>
      </c>
      <c r="AD29" s="331">
        <f t="shared" si="6"/>
        <v>47.559113828679713</v>
      </c>
      <c r="AE29" s="331">
        <f t="shared" si="6"/>
        <v>10.903900227549617</v>
      </c>
      <c r="AF29" s="331">
        <f t="shared" si="6"/>
        <v>6.4061286769613055</v>
      </c>
      <c r="AG29" s="331">
        <f t="shared" si="6"/>
        <v>24.729196477643995</v>
      </c>
      <c r="AH29" s="324">
        <f t="shared" si="6"/>
        <v>244.24792361114928</v>
      </c>
      <c r="AI29" s="331">
        <f t="shared" si="6"/>
        <v>1.581261543423492</v>
      </c>
      <c r="AJ29" s="331">
        <f t="shared" si="6"/>
        <v>0.85980382115656584</v>
      </c>
      <c r="AK29" s="331">
        <f t="shared" si="6"/>
        <v>0.46444112597637854</v>
      </c>
      <c r="AL29" s="331">
        <f t="shared" si="6"/>
        <v>51.086381872657157</v>
      </c>
      <c r="AM29" s="326">
        <f t="shared" si="6"/>
        <v>5.8170571229755863</v>
      </c>
      <c r="AN29" s="326">
        <f t="shared" si="6"/>
        <v>6.5857244685537477</v>
      </c>
      <c r="AO29" s="326">
        <f t="shared" si="6"/>
        <v>14.057583197901227</v>
      </c>
      <c r="AP29" s="324">
        <f t="shared" si="6"/>
        <v>54178.544960651401</v>
      </c>
      <c r="AQ29" s="325">
        <f t="shared" si="6"/>
        <v>269.04096283944932</v>
      </c>
      <c r="AR29" s="333">
        <f t="shared" si="6"/>
        <v>154.37579564794953</v>
      </c>
      <c r="AS29" s="326">
        <f t="shared" si="6"/>
        <v>0.55434025241422291</v>
      </c>
      <c r="AT29" s="326">
        <f t="shared" si="6"/>
        <v>17.192598575222775</v>
      </c>
      <c r="AU29" s="326">
        <f t="shared" si="6"/>
        <v>-0.14947683521440214</v>
      </c>
      <c r="AV29" s="326">
        <f t="shared" si="6"/>
        <v>-0.38889812198770152</v>
      </c>
      <c r="AW29" s="326">
        <f t="shared" si="6"/>
        <v>0.97243986549146566</v>
      </c>
      <c r="AX29" s="324">
        <f t="shared" si="6"/>
        <v>3813.0890025955177</v>
      </c>
      <c r="AY29" s="324">
        <f t="shared" si="6"/>
        <v>421.5859419648458</v>
      </c>
      <c r="AZ29" s="324">
        <f t="shared" si="6"/>
        <v>777.07809007698631</v>
      </c>
      <c r="BA29" s="326">
        <f t="shared" si="6"/>
        <v>20.00595920295374</v>
      </c>
      <c r="BB29" s="324">
        <f t="shared" si="6"/>
        <v>1877.6566350183925</v>
      </c>
      <c r="BC29" s="324">
        <f t="shared" si="6"/>
        <v>566.8424215434236</v>
      </c>
      <c r="BD29" s="324">
        <f t="shared" si="6"/>
        <v>305.08811028750574</v>
      </c>
      <c r="BE29" s="326">
        <f t="shared" si="6"/>
        <v>33.47785773477748</v>
      </c>
      <c r="BF29" s="326">
        <f t="shared" si="6"/>
        <v>2.6676266869083092</v>
      </c>
      <c r="BG29" s="326">
        <f t="shared" si="6"/>
        <v>1.1929862102314011E-2</v>
      </c>
      <c r="BH29" s="326">
        <f t="shared" si="6"/>
        <v>9.7079491436070225E-2</v>
      </c>
      <c r="BI29" s="326">
        <f t="shared" si="6"/>
        <v>4.4591277506048135</v>
      </c>
      <c r="BJ29" s="326">
        <f t="shared" si="6"/>
        <v>82.896083121824347</v>
      </c>
      <c r="BK29" s="326">
        <f t="shared" si="6"/>
        <v>4.44405375848305</v>
      </c>
      <c r="BL29" s="326">
        <f t="shared" si="6"/>
        <v>3.3664388658831426</v>
      </c>
      <c r="BM29" s="326">
        <f t="shared" si="6"/>
        <v>6.0035675214134336</v>
      </c>
      <c r="BN29" s="326">
        <f t="shared" si="6"/>
        <v>35.626295476604724</v>
      </c>
      <c r="BO29" s="326">
        <f t="shared" si="6"/>
        <v>8.1514330704277604</v>
      </c>
      <c r="BP29" s="326">
        <f t="shared" si="6"/>
        <v>1.6544641975935019</v>
      </c>
      <c r="BQ29" s="326">
        <f t="shared" si="6"/>
        <v>18.901748922358756</v>
      </c>
      <c r="BR29" s="326">
        <f t="shared" si="6"/>
        <v>1.1555365913529192</v>
      </c>
      <c r="BS29" s="326">
        <f t="shared" si="6"/>
        <v>8.1028927788030416E-3</v>
      </c>
      <c r="BT29" s="326">
        <f t="shared" si="6"/>
        <v>3.1518101637830968E-2</v>
      </c>
      <c r="BU29" s="326">
        <f t="shared" si="6"/>
        <v>2.625603531515937</v>
      </c>
      <c r="BV29" s="326">
        <f t="shared" si="6"/>
        <v>0.79935219915519129</v>
      </c>
      <c r="BW29" s="326">
        <f t="shared" si="6"/>
        <v>9.3409603353827309E-2</v>
      </c>
      <c r="BX29" s="326">
        <f t="shared" si="6"/>
        <v>0.20365319885128019</v>
      </c>
      <c r="BY29" s="326">
        <f t="shared" si="6"/>
        <v>25.613894432533264</v>
      </c>
      <c r="BZ29" s="326">
        <f t="shared" si="6"/>
        <v>90.102621617330414</v>
      </c>
      <c r="CA29" s="326">
        <f t="shared" ref="CA29:CW29" si="7">PERCENTILE(CA6:CA25,0.5)</f>
        <v>11.907813719252449</v>
      </c>
      <c r="CB29" s="326">
        <f t="shared" si="7"/>
        <v>10.390171039458838</v>
      </c>
      <c r="CC29" s="326">
        <f t="shared" si="7"/>
        <v>11.245472656932382</v>
      </c>
      <c r="CD29" s="326">
        <f t="shared" si="7"/>
        <v>140.44842229591146</v>
      </c>
      <c r="CE29" s="326">
        <f t="shared" si="7"/>
        <v>2.9699205722894115</v>
      </c>
      <c r="CF29" s="326">
        <f t="shared" si="7"/>
        <v>1.2168812039060644</v>
      </c>
      <c r="CG29" s="326">
        <f t="shared" si="7"/>
        <v>1.8899306291884383</v>
      </c>
      <c r="CH29" s="326">
        <f t="shared" si="7"/>
        <v>105.67093121894692</v>
      </c>
      <c r="CI29" s="326">
        <f t="shared" si="7"/>
        <v>24.211137279999221</v>
      </c>
      <c r="CJ29" s="326">
        <f t="shared" si="7"/>
        <v>11.971577647953117</v>
      </c>
      <c r="CK29" s="326">
        <f t="shared" si="7"/>
        <v>26.455289566467982</v>
      </c>
      <c r="CL29" s="326">
        <f t="shared" si="7"/>
        <v>8.8973831061068065</v>
      </c>
      <c r="CM29" s="326">
        <f t="shared" si="7"/>
        <v>3.479053599947797E-2</v>
      </c>
      <c r="CN29" s="326">
        <f t="shared" si="7"/>
        <v>4.0095869877484064E-2</v>
      </c>
      <c r="CO29" s="326">
        <f t="shared" si="7"/>
        <v>0.71751940158579186</v>
      </c>
      <c r="CP29" s="326">
        <f t="shared" si="7"/>
        <v>2.2554498135389842</v>
      </c>
      <c r="CQ29" s="326">
        <f t="shared" si="7"/>
        <v>8.9752778606998151E-2</v>
      </c>
      <c r="CR29" s="326">
        <f t="shared" si="7"/>
        <v>8.2345919999194495E-2</v>
      </c>
      <c r="CS29" s="326">
        <f t="shared" si="7"/>
        <v>5.1065983120470317</v>
      </c>
      <c r="CT29" s="326">
        <f t="shared" si="7"/>
        <v>2.073585</v>
      </c>
      <c r="CU29" s="326">
        <f t="shared" si="7"/>
        <v>7.158026918324617E-2</v>
      </c>
      <c r="CV29" s="326">
        <f t="shared" si="7"/>
        <v>4.4584516445890163E-4</v>
      </c>
      <c r="CW29" s="326">
        <f t="shared" si="7"/>
        <v>9.3840963982004375</v>
      </c>
    </row>
    <row r="30" spans="1:101">
      <c r="A30" s="41"/>
      <c r="B30" s="39"/>
      <c r="C30" s="155"/>
      <c r="D30" s="53"/>
      <c r="E30" s="53"/>
      <c r="F30" s="53"/>
      <c r="G30" s="327"/>
      <c r="H30" s="328"/>
      <c r="I30" s="329"/>
      <c r="J30" s="328"/>
      <c r="K30" s="327"/>
      <c r="L30" s="327"/>
      <c r="M30" s="330" t="s">
        <v>1149</v>
      </c>
      <c r="N30" s="324">
        <f>PERCENTILE(N6:N25,0.75)</f>
        <v>81196.369811607045</v>
      </c>
      <c r="O30" s="324">
        <f t="shared" ref="O30:BZ30" si="8">PERCENTILE(O6:O25,0.75)</f>
        <v>1101.6716903220749</v>
      </c>
      <c r="P30" s="324">
        <f t="shared" si="8"/>
        <v>420.83576339355784</v>
      </c>
      <c r="Q30" s="326">
        <f t="shared" si="8"/>
        <v>1.4206360705572485</v>
      </c>
      <c r="R30" s="324">
        <f t="shared" si="8"/>
        <v>1149.3434153621324</v>
      </c>
      <c r="S30" s="326">
        <f t="shared" si="8"/>
        <v>22.587312892827448</v>
      </c>
      <c r="T30" s="331">
        <f t="shared" si="8"/>
        <v>23.718312093906611</v>
      </c>
      <c r="U30" s="331">
        <f t="shared" si="8"/>
        <v>6.2208506532209906</v>
      </c>
      <c r="V30" s="332">
        <f t="shared" si="8"/>
        <v>519.74928662206526</v>
      </c>
      <c r="W30" s="333">
        <f t="shared" si="8"/>
        <v>81.559482287882091</v>
      </c>
      <c r="X30" s="331">
        <f t="shared" si="8"/>
        <v>36.499061100281608</v>
      </c>
      <c r="Y30" s="331">
        <f t="shared" si="8"/>
        <v>15.359598598304284</v>
      </c>
      <c r="Z30" s="331">
        <f t="shared" si="8"/>
        <v>0.40913103047693866</v>
      </c>
      <c r="AA30" s="331">
        <f t="shared" si="8"/>
        <v>9.1472791268008558E-2</v>
      </c>
      <c r="AB30" s="331">
        <f t="shared" si="8"/>
        <v>5.0433807024361003E-2</v>
      </c>
      <c r="AC30" s="331">
        <f t="shared" si="8"/>
        <v>44.185734583053133</v>
      </c>
      <c r="AD30" s="331">
        <f t="shared" si="8"/>
        <v>56.207313872587051</v>
      </c>
      <c r="AE30" s="331">
        <f t="shared" si="8"/>
        <v>13.857529737273371</v>
      </c>
      <c r="AF30" s="331">
        <f t="shared" si="8"/>
        <v>7.324386413211208</v>
      </c>
      <c r="AG30" s="331">
        <f t="shared" si="8"/>
        <v>30.198086060741918</v>
      </c>
      <c r="AH30" s="324">
        <f t="shared" si="8"/>
        <v>1021.7335476145836</v>
      </c>
      <c r="AI30" s="331">
        <f t="shared" si="8"/>
        <v>3.0494487144217679</v>
      </c>
      <c r="AJ30" s="331">
        <f t="shared" si="8"/>
        <v>1.254383129028334</v>
      </c>
      <c r="AK30" s="331">
        <f t="shared" si="8"/>
        <v>1.5474529080461621</v>
      </c>
      <c r="AL30" s="331">
        <f t="shared" si="8"/>
        <v>64.238939751038174</v>
      </c>
      <c r="AM30" s="326">
        <f t="shared" si="8"/>
        <v>7.3180021681319571</v>
      </c>
      <c r="AN30" s="326">
        <f t="shared" si="8"/>
        <v>7.5591842596929375</v>
      </c>
      <c r="AO30" s="326">
        <f t="shared" si="8"/>
        <v>15.219910028080964</v>
      </c>
      <c r="AP30" s="324">
        <f t="shared" si="8"/>
        <v>85334.502564551382</v>
      </c>
      <c r="AQ30" s="325">
        <f t="shared" si="8"/>
        <v>422.0849728069299</v>
      </c>
      <c r="AR30" s="333">
        <f t="shared" si="8"/>
        <v>254.88976653145761</v>
      </c>
      <c r="AS30" s="326">
        <f t="shared" si="8"/>
        <v>1.2034372221753789</v>
      </c>
      <c r="AT30" s="326">
        <f t="shared" si="8"/>
        <v>23.558217383339191</v>
      </c>
      <c r="AU30" s="326">
        <f t="shared" si="8"/>
        <v>0.15825450265867302</v>
      </c>
      <c r="AV30" s="326">
        <f t="shared" si="8"/>
        <v>-0.38856051801427866</v>
      </c>
      <c r="AW30" s="326">
        <f t="shared" si="8"/>
        <v>1.0897922958206019</v>
      </c>
      <c r="AX30" s="324">
        <f t="shared" si="8"/>
        <v>5452.927057908697</v>
      </c>
      <c r="AY30" s="324">
        <f t="shared" si="8"/>
        <v>503.50036902507969</v>
      </c>
      <c r="AZ30" s="324">
        <f t="shared" si="8"/>
        <v>876.22175803237656</v>
      </c>
      <c r="BA30" s="326">
        <f t="shared" si="8"/>
        <v>24.888542178685018</v>
      </c>
      <c r="BB30" s="324">
        <f t="shared" si="8"/>
        <v>2073.7461891170806</v>
      </c>
      <c r="BC30" s="324">
        <f t="shared" si="8"/>
        <v>766.30172524990053</v>
      </c>
      <c r="BD30" s="324">
        <f t="shared" si="8"/>
        <v>454.6207609522512</v>
      </c>
      <c r="BE30" s="326">
        <f t="shared" si="8"/>
        <v>41.438814428556995</v>
      </c>
      <c r="BF30" s="326">
        <f t="shared" si="8"/>
        <v>3.1661339954899752</v>
      </c>
      <c r="BG30" s="326">
        <f t="shared" si="8"/>
        <v>2.1091545894127928E-2</v>
      </c>
      <c r="BH30" s="326">
        <f t="shared" si="8"/>
        <v>0.13189024597921345</v>
      </c>
      <c r="BI30" s="326">
        <f t="shared" si="8"/>
        <v>6.7628903464480583</v>
      </c>
      <c r="BJ30" s="326">
        <f t="shared" si="8"/>
        <v>221.71129963256848</v>
      </c>
      <c r="BK30" s="326">
        <f t="shared" si="8"/>
        <v>12.850461574782504</v>
      </c>
      <c r="BL30" s="326">
        <f t="shared" si="8"/>
        <v>10.342748277598513</v>
      </c>
      <c r="BM30" s="326">
        <f t="shared" si="8"/>
        <v>7.6725333851619606</v>
      </c>
      <c r="BN30" s="326">
        <f t="shared" si="8"/>
        <v>72.702635087697857</v>
      </c>
      <c r="BO30" s="326">
        <f t="shared" si="8"/>
        <v>10.356055755782005</v>
      </c>
      <c r="BP30" s="326">
        <f t="shared" si="8"/>
        <v>3.2406535103992287</v>
      </c>
      <c r="BQ30" s="326">
        <f t="shared" si="8"/>
        <v>24.067529768575319</v>
      </c>
      <c r="BR30" s="326">
        <f t="shared" si="8"/>
        <v>3.0559707509648666</v>
      </c>
      <c r="BS30" s="326">
        <f t="shared" si="8"/>
        <v>1.4301760696398328E-2</v>
      </c>
      <c r="BT30" s="326">
        <f t="shared" si="8"/>
        <v>5.817194278063087E-2</v>
      </c>
      <c r="BU30" s="326">
        <f t="shared" si="8"/>
        <v>3.462469042266719</v>
      </c>
      <c r="BV30" s="326">
        <f t="shared" si="8"/>
        <v>0.97201955498371906</v>
      </c>
      <c r="BW30" s="326">
        <f t="shared" si="8"/>
        <v>0.10257639973365403</v>
      </c>
      <c r="BX30" s="326">
        <f t="shared" si="8"/>
        <v>0.23230394965039244</v>
      </c>
      <c r="BY30" s="326">
        <f t="shared" si="8"/>
        <v>37.594189648382198</v>
      </c>
      <c r="BZ30" s="326">
        <f t="shared" si="8"/>
        <v>131.76898692931286</v>
      </c>
      <c r="CA30" s="326">
        <f t="shared" ref="CA30:CW30" si="9">PERCENTILE(CA6:CA25,0.75)</f>
        <v>17.294023243219641</v>
      </c>
      <c r="CB30" s="326">
        <f t="shared" si="9"/>
        <v>14.106570414526878</v>
      </c>
      <c r="CC30" s="326">
        <f t="shared" si="9"/>
        <v>20.883374156218185</v>
      </c>
      <c r="CD30" s="326">
        <f t="shared" si="9"/>
        <v>188.45980267848532</v>
      </c>
      <c r="CE30" s="326">
        <f t="shared" si="9"/>
        <v>3.7559240366750806</v>
      </c>
      <c r="CF30" s="326">
        <f t="shared" si="9"/>
        <v>1.5593580080439833</v>
      </c>
      <c r="CG30" s="326">
        <f t="shared" si="9"/>
        <v>2.8077344572058283</v>
      </c>
      <c r="CH30" s="326">
        <f t="shared" si="9"/>
        <v>127.818730563042</v>
      </c>
      <c r="CI30" s="326">
        <f t="shared" si="9"/>
        <v>33.53754250214903</v>
      </c>
      <c r="CJ30" s="326">
        <f t="shared" si="9"/>
        <v>13.043415034936123</v>
      </c>
      <c r="CK30" s="326">
        <f t="shared" si="9"/>
        <v>30.085454580775625</v>
      </c>
      <c r="CL30" s="326">
        <f t="shared" si="9"/>
        <v>9.3653614436883856</v>
      </c>
      <c r="CM30" s="326">
        <f t="shared" si="9"/>
        <v>6.491457162018513E-2</v>
      </c>
      <c r="CN30" s="326">
        <f t="shared" si="9"/>
        <v>6.8008945529543507E-2</v>
      </c>
      <c r="CO30" s="326">
        <f t="shared" si="9"/>
        <v>0.89117676083561714</v>
      </c>
      <c r="CP30" s="326">
        <f t="shared" si="9"/>
        <v>2.7209212610229732</v>
      </c>
      <c r="CQ30" s="326">
        <f t="shared" si="9"/>
        <v>0.15295518087324594</v>
      </c>
      <c r="CR30" s="326">
        <f t="shared" si="9"/>
        <v>0.10758979969773956</v>
      </c>
      <c r="CS30" s="326">
        <f t="shared" si="9"/>
        <v>6.3712059254128421</v>
      </c>
      <c r="CT30" s="326">
        <f t="shared" si="9"/>
        <v>6.0430537500000003</v>
      </c>
      <c r="CU30" s="326">
        <f t="shared" si="9"/>
        <v>1.0352748825291156</v>
      </c>
      <c r="CV30" s="326">
        <f t="shared" si="9"/>
        <v>4.6829583064133193E-2</v>
      </c>
      <c r="CW30" s="326">
        <f t="shared" si="9"/>
        <v>18.651821490691756</v>
      </c>
    </row>
    <row r="31" spans="1:101">
      <c r="A31" s="41"/>
      <c r="B31" s="39"/>
      <c r="C31" s="155"/>
      <c r="D31" s="53"/>
      <c r="E31" s="53"/>
      <c r="F31" s="53"/>
      <c r="G31" s="327"/>
      <c r="H31" s="328"/>
      <c r="I31" s="329"/>
      <c r="J31" s="328"/>
      <c r="K31" s="327"/>
      <c r="L31" s="327"/>
      <c r="M31" s="330" t="s">
        <v>701</v>
      </c>
      <c r="N31" s="324">
        <f>PERCENTILE(N6:N25,0.95)</f>
        <v>106014.27100664437</v>
      </c>
      <c r="O31" s="324">
        <f t="shared" ref="O31:BZ31" si="10">PERCENTILE(O6:O25,0.95)</f>
        <v>1526.518230825604</v>
      </c>
      <c r="P31" s="324">
        <f t="shared" si="10"/>
        <v>842.8440177403063</v>
      </c>
      <c r="Q31" s="326">
        <f t="shared" si="10"/>
        <v>1.923793797909231</v>
      </c>
      <c r="R31" s="324">
        <f t="shared" si="10"/>
        <v>5509.1312898807155</v>
      </c>
      <c r="S31" s="326">
        <f t="shared" si="10"/>
        <v>273.16347957112879</v>
      </c>
      <c r="T31" s="333">
        <f t="shared" si="10"/>
        <v>262.70083354360065</v>
      </c>
      <c r="U31" s="331">
        <f t="shared" si="10"/>
        <v>10.08586766999025</v>
      </c>
      <c r="V31" s="332">
        <f t="shared" si="10"/>
        <v>621.62642415761957</v>
      </c>
      <c r="W31" s="333">
        <f t="shared" si="10"/>
        <v>115.80414702251176</v>
      </c>
      <c r="X31" s="331">
        <f t="shared" si="10"/>
        <v>47.814184901752299</v>
      </c>
      <c r="Y31" s="331">
        <f t="shared" si="10"/>
        <v>22.624737282884617</v>
      </c>
      <c r="Z31" s="331">
        <f t="shared" si="10"/>
        <v>0.9628659221354513</v>
      </c>
      <c r="AA31" s="331">
        <f t="shared" si="10"/>
        <v>0.18933513852011521</v>
      </c>
      <c r="AB31" s="331">
        <f t="shared" si="10"/>
        <v>0.10327439662368583</v>
      </c>
      <c r="AC31" s="331">
        <f t="shared" si="10"/>
        <v>51.012515652601955</v>
      </c>
      <c r="AD31" s="331">
        <f t="shared" si="10"/>
        <v>76.720970095819624</v>
      </c>
      <c r="AE31" s="331">
        <f t="shared" si="10"/>
        <v>18.04805572384587</v>
      </c>
      <c r="AF31" s="331">
        <f t="shared" si="10"/>
        <v>8.865398132832448</v>
      </c>
      <c r="AG31" s="331">
        <f t="shared" si="10"/>
        <v>38.669256423531564</v>
      </c>
      <c r="AH31" s="324">
        <f t="shared" si="10"/>
        <v>1426.5010363161798</v>
      </c>
      <c r="AI31" s="331">
        <f t="shared" si="10"/>
        <v>4.9047847800246362</v>
      </c>
      <c r="AJ31" s="331">
        <f t="shared" si="10"/>
        <v>13.817789876613077</v>
      </c>
      <c r="AK31" s="331">
        <f t="shared" si="10"/>
        <v>12.035426317755682</v>
      </c>
      <c r="AL31" s="331">
        <f t="shared" si="10"/>
        <v>108.07296585504764</v>
      </c>
      <c r="AM31" s="326">
        <f t="shared" si="10"/>
        <v>11.700207543421806</v>
      </c>
      <c r="AN31" s="326">
        <f t="shared" si="10"/>
        <v>11.849070832007989</v>
      </c>
      <c r="AO31" s="326">
        <f t="shared" si="10"/>
        <v>17.470815236735962</v>
      </c>
      <c r="AP31" s="324">
        <f t="shared" si="10"/>
        <v>116213.68594633813</v>
      </c>
      <c r="AQ31" s="325">
        <f t="shared" si="10"/>
        <v>929.45000217875258</v>
      </c>
      <c r="AR31" s="333">
        <f t="shared" si="10"/>
        <v>515.43977568905109</v>
      </c>
      <c r="AS31" s="326">
        <f t="shared" si="10"/>
        <v>2.7745869949084963</v>
      </c>
      <c r="AT31" s="326">
        <f t="shared" si="10"/>
        <v>37.284423997488354</v>
      </c>
      <c r="AU31" s="326">
        <f t="shared" si="10"/>
        <v>0.24456425517616093</v>
      </c>
      <c r="AV31" s="326">
        <f t="shared" si="10"/>
        <v>-0.38792139245207558</v>
      </c>
      <c r="AW31" s="326">
        <f t="shared" si="10"/>
        <v>1.7608964632781765</v>
      </c>
      <c r="AX31" s="324">
        <f t="shared" si="10"/>
        <v>17556.913852009591</v>
      </c>
      <c r="AY31" s="324">
        <f t="shared" si="10"/>
        <v>631.95726741623605</v>
      </c>
      <c r="AZ31" s="324">
        <f t="shared" si="10"/>
        <v>951.60465300241447</v>
      </c>
      <c r="BA31" s="326">
        <f t="shared" si="10"/>
        <v>34.416643630077097</v>
      </c>
      <c r="BB31" s="324">
        <f t="shared" si="10"/>
        <v>2411.1958732498806</v>
      </c>
      <c r="BC31" s="324">
        <f t="shared" si="10"/>
        <v>957.59950667882777</v>
      </c>
      <c r="BD31" s="324">
        <f t="shared" si="10"/>
        <v>587.17332883809138</v>
      </c>
      <c r="BE31" s="326">
        <f t="shared" si="10"/>
        <v>46.695816945682012</v>
      </c>
      <c r="BF31" s="326">
        <f t="shared" si="10"/>
        <v>3.9395139432242847</v>
      </c>
      <c r="BG31" s="326">
        <f t="shared" si="10"/>
        <v>3.4971183148753505E-2</v>
      </c>
      <c r="BH31" s="326">
        <f t="shared" si="10"/>
        <v>0.18314466741552468</v>
      </c>
      <c r="BI31" s="326">
        <f t="shared" si="10"/>
        <v>7.5715844481573029</v>
      </c>
      <c r="BJ31" s="326">
        <f t="shared" si="10"/>
        <v>378.76975317159355</v>
      </c>
      <c r="BK31" s="326">
        <f t="shared" si="10"/>
        <v>21.12106648748691</v>
      </c>
      <c r="BL31" s="326">
        <f t="shared" si="10"/>
        <v>16.690765579280349</v>
      </c>
      <c r="BM31" s="326">
        <f t="shared" si="10"/>
        <v>10.545706528051733</v>
      </c>
      <c r="BN31" s="326">
        <f t="shared" si="10"/>
        <v>186.8920035093802</v>
      </c>
      <c r="BO31" s="326">
        <f t="shared" si="10"/>
        <v>31.489397892612594</v>
      </c>
      <c r="BP31" s="326">
        <f t="shared" si="10"/>
        <v>10.408886913439211</v>
      </c>
      <c r="BQ31" s="326">
        <f t="shared" si="10"/>
        <v>29.855456912861815</v>
      </c>
      <c r="BR31" s="326">
        <f t="shared" si="10"/>
        <v>7.0936781884743647</v>
      </c>
      <c r="BS31" s="326">
        <f t="shared" si="10"/>
        <v>3.6789775988745506E-2</v>
      </c>
      <c r="BT31" s="326">
        <f t="shared" si="10"/>
        <v>9.7889190007220753E-2</v>
      </c>
      <c r="BU31" s="326">
        <f t="shared" si="10"/>
        <v>7.0184204759925377</v>
      </c>
      <c r="BV31" s="326">
        <f t="shared" si="10"/>
        <v>1.0959951796076377</v>
      </c>
      <c r="BW31" s="326">
        <f t="shared" si="10"/>
        <v>0.11339112264199834</v>
      </c>
      <c r="BX31" s="326">
        <f t="shared" si="10"/>
        <v>0.24899223528278319</v>
      </c>
      <c r="BY31" s="326">
        <f t="shared" si="10"/>
        <v>58.689232456250416</v>
      </c>
      <c r="BZ31" s="326">
        <f t="shared" si="10"/>
        <v>305.42294325879544</v>
      </c>
      <c r="CA31" s="326">
        <f t="shared" ref="CA31:CW31" si="11">PERCENTILE(CA6:CA25,0.95)</f>
        <v>19.989996881417706</v>
      </c>
      <c r="CB31" s="326">
        <f t="shared" si="11"/>
        <v>15.872283884550804</v>
      </c>
      <c r="CC31" s="326">
        <f t="shared" si="11"/>
        <v>28.966915688020542</v>
      </c>
      <c r="CD31" s="326">
        <f t="shared" si="11"/>
        <v>245.47349571316181</v>
      </c>
      <c r="CE31" s="326">
        <f t="shared" si="11"/>
        <v>4.6750201161796676</v>
      </c>
      <c r="CF31" s="326">
        <f t="shared" si="11"/>
        <v>2.069224120551973</v>
      </c>
      <c r="CG31" s="326">
        <f t="shared" si="11"/>
        <v>4.3605626511715938</v>
      </c>
      <c r="CH31" s="326">
        <f t="shared" si="11"/>
        <v>168.98142281120838</v>
      </c>
      <c r="CI31" s="326">
        <f t="shared" si="11"/>
        <v>44.222594500681531</v>
      </c>
      <c r="CJ31" s="326">
        <f t="shared" si="11"/>
        <v>17.822066694060208</v>
      </c>
      <c r="CK31" s="326">
        <f t="shared" si="11"/>
        <v>32.594438272413278</v>
      </c>
      <c r="CL31" s="326">
        <f t="shared" si="11"/>
        <v>12.199108793763656</v>
      </c>
      <c r="CM31" s="326">
        <f t="shared" si="11"/>
        <v>8.8883737808393037E-2</v>
      </c>
      <c r="CN31" s="326">
        <f t="shared" si="11"/>
        <v>7.5241829995692913E-2</v>
      </c>
      <c r="CO31" s="326">
        <f t="shared" si="11"/>
        <v>1.9049940704657957</v>
      </c>
      <c r="CP31" s="326">
        <f t="shared" si="11"/>
        <v>5.1892670844657003</v>
      </c>
      <c r="CQ31" s="326">
        <f t="shared" si="11"/>
        <v>0.2298964198826598</v>
      </c>
      <c r="CR31" s="326">
        <f t="shared" si="11"/>
        <v>0.12281244264900824</v>
      </c>
      <c r="CS31" s="326">
        <f t="shared" si="11"/>
        <v>8.9421316101581514</v>
      </c>
      <c r="CT31" s="326">
        <f t="shared" si="11"/>
        <v>24.500658750000046</v>
      </c>
      <c r="CU31" s="326">
        <f t="shared" si="11"/>
        <v>10.103107971891973</v>
      </c>
      <c r="CV31" s="326">
        <f t="shared" si="11"/>
        <v>1.2461711478947999</v>
      </c>
      <c r="CW31" s="326">
        <f t="shared" si="11"/>
        <v>54.339966584095336</v>
      </c>
    </row>
    <row r="32" spans="1:101">
      <c r="A32" s="41"/>
      <c r="B32" s="39"/>
      <c r="C32" s="155"/>
      <c r="D32" s="53"/>
      <c r="E32" s="53"/>
      <c r="F32" s="53"/>
      <c r="G32" s="327"/>
      <c r="H32" s="328"/>
      <c r="I32" s="329"/>
      <c r="J32" s="328"/>
      <c r="K32" s="327"/>
      <c r="L32" s="327"/>
      <c r="M32" s="330" t="s">
        <v>1150</v>
      </c>
      <c r="N32" s="324">
        <f>GEOMEAN(N6:N25)</f>
        <v>68855.488846331355</v>
      </c>
      <c r="O32" s="324">
        <f t="shared" ref="O32:BZ32" si="12">GEOMEAN(O6:O25)</f>
        <v>731.81673130022114</v>
      </c>
      <c r="P32" s="324">
        <f t="shared" si="12"/>
        <v>302.40026041691544</v>
      </c>
      <c r="Q32" s="326">
        <f t="shared" si="12"/>
        <v>1.0628299116915101</v>
      </c>
      <c r="R32" s="324">
        <f t="shared" si="12"/>
        <v>129.57093280188323</v>
      </c>
      <c r="S32" s="326">
        <f t="shared" si="12"/>
        <v>3.8890583388680366</v>
      </c>
      <c r="T32" s="331">
        <f t="shared" si="12"/>
        <v>4.7795856811662505</v>
      </c>
      <c r="U32" s="331">
        <f t="shared" si="12"/>
        <v>3.7209188843636376</v>
      </c>
      <c r="V32" s="332">
        <f t="shared" si="12"/>
        <v>436.1900633897838</v>
      </c>
      <c r="W32" s="333">
        <f t="shared" si="12"/>
        <v>32.523232433964409</v>
      </c>
      <c r="X32" s="331">
        <f t="shared" si="12"/>
        <v>15.581321293379141</v>
      </c>
      <c r="Y32" s="331">
        <f t="shared" si="12"/>
        <v>7.4562066318556477</v>
      </c>
      <c r="Z32" s="331">
        <f t="shared" si="12"/>
        <v>0.23579926297764467</v>
      </c>
      <c r="AA32" s="331">
        <f t="shared" si="12"/>
        <v>6.1750948261690509E-2</v>
      </c>
      <c r="AB32" s="331">
        <f t="shared" si="12"/>
        <v>2.9360845087348729E-2</v>
      </c>
      <c r="AC32" s="331">
        <f t="shared" si="12"/>
        <v>26.335170530165811</v>
      </c>
      <c r="AD32" s="331">
        <f t="shared" si="12"/>
        <v>39.626098070923234</v>
      </c>
      <c r="AE32" s="331">
        <f t="shared" si="12"/>
        <v>9.1658683586370095</v>
      </c>
      <c r="AF32" s="331">
        <f t="shared" si="12"/>
        <v>5.0585206330262054</v>
      </c>
      <c r="AG32" s="331">
        <f t="shared" si="12"/>
        <v>23.130887987587968</v>
      </c>
      <c r="AH32" s="324">
        <f t="shared" si="12"/>
        <v>306.28148551509747</v>
      </c>
      <c r="AI32" s="331">
        <f t="shared" si="12"/>
        <v>1.6137859874255398</v>
      </c>
      <c r="AJ32" s="331">
        <f t="shared" si="12"/>
        <v>0.93109986780918697</v>
      </c>
      <c r="AK32" s="331">
        <f t="shared" si="12"/>
        <v>0.60650929556747546</v>
      </c>
      <c r="AL32" s="331">
        <f t="shared" si="12"/>
        <v>49.400954687776249</v>
      </c>
      <c r="AM32" s="326">
        <f t="shared" si="12"/>
        <v>5.9661083128341517</v>
      </c>
      <c r="AN32" s="326">
        <f t="shared" si="12"/>
        <v>6.2337693703281163</v>
      </c>
      <c r="AO32" s="326">
        <f t="shared" si="12"/>
        <v>13.05888435863881</v>
      </c>
      <c r="AP32" s="324">
        <f t="shared" si="12"/>
        <v>53782.61109969754</v>
      </c>
      <c r="AQ32" s="325">
        <f t="shared" si="12"/>
        <v>285.99029137285953</v>
      </c>
      <c r="AR32" s="333">
        <f t="shared" si="12"/>
        <v>157.81225297466952</v>
      </c>
      <c r="AS32" s="326">
        <f t="shared" si="12"/>
        <v>0.5450005543566373</v>
      </c>
      <c r="AT32" s="326">
        <f t="shared" si="12"/>
        <v>17.398812630706072</v>
      </c>
      <c r="AU32" s="326" t="e">
        <f t="shared" si="12"/>
        <v>#NUM!</v>
      </c>
      <c r="AV32" s="334">
        <v>-0.38851070894902878</v>
      </c>
      <c r="AW32" s="326">
        <f t="shared" si="12"/>
        <v>0.960177960158623</v>
      </c>
      <c r="AX32" s="324">
        <f t="shared" si="12"/>
        <v>4136.7987780536023</v>
      </c>
      <c r="AY32" s="324">
        <f t="shared" si="12"/>
        <v>364.61406613558324</v>
      </c>
      <c r="AZ32" s="324">
        <f t="shared" si="12"/>
        <v>734.43949277914294</v>
      </c>
      <c r="BA32" s="326">
        <f t="shared" si="12"/>
        <v>17.753812360307812</v>
      </c>
      <c r="BB32" s="324">
        <f t="shared" si="12"/>
        <v>1371.0022297921669</v>
      </c>
      <c r="BC32" s="324">
        <f t="shared" si="12"/>
        <v>407.047592094165</v>
      </c>
      <c r="BD32" s="324">
        <f t="shared" si="12"/>
        <v>237.32082901651268</v>
      </c>
      <c r="BE32" s="326">
        <f t="shared" si="12"/>
        <v>29.68978337517877</v>
      </c>
      <c r="BF32" s="326">
        <f t="shared" si="12"/>
        <v>2.5313608301870274</v>
      </c>
      <c r="BG32" s="326">
        <f t="shared" si="12"/>
        <v>1.2227128160754773E-2</v>
      </c>
      <c r="BH32" s="326">
        <f t="shared" si="12"/>
        <v>0.10022776274272276</v>
      </c>
      <c r="BI32" s="326">
        <f t="shared" si="12"/>
        <v>3.9594419549945208</v>
      </c>
      <c r="BJ32" s="326">
        <f t="shared" si="12"/>
        <v>88.425268493679951</v>
      </c>
      <c r="BK32" s="326">
        <f t="shared" si="12"/>
        <v>4.7054874084269578</v>
      </c>
      <c r="BL32" s="326">
        <f t="shared" si="12"/>
        <v>4.1209722037262324</v>
      </c>
      <c r="BM32" s="326">
        <f t="shared" si="12"/>
        <v>5.6452737411546847</v>
      </c>
      <c r="BN32" s="326">
        <f t="shared" si="12"/>
        <v>44.571652898518245</v>
      </c>
      <c r="BO32" s="326">
        <f t="shared" si="12"/>
        <v>6.7607441190871542</v>
      </c>
      <c r="BP32" s="326">
        <f t="shared" si="12"/>
        <v>1.8530521014917063</v>
      </c>
      <c r="BQ32" s="326">
        <f t="shared" si="12"/>
        <v>15.16825982307672</v>
      </c>
      <c r="BR32" s="326">
        <f t="shared" si="12"/>
        <v>1.4931471729437829</v>
      </c>
      <c r="BS32" s="326">
        <f t="shared" si="12"/>
        <v>9.0071308952713348E-3</v>
      </c>
      <c r="BT32" s="326">
        <f t="shared" si="12"/>
        <v>3.6735128057491059E-2</v>
      </c>
      <c r="BU32" s="326">
        <f t="shared" si="12"/>
        <v>2.4602483079458732</v>
      </c>
      <c r="BV32" s="326">
        <f t="shared" si="12"/>
        <v>0.6635329295706367</v>
      </c>
      <c r="BW32" s="326">
        <f t="shared" si="12"/>
        <v>9.2859424321182979E-2</v>
      </c>
      <c r="BX32" s="326">
        <f t="shared" si="12"/>
        <v>0.20435692756835602</v>
      </c>
      <c r="BY32" s="326">
        <f t="shared" si="12"/>
        <v>30.798309844334732</v>
      </c>
      <c r="BZ32" s="326">
        <f t="shared" si="12"/>
        <v>95.309047295680557</v>
      </c>
      <c r="CA32" s="326">
        <f t="shared" ref="CA32:CW32" si="13">GEOMEAN(CA6:CA25)</f>
        <v>9.2697766206583534</v>
      </c>
      <c r="CB32" s="326">
        <f t="shared" si="13"/>
        <v>8.8392188325749395</v>
      </c>
      <c r="CC32" s="326">
        <f t="shared" si="13"/>
        <v>10.460037480249532</v>
      </c>
      <c r="CD32" s="326">
        <f t="shared" si="13"/>
        <v>123.57791414942722</v>
      </c>
      <c r="CE32" s="326">
        <f t="shared" si="13"/>
        <v>2.441195013240546</v>
      </c>
      <c r="CF32" s="326">
        <f t="shared" si="13"/>
        <v>1.0467228755408227</v>
      </c>
      <c r="CG32" s="326">
        <f t="shared" si="13"/>
        <v>1.9754298573843192</v>
      </c>
      <c r="CH32" s="326">
        <f t="shared" si="13"/>
        <v>104.40890381939585</v>
      </c>
      <c r="CI32" s="326">
        <f t="shared" si="13"/>
        <v>23.663930623140015</v>
      </c>
      <c r="CJ32" s="326">
        <f t="shared" si="13"/>
        <v>11.325099456356076</v>
      </c>
      <c r="CK32" s="326">
        <f t="shared" si="13"/>
        <v>22.778749775149887</v>
      </c>
      <c r="CL32" s="326">
        <f t="shared" si="13"/>
        <v>7.9955726872393624</v>
      </c>
      <c r="CM32" s="326">
        <f t="shared" si="13"/>
        <v>4.0863230534194765E-2</v>
      </c>
      <c r="CN32" s="326">
        <f t="shared" si="13"/>
        <v>4.0692590359428703E-2</v>
      </c>
      <c r="CO32" s="326">
        <f t="shared" si="13"/>
        <v>0.66424164518519302</v>
      </c>
      <c r="CP32" s="326">
        <f t="shared" si="13"/>
        <v>2.3019420374078767</v>
      </c>
      <c r="CQ32" s="326">
        <f t="shared" si="13"/>
        <v>0.10432613084434865</v>
      </c>
      <c r="CR32" s="326">
        <f t="shared" si="13"/>
        <v>7.4222092294804323E-2</v>
      </c>
      <c r="CS32" s="326">
        <f t="shared" si="13"/>
        <v>4.9175014939813124</v>
      </c>
      <c r="CT32" s="326">
        <f t="shared" si="13"/>
        <v>1.7752159382306503</v>
      </c>
      <c r="CU32" s="326" t="e">
        <f t="shared" si="13"/>
        <v>#NUM!</v>
      </c>
      <c r="CV32" s="326" t="e">
        <f t="shared" si="13"/>
        <v>#NUM!</v>
      </c>
      <c r="CW32" s="326">
        <f t="shared" si="13"/>
        <v>8.5696511964054753</v>
      </c>
    </row>
    <row r="33" spans="1:101">
      <c r="A33" s="41"/>
      <c r="B33" s="39"/>
      <c r="C33" s="155"/>
      <c r="D33" s="53"/>
      <c r="E33" s="53"/>
      <c r="F33" s="53"/>
      <c r="G33" s="327"/>
      <c r="H33" s="328"/>
      <c r="I33" s="329"/>
      <c r="J33" s="328"/>
      <c r="K33" s="327"/>
      <c r="L33" s="327"/>
      <c r="M33" s="330" t="s">
        <v>1151</v>
      </c>
      <c r="N33" s="324">
        <f>AVERAGE(N6:N25)</f>
        <v>71650.39381034422</v>
      </c>
      <c r="O33" s="324">
        <f t="shared" ref="O33:BZ33" si="14">AVERAGE(O6:O25)</f>
        <v>834.15791448617802</v>
      </c>
      <c r="P33" s="324">
        <f t="shared" si="14"/>
        <v>369.62997621924296</v>
      </c>
      <c r="Q33" s="335">
        <f t="shared" si="14"/>
        <v>1.1974498097486683</v>
      </c>
      <c r="R33" s="324">
        <f t="shared" si="14"/>
        <v>1153.0525720804339</v>
      </c>
      <c r="S33" s="326">
        <f t="shared" si="14"/>
        <v>57.538537431930116</v>
      </c>
      <c r="T33" s="331">
        <f t="shared" si="14"/>
        <v>57.28923226139127</v>
      </c>
      <c r="U33" s="326">
        <f t="shared" si="14"/>
        <v>6.5813702255343909</v>
      </c>
      <c r="V33" s="324">
        <f t="shared" si="14"/>
        <v>451.16950168067012</v>
      </c>
      <c r="W33" s="326">
        <f t="shared" si="14"/>
        <v>51.264849602874889</v>
      </c>
      <c r="X33" s="326">
        <f t="shared" si="14"/>
        <v>23.368359566728103</v>
      </c>
      <c r="Y33" s="326">
        <f t="shared" si="14"/>
        <v>10.852781380311747</v>
      </c>
      <c r="Z33" s="326">
        <f t="shared" si="14"/>
        <v>0.34129326963492479</v>
      </c>
      <c r="AA33" s="326">
        <f t="shared" si="14"/>
        <v>7.721177887760533E-2</v>
      </c>
      <c r="AB33" s="326">
        <f t="shared" si="14"/>
        <v>3.7892482545419229E-2</v>
      </c>
      <c r="AC33" s="326">
        <f t="shared" si="14"/>
        <v>32.042582771428343</v>
      </c>
      <c r="AD33" s="326">
        <f t="shared" si="14"/>
        <v>45.312022466982725</v>
      </c>
      <c r="AE33" s="331">
        <f t="shared" si="14"/>
        <v>10.922774402191816</v>
      </c>
      <c r="AF33" s="331">
        <f t="shared" si="14"/>
        <v>5.9477428648269006</v>
      </c>
      <c r="AG33" s="331">
        <f t="shared" si="14"/>
        <v>24.797844749117658</v>
      </c>
      <c r="AH33" s="331">
        <f t="shared" si="14"/>
        <v>524.72143495011142</v>
      </c>
      <c r="AI33" s="331">
        <f t="shared" si="14"/>
        <v>3.3906100582227445</v>
      </c>
      <c r="AJ33" s="331">
        <f t="shared" si="14"/>
        <v>2.3023513668918096</v>
      </c>
      <c r="AK33" s="331">
        <f t="shared" si="14"/>
        <v>2.2469085887773459</v>
      </c>
      <c r="AL33" s="331">
        <f t="shared" si="14"/>
        <v>59.350773558620197</v>
      </c>
      <c r="AM33" s="326">
        <f t="shared" si="14"/>
        <v>7.3563060214806386</v>
      </c>
      <c r="AN33" s="326">
        <f t="shared" si="14"/>
        <v>7.8587199904763994</v>
      </c>
      <c r="AO33" s="326">
        <f t="shared" si="14"/>
        <v>13.817314034148074</v>
      </c>
      <c r="AP33" s="324">
        <f t="shared" si="14"/>
        <v>61132.756318763175</v>
      </c>
      <c r="AQ33" s="325">
        <f t="shared" si="14"/>
        <v>390.97315320971546</v>
      </c>
      <c r="AR33" s="333">
        <f t="shared" si="14"/>
        <v>204.86789424066993</v>
      </c>
      <c r="AS33" s="326">
        <f t="shared" si="14"/>
        <v>1.1603037595134873</v>
      </c>
      <c r="AT33" s="326">
        <f t="shared" si="14"/>
        <v>19.656774755593304</v>
      </c>
      <c r="AU33" s="326">
        <f t="shared" si="14"/>
        <v>-4.1240679760185216E-2</v>
      </c>
      <c r="AV33" s="326">
        <f t="shared" si="14"/>
        <v>-0.38892599634333946</v>
      </c>
      <c r="AW33" s="326">
        <f t="shared" si="14"/>
        <v>1.0496192939827036</v>
      </c>
      <c r="AX33" s="324">
        <f t="shared" si="14"/>
        <v>5666.0264041873734</v>
      </c>
      <c r="AY33" s="324">
        <f t="shared" si="14"/>
        <v>398.81020275334743</v>
      </c>
      <c r="AZ33" s="324">
        <f t="shared" si="14"/>
        <v>750.79068671676509</v>
      </c>
      <c r="BA33" s="326">
        <f t="shared" si="14"/>
        <v>21.115005839668598</v>
      </c>
      <c r="BB33" s="324">
        <f t="shared" si="14"/>
        <v>1587.1864349984864</v>
      </c>
      <c r="BC33" s="324">
        <f t="shared" si="14"/>
        <v>530.55164628056139</v>
      </c>
      <c r="BD33" s="324">
        <f t="shared" si="14"/>
        <v>313.22122878222041</v>
      </c>
      <c r="BE33" s="326">
        <f t="shared" si="14"/>
        <v>32.326905480649408</v>
      </c>
      <c r="BF33" s="326">
        <f t="shared" si="14"/>
        <v>2.6656639514186855</v>
      </c>
      <c r="BG33" s="326">
        <f t="shared" si="14"/>
        <v>1.6370452663960901E-2</v>
      </c>
      <c r="BH33" s="326">
        <f t="shared" si="14"/>
        <v>0.10868713834957267</v>
      </c>
      <c r="BI33" s="326">
        <f t="shared" si="14"/>
        <v>4.601446697416157</v>
      </c>
      <c r="BJ33" s="326">
        <f t="shared" si="14"/>
        <v>142.3084488105923</v>
      </c>
      <c r="BK33" s="326">
        <f t="shared" si="14"/>
        <v>7.6756626434877173</v>
      </c>
      <c r="BL33" s="326">
        <f t="shared" si="14"/>
        <v>6.2425081263105815</v>
      </c>
      <c r="BM33" s="326">
        <f t="shared" si="14"/>
        <v>6.5386534173039292</v>
      </c>
      <c r="BN33" s="326">
        <f t="shared" si="14"/>
        <v>64.975334423753992</v>
      </c>
      <c r="BO33" s="326">
        <f t="shared" si="14"/>
        <v>9.8157425821021587</v>
      </c>
      <c r="BP33" s="326">
        <f t="shared" si="14"/>
        <v>2.996913097272504</v>
      </c>
      <c r="BQ33" s="326">
        <f t="shared" si="14"/>
        <v>18.79913198874948</v>
      </c>
      <c r="BR33" s="326">
        <f t="shared" si="14"/>
        <v>2.3208104420770019</v>
      </c>
      <c r="BS33" s="326">
        <f t="shared" si="14"/>
        <v>1.4774061842210024E-2</v>
      </c>
      <c r="BT33" s="326">
        <f t="shared" si="14"/>
        <v>4.5933415520496026E-2</v>
      </c>
      <c r="BU33" s="326">
        <f t="shared" si="14"/>
        <v>3.5366824139694599</v>
      </c>
      <c r="BV33" s="326">
        <f t="shared" si="14"/>
        <v>0.73649361129279778</v>
      </c>
      <c r="BW33" s="326">
        <f t="shared" si="14"/>
        <v>9.3627863097840075E-2</v>
      </c>
      <c r="BX33" s="326">
        <f t="shared" si="14"/>
        <v>0.20729201054893828</v>
      </c>
      <c r="BY33" s="326">
        <f t="shared" si="14"/>
        <v>32.990508161388732</v>
      </c>
      <c r="BZ33" s="326">
        <f t="shared" si="14"/>
        <v>113.95697230279067</v>
      </c>
      <c r="CA33" s="326">
        <f t="shared" ref="CA33:CW33" si="15">AVERAGE(CA6:CA25)</f>
        <v>11.51619368132126</v>
      </c>
      <c r="CB33" s="326">
        <f t="shared" si="15"/>
        <v>9.979202188802164</v>
      </c>
      <c r="CC33" s="326">
        <f t="shared" si="15"/>
        <v>14.643910507251443</v>
      </c>
      <c r="CD33" s="326">
        <f t="shared" si="15"/>
        <v>140.8671528815598</v>
      </c>
      <c r="CE33" s="326">
        <f t="shared" si="15"/>
        <v>2.8457832298839554</v>
      </c>
      <c r="CF33" s="326">
        <f t="shared" si="15"/>
        <v>1.2043157019693904</v>
      </c>
      <c r="CG33" s="326">
        <f t="shared" si="15"/>
        <v>2.295209486728969</v>
      </c>
      <c r="CH33" s="326">
        <f t="shared" si="15"/>
        <v>109.04657679507093</v>
      </c>
      <c r="CI33" s="326">
        <f t="shared" si="15"/>
        <v>25.784678829073918</v>
      </c>
      <c r="CJ33" s="326">
        <f t="shared" si="15"/>
        <v>11.848081974668592</v>
      </c>
      <c r="CK33" s="326">
        <f t="shared" si="15"/>
        <v>24.325814453994642</v>
      </c>
      <c r="CL33" s="326">
        <f t="shared" si="15"/>
        <v>8.4492960540271334</v>
      </c>
      <c r="CM33" s="326">
        <f t="shared" si="15"/>
        <v>5.086056236787373E-2</v>
      </c>
      <c r="CN33" s="326">
        <f t="shared" si="15"/>
        <v>4.6997219123111535E-2</v>
      </c>
      <c r="CO33" s="326">
        <f t="shared" si="15"/>
        <v>0.82051068011571693</v>
      </c>
      <c r="CP33" s="326">
        <f t="shared" si="15"/>
        <v>2.5122037682028462</v>
      </c>
      <c r="CQ33" s="326">
        <f t="shared" si="15"/>
        <v>0.11951095835990981</v>
      </c>
      <c r="CR33" s="326">
        <f t="shared" si="15"/>
        <v>8.0587032703050593E-2</v>
      </c>
      <c r="CS33" s="326">
        <f t="shared" si="15"/>
        <v>5.4872036601824252</v>
      </c>
      <c r="CT33" s="326">
        <f t="shared" si="15"/>
        <v>8.5664564999999993</v>
      </c>
      <c r="CU33" s="326">
        <f t="shared" si="15"/>
        <v>1.5943143068935812</v>
      </c>
      <c r="CV33" s="326">
        <f t="shared" si="15"/>
        <v>0.30726707294202182</v>
      </c>
      <c r="CW33" s="326">
        <f t="shared" si="15"/>
        <v>16.527193286219962</v>
      </c>
    </row>
    <row r="34" spans="1:101">
      <c r="A34" s="41"/>
      <c r="B34" s="39"/>
      <c r="C34" s="155"/>
      <c r="D34" s="53"/>
      <c r="E34" s="53"/>
      <c r="F34" s="53"/>
      <c r="G34" s="53"/>
      <c r="H34" s="116"/>
      <c r="I34" s="154"/>
      <c r="J34" s="116"/>
      <c r="K34" s="41"/>
      <c r="L34" s="53"/>
      <c r="M34" s="53"/>
    </row>
    <row r="35" spans="1:101" s="368" customFormat="1">
      <c r="A35" s="368" t="s">
        <v>1188</v>
      </c>
      <c r="C35" s="369"/>
      <c r="D35" s="370"/>
      <c r="E35" s="370"/>
      <c r="F35" s="370"/>
      <c r="G35" s="369"/>
      <c r="H35" s="371"/>
      <c r="I35" s="372"/>
      <c r="J35" s="371"/>
      <c r="K35" s="369"/>
    </row>
    <row r="36" spans="1:101" s="53" customFormat="1" ht="94.5">
      <c r="A36" s="336"/>
      <c r="B36" s="336"/>
      <c r="C36" s="315" t="s">
        <v>1061</v>
      </c>
      <c r="D36" s="315" t="s">
        <v>1062</v>
      </c>
      <c r="E36" s="315" t="s">
        <v>1063</v>
      </c>
      <c r="F36" s="315" t="s">
        <v>1064</v>
      </c>
      <c r="G36" s="315" t="s">
        <v>1065</v>
      </c>
      <c r="H36" s="315" t="s">
        <v>1066</v>
      </c>
      <c r="I36" s="315" t="s">
        <v>1067</v>
      </c>
      <c r="J36" s="315" t="s">
        <v>1068</v>
      </c>
      <c r="K36" s="315" t="s">
        <v>1069</v>
      </c>
      <c r="L36" s="315" t="s">
        <v>1070</v>
      </c>
      <c r="M36" s="315" t="s">
        <v>1071</v>
      </c>
      <c r="N36" s="315" t="s">
        <v>1072</v>
      </c>
      <c r="O36" s="315" t="s">
        <v>1073</v>
      </c>
      <c r="P36" s="315" t="s">
        <v>1074</v>
      </c>
      <c r="Q36" s="315" t="s">
        <v>1075</v>
      </c>
      <c r="R36" s="315" t="s">
        <v>1076</v>
      </c>
      <c r="S36" s="315" t="s">
        <v>1077</v>
      </c>
      <c r="T36" s="315" t="s">
        <v>1078</v>
      </c>
      <c r="U36" s="315" t="s">
        <v>1079</v>
      </c>
      <c r="V36" s="315" t="s">
        <v>1080</v>
      </c>
      <c r="W36" s="315" t="s">
        <v>1081</v>
      </c>
      <c r="X36" s="315" t="s">
        <v>1082</v>
      </c>
      <c r="Y36" s="315" t="s">
        <v>1083</v>
      </c>
      <c r="Z36" s="315" t="s">
        <v>1084</v>
      </c>
      <c r="AA36" s="315" t="s">
        <v>1085</v>
      </c>
      <c r="AB36" s="315" t="s">
        <v>1086</v>
      </c>
      <c r="AC36" s="315" t="s">
        <v>1087</v>
      </c>
      <c r="AD36" s="315" t="s">
        <v>1088</v>
      </c>
      <c r="AE36" s="315" t="s">
        <v>509</v>
      </c>
      <c r="AF36" s="315" t="s">
        <v>1089</v>
      </c>
      <c r="AG36" s="315" t="s">
        <v>1090</v>
      </c>
      <c r="AH36" s="315" t="s">
        <v>1091</v>
      </c>
      <c r="AI36" s="315" t="s">
        <v>1092</v>
      </c>
      <c r="AJ36" s="315" t="s">
        <v>1093</v>
      </c>
      <c r="AK36" s="315" t="s">
        <v>1094</v>
      </c>
      <c r="AL36" s="315" t="s">
        <v>1095</v>
      </c>
      <c r="AM36" s="315" t="s">
        <v>1096</v>
      </c>
      <c r="AN36" s="315" t="s">
        <v>1097</v>
      </c>
      <c r="AO36" s="315" t="s">
        <v>1098</v>
      </c>
      <c r="AP36" s="315" t="s">
        <v>1099</v>
      </c>
      <c r="AQ36" s="315" t="s">
        <v>1100</v>
      </c>
      <c r="AR36" s="315" t="s">
        <v>1101</v>
      </c>
      <c r="AS36" s="315" t="s">
        <v>1102</v>
      </c>
      <c r="AT36" s="315" t="s">
        <v>1103</v>
      </c>
      <c r="AU36" s="315" t="s">
        <v>1104</v>
      </c>
      <c r="AV36" s="315" t="s">
        <v>1105</v>
      </c>
      <c r="AW36" s="315" t="s">
        <v>1106</v>
      </c>
      <c r="AX36" s="315" t="s">
        <v>1107</v>
      </c>
      <c r="AY36" s="315" t="s">
        <v>1108</v>
      </c>
      <c r="AZ36" s="315" t="s">
        <v>1109</v>
      </c>
      <c r="BA36" s="315" t="s">
        <v>1110</v>
      </c>
      <c r="BB36" s="315" t="s">
        <v>1111</v>
      </c>
      <c r="BC36" s="315" t="s">
        <v>1112</v>
      </c>
      <c r="BD36" s="315" t="s">
        <v>1113</v>
      </c>
      <c r="BE36" s="315" t="s">
        <v>1114</v>
      </c>
      <c r="BF36" s="315" t="s">
        <v>1115</v>
      </c>
      <c r="BG36" s="315" t="s">
        <v>1116</v>
      </c>
      <c r="BH36" s="315" t="s">
        <v>1117</v>
      </c>
      <c r="BI36" s="315" t="s">
        <v>1118</v>
      </c>
      <c r="BJ36" s="315" t="s">
        <v>1119</v>
      </c>
      <c r="BK36" s="315" t="s">
        <v>1120</v>
      </c>
      <c r="BL36" s="315" t="s">
        <v>1121</v>
      </c>
      <c r="BM36" s="315" t="s">
        <v>1122</v>
      </c>
      <c r="BN36" s="315" t="s">
        <v>1123</v>
      </c>
      <c r="BO36" s="315" t="s">
        <v>1124</v>
      </c>
      <c r="BP36" s="315" t="s">
        <v>1125</v>
      </c>
      <c r="BQ36" s="315" t="s">
        <v>1126</v>
      </c>
      <c r="BR36" s="315" t="s">
        <v>1127</v>
      </c>
      <c r="BS36" s="315" t="s">
        <v>1128</v>
      </c>
      <c r="BT36" s="315" t="s">
        <v>1129</v>
      </c>
      <c r="BU36" s="315" t="s">
        <v>1130</v>
      </c>
      <c r="BV36" s="315" t="s">
        <v>1131</v>
      </c>
      <c r="BW36" s="315" t="s">
        <v>1132</v>
      </c>
      <c r="BX36" s="315" t="s">
        <v>1133</v>
      </c>
      <c r="BY36" s="315" t="s">
        <v>1134</v>
      </c>
      <c r="BZ36" s="315" t="s">
        <v>1135</v>
      </c>
      <c r="CA36" s="315" t="s">
        <v>1136</v>
      </c>
      <c r="CB36" s="315" t="s">
        <v>1137</v>
      </c>
      <c r="CC36" s="315" t="s">
        <v>1138</v>
      </c>
      <c r="CD36" s="315" t="s">
        <v>1139</v>
      </c>
      <c r="CE36" s="315" t="s">
        <v>1140</v>
      </c>
      <c r="CF36" s="315" t="s">
        <v>1141</v>
      </c>
      <c r="CG36" s="315" t="s">
        <v>1142</v>
      </c>
      <c r="CH36" s="315" t="s">
        <v>1143</v>
      </c>
      <c r="CI36" s="315" t="s">
        <v>1144</v>
      </c>
      <c r="CJ36" s="315" t="s">
        <v>1145</v>
      </c>
      <c r="CK36" s="315" t="s">
        <v>1146</v>
      </c>
      <c r="CL36" s="315" t="s">
        <v>1147</v>
      </c>
    </row>
    <row r="37" spans="1:101" s="53" customFormat="1" ht="18">
      <c r="A37" s="317"/>
      <c r="B37" s="317"/>
      <c r="C37" s="32" t="s">
        <v>403</v>
      </c>
      <c r="D37" s="32" t="s">
        <v>403</v>
      </c>
      <c r="E37" s="32" t="s">
        <v>403</v>
      </c>
      <c r="F37" s="32" t="s">
        <v>407</v>
      </c>
      <c r="G37" s="32" t="s">
        <v>403</v>
      </c>
      <c r="H37" s="32" t="s">
        <v>403</v>
      </c>
      <c r="I37" s="32" t="s">
        <v>403</v>
      </c>
      <c r="J37" s="32" t="s">
        <v>407</v>
      </c>
      <c r="K37" s="32" t="s">
        <v>403</v>
      </c>
      <c r="L37" s="32" t="s">
        <v>403</v>
      </c>
      <c r="M37" s="32" t="s">
        <v>403</v>
      </c>
      <c r="N37" s="32" t="s">
        <v>407</v>
      </c>
      <c r="O37" s="32" t="s">
        <v>403</v>
      </c>
      <c r="P37" s="32" t="s">
        <v>403</v>
      </c>
      <c r="Q37" s="32" t="s">
        <v>403</v>
      </c>
      <c r="R37" s="32" t="s">
        <v>407</v>
      </c>
      <c r="S37" s="32" t="s">
        <v>403</v>
      </c>
      <c r="T37" s="32" t="s">
        <v>403</v>
      </c>
      <c r="U37" s="32" t="s">
        <v>403</v>
      </c>
      <c r="V37" s="32" t="s">
        <v>407</v>
      </c>
      <c r="W37" s="32" t="s">
        <v>403</v>
      </c>
      <c r="X37" s="32" t="s">
        <v>403</v>
      </c>
      <c r="Y37" s="32" t="s">
        <v>403</v>
      </c>
      <c r="Z37" s="32" t="s">
        <v>407</v>
      </c>
      <c r="AA37" s="32" t="s">
        <v>403</v>
      </c>
      <c r="AB37" s="32" t="s">
        <v>403</v>
      </c>
      <c r="AC37" s="32" t="s">
        <v>403</v>
      </c>
      <c r="AD37" s="32" t="s">
        <v>407</v>
      </c>
      <c r="AE37" s="32" t="s">
        <v>403</v>
      </c>
      <c r="AF37" s="32" t="s">
        <v>403</v>
      </c>
      <c r="AG37" s="32" t="s">
        <v>403</v>
      </c>
      <c r="AH37" s="32" t="s">
        <v>407</v>
      </c>
      <c r="AI37" s="32" t="s">
        <v>403</v>
      </c>
      <c r="AJ37" s="32" t="s">
        <v>403</v>
      </c>
      <c r="AK37" s="32" t="s">
        <v>403</v>
      </c>
      <c r="AL37" s="32" t="s">
        <v>407</v>
      </c>
      <c r="AM37" s="32" t="s">
        <v>403</v>
      </c>
      <c r="AN37" s="32" t="s">
        <v>403</v>
      </c>
      <c r="AO37" s="32" t="s">
        <v>403</v>
      </c>
      <c r="AP37" s="32" t="s">
        <v>407</v>
      </c>
      <c r="AQ37" s="32" t="s">
        <v>403</v>
      </c>
      <c r="AR37" s="32" t="s">
        <v>403</v>
      </c>
      <c r="AS37" s="32" t="s">
        <v>403</v>
      </c>
      <c r="AT37" s="32" t="s">
        <v>407</v>
      </c>
      <c r="AU37" s="32" t="s">
        <v>403</v>
      </c>
      <c r="AV37" s="32" t="s">
        <v>403</v>
      </c>
      <c r="AW37" s="32" t="s">
        <v>403</v>
      </c>
      <c r="AX37" s="32" t="s">
        <v>407</v>
      </c>
      <c r="AY37" s="32" t="s">
        <v>403</v>
      </c>
      <c r="AZ37" s="32" t="s">
        <v>403</v>
      </c>
      <c r="BA37" s="32" t="s">
        <v>403</v>
      </c>
      <c r="BB37" s="32" t="s">
        <v>407</v>
      </c>
      <c r="BC37" s="32" t="s">
        <v>403</v>
      </c>
      <c r="BD37" s="32" t="s">
        <v>403</v>
      </c>
      <c r="BE37" s="32" t="s">
        <v>403</v>
      </c>
      <c r="BF37" s="32" t="s">
        <v>407</v>
      </c>
      <c r="BG37" s="32" t="s">
        <v>403</v>
      </c>
      <c r="BH37" s="32" t="s">
        <v>403</v>
      </c>
      <c r="BI37" s="32" t="s">
        <v>403</v>
      </c>
      <c r="BJ37" s="32" t="s">
        <v>407</v>
      </c>
      <c r="BK37" s="32" t="s">
        <v>403</v>
      </c>
      <c r="BL37" s="32" t="s">
        <v>403</v>
      </c>
      <c r="BM37" s="32" t="s">
        <v>403</v>
      </c>
      <c r="BN37" s="32" t="s">
        <v>407</v>
      </c>
      <c r="BO37" s="32" t="s">
        <v>403</v>
      </c>
      <c r="BP37" s="32" t="s">
        <v>403</v>
      </c>
      <c r="BQ37" s="32" t="s">
        <v>403</v>
      </c>
      <c r="BR37" s="32" t="s">
        <v>407</v>
      </c>
      <c r="BS37" s="32" t="s">
        <v>403</v>
      </c>
      <c r="BT37" s="32" t="s">
        <v>403</v>
      </c>
      <c r="BU37" s="32" t="s">
        <v>403</v>
      </c>
      <c r="BV37" s="32" t="s">
        <v>407</v>
      </c>
      <c r="BW37" s="32" t="s">
        <v>403</v>
      </c>
      <c r="BX37" s="32" t="s">
        <v>403</v>
      </c>
      <c r="BY37" s="32" t="s">
        <v>403</v>
      </c>
      <c r="BZ37" s="32" t="s">
        <v>407</v>
      </c>
      <c r="CA37" s="32" t="s">
        <v>403</v>
      </c>
      <c r="CB37" s="32" t="s">
        <v>403</v>
      </c>
      <c r="CC37" s="32" t="s">
        <v>403</v>
      </c>
      <c r="CD37" s="32" t="s">
        <v>407</v>
      </c>
      <c r="CE37" s="32" t="s">
        <v>403</v>
      </c>
      <c r="CF37" s="32" t="s">
        <v>403</v>
      </c>
      <c r="CG37" s="32" t="s">
        <v>403</v>
      </c>
      <c r="CH37" s="32" t="s">
        <v>407</v>
      </c>
      <c r="CI37" s="32" t="s">
        <v>403</v>
      </c>
      <c r="CJ37" s="32" t="s">
        <v>403</v>
      </c>
      <c r="CK37" s="32" t="s">
        <v>403</v>
      </c>
      <c r="CL37" s="32" t="s">
        <v>407</v>
      </c>
    </row>
    <row r="38" spans="1:101" s="53" customFormat="1">
      <c r="A38" s="17" t="s">
        <v>1154</v>
      </c>
    </row>
    <row r="39" spans="1:101" s="53" customFormat="1">
      <c r="B39" s="47" t="s">
        <v>880</v>
      </c>
      <c r="C39" s="36">
        <v>74130.361696454653</v>
      </c>
      <c r="D39" s="36">
        <v>1174.0883447778399</v>
      </c>
      <c r="E39" s="36">
        <v>247.71245265480411</v>
      </c>
      <c r="F39" s="72">
        <v>1.5838157509408073</v>
      </c>
      <c r="G39" s="72">
        <v>24.430934841054878</v>
      </c>
      <c r="H39" s="72">
        <v>0.28179388232344843</v>
      </c>
      <c r="I39" s="72">
        <v>0.39626713540864755</v>
      </c>
      <c r="J39" s="36">
        <v>1.6219892443196313</v>
      </c>
      <c r="K39" s="36">
        <v>481.64320409050094</v>
      </c>
      <c r="L39" s="36">
        <v>90.025496558506347</v>
      </c>
      <c r="M39" s="72">
        <v>33.79872685157283</v>
      </c>
      <c r="N39" s="72">
        <v>18.691324987861872</v>
      </c>
      <c r="O39" s="72">
        <v>0.11678127644201661</v>
      </c>
      <c r="P39" s="72">
        <v>5.9240835293729019E-2</v>
      </c>
      <c r="Q39" s="72">
        <v>2.9750530287078185E-2</v>
      </c>
      <c r="R39" s="36">
        <v>46.296270223409834</v>
      </c>
      <c r="S39" s="72">
        <v>48.147357986522529</v>
      </c>
      <c r="T39" s="72">
        <v>15.331662042352919</v>
      </c>
      <c r="U39" s="72">
        <v>8.0364335142227077</v>
      </c>
      <c r="V39" s="72">
        <v>31.843205283755292</v>
      </c>
      <c r="W39" s="36">
        <v>102.12634228695497</v>
      </c>
      <c r="X39" s="72">
        <v>0.34326916044394434</v>
      </c>
      <c r="Y39" s="72">
        <v>0.14567156693677821</v>
      </c>
      <c r="Z39" s="130">
        <v>0.30084877450866526</v>
      </c>
      <c r="AA39" s="72">
        <v>45.158678194515097</v>
      </c>
      <c r="AB39" s="72">
        <v>6.7692664014631552</v>
      </c>
      <c r="AC39" s="72">
        <v>6.6759295402894718</v>
      </c>
      <c r="AD39" s="72">
        <v>14.989956907740801</v>
      </c>
      <c r="AE39" s="36">
        <v>59907.820668918503</v>
      </c>
      <c r="AF39" s="36">
        <v>240.98982194908498</v>
      </c>
      <c r="AG39" s="130">
        <v>58.26511152739527</v>
      </c>
      <c r="AH39" s="343">
        <v>0.39992303617914982</v>
      </c>
      <c r="AI39" s="343">
        <v>13.390218803670713</v>
      </c>
      <c r="AJ39" s="343">
        <v>-0.15005001667222409</v>
      </c>
      <c r="AK39" s="343">
        <v>-0.38981358189081228</v>
      </c>
      <c r="AL39" s="343">
        <v>0</v>
      </c>
      <c r="AM39" s="36">
        <v>2880.0235377288927</v>
      </c>
      <c r="AN39" s="36">
        <v>440.72018982013196</v>
      </c>
      <c r="AO39" s="36">
        <v>741.06240991412926</v>
      </c>
      <c r="AP39" s="36">
        <v>19.185734237269713</v>
      </c>
      <c r="AQ39" s="36">
        <v>1966.6309914266305</v>
      </c>
      <c r="AR39" s="36">
        <v>797.08738012111314</v>
      </c>
      <c r="AS39" s="36">
        <v>475.3184618622837</v>
      </c>
      <c r="AT39" s="36">
        <v>40.530602009017016</v>
      </c>
      <c r="AU39" s="72">
        <v>1.7349063228649859</v>
      </c>
      <c r="AV39" s="343">
        <v>6.448241049101769E-3</v>
      </c>
      <c r="AW39" s="72">
        <v>0.10487788395166871</v>
      </c>
      <c r="AX39" s="130">
        <v>5.7040487243514644</v>
      </c>
      <c r="AY39" s="130">
        <v>44.342539023469776</v>
      </c>
      <c r="AZ39" s="130">
        <v>3.8800784719559727</v>
      </c>
      <c r="BA39" s="130">
        <v>2.82883868493143</v>
      </c>
      <c r="BB39" s="36">
        <v>5.5534309578998649</v>
      </c>
      <c r="BC39" s="130">
        <v>17.916076758088597</v>
      </c>
      <c r="BD39" s="130">
        <v>4.4415103042119721</v>
      </c>
      <c r="BE39" s="130">
        <v>0.50971465633794077</v>
      </c>
      <c r="BF39" s="36">
        <v>23.826492628492542</v>
      </c>
      <c r="BG39" s="72">
        <v>0.73197281999955544</v>
      </c>
      <c r="BH39" s="343">
        <v>3.8970316291252467E-3</v>
      </c>
      <c r="BI39" s="343">
        <v>2.1970360402024224E-2</v>
      </c>
      <c r="BJ39" s="36">
        <v>1.3439022702530592</v>
      </c>
      <c r="BK39" s="72">
        <v>0.76297657611057901</v>
      </c>
      <c r="BL39" s="72">
        <v>0.10556012379534481</v>
      </c>
      <c r="BM39" s="72">
        <v>0.22113941956030903</v>
      </c>
      <c r="BN39" s="36">
        <v>24.506096512075345</v>
      </c>
      <c r="BO39" s="130">
        <v>37.906767575234021</v>
      </c>
      <c r="BP39" s="130">
        <v>11.322946221479537</v>
      </c>
      <c r="BQ39" s="130">
        <v>9.7684285247685967</v>
      </c>
      <c r="BR39" s="36">
        <v>25.233496498881141</v>
      </c>
      <c r="BS39" s="130">
        <v>149.83963942393811</v>
      </c>
      <c r="BT39" s="72">
        <v>2.2756556125267267</v>
      </c>
      <c r="BU39" s="72">
        <v>0.7802917848731068</v>
      </c>
      <c r="BV39" s="130">
        <v>1.5187273683222517</v>
      </c>
      <c r="BW39" s="130">
        <v>88.487843461030735</v>
      </c>
      <c r="BX39" s="130">
        <v>18.018116866051059</v>
      </c>
      <c r="BY39" s="130">
        <v>5.2730072775217289</v>
      </c>
      <c r="BZ39" s="130">
        <v>20.281883095714861</v>
      </c>
      <c r="CA39" s="72">
        <v>7.0627449564233196</v>
      </c>
      <c r="CB39" s="342">
        <v>2.3164180698731492E-2</v>
      </c>
      <c r="CC39" s="343">
        <v>2.345250061487893E-2</v>
      </c>
      <c r="CD39" s="130">
        <v>0.33205928799042506</v>
      </c>
      <c r="CE39" s="72">
        <v>2.0700308804520406</v>
      </c>
      <c r="CF39" s="72">
        <v>0.11042050029485184</v>
      </c>
      <c r="CG39" s="72">
        <v>3.0884199266763779E-2</v>
      </c>
      <c r="CH39" s="36">
        <v>4.2877404983449576</v>
      </c>
      <c r="CI39" s="130">
        <v>16.768075</v>
      </c>
      <c r="CJ39" s="130">
        <v>5.864994996713448</v>
      </c>
      <c r="CK39" s="72">
        <v>0.2452872602698416</v>
      </c>
      <c r="CL39" s="36">
        <v>34.977151501966972</v>
      </c>
    </row>
    <row r="40" spans="1:101" s="53" customFormat="1">
      <c r="B40" s="47" t="s">
        <v>881</v>
      </c>
      <c r="C40" s="36">
        <v>75968.022063565557</v>
      </c>
      <c r="D40" s="36">
        <v>1217.8647437428301</v>
      </c>
      <c r="E40" s="36">
        <v>377.91808430296464</v>
      </c>
      <c r="F40" s="72">
        <v>1.6031281461083624</v>
      </c>
      <c r="G40" s="72">
        <v>103.18378413501281</v>
      </c>
      <c r="H40" s="72">
        <v>2.6049037946278304</v>
      </c>
      <c r="I40" s="72">
        <v>2.5860626826516482</v>
      </c>
      <c r="J40" s="36">
        <v>2.5245282642662086</v>
      </c>
      <c r="K40" s="36">
        <v>519.20850120062312</v>
      </c>
      <c r="L40" s="36">
        <v>115.94486987866685</v>
      </c>
      <c r="M40" s="72">
        <v>36.305953429468126</v>
      </c>
      <c r="N40" s="72">
        <v>22.331080791349667</v>
      </c>
      <c r="O40" s="72">
        <v>0.26349670661430774</v>
      </c>
      <c r="P40" s="72">
        <v>0.12198914732394533</v>
      </c>
      <c r="Q40" s="72">
        <v>5.0339351174306816E-2</v>
      </c>
      <c r="R40" s="36">
        <v>50.728025158333367</v>
      </c>
      <c r="S40" s="72">
        <v>53.789567785734775</v>
      </c>
      <c r="T40" s="72">
        <v>17.649329845530705</v>
      </c>
      <c r="U40" s="72">
        <v>8.4942125557644435</v>
      </c>
      <c r="V40" s="72">
        <v>32.81180825961458</v>
      </c>
      <c r="W40" s="36">
        <v>257.25252946886656</v>
      </c>
      <c r="X40" s="72">
        <v>0.77394108229962799</v>
      </c>
      <c r="Y40" s="72">
        <v>0.19059972052767116</v>
      </c>
      <c r="Z40" s="130">
        <v>0.33612205505160009</v>
      </c>
      <c r="AA40" s="72">
        <v>65.616652238357105</v>
      </c>
      <c r="AB40" s="72">
        <v>10.439458051971293</v>
      </c>
      <c r="AC40" s="72">
        <v>10.251563123836231</v>
      </c>
      <c r="AD40" s="72">
        <v>15.909769389101456</v>
      </c>
      <c r="AE40" s="36">
        <v>60259.049904074796</v>
      </c>
      <c r="AF40" s="36">
        <v>247.17750258670344</v>
      </c>
      <c r="AG40" s="130">
        <v>105.51274736216773</v>
      </c>
      <c r="AH40" s="343">
        <v>0.41259638529121889</v>
      </c>
      <c r="AI40" s="343">
        <v>14.340211062798497</v>
      </c>
      <c r="AJ40" s="343">
        <v>-0.14975041597337771</v>
      </c>
      <c r="AK40" s="343">
        <v>-0.38870431893687707</v>
      </c>
      <c r="AL40" s="343">
        <v>0</v>
      </c>
      <c r="AM40" s="36">
        <v>3862.5699738640205</v>
      </c>
      <c r="AN40" s="36">
        <v>593.3396563361614</v>
      </c>
      <c r="AO40" s="36">
        <v>949.06863322996116</v>
      </c>
      <c r="AP40" s="36">
        <v>32.953502664022345</v>
      </c>
      <c r="AQ40" s="36">
        <v>2400.35794050292</v>
      </c>
      <c r="AR40" s="36">
        <v>1050.3786719852528</v>
      </c>
      <c r="AS40" s="36">
        <v>627.38878767972892</v>
      </c>
      <c r="AT40" s="36">
        <v>43.759251662490755</v>
      </c>
      <c r="AU40" s="72">
        <v>2.2550454938604063</v>
      </c>
      <c r="AV40" s="343">
        <v>9.0251001047371888E-3</v>
      </c>
      <c r="AW40" s="72">
        <v>0.12862889372608968</v>
      </c>
      <c r="AX40" s="130">
        <v>6.04516120377472</v>
      </c>
      <c r="AY40" s="130">
        <v>77.975252206712128</v>
      </c>
      <c r="AZ40" s="130">
        <v>4.3303017955480492</v>
      </c>
      <c r="BA40" s="130">
        <v>3.2064350316054089</v>
      </c>
      <c r="BB40" s="36">
        <v>8.7502397413515531</v>
      </c>
      <c r="BC40" s="130">
        <v>38.801086307584086</v>
      </c>
      <c r="BD40" s="130">
        <v>9.2449379688515521</v>
      </c>
      <c r="BE40" s="130">
        <v>1.528939154642587</v>
      </c>
      <c r="BF40" s="36">
        <v>24.790641188823649</v>
      </c>
      <c r="BG40" s="72">
        <v>1.6348183114451595</v>
      </c>
      <c r="BH40" s="343">
        <v>8.2931071299501974E-3</v>
      </c>
      <c r="BI40" s="343">
        <v>3.045762014996773E-2</v>
      </c>
      <c r="BJ40" s="36">
        <v>4.1610315735475298</v>
      </c>
      <c r="BK40" s="72">
        <v>1.0049427314561374</v>
      </c>
      <c r="BL40" s="72">
        <v>0.11329901769774131</v>
      </c>
      <c r="BM40" s="72">
        <v>0.24627223566172721</v>
      </c>
      <c r="BN40" s="36">
        <v>28.983775712697508</v>
      </c>
      <c r="BO40" s="130">
        <v>44.872680335765587</v>
      </c>
      <c r="BP40" s="130">
        <v>15.143998015629647</v>
      </c>
      <c r="BQ40" s="130">
        <v>12.641074122852157</v>
      </c>
      <c r="BR40" s="36">
        <v>39.950644658828189</v>
      </c>
      <c r="BS40" s="130">
        <v>163.12934432091856</v>
      </c>
      <c r="BT40" s="72">
        <v>3.5302340916720016</v>
      </c>
      <c r="BU40" s="72">
        <v>1.2032301464532911</v>
      </c>
      <c r="BV40" s="130">
        <v>2.1640705455954619</v>
      </c>
      <c r="BW40" s="130">
        <v>102.58836938191655</v>
      </c>
      <c r="BX40" s="130">
        <v>20.806853147840453</v>
      </c>
      <c r="BY40" s="130">
        <v>7.4015369837289855</v>
      </c>
      <c r="BZ40" s="130">
        <v>20.362251085920157</v>
      </c>
      <c r="CA40" s="72">
        <v>9.2339821090693164</v>
      </c>
      <c r="CB40" s="342">
        <v>2.3393299968833409E-2</v>
      </c>
      <c r="CC40" s="343">
        <v>3.4911248179531867E-2</v>
      </c>
      <c r="CD40" s="130">
        <v>0.37807359562937831</v>
      </c>
      <c r="CE40" s="72">
        <v>2.5986938822523875</v>
      </c>
      <c r="CF40" s="72">
        <v>0.11142525001734845</v>
      </c>
      <c r="CG40" s="72">
        <v>5.1842479821854616E-2</v>
      </c>
      <c r="CH40" s="36">
        <v>5.3342441089931416</v>
      </c>
      <c r="CI40" s="130">
        <v>21.142099999999999</v>
      </c>
      <c r="CJ40" s="130">
        <v>10.847543796696662</v>
      </c>
      <c r="CK40" s="72">
        <v>1.0608716450192073</v>
      </c>
      <c r="CL40" s="36">
        <v>51.307787763262226</v>
      </c>
    </row>
    <row r="41" spans="1:101" s="53" customFormat="1">
      <c r="B41" s="47" t="s">
        <v>699</v>
      </c>
      <c r="C41" s="36">
        <v>74589.776788232382</v>
      </c>
      <c r="D41" s="36">
        <v>1185.0324445190874</v>
      </c>
      <c r="E41" s="36">
        <v>280.26386056684424</v>
      </c>
      <c r="F41" s="72">
        <v>1.588643849732696</v>
      </c>
      <c r="G41" s="72">
        <v>44.119147164544358</v>
      </c>
      <c r="H41" s="72">
        <v>0.86257136039954396</v>
      </c>
      <c r="I41" s="72">
        <v>0.94371602221939765</v>
      </c>
      <c r="J41" s="36">
        <v>1.8476239993062755</v>
      </c>
      <c r="K41" s="36">
        <v>491.03452836803149</v>
      </c>
      <c r="L41" s="36">
        <v>96.505339888546473</v>
      </c>
      <c r="M41" s="72">
        <v>34.425533496046654</v>
      </c>
      <c r="N41" s="72">
        <v>19.601263938733823</v>
      </c>
      <c r="O41" s="72">
        <v>0.1534601339850894</v>
      </c>
      <c r="P41" s="72">
        <v>7.4927913301283094E-2</v>
      </c>
      <c r="Q41" s="72">
        <v>3.4897735508885343E-2</v>
      </c>
      <c r="R41" s="36">
        <v>47.404208957140717</v>
      </c>
      <c r="S41" s="72">
        <v>49.557910436325592</v>
      </c>
      <c r="T41" s="72">
        <v>15.911078993147365</v>
      </c>
      <c r="U41" s="72">
        <v>8.1508782746081412</v>
      </c>
      <c r="V41" s="72">
        <v>32.085356027720117</v>
      </c>
      <c r="W41" s="36">
        <v>140.90788908243286</v>
      </c>
      <c r="X41" s="72">
        <v>0.45093714090786524</v>
      </c>
      <c r="Y41" s="72">
        <v>0.15690360533450146</v>
      </c>
      <c r="Z41" s="130">
        <v>0.30966709464439895</v>
      </c>
      <c r="AA41" s="72">
        <v>50.273171705475598</v>
      </c>
      <c r="AB41" s="72">
        <v>7.6868143140901894</v>
      </c>
      <c r="AC41" s="72">
        <v>7.5698379361761621</v>
      </c>
      <c r="AD41" s="72">
        <v>15.219910028080964</v>
      </c>
      <c r="AE41" s="36">
        <v>59995.627977707576</v>
      </c>
      <c r="AF41" s="36">
        <v>242.53674210848959</v>
      </c>
      <c r="AG41" s="130">
        <v>70.077020486088387</v>
      </c>
      <c r="AH41" s="343">
        <v>0.40309137345716706</v>
      </c>
      <c r="AI41" s="343">
        <v>13.627716868452659</v>
      </c>
      <c r="AJ41" s="343">
        <v>-0.1499751164975125</v>
      </c>
      <c r="AK41" s="343">
        <v>-0.3895362661523285</v>
      </c>
      <c r="AL41" s="343" t="e">
        <v>#NUM!</v>
      </c>
      <c r="AM41" s="36">
        <v>3125.6601467626747</v>
      </c>
      <c r="AN41" s="36">
        <v>478.87505644913932</v>
      </c>
      <c r="AO41" s="36">
        <v>793.06396574308724</v>
      </c>
      <c r="AP41" s="36">
        <v>22.627676343957873</v>
      </c>
      <c r="AQ41" s="36">
        <v>2075.0627286957028</v>
      </c>
      <c r="AR41" s="36">
        <v>860.41020308714803</v>
      </c>
      <c r="AS41" s="36">
        <v>513.33604331664503</v>
      </c>
      <c r="AT41" s="36">
        <v>41.337764422385447</v>
      </c>
      <c r="AU41" s="72">
        <v>1.8649411156138411</v>
      </c>
      <c r="AV41" s="343">
        <v>7.0924558130106242E-3</v>
      </c>
      <c r="AW41" s="72">
        <v>0.11081563639527395</v>
      </c>
      <c r="AX41" s="130">
        <v>5.7893268442072783</v>
      </c>
      <c r="AY41" s="130">
        <v>52.750717319280362</v>
      </c>
      <c r="AZ41" s="130">
        <v>3.9926343028539919</v>
      </c>
      <c r="BA41" s="130">
        <v>2.9232377715999247</v>
      </c>
      <c r="BB41" s="36">
        <v>6.3526331537627865</v>
      </c>
      <c r="BC41" s="130">
        <v>23.13732914546247</v>
      </c>
      <c r="BD41" s="130">
        <v>5.6423672203718667</v>
      </c>
      <c r="BE41" s="130">
        <v>0.76452078091410236</v>
      </c>
      <c r="BF41" s="36">
        <v>24.067529768575319</v>
      </c>
      <c r="BG41" s="72">
        <v>0.95768419286095652</v>
      </c>
      <c r="BH41" s="343">
        <v>4.9960505043314847E-3</v>
      </c>
      <c r="BI41" s="343">
        <v>2.4092175339010102E-2</v>
      </c>
      <c r="BJ41" s="36">
        <v>2.0481845960766769</v>
      </c>
      <c r="BK41" s="72">
        <v>0.82346811494696859</v>
      </c>
      <c r="BL41" s="72">
        <v>0.10749484727094394</v>
      </c>
      <c r="BM41" s="72">
        <v>0.22742262358566356</v>
      </c>
      <c r="BN41" s="36">
        <v>25.625516312230886</v>
      </c>
      <c r="BO41" s="130">
        <v>39.648245765366909</v>
      </c>
      <c r="BP41" s="130">
        <v>12.278209170017064</v>
      </c>
      <c r="BQ41" s="130">
        <v>10.486589924289486</v>
      </c>
      <c r="BR41" s="36">
        <v>28.912783538867902</v>
      </c>
      <c r="BS41" s="130">
        <v>153.16206564818322</v>
      </c>
      <c r="BT41" s="72">
        <v>2.5893002323130454</v>
      </c>
      <c r="BU41" s="72">
        <v>0.88602637526815287</v>
      </c>
      <c r="BV41" s="130">
        <v>1.6800631626405542</v>
      </c>
      <c r="BW41" s="130">
        <v>92.012974941252196</v>
      </c>
      <c r="BX41" s="130">
        <v>18.715300936498409</v>
      </c>
      <c r="BY41" s="130">
        <v>5.8051397040735431</v>
      </c>
      <c r="BZ41" s="130">
        <v>20.301975093266186</v>
      </c>
      <c r="CA41" s="72">
        <v>7.6055542445848188</v>
      </c>
      <c r="CB41" s="342">
        <v>2.3221460516256971E-2</v>
      </c>
      <c r="CC41" s="343">
        <v>2.6317187506042165E-2</v>
      </c>
      <c r="CD41" s="130">
        <v>0.34356286490016336</v>
      </c>
      <c r="CE41" s="72">
        <v>2.2021966309021273</v>
      </c>
      <c r="CF41" s="72">
        <v>0.11067168772547599</v>
      </c>
      <c r="CG41" s="72">
        <v>3.6123769405536486E-2</v>
      </c>
      <c r="CH41" s="36">
        <v>4.5493664010070036</v>
      </c>
      <c r="CI41" s="130">
        <v>17.86158125</v>
      </c>
      <c r="CJ41" s="130">
        <v>7.1106321967092514</v>
      </c>
      <c r="CK41" s="72">
        <v>0.44918335645718299</v>
      </c>
      <c r="CL41" s="36">
        <v>39.059810567290782</v>
      </c>
    </row>
    <row r="42" spans="1:101" s="53" customFormat="1">
      <c r="B42" s="47" t="s">
        <v>700</v>
      </c>
      <c r="C42" s="36">
        <v>75049.191880010098</v>
      </c>
      <c r="D42" s="36">
        <v>1195.976544260335</v>
      </c>
      <c r="E42" s="36">
        <v>312.81526847888438</v>
      </c>
      <c r="F42" s="72">
        <v>1.5934719485245847</v>
      </c>
      <c r="G42" s="72">
        <v>63.807359488033846</v>
      </c>
      <c r="H42" s="72">
        <v>1.4433488384756394</v>
      </c>
      <c r="I42" s="72">
        <v>1.4911649090301478</v>
      </c>
      <c r="J42" s="36">
        <v>2.0732587542929197</v>
      </c>
      <c r="K42" s="36">
        <v>500.42585264556203</v>
      </c>
      <c r="L42" s="36">
        <v>102.9851832185866</v>
      </c>
      <c r="M42" s="72">
        <v>35.052340140520478</v>
      </c>
      <c r="N42" s="72">
        <v>20.511202889605769</v>
      </c>
      <c r="O42" s="72">
        <v>0.19013899152816216</v>
      </c>
      <c r="P42" s="72">
        <v>9.0614991308837184E-2</v>
      </c>
      <c r="Q42" s="72">
        <v>4.0044940730692501E-2</v>
      </c>
      <c r="R42" s="36">
        <v>48.512147690871601</v>
      </c>
      <c r="S42" s="72">
        <v>50.968462886128648</v>
      </c>
      <c r="T42" s="72">
        <v>16.490495943941813</v>
      </c>
      <c r="U42" s="72">
        <v>8.2653230349935747</v>
      </c>
      <c r="V42" s="72">
        <v>32.327506771684938</v>
      </c>
      <c r="W42" s="36">
        <v>179.68943587791074</v>
      </c>
      <c r="X42" s="72">
        <v>0.5586051213717862</v>
      </c>
      <c r="Y42" s="72">
        <v>0.16813564373222467</v>
      </c>
      <c r="Z42" s="130">
        <v>0.3184854147801327</v>
      </c>
      <c r="AA42" s="72">
        <v>55.387665216436105</v>
      </c>
      <c r="AB42" s="72">
        <v>8.6043622267172246</v>
      </c>
      <c r="AC42" s="72">
        <v>8.4637463320628505</v>
      </c>
      <c r="AD42" s="72">
        <v>15.449863148421128</v>
      </c>
      <c r="AE42" s="36">
        <v>60083.435286496649</v>
      </c>
      <c r="AF42" s="36">
        <v>244.08366226789423</v>
      </c>
      <c r="AG42" s="130">
        <v>81.888929444781496</v>
      </c>
      <c r="AH42" s="343">
        <v>0.40625971073518435</v>
      </c>
      <c r="AI42" s="343">
        <v>13.865214933234604</v>
      </c>
      <c r="AJ42" s="343">
        <v>-0.1499002163228009</v>
      </c>
      <c r="AK42" s="343">
        <v>-0.38925895041384467</v>
      </c>
      <c r="AL42" s="343" t="e">
        <v>#NUM!</v>
      </c>
      <c r="AM42" s="36">
        <v>3371.2967557964566</v>
      </c>
      <c r="AN42" s="36">
        <v>517.02992307814668</v>
      </c>
      <c r="AO42" s="36">
        <v>845.06552157204521</v>
      </c>
      <c r="AP42" s="36">
        <v>26.069618450646029</v>
      </c>
      <c r="AQ42" s="36">
        <v>2183.4944659647754</v>
      </c>
      <c r="AR42" s="36">
        <v>923.73302605318304</v>
      </c>
      <c r="AS42" s="36">
        <v>551.35362477100625</v>
      </c>
      <c r="AT42" s="36">
        <v>42.144926835753886</v>
      </c>
      <c r="AU42" s="72">
        <v>1.9949759083626961</v>
      </c>
      <c r="AV42" s="343">
        <v>7.7366705769194785E-3</v>
      </c>
      <c r="AW42" s="72">
        <v>0.1167533888388792</v>
      </c>
      <c r="AX42" s="130">
        <v>5.8746049640630922</v>
      </c>
      <c r="AY42" s="130">
        <v>61.158895615090955</v>
      </c>
      <c r="AZ42" s="130">
        <v>4.1051901337520107</v>
      </c>
      <c r="BA42" s="130">
        <v>3.0176368582684194</v>
      </c>
      <c r="BB42" s="36">
        <v>7.151835349625709</v>
      </c>
      <c r="BC42" s="130">
        <v>28.35858153283634</v>
      </c>
      <c r="BD42" s="130">
        <v>6.8432241365317621</v>
      </c>
      <c r="BE42" s="130">
        <v>1.0193269054902641</v>
      </c>
      <c r="BF42" s="36">
        <v>24.308566908658094</v>
      </c>
      <c r="BG42" s="72">
        <v>1.1833955657223574</v>
      </c>
      <c r="BH42" s="343">
        <v>6.0950693795377223E-3</v>
      </c>
      <c r="BI42" s="343">
        <v>2.6213990275995976E-2</v>
      </c>
      <c r="BJ42" s="36">
        <v>2.7524669219002948</v>
      </c>
      <c r="BK42" s="72">
        <v>0.88395965378335828</v>
      </c>
      <c r="BL42" s="72">
        <v>0.10942957074654305</v>
      </c>
      <c r="BM42" s="72">
        <v>0.2337058276110181</v>
      </c>
      <c r="BN42" s="36">
        <v>26.744936112386426</v>
      </c>
      <c r="BO42" s="130">
        <v>41.389723955499804</v>
      </c>
      <c r="BP42" s="130">
        <v>13.233472118554591</v>
      </c>
      <c r="BQ42" s="130">
        <v>11.204751323810378</v>
      </c>
      <c r="BR42" s="36">
        <v>32.592070578854667</v>
      </c>
      <c r="BS42" s="130">
        <v>156.48449187242835</v>
      </c>
      <c r="BT42" s="72">
        <v>2.9029448520993641</v>
      </c>
      <c r="BU42" s="72">
        <v>0.99176096566319893</v>
      </c>
      <c r="BV42" s="130">
        <v>1.8413989569588569</v>
      </c>
      <c r="BW42" s="130">
        <v>95.538106421473643</v>
      </c>
      <c r="BX42" s="130">
        <v>19.412485006945758</v>
      </c>
      <c r="BY42" s="130">
        <v>6.3372721306253572</v>
      </c>
      <c r="BZ42" s="130">
        <v>20.322067090817509</v>
      </c>
      <c r="CA42" s="72">
        <v>8.148363532746318</v>
      </c>
      <c r="CB42" s="342">
        <v>2.3278740333782452E-2</v>
      </c>
      <c r="CC42" s="343">
        <v>2.9181874397205397E-2</v>
      </c>
      <c r="CD42" s="130">
        <v>0.35506644180990166</v>
      </c>
      <c r="CE42" s="72">
        <v>2.3343623813522143</v>
      </c>
      <c r="CF42" s="72">
        <v>0.11092287515610014</v>
      </c>
      <c r="CG42" s="72">
        <v>4.1363339544309194E-2</v>
      </c>
      <c r="CH42" s="36">
        <v>4.8109923036690496</v>
      </c>
      <c r="CI42" s="130">
        <v>18.955087499999998</v>
      </c>
      <c r="CJ42" s="130">
        <v>8.3562693967050556</v>
      </c>
      <c r="CK42" s="72">
        <v>0.65307945264452449</v>
      </c>
      <c r="CL42" s="36">
        <v>43.142469632614599</v>
      </c>
    </row>
    <row r="43" spans="1:101" s="53" customFormat="1">
      <c r="B43" s="47" t="s">
        <v>1149</v>
      </c>
      <c r="C43" s="36">
        <v>75508.606971787827</v>
      </c>
      <c r="D43" s="36">
        <v>1206.9206440015826</v>
      </c>
      <c r="E43" s="36">
        <v>345.36667639092451</v>
      </c>
      <c r="F43" s="72">
        <v>1.5983000473164737</v>
      </c>
      <c r="G43" s="72">
        <v>83.495571811523334</v>
      </c>
      <c r="H43" s="72">
        <v>2.0241263165517349</v>
      </c>
      <c r="I43" s="72">
        <v>2.0386137958408979</v>
      </c>
      <c r="J43" s="36">
        <v>2.2988935092795644</v>
      </c>
      <c r="K43" s="36">
        <v>509.81717692309257</v>
      </c>
      <c r="L43" s="36">
        <v>109.46502654862672</v>
      </c>
      <c r="M43" s="72">
        <v>35.679146784994302</v>
      </c>
      <c r="N43" s="72">
        <v>21.421141840477716</v>
      </c>
      <c r="O43" s="72">
        <v>0.22681784907123495</v>
      </c>
      <c r="P43" s="72">
        <v>0.10630206931639126</v>
      </c>
      <c r="Q43" s="72">
        <v>4.5192145952499659E-2</v>
      </c>
      <c r="R43" s="36">
        <v>49.620086424602484</v>
      </c>
      <c r="S43" s="72">
        <v>52.379015335931712</v>
      </c>
      <c r="T43" s="72">
        <v>17.069912894736259</v>
      </c>
      <c r="U43" s="72">
        <v>8.37976779537901</v>
      </c>
      <c r="V43" s="72">
        <v>32.569657515649759</v>
      </c>
      <c r="W43" s="36">
        <v>218.47098267338865</v>
      </c>
      <c r="X43" s="72">
        <v>0.66627310183570709</v>
      </c>
      <c r="Y43" s="72">
        <v>0.17936768212994791</v>
      </c>
      <c r="Z43" s="130">
        <v>0.3273037349158664</v>
      </c>
      <c r="AA43" s="72">
        <v>60.502158727396605</v>
      </c>
      <c r="AB43" s="72">
        <v>9.5219101393442589</v>
      </c>
      <c r="AC43" s="72">
        <v>9.3576547279495408</v>
      </c>
      <c r="AD43" s="72">
        <v>15.679816268761293</v>
      </c>
      <c r="AE43" s="36">
        <v>60171.242595285723</v>
      </c>
      <c r="AF43" s="36">
        <v>245.63058242729883</v>
      </c>
      <c r="AG43" s="130">
        <v>93.70083840347462</v>
      </c>
      <c r="AH43" s="343">
        <v>0.40942804801320165</v>
      </c>
      <c r="AI43" s="343">
        <v>14.102712998016552</v>
      </c>
      <c r="AJ43" s="343">
        <v>-0.1498253161480893</v>
      </c>
      <c r="AK43" s="343">
        <v>-0.38898163467536084</v>
      </c>
      <c r="AL43" s="343" t="e">
        <v>#NUM!</v>
      </c>
      <c r="AM43" s="36">
        <v>3616.9333648302386</v>
      </c>
      <c r="AN43" s="36">
        <v>555.1847897071541</v>
      </c>
      <c r="AO43" s="36">
        <v>897.06707740100319</v>
      </c>
      <c r="AP43" s="36">
        <v>29.511560557334185</v>
      </c>
      <c r="AQ43" s="36">
        <v>2291.9262032338474</v>
      </c>
      <c r="AR43" s="36">
        <v>987.05584901921793</v>
      </c>
      <c r="AS43" s="36">
        <v>589.37120622536759</v>
      </c>
      <c r="AT43" s="36">
        <v>42.952089249122324</v>
      </c>
      <c r="AU43" s="72">
        <v>2.1250107011115511</v>
      </c>
      <c r="AV43" s="343">
        <v>8.3808853408283337E-3</v>
      </c>
      <c r="AW43" s="72">
        <v>0.12269114128248444</v>
      </c>
      <c r="AX43" s="130">
        <v>5.9598830839189061</v>
      </c>
      <c r="AY43" s="130">
        <v>69.567073910901541</v>
      </c>
      <c r="AZ43" s="130">
        <v>4.2177459646500299</v>
      </c>
      <c r="BA43" s="130">
        <v>3.1120359449369142</v>
      </c>
      <c r="BB43" s="36">
        <v>7.9510375454886315</v>
      </c>
      <c r="BC43" s="130">
        <v>33.579833920210213</v>
      </c>
      <c r="BD43" s="130">
        <v>8.0440810526916575</v>
      </c>
      <c r="BE43" s="130">
        <v>1.2741330300664255</v>
      </c>
      <c r="BF43" s="36">
        <v>24.549604048740871</v>
      </c>
      <c r="BG43" s="72">
        <v>1.4091069385837585</v>
      </c>
      <c r="BH43" s="343">
        <v>7.1940882547439598E-3</v>
      </c>
      <c r="BI43" s="343">
        <v>2.8335805212981853E-2</v>
      </c>
      <c r="BJ43" s="36">
        <v>3.4567492477239119</v>
      </c>
      <c r="BK43" s="72">
        <v>0.94445119261974786</v>
      </c>
      <c r="BL43" s="72">
        <v>0.11136429422214218</v>
      </c>
      <c r="BM43" s="72">
        <v>0.23998903163637267</v>
      </c>
      <c r="BN43" s="36">
        <v>27.864355912541967</v>
      </c>
      <c r="BO43" s="130">
        <v>43.131202145632699</v>
      </c>
      <c r="BP43" s="130">
        <v>14.18873506709212</v>
      </c>
      <c r="BQ43" s="130">
        <v>11.922912723331267</v>
      </c>
      <c r="BR43" s="36">
        <v>36.271357618841428</v>
      </c>
      <c r="BS43" s="130">
        <v>159.80691809667346</v>
      </c>
      <c r="BT43" s="72">
        <v>3.2165894718856829</v>
      </c>
      <c r="BU43" s="72">
        <v>1.0974955560582451</v>
      </c>
      <c r="BV43" s="130">
        <v>2.0027347512771594</v>
      </c>
      <c r="BW43" s="130">
        <v>99.063237901695089</v>
      </c>
      <c r="BX43" s="130">
        <v>20.109669077393104</v>
      </c>
      <c r="BY43" s="130">
        <v>6.8694045571771714</v>
      </c>
      <c r="BZ43" s="130">
        <v>20.342159088368831</v>
      </c>
      <c r="CA43" s="72">
        <v>8.6911728209078163</v>
      </c>
      <c r="CB43" s="342">
        <v>2.333602015130793E-2</v>
      </c>
      <c r="CC43" s="343">
        <v>3.2046561288368636E-2</v>
      </c>
      <c r="CD43" s="130">
        <v>0.36657001871964001</v>
      </c>
      <c r="CE43" s="72">
        <v>2.4665281318023009</v>
      </c>
      <c r="CF43" s="72">
        <v>0.1111740625867243</v>
      </c>
      <c r="CG43" s="72">
        <v>4.6602909683081908E-2</v>
      </c>
      <c r="CH43" s="36">
        <v>5.0726182063310956</v>
      </c>
      <c r="CI43" s="130">
        <v>20.048593749999998</v>
      </c>
      <c r="CJ43" s="130">
        <v>9.601906596700859</v>
      </c>
      <c r="CK43" s="72">
        <v>0.85697554883186589</v>
      </c>
      <c r="CL43" s="36">
        <v>47.225128697938416</v>
      </c>
    </row>
    <row r="44" spans="1:101" s="53" customFormat="1">
      <c r="B44" s="47" t="s">
        <v>701</v>
      </c>
      <c r="C44" s="36">
        <v>75876.139045210017</v>
      </c>
      <c r="D44" s="36">
        <v>1215.6759237945805</v>
      </c>
      <c r="E44" s="36">
        <v>371.40780272055662</v>
      </c>
      <c r="F44" s="72">
        <v>1.6021625263499846</v>
      </c>
      <c r="G44" s="72">
        <v>99.246141670314913</v>
      </c>
      <c r="H44" s="72">
        <v>2.4887482990126113</v>
      </c>
      <c r="I44" s="72">
        <v>2.4765729052894976</v>
      </c>
      <c r="J44" s="36">
        <v>2.4794013132688795</v>
      </c>
      <c r="K44" s="36">
        <v>517.33023634511699</v>
      </c>
      <c r="L44" s="36">
        <v>114.64890121265883</v>
      </c>
      <c r="M44" s="72">
        <v>36.180592100573364</v>
      </c>
      <c r="N44" s="72">
        <v>22.149093001175277</v>
      </c>
      <c r="O44" s="72">
        <v>0.25616093510569315</v>
      </c>
      <c r="P44" s="72">
        <v>0.11885173172243452</v>
      </c>
      <c r="Q44" s="72">
        <v>4.9309910129945386E-2</v>
      </c>
      <c r="R44" s="36">
        <v>50.506437411587193</v>
      </c>
      <c r="S44" s="72">
        <v>53.507457295774159</v>
      </c>
      <c r="T44" s="72">
        <v>17.533446455371816</v>
      </c>
      <c r="U44" s="72">
        <v>8.471323603687356</v>
      </c>
      <c r="V44" s="72">
        <v>32.763378110821613</v>
      </c>
      <c r="W44" s="36">
        <v>249.49622010977095</v>
      </c>
      <c r="X44" s="72">
        <v>0.75240748620684372</v>
      </c>
      <c r="Y44" s="72">
        <v>0.18835331284812651</v>
      </c>
      <c r="Z44" s="130">
        <v>0.33435839102445336</v>
      </c>
      <c r="AA44" s="72">
        <v>64.593753536164996</v>
      </c>
      <c r="AB44" s="72">
        <v>10.255948469445887</v>
      </c>
      <c r="AC44" s="72">
        <v>10.072781444658894</v>
      </c>
      <c r="AD44" s="72">
        <v>15.863778765033423</v>
      </c>
      <c r="AE44" s="36">
        <v>60241.488442316979</v>
      </c>
      <c r="AF44" s="36">
        <v>246.86811855482253</v>
      </c>
      <c r="AG44" s="130">
        <v>103.1503655704291</v>
      </c>
      <c r="AH44" s="343">
        <v>0.41196271783561544</v>
      </c>
      <c r="AI44" s="343">
        <v>14.292711449842107</v>
      </c>
      <c r="AJ44" s="343">
        <v>-0.14976539600832003</v>
      </c>
      <c r="AK44" s="343">
        <v>-0.38875978208457385</v>
      </c>
      <c r="AL44" s="343" t="e">
        <v>#NUM!</v>
      </c>
      <c r="AM44" s="36">
        <v>3813.4426520572642</v>
      </c>
      <c r="AN44" s="36">
        <v>585.70868301035989</v>
      </c>
      <c r="AO44" s="36">
        <v>938.66832206416962</v>
      </c>
      <c r="AP44" s="36">
        <v>32.26511424268471</v>
      </c>
      <c r="AQ44" s="36">
        <v>2378.6715930491055</v>
      </c>
      <c r="AR44" s="36">
        <v>1037.7141073920459</v>
      </c>
      <c r="AS44" s="36">
        <v>619.7852713888567</v>
      </c>
      <c r="AT44" s="36">
        <v>43.597819179817066</v>
      </c>
      <c r="AU44" s="72">
        <v>2.2290385353106354</v>
      </c>
      <c r="AV44" s="343">
        <v>8.8962571519554182E-3</v>
      </c>
      <c r="AW44" s="72">
        <v>0.12744134323736864</v>
      </c>
      <c r="AX44" s="130">
        <v>6.0281055798035572</v>
      </c>
      <c r="AY44" s="130">
        <v>76.293616547550016</v>
      </c>
      <c r="AZ44" s="130">
        <v>4.3077906293684451</v>
      </c>
      <c r="BA44" s="130">
        <v>3.1875552142717098</v>
      </c>
      <c r="BB44" s="36">
        <v>8.5903993021789695</v>
      </c>
      <c r="BC44" s="130">
        <v>37.75683583010931</v>
      </c>
      <c r="BD44" s="130">
        <v>9.0047665856195724</v>
      </c>
      <c r="BE44" s="130">
        <v>1.4779779297273548</v>
      </c>
      <c r="BF44" s="36">
        <v>24.742433760807092</v>
      </c>
      <c r="BG44" s="72">
        <v>1.5896760368728793</v>
      </c>
      <c r="BH44" s="343">
        <v>8.0733033549089499E-3</v>
      </c>
      <c r="BI44" s="343">
        <v>3.0033257162570555E-2</v>
      </c>
      <c r="BJ44" s="36">
        <v>4.0201751083828068</v>
      </c>
      <c r="BK44" s="72">
        <v>0.9928444236888595</v>
      </c>
      <c r="BL44" s="72">
        <v>0.11291207300262149</v>
      </c>
      <c r="BM44" s="72">
        <v>0.2450155948566563</v>
      </c>
      <c r="BN44" s="36">
        <v>28.759891752666398</v>
      </c>
      <c r="BO44" s="130">
        <v>44.524384697739009</v>
      </c>
      <c r="BP44" s="130">
        <v>14.952945425922142</v>
      </c>
      <c r="BQ44" s="130">
        <v>12.497441842947978</v>
      </c>
      <c r="BR44" s="36">
        <v>39.214787250830838</v>
      </c>
      <c r="BS44" s="130">
        <v>162.46485907606953</v>
      </c>
      <c r="BT44" s="72">
        <v>3.4675051677147382</v>
      </c>
      <c r="BU44" s="72">
        <v>1.1820832283742817</v>
      </c>
      <c r="BV44" s="130">
        <v>2.1318033867318014</v>
      </c>
      <c r="BW44" s="130">
        <v>101.88334308587226</v>
      </c>
      <c r="BX44" s="130">
        <v>20.667416333750982</v>
      </c>
      <c r="BY44" s="130">
        <v>7.295110498418623</v>
      </c>
      <c r="BZ44" s="130">
        <v>20.358232686409892</v>
      </c>
      <c r="CA44" s="72">
        <v>9.1254202514370171</v>
      </c>
      <c r="CB44" s="342">
        <v>2.3381844005328313E-2</v>
      </c>
      <c r="CC44" s="343">
        <v>3.4338310801299218E-2</v>
      </c>
      <c r="CD44" s="130">
        <v>0.37577288024743066</v>
      </c>
      <c r="CE44" s="72">
        <v>2.5722607321623703</v>
      </c>
      <c r="CF44" s="72">
        <v>0.11137501253122362</v>
      </c>
      <c r="CG44" s="72">
        <v>5.0794565794100077E-2</v>
      </c>
      <c r="CH44" s="36">
        <v>5.2819189284607324</v>
      </c>
      <c r="CI44" s="130">
        <v>20.923398749999997</v>
      </c>
      <c r="CJ44" s="130">
        <v>10.598416356697502</v>
      </c>
      <c r="CK44" s="72">
        <v>1.020092425781739</v>
      </c>
      <c r="CL44" s="36">
        <v>50.491255950197463</v>
      </c>
    </row>
    <row r="45" spans="1:101" s="53" customFormat="1">
      <c r="B45" s="47" t="s">
        <v>1150</v>
      </c>
      <c r="C45" s="36">
        <v>75043.567032333711</v>
      </c>
      <c r="D45" s="36">
        <v>1195.7762337261547</v>
      </c>
      <c r="E45" s="36">
        <v>305.96570978672167</v>
      </c>
      <c r="F45" s="72">
        <v>1.5934426907118311</v>
      </c>
      <c r="G45" s="72">
        <v>50.208329058593158</v>
      </c>
      <c r="H45" s="72">
        <v>0.85676481800273474</v>
      </c>
      <c r="I45" s="72">
        <v>1.0123100568707055</v>
      </c>
      <c r="J45" s="36">
        <v>2.0235507632922625</v>
      </c>
      <c r="K45" s="36">
        <v>500.07324074508807</v>
      </c>
      <c r="L45" s="36">
        <v>102.16650372914984</v>
      </c>
      <c r="M45" s="72">
        <v>35.029915829880565</v>
      </c>
      <c r="N45" s="72">
        <v>20.430308083857089</v>
      </c>
      <c r="O45" s="72">
        <v>0.17541801998850179</v>
      </c>
      <c r="P45" s="72">
        <v>8.5010228703611246E-2</v>
      </c>
      <c r="Q45" s="72">
        <v>3.869912649845058E-2</v>
      </c>
      <c r="R45" s="36">
        <v>48.461514221391532</v>
      </c>
      <c r="S45" s="72">
        <v>50.890328905599461</v>
      </c>
      <c r="T45" s="72">
        <v>16.449728279387767</v>
      </c>
      <c r="U45" s="72">
        <v>8.2621531370506993</v>
      </c>
      <c r="V45" s="72">
        <v>32.323878884535574</v>
      </c>
      <c r="W45" s="36">
        <v>162.08719838013869</v>
      </c>
      <c r="X45" s="72">
        <v>0.51543196015970039</v>
      </c>
      <c r="Y45" s="72">
        <v>0.16662820873722994</v>
      </c>
      <c r="Z45" s="130">
        <v>0.31799671122137096</v>
      </c>
      <c r="AA45" s="72">
        <v>54.434927047194407</v>
      </c>
      <c r="AB45" s="72">
        <v>8.4063947468991298</v>
      </c>
      <c r="AC45" s="72">
        <v>8.2727693726200595</v>
      </c>
      <c r="AD45" s="72">
        <v>15.443016465533036</v>
      </c>
      <c r="AE45" s="36">
        <v>60083.178638723199</v>
      </c>
      <c r="AF45" s="36">
        <v>244.06405376087065</v>
      </c>
      <c r="AG45" s="130">
        <v>78.407346547492494</v>
      </c>
      <c r="AH45" s="343">
        <v>0.40621028928648095</v>
      </c>
      <c r="AI45" s="343">
        <v>13.857076308575746</v>
      </c>
      <c r="AJ45" s="343" t="e">
        <v>#NUM!</v>
      </c>
      <c r="AK45" s="343" t="e">
        <v>#NUM!</v>
      </c>
      <c r="AL45" s="343" t="e">
        <v>#NUM!</v>
      </c>
      <c r="AM45" s="36">
        <v>3335.3099467445682</v>
      </c>
      <c r="AN45" s="36">
        <v>511.36754489142629</v>
      </c>
      <c r="AO45" s="36">
        <v>838.64121560730837</v>
      </c>
      <c r="AP45" s="36">
        <v>25.144326284454156</v>
      </c>
      <c r="AQ45" s="36">
        <v>2172.6983951552138</v>
      </c>
      <c r="AR45" s="36">
        <v>915.01015501895893</v>
      </c>
      <c r="AS45" s="36">
        <v>546.08559177987081</v>
      </c>
      <c r="AT45" s="36">
        <v>42.113997831419773</v>
      </c>
      <c r="AU45" s="72">
        <v>1.9779516388543512</v>
      </c>
      <c r="AV45" s="343">
        <v>7.6286316576184886E-3</v>
      </c>
      <c r="AW45" s="72">
        <v>0.11614786347168148</v>
      </c>
      <c r="AX45" s="130">
        <v>5.8721285793901137</v>
      </c>
      <c r="AY45" s="130">
        <v>58.801536237083383</v>
      </c>
      <c r="AZ45" s="130">
        <v>4.0990133903145862</v>
      </c>
      <c r="BA45" s="130">
        <v>3.0117249970946407</v>
      </c>
      <c r="BB45" s="36">
        <v>6.9709290821717174</v>
      </c>
      <c r="BC45" s="130">
        <v>26.365948505295556</v>
      </c>
      <c r="BD45" s="130">
        <v>6.4079237862551599</v>
      </c>
      <c r="BE45" s="130">
        <v>0.88279255534370471</v>
      </c>
      <c r="BF45" s="36">
        <v>24.303786321088126</v>
      </c>
      <c r="BG45" s="72">
        <v>1.0939115913159643</v>
      </c>
      <c r="BH45" s="343">
        <v>5.6849363047566347E-3</v>
      </c>
      <c r="BI45" s="343">
        <v>2.5868221656749932E-2</v>
      </c>
      <c r="BJ45" s="36">
        <v>2.3647451825271122</v>
      </c>
      <c r="BK45" s="72">
        <v>0.87564134463467225</v>
      </c>
      <c r="BL45" s="72">
        <v>0.10936113722005883</v>
      </c>
      <c r="BM45" s="72">
        <v>0.23336773394806315</v>
      </c>
      <c r="BN45" s="36">
        <v>26.651063860561187</v>
      </c>
      <c r="BO45" s="130">
        <v>41.242917743118518</v>
      </c>
      <c r="BP45" s="130">
        <v>13.094833909185994</v>
      </c>
      <c r="BQ45" s="130">
        <v>11.112309797939544</v>
      </c>
      <c r="BR45" s="36">
        <v>31.750503179108605</v>
      </c>
      <c r="BS45" s="130">
        <v>156.34334694034757</v>
      </c>
      <c r="BT45" s="72">
        <v>2.8343600731464207</v>
      </c>
      <c r="BU45" s="72">
        <v>0.96895335212236522</v>
      </c>
      <c r="BV45" s="130">
        <v>1.8129073789291872</v>
      </c>
      <c r="BW45" s="130">
        <v>95.277613166941961</v>
      </c>
      <c r="BX45" s="130">
        <v>19.362342617373333</v>
      </c>
      <c r="BY45" s="130">
        <v>6.2472680733300674</v>
      </c>
      <c r="BZ45" s="130">
        <v>20.322027361713339</v>
      </c>
      <c r="CA45" s="72">
        <v>8.0757204365017792</v>
      </c>
      <c r="CB45" s="342">
        <v>2.3278458445904163E-2</v>
      </c>
      <c r="CC45" s="343">
        <v>2.8613913912582147E-2</v>
      </c>
      <c r="CD45" s="130">
        <v>0.35432026328262856</v>
      </c>
      <c r="CE45" s="72">
        <v>2.3193483104321011</v>
      </c>
      <c r="CF45" s="72">
        <v>0.1109217375107087</v>
      </c>
      <c r="CG45" s="72">
        <v>4.0013916045562675E-2</v>
      </c>
      <c r="CH45" s="36">
        <v>4.782452769676655</v>
      </c>
      <c r="CI45" s="130">
        <v>18.828497509294255</v>
      </c>
      <c r="CJ45" s="130">
        <v>7.9762641690365248</v>
      </c>
      <c r="CK45" s="72">
        <v>0.5101159665259668</v>
      </c>
      <c r="CL45" s="36">
        <v>42.362722596952977</v>
      </c>
    </row>
    <row r="46" spans="1:101" s="53" customFormat="1">
      <c r="B46" s="47" t="s">
        <v>1151</v>
      </c>
      <c r="C46" s="36">
        <v>75049.191880010098</v>
      </c>
      <c r="D46" s="36">
        <v>1195.976544260335</v>
      </c>
      <c r="E46" s="36">
        <v>312.81526847888438</v>
      </c>
      <c r="F46" s="72">
        <v>1.5934719485245847</v>
      </c>
      <c r="G46" s="72">
        <v>63.807359488033846</v>
      </c>
      <c r="H46" s="72">
        <v>1.4433488384756394</v>
      </c>
      <c r="I46" s="72">
        <v>1.491164909030148</v>
      </c>
      <c r="J46" s="36">
        <v>2.0732587542929197</v>
      </c>
      <c r="K46" s="36">
        <v>500.42585264556203</v>
      </c>
      <c r="L46" s="36">
        <v>102.9851832185866</v>
      </c>
      <c r="M46" s="72">
        <v>35.052340140520478</v>
      </c>
      <c r="N46" s="72">
        <v>20.511202889605769</v>
      </c>
      <c r="O46" s="72">
        <v>0.19013899152816216</v>
      </c>
      <c r="P46" s="72">
        <v>9.0614991308837184E-2</v>
      </c>
      <c r="Q46" s="72">
        <v>4.0044940730692501E-2</v>
      </c>
      <c r="R46" s="36">
        <v>48.512147690871601</v>
      </c>
      <c r="S46" s="72">
        <v>50.968462886128648</v>
      </c>
      <c r="T46" s="72">
        <v>16.490495943941813</v>
      </c>
      <c r="U46" s="72">
        <v>8.2653230349935747</v>
      </c>
      <c r="V46" s="72">
        <v>32.327506771684938</v>
      </c>
      <c r="W46" s="36">
        <v>179.68943587791077</v>
      </c>
      <c r="X46" s="72">
        <v>0.5586051213717862</v>
      </c>
      <c r="Y46" s="72">
        <v>0.16813564373222467</v>
      </c>
      <c r="Z46" s="130">
        <v>0.3184854147801327</v>
      </c>
      <c r="AA46" s="72">
        <v>55.387665216436105</v>
      </c>
      <c r="AB46" s="72">
        <v>8.6043622267172246</v>
      </c>
      <c r="AC46" s="72">
        <v>8.4637463320628505</v>
      </c>
      <c r="AD46" s="72">
        <v>15.449863148421128</v>
      </c>
      <c r="AE46" s="36">
        <v>60083.435286496649</v>
      </c>
      <c r="AF46" s="36">
        <v>244.08366226789423</v>
      </c>
      <c r="AG46" s="130">
        <v>81.888929444781496</v>
      </c>
      <c r="AH46" s="343">
        <v>0.40625971073518435</v>
      </c>
      <c r="AI46" s="343">
        <v>13.865214933234604</v>
      </c>
      <c r="AJ46" s="343">
        <v>-0.1499002163228009</v>
      </c>
      <c r="AK46" s="343">
        <v>-0.38925895041384467</v>
      </c>
      <c r="AL46" s="343" t="e">
        <v>#DIV/0!</v>
      </c>
      <c r="AM46" s="36">
        <v>3371.2967557964566</v>
      </c>
      <c r="AN46" s="36">
        <v>517.02992307814668</v>
      </c>
      <c r="AO46" s="36">
        <v>845.06552157204521</v>
      </c>
      <c r="AP46" s="36">
        <v>26.069618450646029</v>
      </c>
      <c r="AQ46" s="36">
        <v>2183.4944659647754</v>
      </c>
      <c r="AR46" s="36">
        <v>923.73302605318304</v>
      </c>
      <c r="AS46" s="36">
        <v>551.35362477100625</v>
      </c>
      <c r="AT46" s="36">
        <v>42.144926835753886</v>
      </c>
      <c r="AU46" s="72">
        <v>1.9949759083626961</v>
      </c>
      <c r="AV46" s="343">
        <v>7.7366705769194785E-3</v>
      </c>
      <c r="AW46" s="72">
        <v>0.1167533888388792</v>
      </c>
      <c r="AX46" s="130">
        <v>5.8746049640630922</v>
      </c>
      <c r="AY46" s="130">
        <v>61.158895615090955</v>
      </c>
      <c r="AZ46" s="130">
        <v>4.1051901337520107</v>
      </c>
      <c r="BA46" s="130">
        <v>3.0176368582684194</v>
      </c>
      <c r="BB46" s="36">
        <v>7.151835349625709</v>
      </c>
      <c r="BC46" s="130">
        <v>28.35858153283634</v>
      </c>
      <c r="BD46" s="130">
        <v>6.8432241365317621</v>
      </c>
      <c r="BE46" s="130">
        <v>1.0193269054902638</v>
      </c>
      <c r="BF46" s="36">
        <v>24.308566908658094</v>
      </c>
      <c r="BG46" s="72">
        <v>1.1833955657223574</v>
      </c>
      <c r="BH46" s="343">
        <v>6.0950693795377223E-3</v>
      </c>
      <c r="BI46" s="343">
        <v>2.6213990275995976E-2</v>
      </c>
      <c r="BJ46" s="36">
        <v>2.7524669219002944</v>
      </c>
      <c r="BK46" s="72">
        <v>0.88395965378335828</v>
      </c>
      <c r="BL46" s="72">
        <v>0.10942957074654305</v>
      </c>
      <c r="BM46" s="72">
        <v>0.2337058276110181</v>
      </c>
      <c r="BN46" s="36">
        <v>26.744936112386426</v>
      </c>
      <c r="BO46" s="130">
        <v>41.389723955499804</v>
      </c>
      <c r="BP46" s="130">
        <v>13.233472118554591</v>
      </c>
      <c r="BQ46" s="130">
        <v>11.204751323810378</v>
      </c>
      <c r="BR46" s="36">
        <v>32.592070578854667</v>
      </c>
      <c r="BS46" s="130">
        <v>156.48449187242835</v>
      </c>
      <c r="BT46" s="72">
        <v>2.9029448520993641</v>
      </c>
      <c r="BU46" s="72">
        <v>0.99176096566319893</v>
      </c>
      <c r="BV46" s="130">
        <v>1.8413989569588569</v>
      </c>
      <c r="BW46" s="130">
        <v>95.538106421473643</v>
      </c>
      <c r="BX46" s="130">
        <v>19.412485006945758</v>
      </c>
      <c r="BY46" s="130">
        <v>6.3372721306253572</v>
      </c>
      <c r="BZ46" s="130">
        <v>20.322067090817509</v>
      </c>
      <c r="CA46" s="72">
        <v>8.148363532746318</v>
      </c>
      <c r="CB46" s="342">
        <v>2.3278740333782452E-2</v>
      </c>
      <c r="CC46" s="343">
        <v>2.9181874397205397E-2</v>
      </c>
      <c r="CD46" s="130">
        <v>0.35506644180990166</v>
      </c>
      <c r="CE46" s="72">
        <v>2.3343623813522143</v>
      </c>
      <c r="CF46" s="72">
        <v>0.11092287515610014</v>
      </c>
      <c r="CG46" s="72">
        <v>4.1363339544309194E-2</v>
      </c>
      <c r="CH46" s="36">
        <v>4.8109923036690496</v>
      </c>
      <c r="CI46" s="130">
        <v>18.955087499999998</v>
      </c>
      <c r="CJ46" s="130">
        <v>8.3562693967050556</v>
      </c>
      <c r="CK46" s="72">
        <v>0.65307945264452449</v>
      </c>
      <c r="CL46" s="36">
        <v>43.142469632614599</v>
      </c>
    </row>
    <row r="47" spans="1:101" s="53" customFormat="1">
      <c r="B47" s="47"/>
      <c r="J47" s="36"/>
      <c r="M47" s="72"/>
      <c r="N47" s="72"/>
      <c r="O47" s="72"/>
      <c r="P47" s="72"/>
      <c r="Q47" s="72"/>
      <c r="R47" s="36"/>
      <c r="S47" s="72"/>
      <c r="T47" s="72"/>
      <c r="U47" s="72"/>
      <c r="V47" s="72"/>
      <c r="Z47" s="130"/>
      <c r="AY47" s="130"/>
      <c r="AZ47" s="130"/>
      <c r="BA47" s="130"/>
      <c r="BF47" s="36"/>
      <c r="CD47" s="130"/>
    </row>
    <row r="48" spans="1:101" s="53" customFormat="1">
      <c r="A48" s="17" t="s">
        <v>1153</v>
      </c>
      <c r="B48" s="43"/>
      <c r="C48" s="165"/>
      <c r="D48" s="166"/>
      <c r="E48" s="166"/>
      <c r="F48" s="166"/>
      <c r="G48" s="165"/>
      <c r="H48" s="116"/>
      <c r="I48" s="154"/>
      <c r="J48" s="293"/>
      <c r="K48" s="165"/>
      <c r="R48" s="36"/>
      <c r="Z48" s="130"/>
      <c r="BF48" s="36"/>
      <c r="CD48" s="130"/>
    </row>
    <row r="49" spans="1:90" s="53" customFormat="1">
      <c r="B49" s="43" t="s">
        <v>880</v>
      </c>
      <c r="C49" s="55">
        <v>43282.458486143827</v>
      </c>
      <c r="D49" s="344">
        <v>139.3890915687027</v>
      </c>
      <c r="E49" s="344">
        <v>35.17737493771935</v>
      </c>
      <c r="F49" s="346">
        <v>0.11183443222247021</v>
      </c>
      <c r="G49" s="55">
        <v>95.858783473345241</v>
      </c>
      <c r="H49" s="345">
        <v>5.8745570333353498</v>
      </c>
      <c r="I49" s="258">
        <v>5.5033843224258936</v>
      </c>
      <c r="J49" s="293">
        <v>1.2751170774405074</v>
      </c>
      <c r="K49" s="55">
        <v>354.38003920360177</v>
      </c>
      <c r="L49" s="72">
        <v>3.0678803129051788</v>
      </c>
      <c r="M49" s="72">
        <v>1.8749241659504676</v>
      </c>
      <c r="N49" s="72">
        <v>0.76424865734205571</v>
      </c>
      <c r="O49" s="72">
        <v>0.12388898038316966</v>
      </c>
      <c r="P49" s="72">
        <v>1.4014600108013952E-2</v>
      </c>
      <c r="Q49" s="72">
        <v>9.1074593700026692E-3</v>
      </c>
      <c r="R49" s="36">
        <v>2.2294098206251309</v>
      </c>
      <c r="S49" s="72">
        <v>7.8891814298595593</v>
      </c>
      <c r="T49" s="72">
        <v>1.2024096494806751</v>
      </c>
      <c r="U49" s="72">
        <v>1.0064994528933178</v>
      </c>
      <c r="V49" s="72">
        <v>6.5493018049909839</v>
      </c>
      <c r="W49" s="72">
        <v>128.29289007260647</v>
      </c>
      <c r="X49" s="72">
        <v>0.1126308110329849</v>
      </c>
      <c r="Y49" s="72">
        <v>0.35934517457268372</v>
      </c>
      <c r="Z49" s="130">
        <v>4.4919047804806524E-2</v>
      </c>
      <c r="AA49" s="72">
        <v>18.234275126837382</v>
      </c>
      <c r="AB49" s="72">
        <v>2.032917471228223</v>
      </c>
      <c r="AC49" s="72">
        <v>2.6253538153835567</v>
      </c>
      <c r="AD49" s="72">
        <v>2.6437221630383587</v>
      </c>
      <c r="AE49" s="36">
        <v>16395.028574993969</v>
      </c>
      <c r="AF49" s="36">
        <v>17.70359343359867</v>
      </c>
      <c r="AG49" s="36">
        <v>13.966397175914075</v>
      </c>
      <c r="AH49" s="72">
        <v>3.6200750476505651E-2</v>
      </c>
      <c r="AI49" s="72">
        <v>17.397885928787186</v>
      </c>
      <c r="AJ49" s="72">
        <v>-0.14975552968568104</v>
      </c>
      <c r="AK49" s="72">
        <v>-0.38957882470451144</v>
      </c>
      <c r="AL49" s="72">
        <v>0.48644979597691096</v>
      </c>
      <c r="AM49" s="36">
        <v>1417.9416698450596</v>
      </c>
      <c r="AN49" s="36">
        <v>113.76461172222008</v>
      </c>
      <c r="AO49" s="36">
        <v>469.36720771898337</v>
      </c>
      <c r="AP49" s="72">
        <v>6.946552826806446</v>
      </c>
      <c r="AQ49" s="130">
        <v>219.90020951440852</v>
      </c>
      <c r="AR49" s="130">
        <v>58.832142705170604</v>
      </c>
      <c r="AS49" s="130">
        <v>43.017908940415012</v>
      </c>
      <c r="AT49" s="72">
        <v>7.8882893707723261</v>
      </c>
      <c r="AU49" s="72">
        <v>1.610649067559363</v>
      </c>
      <c r="AV49" s="72">
        <v>6.784620172976946E-3</v>
      </c>
      <c r="AW49" s="72">
        <v>5.2055099324414295E-2</v>
      </c>
      <c r="AX49" s="72">
        <v>1.1533276477692833</v>
      </c>
      <c r="AY49" s="72">
        <v>16.368949047677805</v>
      </c>
      <c r="AZ49" s="72">
        <v>0.49774452921444134</v>
      </c>
      <c r="BA49" s="72">
        <v>0.42930463043438161</v>
      </c>
      <c r="BB49" s="130">
        <v>0.39922345965392569</v>
      </c>
      <c r="BC49" s="72">
        <v>24.82878665742475</v>
      </c>
      <c r="BD49" s="72">
        <v>4.6764231959440581</v>
      </c>
      <c r="BE49" s="72">
        <v>0.81824279379286746</v>
      </c>
      <c r="BF49" s="36">
        <v>1.8178703110112369</v>
      </c>
      <c r="BG49" s="72">
        <v>0.83496394065241142</v>
      </c>
      <c r="BH49" s="72">
        <v>2.8347608032776965E-3</v>
      </c>
      <c r="BI49" s="72">
        <v>1.6593600124121557E-2</v>
      </c>
      <c r="BJ49" s="72">
        <v>0.19266428958262891</v>
      </c>
      <c r="BK49" s="72">
        <v>0.24750905252856295</v>
      </c>
      <c r="BL49" s="72">
        <v>7.782587182114091E-2</v>
      </c>
      <c r="BM49" s="72">
        <v>0.15093454051273891</v>
      </c>
      <c r="BN49" s="130">
        <v>24.402066269910371</v>
      </c>
      <c r="BO49" s="130">
        <v>64.965695001380411</v>
      </c>
      <c r="BP49" s="72">
        <v>1.3620333358408707</v>
      </c>
      <c r="BQ49" s="72">
        <v>2.6008394086080449</v>
      </c>
      <c r="BR49" s="72">
        <v>1.5797131745155271</v>
      </c>
      <c r="BS49" s="130">
        <v>32.697886949976855</v>
      </c>
      <c r="BT49" s="72">
        <v>0.63162993807833434</v>
      </c>
      <c r="BU49" s="72">
        <v>0.28657798043443888</v>
      </c>
      <c r="BV49" s="130">
        <v>0.35436856592747051</v>
      </c>
      <c r="BW49" s="130">
        <v>61.697806461934967</v>
      </c>
      <c r="BX49" s="72">
        <v>9.4303418166119553</v>
      </c>
      <c r="BY49" s="72">
        <v>8.062055209081409</v>
      </c>
      <c r="BZ49" s="36">
        <v>5.8694720495338295</v>
      </c>
      <c r="CA49" s="72">
        <v>3.53046319003648</v>
      </c>
      <c r="CB49" s="72">
        <v>6.6210579702157485E-3</v>
      </c>
      <c r="CC49" s="72">
        <v>7.06671324627211E-3</v>
      </c>
      <c r="CD49" s="130">
        <v>5.826560306371497E-2</v>
      </c>
      <c r="CE49" s="72">
        <v>1.13375519265418</v>
      </c>
      <c r="CF49" s="72">
        <v>4.7796376423741051E-2</v>
      </c>
      <c r="CG49" s="72">
        <v>4.9953501370380196E-2</v>
      </c>
      <c r="CH49" s="36">
        <v>0.83313043290679134</v>
      </c>
      <c r="CI49" s="72">
        <v>3.3985000000000001E-2</v>
      </c>
      <c r="CJ49" s="72">
        <v>2.4306858153078953E-2</v>
      </c>
      <c r="CK49" s="72">
        <v>-2.9218411852838355E-2</v>
      </c>
      <c r="CL49" s="36">
        <v>0.82939027286707268</v>
      </c>
    </row>
    <row r="50" spans="1:90" s="53" customFormat="1">
      <c r="B50" s="43" t="s">
        <v>881</v>
      </c>
      <c r="C50" s="55">
        <v>124638.79754977295</v>
      </c>
      <c r="D50" s="344">
        <v>1093.1536815395607</v>
      </c>
      <c r="E50" s="344">
        <v>527.98810244484912</v>
      </c>
      <c r="F50" s="346">
        <v>1.366242843762729</v>
      </c>
      <c r="G50" s="55">
        <v>5348.1686304467912</v>
      </c>
      <c r="H50" s="345">
        <v>254.18062981391995</v>
      </c>
      <c r="I50" s="258">
        <v>244.19411408722513</v>
      </c>
      <c r="J50" s="293">
        <v>6.128345072279</v>
      </c>
      <c r="K50" s="55">
        <v>507.55219552872285</v>
      </c>
      <c r="L50" s="72">
        <v>68.292212166521367</v>
      </c>
      <c r="M50" s="72">
        <v>33.816190309569443</v>
      </c>
      <c r="N50" s="72">
        <v>13.455209684470107</v>
      </c>
      <c r="O50" s="72">
        <v>0.95927187722801965</v>
      </c>
      <c r="P50" s="72">
        <v>0.20026619465146528</v>
      </c>
      <c r="Q50" s="72">
        <v>0.11438579467197951</v>
      </c>
      <c r="R50" s="36">
        <v>42.092762271521785</v>
      </c>
      <c r="S50" s="72">
        <v>67.946066082699048</v>
      </c>
      <c r="T50" s="72">
        <v>13.263793839245764</v>
      </c>
      <c r="U50" s="72">
        <v>7.2165267817770244</v>
      </c>
      <c r="V50" s="72">
        <v>29.649712986404126</v>
      </c>
      <c r="W50" s="72">
        <v>1005.0197695967014</v>
      </c>
      <c r="X50" s="72">
        <v>34.35130970000575</v>
      </c>
      <c r="Y50" s="72">
        <v>13.680127683787465</v>
      </c>
      <c r="Z50" s="130">
        <v>18.045942329795597</v>
      </c>
      <c r="AA50" s="72">
        <v>100.87957843543428</v>
      </c>
      <c r="AB50" s="72">
        <v>8.7392070883847328</v>
      </c>
      <c r="AC50" s="72">
        <v>8.8419373329340178</v>
      </c>
      <c r="AD50" s="72">
        <v>14.969844470873269</v>
      </c>
      <c r="AE50" s="36">
        <v>95772.178305627385</v>
      </c>
      <c r="AF50" s="36">
        <v>1382.7528802664274</v>
      </c>
      <c r="AG50" s="36">
        <v>511.18240337481603</v>
      </c>
      <c r="AH50" s="72">
        <v>8.4339766407936008</v>
      </c>
      <c r="AI50" s="72">
        <v>50.011077310696784</v>
      </c>
      <c r="AJ50" s="72">
        <v>0.24327878354373969</v>
      </c>
      <c r="AK50" s="72">
        <v>-0.38822163238221635</v>
      </c>
      <c r="AL50" s="72">
        <v>1.0280964066981575</v>
      </c>
      <c r="AM50" s="36">
        <v>11712.625923039659</v>
      </c>
      <c r="AN50" s="36">
        <v>630.4622362936492</v>
      </c>
      <c r="AO50" s="36">
        <v>999.78902867902696</v>
      </c>
      <c r="AP50" s="72">
        <v>33.102011013631596</v>
      </c>
      <c r="AQ50" s="130">
        <v>2297.9640433266113</v>
      </c>
      <c r="AR50" s="130">
        <v>567.91674200879447</v>
      </c>
      <c r="AS50" s="130">
        <v>321.55460781268357</v>
      </c>
      <c r="AT50" s="72">
        <v>32.659439784725755</v>
      </c>
      <c r="AU50" s="72">
        <v>4.5134701682645888</v>
      </c>
      <c r="AV50" s="72">
        <v>6.7429254513123413E-2</v>
      </c>
      <c r="AW50" s="72">
        <v>0.17234243125105703</v>
      </c>
      <c r="AX50" s="72">
        <v>8.7106571215700601</v>
      </c>
      <c r="AY50" s="72">
        <v>239.98456757153579</v>
      </c>
      <c r="AZ50" s="72">
        <v>12.234680303170325</v>
      </c>
      <c r="BA50" s="72">
        <v>9.8748536299720193</v>
      </c>
      <c r="BB50" s="36">
        <v>14.007308221931996</v>
      </c>
      <c r="BC50" s="72">
        <v>290.39741028858617</v>
      </c>
      <c r="BD50" s="72">
        <v>31.335269183684666</v>
      </c>
      <c r="BE50" s="72">
        <v>10.374777239859169</v>
      </c>
      <c r="BF50" s="36">
        <v>29.587904110266944</v>
      </c>
      <c r="BG50" s="72">
        <v>8.6127014819759715</v>
      </c>
      <c r="BH50" s="72">
        <v>3.4149160027126695E-2</v>
      </c>
      <c r="BI50" s="72">
        <v>9.3998944065560489E-2</v>
      </c>
      <c r="BJ50" s="72">
        <v>3.5570767566527461</v>
      </c>
      <c r="BK50" s="72">
        <v>0.8886378196020196</v>
      </c>
      <c r="BL50" s="72">
        <v>0.1003561817325789</v>
      </c>
      <c r="BM50" s="72">
        <v>0.21684598963877141</v>
      </c>
      <c r="BN50" s="130">
        <v>65.793465969946183</v>
      </c>
      <c r="BO50" s="130">
        <v>303.77095891293834</v>
      </c>
      <c r="BP50" s="72">
        <v>17.786871901746654</v>
      </c>
      <c r="BQ50" s="72">
        <v>16.078037567724813</v>
      </c>
      <c r="BR50" s="72">
        <v>16.485112066956976</v>
      </c>
      <c r="BS50" s="130">
        <v>225.55527837058887</v>
      </c>
      <c r="BT50" s="72">
        <v>5.7112577842256451</v>
      </c>
      <c r="BU50" s="72">
        <v>2.3784532158063509</v>
      </c>
      <c r="BV50" s="130">
        <v>3.2674376916868559</v>
      </c>
      <c r="BW50" s="130">
        <v>173.89556189839783</v>
      </c>
      <c r="BX50" s="72">
        <v>47.254277064245898</v>
      </c>
      <c r="BY50" s="72">
        <v>21.550851152837602</v>
      </c>
      <c r="BZ50" s="36">
        <v>32.523386183200081</v>
      </c>
      <c r="CA50" s="72">
        <v>13.541667892638836</v>
      </c>
      <c r="CB50" s="72">
        <v>0.19749763961964459</v>
      </c>
      <c r="CC50" s="72">
        <v>6.968483945097842E-2</v>
      </c>
      <c r="CD50" s="130">
        <v>1.8954410224327509</v>
      </c>
      <c r="CE50" s="72">
        <v>5.9958800443878255</v>
      </c>
      <c r="CF50" s="72">
        <v>0.25952185849209702</v>
      </c>
      <c r="CG50" s="72">
        <v>0.12505612061661353</v>
      </c>
      <c r="CH50" s="36">
        <v>7.5476353708911468</v>
      </c>
      <c r="CI50" s="72">
        <v>88.313275000000004</v>
      </c>
      <c r="CJ50" s="72">
        <v>10.063927139007514</v>
      </c>
      <c r="CK50" s="72">
        <v>4.7668617025310072</v>
      </c>
      <c r="CL50" s="36">
        <v>71.522313235483153</v>
      </c>
    </row>
    <row r="51" spans="1:90" s="53" customFormat="1">
      <c r="B51" s="47" t="s">
        <v>699</v>
      </c>
      <c r="C51" s="55">
        <v>80011.667510655607</v>
      </c>
      <c r="D51" s="55">
        <v>558.86500897922099</v>
      </c>
      <c r="E51" s="55">
        <v>229.91838884520425</v>
      </c>
      <c r="F51" s="72">
        <v>0.69423106048984196</v>
      </c>
      <c r="G51" s="55">
        <v>847.14286756759645</v>
      </c>
      <c r="H51" s="284">
        <v>11.460256758069169</v>
      </c>
      <c r="I51" s="284">
        <v>13.689355582865236</v>
      </c>
      <c r="J51" s="36">
        <v>1.615944146725985</v>
      </c>
      <c r="K51" s="55">
        <v>401.42436410353861</v>
      </c>
      <c r="L51" s="72">
        <v>7.1813642598575296</v>
      </c>
      <c r="M51" s="72">
        <v>3.3376673146534261</v>
      </c>
      <c r="N51" s="72">
        <v>2.0264584529072827</v>
      </c>
      <c r="O51" s="72">
        <v>0.21911955107939865</v>
      </c>
      <c r="P51" s="72">
        <v>1.6784400142143135E-2</v>
      </c>
      <c r="Q51" s="72">
        <v>1.4753174169736309E-2</v>
      </c>
      <c r="R51" s="36">
        <v>7.1548168853004288</v>
      </c>
      <c r="S51" s="72">
        <v>31.355025720276195</v>
      </c>
      <c r="T51" s="72">
        <v>3.5765612880130879</v>
      </c>
      <c r="U51" s="72">
        <v>2.8333727101804169</v>
      </c>
      <c r="V51" s="72">
        <v>15.241247272241779</v>
      </c>
      <c r="W51" s="72">
        <v>190.35475716493016</v>
      </c>
      <c r="X51" s="72">
        <v>1.0626193810295073</v>
      </c>
      <c r="Y51" s="72">
        <v>1.0122369268866287</v>
      </c>
      <c r="Z51" s="130">
        <v>0.24021883463876434</v>
      </c>
      <c r="AA51" s="72">
        <v>27.76105878508492</v>
      </c>
      <c r="AB51" s="72">
        <v>2.1840093343277074</v>
      </c>
      <c r="AC51" s="72">
        <v>2.6669757730772408</v>
      </c>
      <c r="AD51" s="72">
        <v>12.282387663173475</v>
      </c>
      <c r="AE51" s="36">
        <v>48903.940389546151</v>
      </c>
      <c r="AF51" s="36">
        <v>220.60166947975321</v>
      </c>
      <c r="AG51" s="36">
        <v>105.66173697599285</v>
      </c>
      <c r="AH51" s="72">
        <v>0.23034003547018736</v>
      </c>
      <c r="AI51" s="72">
        <v>19.718265163665418</v>
      </c>
      <c r="AJ51" s="72">
        <v>-0.14950166112956811</v>
      </c>
      <c r="AK51" s="72">
        <v>-0.38935108153078207</v>
      </c>
      <c r="AL51" s="72">
        <v>0.70161656013084239</v>
      </c>
      <c r="AM51" s="36">
        <v>3398.310958514629</v>
      </c>
      <c r="AN51" s="36">
        <v>212.48409559497918</v>
      </c>
      <c r="AO51" s="36">
        <v>584.62122241953398</v>
      </c>
      <c r="AP51" s="72">
        <v>9.29693075367903</v>
      </c>
      <c r="AQ51" s="130">
        <v>745.81623391194728</v>
      </c>
      <c r="AR51" s="130">
        <v>71.818176512844033</v>
      </c>
      <c r="AS51" s="130">
        <v>58.331573227243183</v>
      </c>
      <c r="AT51" s="72">
        <v>22.751682832836298</v>
      </c>
      <c r="AU51" s="72">
        <v>1.9785238799526184</v>
      </c>
      <c r="AV51" s="72">
        <v>1.19460946875062E-2</v>
      </c>
      <c r="AW51" s="72">
        <v>6.9392437068967402E-2</v>
      </c>
      <c r="AX51" s="72">
        <v>2.2838095891096972</v>
      </c>
      <c r="AY51" s="72">
        <v>81.825439792567892</v>
      </c>
      <c r="AZ51" s="72">
        <v>2.2928491457992326</v>
      </c>
      <c r="BA51" s="72">
        <v>2.2766886367512806</v>
      </c>
      <c r="BB51" s="36">
        <v>4.6107170861907791</v>
      </c>
      <c r="BC51" s="72">
        <v>63.857570770902306</v>
      </c>
      <c r="BD51" s="72">
        <v>5.279048305581699</v>
      </c>
      <c r="BE51" s="72">
        <v>1.2339979922280058</v>
      </c>
      <c r="BF51" s="36">
        <v>7.5236302745209924</v>
      </c>
      <c r="BG51" s="72">
        <v>2.6425897020567719</v>
      </c>
      <c r="BH51" s="72">
        <v>4.6863190035513098E-3</v>
      </c>
      <c r="BI51" s="72">
        <v>2.6193549173510685E-2</v>
      </c>
      <c r="BJ51" s="72">
        <v>1.09922561680731</v>
      </c>
      <c r="BK51" s="72">
        <v>0.25882482761062731</v>
      </c>
      <c r="BL51" s="72">
        <v>8.1033808899669157E-2</v>
      </c>
      <c r="BM51" s="72">
        <v>0.16216907178534756</v>
      </c>
      <c r="BN51" s="130">
        <v>24.982391984850508</v>
      </c>
      <c r="BO51" s="130">
        <v>107.89657861895247</v>
      </c>
      <c r="BP51" s="72">
        <v>5.4530829436838619</v>
      </c>
      <c r="BQ51" s="72">
        <v>5.9522021642890577</v>
      </c>
      <c r="BR51" s="72">
        <v>4.5077712849609428</v>
      </c>
      <c r="BS51" s="130">
        <v>105.33566705474026</v>
      </c>
      <c r="BT51" s="72">
        <v>0.65435532624018433</v>
      </c>
      <c r="BU51" s="72">
        <v>0.41552497617377276</v>
      </c>
      <c r="BV51" s="130">
        <v>0.95209803386603564</v>
      </c>
      <c r="BW51" s="130">
        <v>122.06678504614395</v>
      </c>
      <c r="BX51" s="72">
        <v>10.429150705459881</v>
      </c>
      <c r="BY51" s="72">
        <v>9.903136642903311</v>
      </c>
      <c r="BZ51" s="36">
        <v>11.695620735017268</v>
      </c>
      <c r="CA51" s="72">
        <v>7.7575305524927378</v>
      </c>
      <c r="CB51" s="72">
        <v>3.0354913185264128E-2</v>
      </c>
      <c r="CC51" s="72">
        <v>2.0520085647210654E-2</v>
      </c>
      <c r="CD51" s="130">
        <v>0.50038817937274349</v>
      </c>
      <c r="CE51" s="72">
        <v>1.9100544621487934</v>
      </c>
      <c r="CF51" s="72">
        <v>7.7968031660267612E-2</v>
      </c>
      <c r="CG51" s="72">
        <v>6.4694436544364395E-2</v>
      </c>
      <c r="CH51" s="36">
        <v>4.1377348663716536</v>
      </c>
      <c r="CI51" s="72">
        <v>4.1999950000000004</v>
      </c>
      <c r="CJ51" s="72">
        <v>3.4834349990903409E-2</v>
      </c>
      <c r="CK51" s="72">
        <v>-2.9201331114808649E-2</v>
      </c>
      <c r="CL51" s="36">
        <v>2.4247392383271964</v>
      </c>
    </row>
    <row r="52" spans="1:90" s="53" customFormat="1">
      <c r="B52" s="47" t="s">
        <v>700</v>
      </c>
      <c r="C52" s="55">
        <v>85795.331525819507</v>
      </c>
      <c r="D52" s="55">
        <v>595.6178399024725</v>
      </c>
      <c r="E52" s="55">
        <v>256.58331590510397</v>
      </c>
      <c r="F52" s="72">
        <v>0.70401169024656729</v>
      </c>
      <c r="G52" s="55">
        <v>1662.2146913751978</v>
      </c>
      <c r="H52" s="284">
        <v>19.901208605042005</v>
      </c>
      <c r="I52" s="284">
        <v>21.195183393450172</v>
      </c>
      <c r="J52" s="36">
        <v>1.7561108064997513</v>
      </c>
      <c r="K52" s="55">
        <v>444.43373216925801</v>
      </c>
      <c r="L52" s="72">
        <v>14.907354752965423</v>
      </c>
      <c r="M52" s="72">
        <v>8.4667479213749495</v>
      </c>
      <c r="N52" s="72">
        <v>3.3542356652820655</v>
      </c>
      <c r="O52" s="72">
        <v>0.75286293201295562</v>
      </c>
      <c r="P52" s="72">
        <v>5.2148293993299864E-2</v>
      </c>
      <c r="Q52" s="72">
        <v>1.5677602639623311E-2</v>
      </c>
      <c r="R52" s="36">
        <v>19.677405775911389</v>
      </c>
      <c r="S52" s="72">
        <v>39.624478382086174</v>
      </c>
      <c r="T52" s="72">
        <v>6.3272541921738963</v>
      </c>
      <c r="U52" s="72">
        <v>3.7002651035726011</v>
      </c>
      <c r="V52" s="72">
        <v>15.968044124548991</v>
      </c>
      <c r="W52" s="72">
        <v>237.75408724017146</v>
      </c>
      <c r="X52" s="72">
        <v>2.4142467784143906</v>
      </c>
      <c r="Y52" s="72">
        <v>1.254383129028334</v>
      </c>
      <c r="Z52" s="130">
        <v>0.44694053143914358</v>
      </c>
      <c r="AA52" s="72">
        <v>63.779702255265207</v>
      </c>
      <c r="AB52" s="72">
        <v>3.8234361144552853</v>
      </c>
      <c r="AC52" s="72">
        <v>4.1557873235949128</v>
      </c>
      <c r="AD52" s="72">
        <v>13.332968526248123</v>
      </c>
      <c r="AE52" s="36">
        <v>50472.110786425845</v>
      </c>
      <c r="AF52" s="36">
        <v>265.75528883255754</v>
      </c>
      <c r="AG52" s="36">
        <v>151.89108545772129</v>
      </c>
      <c r="AH52" s="72">
        <v>0.52653888393356185</v>
      </c>
      <c r="AI52" s="72">
        <v>23.605961172963781</v>
      </c>
      <c r="AJ52" s="72">
        <v>0.18077376685873831</v>
      </c>
      <c r="AK52" s="72">
        <v>-0.389156826875104</v>
      </c>
      <c r="AL52" s="72">
        <v>0.91678332428477372</v>
      </c>
      <c r="AM52" s="36">
        <v>6852.1343416753989</v>
      </c>
      <c r="AN52" s="36">
        <v>426.69928717642921</v>
      </c>
      <c r="AO52" s="36">
        <v>750.9878480645051</v>
      </c>
      <c r="AP52" s="72">
        <v>14.590913995923946</v>
      </c>
      <c r="AQ52" s="130">
        <v>821.51879302021666</v>
      </c>
      <c r="AR52" s="130">
        <v>186.9093502001046</v>
      </c>
      <c r="AS52" s="130">
        <v>113.18379799106832</v>
      </c>
      <c r="AT52" s="72">
        <v>24.713908977733993</v>
      </c>
      <c r="AU52" s="72">
        <v>2.5297377676953663</v>
      </c>
      <c r="AV52" s="72">
        <v>1.9569276281998955E-2</v>
      </c>
      <c r="AW52" s="72">
        <v>8.928109892047173E-2</v>
      </c>
      <c r="AX52" s="72">
        <v>2.743068390530655</v>
      </c>
      <c r="AY52" s="72">
        <v>98.852426557873187</v>
      </c>
      <c r="AZ52" s="72">
        <v>4.5578057214180507</v>
      </c>
      <c r="BA52" s="72">
        <v>3.5264427001608758</v>
      </c>
      <c r="BB52" s="36">
        <v>5.0981112773109256</v>
      </c>
      <c r="BC52" s="72">
        <v>105.90567370674759</v>
      </c>
      <c r="BD52" s="72">
        <v>10.612619986006427</v>
      </c>
      <c r="BE52" s="72">
        <v>2.4133223949458866</v>
      </c>
      <c r="BF52" s="36">
        <v>18.834682743329427</v>
      </c>
      <c r="BG52" s="72">
        <v>2.825701823316765</v>
      </c>
      <c r="BH52" s="72">
        <v>1.8061873919655552E-2</v>
      </c>
      <c r="BI52" s="72">
        <v>5.7139139182077442E-2</v>
      </c>
      <c r="BJ52" s="72">
        <v>2.8016706132122438</v>
      </c>
      <c r="BK52" s="72">
        <v>0.29812447273074533</v>
      </c>
      <c r="BL52" s="72">
        <v>8.5787540962100936E-2</v>
      </c>
      <c r="BM52" s="72">
        <v>0.16284478424791629</v>
      </c>
      <c r="BN52" s="130">
        <v>54.396430557987941</v>
      </c>
      <c r="BO52" s="130">
        <v>162.63806390964967</v>
      </c>
      <c r="BP52" s="72">
        <v>6.627507116252322</v>
      </c>
      <c r="BQ52" s="72">
        <v>7.3313519433356147</v>
      </c>
      <c r="BR52" s="72">
        <v>5.7183167972059499</v>
      </c>
      <c r="BS52" s="130">
        <v>154.12704495010365</v>
      </c>
      <c r="BT52" s="72">
        <v>1.467440564625758</v>
      </c>
      <c r="BU52" s="72">
        <v>0.55393468611028895</v>
      </c>
      <c r="BV52" s="130">
        <v>1.9317148507016335</v>
      </c>
      <c r="BW52" s="130">
        <v>145.97143784732785</v>
      </c>
      <c r="BX52" s="72">
        <v>17.072265752074919</v>
      </c>
      <c r="BY52" s="72">
        <v>10.980303374646605</v>
      </c>
      <c r="BZ52" s="36">
        <v>17.796910464590024</v>
      </c>
      <c r="CA52" s="72">
        <v>10.419614078319427</v>
      </c>
      <c r="CB52" s="72">
        <v>3.1379000144146504E-2</v>
      </c>
      <c r="CC52" s="72">
        <v>6.776090542467883E-2</v>
      </c>
      <c r="CD52" s="130">
        <v>0.8888068917614822</v>
      </c>
      <c r="CE52" s="72">
        <v>2.769714650690918</v>
      </c>
      <c r="CF52" s="72">
        <v>8.5571707940081954E-2</v>
      </c>
      <c r="CG52" s="72">
        <v>7.9032989447018184E-2</v>
      </c>
      <c r="CH52" s="36">
        <v>5.0423790339024581</v>
      </c>
      <c r="CI52" s="72">
        <v>4.4837199999999999</v>
      </c>
      <c r="CJ52" s="72">
        <v>0.10871851817672416</v>
      </c>
      <c r="CK52" s="72">
        <v>-2.9186762015632799E-2</v>
      </c>
      <c r="CL52" s="36">
        <v>9.8830004827439648</v>
      </c>
    </row>
    <row r="53" spans="1:90" s="53" customFormat="1">
      <c r="B53" s="47" t="s">
        <v>1149</v>
      </c>
      <c r="C53" s="55">
        <v>105034.03276753232</v>
      </c>
      <c r="D53" s="55">
        <v>739.45186942083762</v>
      </c>
      <c r="E53" s="55">
        <v>295.92034078937979</v>
      </c>
      <c r="F53" s="72">
        <v>1.2912044013353181</v>
      </c>
      <c r="G53" s="55">
        <v>3405.0887543515419</v>
      </c>
      <c r="H53" s="284">
        <v>58.488181934375937</v>
      </c>
      <c r="I53" s="284">
        <v>59.797131586075196</v>
      </c>
      <c r="J53" s="36">
        <v>4.7526667047647946</v>
      </c>
      <c r="K53" s="55">
        <v>458.34081036379553</v>
      </c>
      <c r="L53" s="72">
        <v>33.007552451636769</v>
      </c>
      <c r="M53" s="72">
        <v>19.134791346230244</v>
      </c>
      <c r="N53" s="72">
        <v>7.2015303253135858</v>
      </c>
      <c r="O53" s="72">
        <v>0.90292857157794482</v>
      </c>
      <c r="P53" s="72">
        <v>0.18875981977635994</v>
      </c>
      <c r="Q53" s="72">
        <v>0.10268958620009142</v>
      </c>
      <c r="R53" s="36">
        <v>22.179627597948638</v>
      </c>
      <c r="S53" s="72">
        <v>54.609810244009843</v>
      </c>
      <c r="T53" s="72">
        <v>9.2966751328750856</v>
      </c>
      <c r="U53" s="72">
        <v>6.1396169456817429</v>
      </c>
      <c r="V53" s="72">
        <v>19.521062224709272</v>
      </c>
      <c r="W53" s="72">
        <v>250.74175998212709</v>
      </c>
      <c r="X53" s="72">
        <v>3.2823357617011695</v>
      </c>
      <c r="Y53" s="72">
        <v>4.3792059812459101</v>
      </c>
      <c r="Z53" s="130">
        <v>2.55847051215664</v>
      </c>
      <c r="AA53" s="72">
        <v>71.988749870230635</v>
      </c>
      <c r="AB53" s="72">
        <v>8.5037276278292744</v>
      </c>
      <c r="AC53" s="72">
        <v>8.1407262453253164</v>
      </c>
      <c r="AD53" s="72">
        <v>14.397906125259324</v>
      </c>
      <c r="AE53" s="36">
        <v>51533.775712779687</v>
      </c>
      <c r="AF53" s="36">
        <v>695.81303700169155</v>
      </c>
      <c r="AG53" s="36">
        <v>321.81342338147306</v>
      </c>
      <c r="AH53" s="72">
        <v>1.3502077567142809</v>
      </c>
      <c r="AI53" s="72">
        <v>36.614600138898425</v>
      </c>
      <c r="AJ53" s="72">
        <v>0.24269203858580288</v>
      </c>
      <c r="AK53" s="72">
        <v>-0.38889812198770152</v>
      </c>
      <c r="AL53" s="72">
        <v>0.97243986549146566</v>
      </c>
      <c r="AM53" s="36">
        <v>8077.8040405143411</v>
      </c>
      <c r="AN53" s="36">
        <v>453.89300913613602</v>
      </c>
      <c r="AO53" s="36">
        <v>813.62374715017597</v>
      </c>
      <c r="AP53" s="72">
        <v>17.203288032095408</v>
      </c>
      <c r="AQ53" s="130">
        <v>1418.9753142462171</v>
      </c>
      <c r="AR53" s="130">
        <v>377.37989714846265</v>
      </c>
      <c r="AS53" s="130">
        <v>261.90257656373245</v>
      </c>
      <c r="AT53" s="72">
        <v>26.595240478086328</v>
      </c>
      <c r="AU53" s="72">
        <v>3.9093057208537418</v>
      </c>
      <c r="AV53" s="72">
        <v>2.6098883802941154E-2</v>
      </c>
      <c r="AW53" s="72">
        <v>0.12098605097723396</v>
      </c>
      <c r="AX53" s="72">
        <v>7.5116332548197882</v>
      </c>
      <c r="AY53" s="72">
        <v>124.67817638921332</v>
      </c>
      <c r="AZ53" s="72">
        <v>5.609554039043708</v>
      </c>
      <c r="BA53" s="72">
        <v>4.5941312921664101</v>
      </c>
      <c r="BB53" s="36">
        <v>6.855513460439985</v>
      </c>
      <c r="BC53" s="72">
        <v>141.05717052506412</v>
      </c>
      <c r="BD53" s="72">
        <v>17.563738410709757</v>
      </c>
      <c r="BE53" s="72">
        <v>5.8629370373457332</v>
      </c>
      <c r="BF53" s="36">
        <v>27.504551455178355</v>
      </c>
      <c r="BG53" s="72">
        <v>5.1981266000730146</v>
      </c>
      <c r="BH53" s="72">
        <v>3.0518552364711404E-2</v>
      </c>
      <c r="BI53" s="72">
        <v>7.9166857600868362E-2</v>
      </c>
      <c r="BJ53" s="72">
        <v>3.137087471471399</v>
      </c>
      <c r="BK53" s="72">
        <v>0.74024472713417955</v>
      </c>
      <c r="BL53" s="72">
        <v>9.3903134924714513E-2</v>
      </c>
      <c r="BM53" s="72">
        <v>0.18493083937984778</v>
      </c>
      <c r="BN53" s="130">
        <v>58.315325429213793</v>
      </c>
      <c r="BO53" s="130">
        <v>164.63997708987148</v>
      </c>
      <c r="BP53" s="72">
        <v>17.370585768552136</v>
      </c>
      <c r="BQ53" s="72">
        <v>14.298106515702569</v>
      </c>
      <c r="BR53" s="72">
        <v>9.1620695571140782</v>
      </c>
      <c r="BS53" s="130">
        <v>184.65388557463442</v>
      </c>
      <c r="BT53" s="72">
        <v>3.4417772881363566</v>
      </c>
      <c r="BU53" s="72">
        <v>2.0529489050122685</v>
      </c>
      <c r="BV53" s="130">
        <v>2.5320878436025822</v>
      </c>
      <c r="BW53" s="130">
        <v>168.7227839118826</v>
      </c>
      <c r="BX53" s="72">
        <v>39.700251901974127</v>
      </c>
      <c r="BY53" s="72">
        <v>14.94846152001179</v>
      </c>
      <c r="BZ53" s="36">
        <v>27.173940811586217</v>
      </c>
      <c r="CA53" s="72">
        <v>12.128447788559699</v>
      </c>
      <c r="CB53" s="72">
        <v>5.3171169565549604E-2</v>
      </c>
      <c r="CC53" s="72">
        <v>6.8753065844137512E-2</v>
      </c>
      <c r="CD53" s="130">
        <v>0.89828636805802198</v>
      </c>
      <c r="CE53" s="72">
        <v>5.1468137707855881</v>
      </c>
      <c r="CF53" s="72">
        <v>0.14594016282961531</v>
      </c>
      <c r="CG53" s="72">
        <v>8.5645899637127404E-2</v>
      </c>
      <c r="CH53" s="36">
        <v>5.2691407323570267</v>
      </c>
      <c r="CI53" s="72">
        <v>9.0802549999999993</v>
      </c>
      <c r="CJ53" s="72">
        <v>0.89740164548438284</v>
      </c>
      <c r="CK53" s="72">
        <v>3.5245756075111406E-2</v>
      </c>
      <c r="CL53" s="36">
        <v>11.39571274987539</v>
      </c>
    </row>
    <row r="54" spans="1:90" s="53" customFormat="1">
      <c r="B54" s="47" t="s">
        <v>701</v>
      </c>
      <c r="C54" s="55">
        <v>120717.84459332481</v>
      </c>
      <c r="D54" s="55">
        <v>1022.413319115816</v>
      </c>
      <c r="E54" s="55">
        <v>481.57455011375521</v>
      </c>
      <c r="F54" s="72">
        <v>1.3512351552772468</v>
      </c>
      <c r="G54" s="55">
        <v>4959.5526552277406</v>
      </c>
      <c r="H54" s="284">
        <v>215.04214023801111</v>
      </c>
      <c r="I54" s="284">
        <v>207.31471758699507</v>
      </c>
      <c r="J54" s="36">
        <v>5.8532093987761584</v>
      </c>
      <c r="K54" s="55">
        <v>497.70991849573738</v>
      </c>
      <c r="L54" s="72">
        <v>61.235280223544436</v>
      </c>
      <c r="M54" s="72">
        <v>30.879910516901603</v>
      </c>
      <c r="N54" s="72">
        <v>12.204473812638803</v>
      </c>
      <c r="O54" s="72">
        <v>0.94800321609800464</v>
      </c>
      <c r="P54" s="72">
        <v>0.1979649196764442</v>
      </c>
      <c r="Q54" s="72">
        <v>0.1120465529776019</v>
      </c>
      <c r="R54" s="36">
        <v>38.110135336807154</v>
      </c>
      <c r="S54" s="72">
        <v>65.278814914961202</v>
      </c>
      <c r="T54" s="72">
        <v>12.470370097971628</v>
      </c>
      <c r="U54" s="72">
        <v>7.0011448145579678</v>
      </c>
      <c r="V54" s="72">
        <v>27.623982834065153</v>
      </c>
      <c r="W54" s="72">
        <v>854.16416767378644</v>
      </c>
      <c r="X54" s="72">
        <v>28.137514912344827</v>
      </c>
      <c r="Y54" s="72">
        <v>11.819943343279149</v>
      </c>
      <c r="Z54" s="130">
        <v>14.948447966267803</v>
      </c>
      <c r="AA54" s="72">
        <v>95.101412722393547</v>
      </c>
      <c r="AB54" s="72">
        <v>8.6921111962736415</v>
      </c>
      <c r="AC54" s="72">
        <v>8.7016951154122779</v>
      </c>
      <c r="AD54" s="72">
        <v>14.85545680175048</v>
      </c>
      <c r="AE54" s="36">
        <v>86924.49778705783</v>
      </c>
      <c r="AF54" s="36">
        <v>1245.3649116134802</v>
      </c>
      <c r="AG54" s="36">
        <v>473.30860737614739</v>
      </c>
      <c r="AH54" s="72">
        <v>7.0172228639777359</v>
      </c>
      <c r="AI54" s="72">
        <v>47.331781876337111</v>
      </c>
      <c r="AJ54" s="72">
        <v>0.24316143455215233</v>
      </c>
      <c r="AK54" s="72">
        <v>-0.38835693030331336</v>
      </c>
      <c r="AL54" s="72">
        <v>1.016965098456819</v>
      </c>
      <c r="AM54" s="36">
        <v>10985.661546534595</v>
      </c>
      <c r="AN54" s="36">
        <v>595.14839086214647</v>
      </c>
      <c r="AO54" s="36">
        <v>962.55597237325674</v>
      </c>
      <c r="AP54" s="72">
        <v>29.922266417324355</v>
      </c>
      <c r="AQ54" s="130">
        <v>2122.1662975105323</v>
      </c>
      <c r="AR54" s="130">
        <v>529.80937303672806</v>
      </c>
      <c r="AS54" s="130">
        <v>309.62420156289335</v>
      </c>
      <c r="AT54" s="72">
        <v>31.446599923397869</v>
      </c>
      <c r="AU54" s="72">
        <v>4.3926372787824191</v>
      </c>
      <c r="AV54" s="72">
        <v>5.9163180371086956E-2</v>
      </c>
      <c r="AW54" s="72">
        <v>0.16207115519629239</v>
      </c>
      <c r="AX54" s="72">
        <v>8.4708523482200064</v>
      </c>
      <c r="AY54" s="72">
        <v>216.92328933507127</v>
      </c>
      <c r="AZ54" s="72">
        <v>10.909655050345002</v>
      </c>
      <c r="BA54" s="72">
        <v>8.8187091624108973</v>
      </c>
      <c r="BB54" s="36">
        <v>12.576949269633593</v>
      </c>
      <c r="BC54" s="72">
        <v>260.52936233588173</v>
      </c>
      <c r="BD54" s="72">
        <v>28.580963029089681</v>
      </c>
      <c r="BE54" s="72">
        <v>9.4724091993564805</v>
      </c>
      <c r="BF54" s="36">
        <v>29.171233579249225</v>
      </c>
      <c r="BG54" s="72">
        <v>7.9297865055953789</v>
      </c>
      <c r="BH54" s="72">
        <v>3.3423038494643634E-2</v>
      </c>
      <c r="BI54" s="72">
        <v>9.1032526772622066E-2</v>
      </c>
      <c r="BJ54" s="72">
        <v>3.4730788996164765</v>
      </c>
      <c r="BK54" s="72">
        <v>0.85895920110845159</v>
      </c>
      <c r="BL54" s="72">
        <v>9.9065572371006022E-2</v>
      </c>
      <c r="BM54" s="72">
        <v>0.21046295958698669</v>
      </c>
      <c r="BN54" s="130">
        <v>64.297837861799707</v>
      </c>
      <c r="BO54" s="130">
        <v>275.94476254832495</v>
      </c>
      <c r="BP54" s="72">
        <v>17.703614675107751</v>
      </c>
      <c r="BQ54" s="72">
        <v>15.722051357320364</v>
      </c>
      <c r="BR54" s="72">
        <v>15.020503564988395</v>
      </c>
      <c r="BS54" s="130">
        <v>217.37499981139797</v>
      </c>
      <c r="BT54" s="72">
        <v>5.2573616850077869</v>
      </c>
      <c r="BU54" s="72">
        <v>2.3133523536475344</v>
      </c>
      <c r="BV54" s="130">
        <v>3.120367722070001</v>
      </c>
      <c r="BW54" s="130">
        <v>172.86100630109479</v>
      </c>
      <c r="BX54" s="72">
        <v>45.743472031791541</v>
      </c>
      <c r="BY54" s="72">
        <v>20.230373226272437</v>
      </c>
      <c r="BZ54" s="36">
        <v>31.453497108877308</v>
      </c>
      <c r="CA54" s="72">
        <v>13.259023871823008</v>
      </c>
      <c r="CB54" s="72">
        <v>0.16863234560882556</v>
      </c>
      <c r="CC54" s="72">
        <v>6.9498484729610233E-2</v>
      </c>
      <c r="CD54" s="130">
        <v>1.6960100915578049</v>
      </c>
      <c r="CE54" s="72">
        <v>5.8260667896673777</v>
      </c>
      <c r="CF54" s="72">
        <v>0.23680551935960065</v>
      </c>
      <c r="CG54" s="72">
        <v>0.1171740764207163</v>
      </c>
      <c r="CH54" s="36">
        <v>7.0919364431843226</v>
      </c>
      <c r="CI54" s="72">
        <v>72.466670999999991</v>
      </c>
      <c r="CJ54" s="72">
        <v>8.2306220403028867</v>
      </c>
      <c r="CK54" s="72">
        <v>3.8205385132398271</v>
      </c>
      <c r="CL54" s="36">
        <v>59.496993138361589</v>
      </c>
    </row>
    <row r="55" spans="1:90" s="53" customFormat="1">
      <c r="B55" s="47" t="s">
        <v>1150</v>
      </c>
      <c r="C55" s="55">
        <v>82790.868424000117</v>
      </c>
      <c r="D55" s="55">
        <v>518.58375415953719</v>
      </c>
      <c r="E55" s="55">
        <v>200.5270203655362</v>
      </c>
      <c r="F55" s="72">
        <v>0.62637796176227301</v>
      </c>
      <c r="G55" s="55">
        <v>1197.0763297108083</v>
      </c>
      <c r="H55" s="284">
        <v>28.830481757980085</v>
      </c>
      <c r="I55" s="284">
        <v>29.753161102381039</v>
      </c>
      <c r="J55" s="36">
        <v>2.5384100514525154</v>
      </c>
      <c r="K55" s="55">
        <v>430.0409836955987</v>
      </c>
      <c r="L55" s="72">
        <v>14.924029251720858</v>
      </c>
      <c r="M55" s="72">
        <v>8.0726915427016497</v>
      </c>
      <c r="N55" s="72">
        <v>3.4703737126331022</v>
      </c>
      <c r="O55" s="72">
        <v>0.44627747399113388</v>
      </c>
      <c r="P55" s="72">
        <v>5.4106416080479156E-2</v>
      </c>
      <c r="Q55" s="72">
        <v>3.0108711648278687E-2</v>
      </c>
      <c r="R55" s="36">
        <v>12.398912359018619</v>
      </c>
      <c r="S55" s="72">
        <v>32.519774811836079</v>
      </c>
      <c r="T55" s="72">
        <v>5.0716090123974551</v>
      </c>
      <c r="U55" s="72">
        <v>3.4195103196598073</v>
      </c>
      <c r="V55" s="72">
        <v>15.595461659075092</v>
      </c>
      <c r="W55" s="72">
        <v>271.05605794233611</v>
      </c>
      <c r="X55" s="72">
        <v>2.0071904492049075</v>
      </c>
      <c r="Y55" s="72">
        <v>1.6675317619518377</v>
      </c>
      <c r="Z55" s="130">
        <v>0.7405075040351663</v>
      </c>
      <c r="AA55" s="72">
        <v>47.207932583003426</v>
      </c>
      <c r="AB55" s="72">
        <v>4.1704401183078694</v>
      </c>
      <c r="AC55" s="72">
        <v>4.6154511817709825</v>
      </c>
      <c r="AD55" s="72">
        <v>9.8625318441943932</v>
      </c>
      <c r="AE55" s="36">
        <v>45718.057075509394</v>
      </c>
      <c r="AF55" s="36">
        <v>251.11800609141656</v>
      </c>
      <c r="AG55" s="36">
        <v>129.82038541080428</v>
      </c>
      <c r="AH55" s="72">
        <v>0.54927532391996026</v>
      </c>
      <c r="AI55" s="72">
        <v>27.178249119791221</v>
      </c>
      <c r="AJ55" s="72" t="e">
        <v>#NUM!</v>
      </c>
      <c r="AK55" s="72" t="e">
        <v>#NUM!</v>
      </c>
      <c r="AL55" s="72">
        <v>0.77110382484450823</v>
      </c>
      <c r="AM55" s="36">
        <v>4999.6429171865529</v>
      </c>
      <c r="AN55" s="36">
        <v>311.89874076801584</v>
      </c>
      <c r="AO55" s="36">
        <v>699.6332524741332</v>
      </c>
      <c r="AP55" s="72">
        <v>13.993664428895604</v>
      </c>
      <c r="AQ55" s="130">
        <v>848.31785797800546</v>
      </c>
      <c r="AR55" s="130">
        <v>176.07946104645248</v>
      </c>
      <c r="AS55" s="130">
        <v>119.05464692207076</v>
      </c>
      <c r="AT55" s="72">
        <v>20.75630724857589</v>
      </c>
      <c r="AU55" s="72">
        <v>2.6952905435343322</v>
      </c>
      <c r="AV55" s="72">
        <v>1.9460738178691428E-2</v>
      </c>
      <c r="AW55" s="72">
        <v>9.2370329477430305E-2</v>
      </c>
      <c r="AX55" s="72">
        <v>3.4271010113924554</v>
      </c>
      <c r="AY55" s="72">
        <v>83.094838327883238</v>
      </c>
      <c r="AZ55" s="72">
        <v>3.2399010727239785</v>
      </c>
      <c r="BA55" s="72">
        <v>2.7468062236180546</v>
      </c>
      <c r="BB55" s="36">
        <v>3.899040106365788</v>
      </c>
      <c r="BC55" s="72">
        <v>92.788681788121878</v>
      </c>
      <c r="BD55" s="72">
        <v>10.759410791914632</v>
      </c>
      <c r="BE55" s="72">
        <v>2.7175728762231741</v>
      </c>
      <c r="BF55" s="36">
        <v>11.595606904388605</v>
      </c>
      <c r="BG55" s="72">
        <v>3.0843383050491679</v>
      </c>
      <c r="BH55" s="72">
        <v>1.201188057581877E-2</v>
      </c>
      <c r="BI55" s="72">
        <v>4.5013938030522928E-2</v>
      </c>
      <c r="BJ55" s="72">
        <v>1.4594358198915327</v>
      </c>
      <c r="BK55" s="72">
        <v>0.41669563667787168</v>
      </c>
      <c r="BL55" s="72">
        <v>8.7395231567125226E-2</v>
      </c>
      <c r="BM55" s="72">
        <v>0.17407574050938887</v>
      </c>
      <c r="BN55" s="130">
        <v>41.775273169936952</v>
      </c>
      <c r="BO55" s="130">
        <v>141.64429965913325</v>
      </c>
      <c r="BP55" s="72">
        <v>6.8614960383276147</v>
      </c>
      <c r="BQ55" s="72">
        <v>7.6435897473892771</v>
      </c>
      <c r="BR55" s="72">
        <v>5.7250431272683695</v>
      </c>
      <c r="BS55" s="130">
        <v>117.19715981918314</v>
      </c>
      <c r="BT55" s="72">
        <v>1.6416110969432225</v>
      </c>
      <c r="BU55" s="72">
        <v>0.7972494954679562</v>
      </c>
      <c r="BV55" s="130">
        <v>1.4007260069066274</v>
      </c>
      <c r="BW55" s="130">
        <v>126.39196604526639</v>
      </c>
      <c r="BX55" s="72">
        <v>19.937026458951497</v>
      </c>
      <c r="BY55" s="72">
        <v>12.307752683224786</v>
      </c>
      <c r="BZ55" s="36">
        <v>16.093965366524859</v>
      </c>
      <c r="CA55" s="72">
        <v>8.5936337285734314</v>
      </c>
      <c r="CB55" s="72">
        <v>3.6661203852638123E-2</v>
      </c>
      <c r="CC55" s="72">
        <v>3.4242167097532077E-2</v>
      </c>
      <c r="CD55" s="130">
        <v>0.53571074485319248</v>
      </c>
      <c r="CE55" s="72">
        <v>2.8410461704558281</v>
      </c>
      <c r="CF55" s="72">
        <v>0.10384799177184723</v>
      </c>
      <c r="CG55" s="72">
        <v>7.7163258908163224E-2</v>
      </c>
      <c r="CH55" s="36">
        <v>3.6977059411976394</v>
      </c>
      <c r="CI55" s="72">
        <v>3.4838521301037648</v>
      </c>
      <c r="CJ55" s="72">
        <v>0.24207998372414402</v>
      </c>
      <c r="CK55" s="72" t="e">
        <v>#NUM!</v>
      </c>
      <c r="CL55" s="36">
        <v>6.9486296973498076</v>
      </c>
    </row>
    <row r="56" spans="1:90" s="53" customFormat="1">
      <c r="B56" s="47" t="s">
        <v>1151</v>
      </c>
      <c r="C56" s="55">
        <v>87752.457567984849</v>
      </c>
      <c r="D56" s="55">
        <v>625.29549828215886</v>
      </c>
      <c r="E56" s="55">
        <v>269.11750458445124</v>
      </c>
      <c r="F56" s="72">
        <v>0.83350488561138525</v>
      </c>
      <c r="G56" s="55">
        <v>2271.6947454428946</v>
      </c>
      <c r="H56" s="284">
        <v>69.980966828948482</v>
      </c>
      <c r="I56" s="284">
        <v>68.875833794408322</v>
      </c>
      <c r="J56" s="36">
        <v>3.1056367615420077</v>
      </c>
      <c r="K56" s="55">
        <v>433.22622827378336</v>
      </c>
      <c r="L56" s="72">
        <v>25.291272788777253</v>
      </c>
      <c r="M56" s="72">
        <v>13.326064211555707</v>
      </c>
      <c r="N56" s="72">
        <v>5.3603365570630199</v>
      </c>
      <c r="O56" s="72">
        <v>0.59161438245629772</v>
      </c>
      <c r="P56" s="72">
        <v>9.4394661734256438E-2</v>
      </c>
      <c r="Q56" s="72">
        <v>5.1322723410286639E-2</v>
      </c>
      <c r="R56" s="36">
        <v>18.666804470261475</v>
      </c>
      <c r="S56" s="72">
        <v>40.284912371786163</v>
      </c>
      <c r="T56" s="72">
        <v>6.7333388203577034</v>
      </c>
      <c r="U56" s="72">
        <v>4.1792561988210206</v>
      </c>
      <c r="V56" s="72">
        <v>17.385873682579032</v>
      </c>
      <c r="W56" s="72">
        <v>362.43265281130732</v>
      </c>
      <c r="X56" s="72">
        <v>8.2446284864367616</v>
      </c>
      <c r="Y56" s="72">
        <v>4.1370597791042041</v>
      </c>
      <c r="Z56" s="130">
        <v>4.2672982511669897</v>
      </c>
      <c r="AA56" s="72">
        <v>56.528672894570477</v>
      </c>
      <c r="AB56" s="72">
        <v>5.0566595272450439</v>
      </c>
      <c r="AC56" s="72">
        <v>5.2861560980630085</v>
      </c>
      <c r="AD56" s="72">
        <v>11.52536578971851</v>
      </c>
      <c r="AE56" s="36">
        <v>52615.406753874602</v>
      </c>
      <c r="AF56" s="36">
        <v>516.52529380280566</v>
      </c>
      <c r="AG56" s="36">
        <v>220.90300927318344</v>
      </c>
      <c r="AH56" s="72">
        <v>2.1154528134776269</v>
      </c>
      <c r="AI56" s="72">
        <v>29.469557943002322</v>
      </c>
      <c r="AJ56" s="72">
        <v>7.3497479634606344E-2</v>
      </c>
      <c r="AK56" s="72">
        <v>-0.38904129749606309</v>
      </c>
      <c r="AL56" s="72">
        <v>0.81044317565328072</v>
      </c>
      <c r="AM56" s="36">
        <v>6291.7633867178174</v>
      </c>
      <c r="AN56" s="36">
        <v>367.46064798468274</v>
      </c>
      <c r="AO56" s="36">
        <v>723.67781080644511</v>
      </c>
      <c r="AP56" s="72">
        <v>16.227939324427286</v>
      </c>
      <c r="AQ56" s="130">
        <v>1100.8349188038801</v>
      </c>
      <c r="AR56" s="130">
        <v>252.57126171507531</v>
      </c>
      <c r="AS56" s="130">
        <v>159.5980929070285</v>
      </c>
      <c r="AT56" s="72">
        <v>22.921712288830939</v>
      </c>
      <c r="AU56" s="72">
        <v>2.9083373208651357</v>
      </c>
      <c r="AV56" s="72">
        <v>2.6365625891709332E-2</v>
      </c>
      <c r="AW56" s="72">
        <v>0.10081142350842889</v>
      </c>
      <c r="AX56" s="72">
        <v>4.4804992007598967</v>
      </c>
      <c r="AY56" s="72">
        <v>112.34191187177359</v>
      </c>
      <c r="AZ56" s="72">
        <v>5.0385267477291524</v>
      </c>
      <c r="BA56" s="72">
        <v>4.1402841778969934</v>
      </c>
      <c r="BB56" s="36">
        <v>6.1941747011055224</v>
      </c>
      <c r="BC56" s="72">
        <v>125.20932238974498</v>
      </c>
      <c r="BD56" s="72">
        <v>13.893419816385322</v>
      </c>
      <c r="BE56" s="72">
        <v>4.1406554916343321</v>
      </c>
      <c r="BF56" s="36">
        <v>17.053727778861393</v>
      </c>
      <c r="BG56" s="72">
        <v>4.0228167096149869</v>
      </c>
      <c r="BH56" s="72">
        <v>1.8050133223664534E-2</v>
      </c>
      <c r="BI56" s="72">
        <v>5.4618418029227712E-2</v>
      </c>
      <c r="BJ56" s="72">
        <v>2.1575449495452657</v>
      </c>
      <c r="BK56" s="72">
        <v>0.48666817992122696</v>
      </c>
      <c r="BL56" s="72">
        <v>8.7781307668040889E-2</v>
      </c>
      <c r="BM56" s="72">
        <v>0.1755450451129244</v>
      </c>
      <c r="BN56" s="130">
        <v>45.577936042381758</v>
      </c>
      <c r="BO56" s="130">
        <v>160.78225470655846</v>
      </c>
      <c r="BP56" s="72">
        <v>9.7200162132151675</v>
      </c>
      <c r="BQ56" s="72">
        <v>9.2521075199320197</v>
      </c>
      <c r="BR56" s="72">
        <v>7.4905965761506952</v>
      </c>
      <c r="BS56" s="130">
        <v>140.47395258000881</v>
      </c>
      <c r="BT56" s="72">
        <v>2.3812921802612559</v>
      </c>
      <c r="BU56" s="72">
        <v>1.1374879527074238</v>
      </c>
      <c r="BV56" s="130">
        <v>1.8075413971569154</v>
      </c>
      <c r="BW56" s="130">
        <v>134.47087503313747</v>
      </c>
      <c r="BX56" s="72">
        <v>24.777257448073353</v>
      </c>
      <c r="BY56" s="72">
        <v>13.088961579896145</v>
      </c>
      <c r="BZ56" s="36">
        <v>19.011866048785485</v>
      </c>
      <c r="CA56" s="72">
        <v>9.4755447004094346</v>
      </c>
      <c r="CB56" s="72">
        <v>6.3804756096964108E-2</v>
      </c>
      <c r="CC56" s="72">
        <v>4.6757121922655506E-2</v>
      </c>
      <c r="CD56" s="130">
        <v>0.84823761293774269</v>
      </c>
      <c r="CE56" s="72">
        <v>3.3912436241334611</v>
      </c>
      <c r="CF56" s="72">
        <v>0.12335962746916058</v>
      </c>
      <c r="CG56" s="72">
        <v>8.0876589523100756E-2</v>
      </c>
      <c r="CH56" s="36">
        <v>4.5660040872858154</v>
      </c>
      <c r="CI56" s="72">
        <v>21.222246000000002</v>
      </c>
      <c r="CJ56" s="72">
        <v>2.2258377021625209</v>
      </c>
      <c r="CK56" s="72">
        <v>0.94290019072456777</v>
      </c>
      <c r="CL56" s="36">
        <v>19.211031195859356</v>
      </c>
    </row>
    <row r="57" spans="1:90" s="53" customFormat="1">
      <c r="J57" s="36"/>
      <c r="R57" s="36"/>
      <c r="Z57" s="130"/>
      <c r="AE57" s="36"/>
      <c r="AF57" s="36"/>
      <c r="AG57" s="36"/>
      <c r="AM57" s="36"/>
      <c r="AN57" s="36"/>
      <c r="AO57" s="36"/>
      <c r="AQ57" s="130"/>
      <c r="AR57" s="130"/>
      <c r="AS57" s="130"/>
      <c r="BB57" s="130"/>
      <c r="BF57" s="36"/>
      <c r="BO57" s="130"/>
      <c r="BS57" s="130"/>
      <c r="BW57" s="130"/>
      <c r="BZ57" s="36"/>
      <c r="CD57" s="130"/>
      <c r="CH57" s="36"/>
      <c r="CL57" s="36"/>
    </row>
    <row r="58" spans="1:90" s="53" customFormat="1">
      <c r="A58" s="17" t="s">
        <v>1152</v>
      </c>
      <c r="C58" s="165"/>
      <c r="D58" s="166"/>
      <c r="E58" s="166"/>
      <c r="F58" s="166"/>
      <c r="G58" s="165"/>
      <c r="H58" s="116"/>
      <c r="I58" s="154"/>
      <c r="J58" s="36"/>
      <c r="K58" s="165"/>
      <c r="R58" s="36"/>
      <c r="Z58" s="130"/>
      <c r="AE58" s="36"/>
      <c r="AF58" s="36"/>
      <c r="AG58" s="36"/>
      <c r="AM58" s="36"/>
      <c r="AN58" s="36"/>
      <c r="AO58" s="36"/>
      <c r="AQ58" s="130"/>
      <c r="AR58" s="130"/>
      <c r="AS58" s="130"/>
      <c r="BB58" s="130"/>
      <c r="BF58" s="36"/>
      <c r="BO58" s="130"/>
      <c r="BS58" s="130"/>
      <c r="BW58" s="130"/>
      <c r="CD58" s="130"/>
      <c r="CH58" s="36"/>
      <c r="CL58" s="36"/>
    </row>
    <row r="59" spans="1:90" s="53" customFormat="1">
      <c r="B59" s="47" t="s">
        <v>880</v>
      </c>
      <c r="C59" s="337">
        <v>36607.369219921711</v>
      </c>
      <c r="D59" s="338">
        <v>349.11017375194126</v>
      </c>
      <c r="E59" s="338">
        <v>157.35322929567633</v>
      </c>
      <c r="F59" s="339">
        <v>0.75909237812971408</v>
      </c>
      <c r="G59" s="99">
        <v>4.8290385735962911</v>
      </c>
      <c r="H59" s="340">
        <v>6.0487318203437966E-2</v>
      </c>
      <c r="I59" s="341">
        <v>9.7338218595221598E-2</v>
      </c>
      <c r="J59" s="348">
        <v>1.8096350912689103</v>
      </c>
      <c r="K59" s="99">
        <v>218.83549781528001</v>
      </c>
      <c r="L59" s="99">
        <v>1.7903148331360057</v>
      </c>
      <c r="M59" s="99">
        <v>1.5163553060971349</v>
      </c>
      <c r="N59" s="99">
        <v>0.34338554034595242</v>
      </c>
      <c r="O59" s="99">
        <v>6.244550036505344E-2</v>
      </c>
      <c r="P59" s="99">
        <v>1.7807443523424889E-2</v>
      </c>
      <c r="Q59" s="99">
        <v>1.0982957146703E-2</v>
      </c>
      <c r="R59" s="36">
        <v>10.59510286193297</v>
      </c>
      <c r="S59" s="99">
        <v>11.095454656351992</v>
      </c>
      <c r="T59" s="99">
        <v>2.9461220719450356</v>
      </c>
      <c r="U59" s="99">
        <v>0.98077781257054164</v>
      </c>
      <c r="V59" s="99">
        <v>15.982349903619767</v>
      </c>
      <c r="W59" s="99">
        <v>72.645520623612995</v>
      </c>
      <c r="X59" s="99">
        <v>0.87007995479858857</v>
      </c>
      <c r="Y59" s="99">
        <v>0.27340214732150619</v>
      </c>
      <c r="Z59" s="130">
        <v>0.11416432336670276</v>
      </c>
      <c r="AA59" s="99">
        <v>22.036247386605474</v>
      </c>
      <c r="AB59" s="99">
        <v>3.641788802550062</v>
      </c>
      <c r="AC59" s="99">
        <v>2.5218830334488467</v>
      </c>
      <c r="AD59" s="99">
        <v>9.7252449735165953</v>
      </c>
      <c r="AE59" s="36">
        <v>23587.995043392908</v>
      </c>
      <c r="AF59" s="36">
        <v>140.16084436763049</v>
      </c>
      <c r="AG59" s="36">
        <v>91.802172343118073</v>
      </c>
      <c r="AH59" s="99">
        <v>0.11619903319908249</v>
      </c>
      <c r="AI59" s="99">
        <v>4.3092190909481909</v>
      </c>
      <c r="AJ59" s="99">
        <v>-0.15005001667222409</v>
      </c>
      <c r="AK59" s="99">
        <v>-0.38993501083152809</v>
      </c>
      <c r="AL59" s="99">
        <v>0.77828589110230928</v>
      </c>
      <c r="AM59" s="36">
        <v>969.46598887345215</v>
      </c>
      <c r="AN59" s="36">
        <v>159.28715292776027</v>
      </c>
      <c r="AO59" s="36">
        <v>512.00973269570761</v>
      </c>
      <c r="AP59" s="99">
        <v>4.0937038067635863</v>
      </c>
      <c r="AQ59" s="130">
        <v>663.49916050228228</v>
      </c>
      <c r="AR59" s="130">
        <v>68.602262682748332</v>
      </c>
      <c r="AS59" s="130">
        <v>44.70845549674587</v>
      </c>
      <c r="AT59" s="99">
        <v>10.339464880530524</v>
      </c>
      <c r="AU59" s="99">
        <v>1.2593111380226123</v>
      </c>
      <c r="AV59" s="99">
        <v>2.9743616574030322E-3</v>
      </c>
      <c r="AW59" s="99">
        <v>5.2091217057184211E-2</v>
      </c>
      <c r="AX59" s="99">
        <v>1.781002780423802</v>
      </c>
      <c r="AY59" s="99">
        <v>12.144729275664575</v>
      </c>
      <c r="AZ59" s="99">
        <v>0.70085615882734675</v>
      </c>
      <c r="BA59" s="99">
        <v>0.72587515606237418</v>
      </c>
      <c r="BB59" s="36">
        <v>3.9164284807265428</v>
      </c>
      <c r="BC59" s="99">
        <v>17.530373250600199</v>
      </c>
      <c r="BD59" s="99">
        <v>0.37799752320538055</v>
      </c>
      <c r="BE59" s="99">
        <v>0.17333161980178374</v>
      </c>
      <c r="BF59" s="36">
        <v>1.3633074038919204</v>
      </c>
      <c r="BG59" s="99">
        <v>0.40165329355404183</v>
      </c>
      <c r="BH59" s="99">
        <v>2.5518120216634671E-3</v>
      </c>
      <c r="BI59" s="99">
        <v>1.8088312077330266E-2</v>
      </c>
      <c r="BJ59" s="99">
        <v>0.85481854346236563</v>
      </c>
      <c r="BK59" s="99">
        <v>0.3747472728216697</v>
      </c>
      <c r="BL59" s="99">
        <v>7.4827647377475714E-2</v>
      </c>
      <c r="BM59" s="99">
        <v>0.17758149892104966</v>
      </c>
      <c r="BN59" s="99">
        <v>19.011834765273399</v>
      </c>
      <c r="BO59" s="130">
        <v>45.308719565780869</v>
      </c>
      <c r="BP59" s="99">
        <v>2.2068136189684333</v>
      </c>
      <c r="BQ59" s="99">
        <v>2.7508249578943356</v>
      </c>
      <c r="BR59" s="99">
        <v>0.81672743779070356</v>
      </c>
      <c r="BS59" s="130">
        <v>50.871247476336222</v>
      </c>
      <c r="BT59" s="99">
        <v>1.3229465309635391</v>
      </c>
      <c r="BU59" s="99">
        <v>0.44411923375598295</v>
      </c>
      <c r="BV59" s="347">
        <v>1.3885992412334063</v>
      </c>
      <c r="BW59" s="130">
        <v>66.314289120201636</v>
      </c>
      <c r="BX59" s="99">
        <v>15.579560731151117</v>
      </c>
      <c r="BY59" s="99">
        <v>8.139797119717409</v>
      </c>
      <c r="BZ59" s="337">
        <v>16.628539797686777</v>
      </c>
      <c r="CA59" s="99">
        <v>3.042200806740881</v>
      </c>
      <c r="CB59" s="99">
        <v>2.5828995129374338E-2</v>
      </c>
      <c r="CC59" s="99">
        <v>2.0581379039858093E-2</v>
      </c>
      <c r="CD59" s="130">
        <v>0.34642184531212078</v>
      </c>
      <c r="CE59" s="99">
        <v>1.0182480946154147</v>
      </c>
      <c r="CF59" s="99">
        <v>4.3623972514107906E-2</v>
      </c>
      <c r="CG59" s="99">
        <v>3.3467663377046028E-2</v>
      </c>
      <c r="CH59" s="36">
        <v>2.9482939403150232</v>
      </c>
      <c r="CI59" s="99">
        <v>6.5500000000000003E-2</v>
      </c>
      <c r="CJ59" s="99">
        <v>-1.1248125312447925E-2</v>
      </c>
      <c r="CK59" s="99">
        <v>-2.9245125812364603E-2</v>
      </c>
      <c r="CL59" s="36">
        <v>2.4273536708627987</v>
      </c>
    </row>
    <row r="60" spans="1:90" s="53" customFormat="1">
      <c r="B60" s="47" t="s">
        <v>881</v>
      </c>
      <c r="C60" s="337">
        <v>87451.32516523909</v>
      </c>
      <c r="D60" s="338">
        <v>1727.2983888501415</v>
      </c>
      <c r="E60" s="338">
        <v>1077.056303158525</v>
      </c>
      <c r="F60" s="339">
        <v>1.9751540477933465</v>
      </c>
      <c r="G60" s="339">
        <v>8567.4218191252348</v>
      </c>
      <c r="H60" s="340">
        <v>633.83762495809128</v>
      </c>
      <c r="I60" s="341">
        <v>614.32850321472984</v>
      </c>
      <c r="J60" s="348">
        <v>59.729440750827301</v>
      </c>
      <c r="K60" s="99">
        <v>662.43982923962972</v>
      </c>
      <c r="L60" s="99">
        <v>115.79674055639833</v>
      </c>
      <c r="M60" s="99">
        <v>61.536437434257188</v>
      </c>
      <c r="N60" s="99">
        <v>28.204210622048549</v>
      </c>
      <c r="O60" s="99">
        <v>1.0311527753766523</v>
      </c>
      <c r="P60" s="99">
        <v>0.12037301744450102</v>
      </c>
      <c r="Q60" s="99">
        <v>7.2389162354354025E-2</v>
      </c>
      <c r="R60" s="36">
        <v>56.417835043705075</v>
      </c>
      <c r="S60" s="99">
        <v>78.508531118177402</v>
      </c>
      <c r="T60" s="99">
        <v>25.623847411833896</v>
      </c>
      <c r="U60" s="99">
        <v>11.675137089366952</v>
      </c>
      <c r="V60" s="99">
        <v>41.806635908515275</v>
      </c>
      <c r="W60" s="99">
        <v>1682.3184556667823</v>
      </c>
      <c r="X60" s="99">
        <v>3.3549676789729754</v>
      </c>
      <c r="Y60" s="99">
        <v>15.056749612043614</v>
      </c>
      <c r="Z60" s="130">
        <v>11.719083369753577</v>
      </c>
      <c r="AA60" s="99">
        <v>244.74732682769945</v>
      </c>
      <c r="AB60" s="99">
        <v>35.654447880981188</v>
      </c>
      <c r="AC60" s="99">
        <v>42.201717287270931</v>
      </c>
      <c r="AD60" s="99">
        <v>21.799803728915506</v>
      </c>
      <c r="AE60" s="36">
        <v>120621.35158000367</v>
      </c>
      <c r="AF60" s="36">
        <v>905.59195596361144</v>
      </c>
      <c r="AG60" s="36">
        <v>596.32984965951664</v>
      </c>
      <c r="AH60" s="99">
        <v>2.4767243819671703</v>
      </c>
      <c r="AI60" s="99">
        <v>28.495942381271067</v>
      </c>
      <c r="AJ60" s="99">
        <v>0.26898821619216406</v>
      </c>
      <c r="AK60" s="99">
        <v>-0.38773819386909691</v>
      </c>
      <c r="AL60" s="99">
        <v>1.9777427536393186</v>
      </c>
      <c r="AM60" s="36">
        <v>22095.175492734063</v>
      </c>
      <c r="AN60" s="36">
        <v>660.36285874538612</v>
      </c>
      <c r="AO60" s="36">
        <v>940.25470181416438</v>
      </c>
      <c r="AP60" s="99">
        <v>59.394663342541222</v>
      </c>
      <c r="AQ60" s="130">
        <v>2617.1165954421331</v>
      </c>
      <c r="AR60" s="130">
        <v>952.71639271533161</v>
      </c>
      <c r="AS60" s="130">
        <v>585.05672574116306</v>
      </c>
      <c r="AT60" s="99">
        <v>47.185956853018887</v>
      </c>
      <c r="AU60" s="99">
        <v>3.7529046455796133</v>
      </c>
      <c r="AV60" s="99">
        <v>3.3262863603260327E-2</v>
      </c>
      <c r="AW60" s="99">
        <v>0.19245885014442807</v>
      </c>
      <c r="AX60" s="99">
        <v>7.1835343903937767</v>
      </c>
      <c r="AY60" s="99">
        <v>444.96222705958093</v>
      </c>
      <c r="AZ60" s="99">
        <v>21.579659770852444</v>
      </c>
      <c r="BA60" s="99">
        <v>17.176817244567172</v>
      </c>
      <c r="BB60" s="36">
        <v>10.363516965215927</v>
      </c>
      <c r="BC60" s="99">
        <v>181.44435052100087</v>
      </c>
      <c r="BD60" s="99">
        <v>34.417843362243154</v>
      </c>
      <c r="BE60" s="99">
        <v>11.056970711460004</v>
      </c>
      <c r="BF60" s="36">
        <v>34.938960162164264</v>
      </c>
      <c r="BG60" s="99">
        <v>7.0137295940795417</v>
      </c>
      <c r="BH60" s="99">
        <v>8.6961479259502136E-2</v>
      </c>
      <c r="BI60" s="99">
        <v>0.17180386289876476</v>
      </c>
      <c r="BJ60" s="99">
        <v>20.001096446383372</v>
      </c>
      <c r="BK60" s="99">
        <v>1.2804055285950515</v>
      </c>
      <c r="BL60" s="99">
        <v>0.11514111658288179</v>
      </c>
      <c r="BM60" s="99">
        <v>0.30067222808284633</v>
      </c>
      <c r="BN60" s="99">
        <v>48.783322857543432</v>
      </c>
      <c r="BO60" s="130">
        <v>336.8106458300802</v>
      </c>
      <c r="BP60" s="99">
        <v>20.83958350378424</v>
      </c>
      <c r="BQ60" s="99">
        <v>15.861454743331119</v>
      </c>
      <c r="BR60" s="99">
        <v>28.388824689556973</v>
      </c>
      <c r="BS60" s="130">
        <v>277.85130419063108</v>
      </c>
      <c r="BT60" s="99">
        <v>4.6204812915456683</v>
      </c>
      <c r="BU60" s="99">
        <v>1.9972389014267957</v>
      </c>
      <c r="BV60" s="347">
        <v>5.9249472059873511</v>
      </c>
      <c r="BW60" s="130">
        <v>137.62962518309141</v>
      </c>
      <c r="BX60" s="99">
        <v>44.063032260493934</v>
      </c>
      <c r="BY60" s="99">
        <v>17.625814880440341</v>
      </c>
      <c r="BZ60" s="337">
        <v>33.8169996553084</v>
      </c>
      <c r="CA60" s="99">
        <v>10.24339062989314</v>
      </c>
      <c r="CB60" s="99">
        <v>8.316721666043235E-2</v>
      </c>
      <c r="CC60" s="99">
        <v>8.1400999475555874E-2</v>
      </c>
      <c r="CD60" s="130">
        <v>2.0865019830936462</v>
      </c>
      <c r="CE60" s="99">
        <v>3.3758712707897529</v>
      </c>
      <c r="CF60" s="99">
        <v>0.22833718627163677</v>
      </c>
      <c r="CG60" s="99">
        <v>0.12269435433492375</v>
      </c>
      <c r="CH60" s="36">
        <v>11.716624839911425</v>
      </c>
      <c r="CI60" s="99">
        <v>6.8764050000000001</v>
      </c>
      <c r="CJ60" s="99">
        <v>2.1833251961982385</v>
      </c>
      <c r="CK60" s="99">
        <v>0.11733388606545095</v>
      </c>
      <c r="CL60" s="36">
        <v>38.795324219624497</v>
      </c>
    </row>
    <row r="61" spans="1:90" s="53" customFormat="1">
      <c r="B61" s="47" t="s">
        <v>699</v>
      </c>
      <c r="C61" s="337">
        <v>57634.369503218724</v>
      </c>
      <c r="D61" s="338">
        <v>644.79173397073259</v>
      </c>
      <c r="E61" s="338">
        <v>257.86182966025297</v>
      </c>
      <c r="F61" s="339">
        <v>0.9855558946059908</v>
      </c>
      <c r="G61" s="339">
        <v>9.2646140646525694</v>
      </c>
      <c r="H61" s="340">
        <v>0.5042775127467598</v>
      </c>
      <c r="I61" s="341">
        <v>0.56736105663758774</v>
      </c>
      <c r="J61" s="348">
        <v>2.6240827062103715</v>
      </c>
      <c r="K61" s="99">
        <v>355.73996736251019</v>
      </c>
      <c r="L61" s="99">
        <v>24.976213349641991</v>
      </c>
      <c r="M61" s="99">
        <v>14.558558790110412</v>
      </c>
      <c r="N61" s="99">
        <v>7.9617905213387452</v>
      </c>
      <c r="O61" s="99">
        <v>0.11982944644025005</v>
      </c>
      <c r="P61" s="99">
        <v>5.2897016562620969E-2</v>
      </c>
      <c r="Q61" s="99">
        <v>1.7356334510872366E-2</v>
      </c>
      <c r="R61" s="36">
        <v>25.24245614343581</v>
      </c>
      <c r="S61" s="99">
        <v>30.814540761030482</v>
      </c>
      <c r="T61" s="99">
        <v>9.4783899231382911</v>
      </c>
      <c r="U61" s="99">
        <v>5.7749537358990972</v>
      </c>
      <c r="V61" s="99">
        <v>21.121012460752183</v>
      </c>
      <c r="W61" s="99">
        <v>120.79736136135149</v>
      </c>
      <c r="X61" s="99">
        <v>1.4868829886286479</v>
      </c>
      <c r="Y61" s="99">
        <v>0.60177655112392758</v>
      </c>
      <c r="Z61" s="130">
        <v>0.17974646214879803</v>
      </c>
      <c r="AA61" s="99">
        <v>38.712320064626454</v>
      </c>
      <c r="AB61" s="99">
        <v>5.0429903092706567</v>
      </c>
      <c r="AC61" s="99">
        <v>5.1590255553262834</v>
      </c>
      <c r="AD61" s="99">
        <v>13.105006539987244</v>
      </c>
      <c r="AE61" s="36">
        <v>36564.099039729779</v>
      </c>
      <c r="AF61" s="36">
        <v>177.55274549090285</v>
      </c>
      <c r="AG61" s="36">
        <v>130.10662661873866</v>
      </c>
      <c r="AH61" s="99">
        <v>0.20432166756275275</v>
      </c>
      <c r="AI61" s="99">
        <v>13.576534471267067</v>
      </c>
      <c r="AJ61" s="99">
        <v>-0.14965918536990855</v>
      </c>
      <c r="AK61" s="99">
        <v>-0.38928630843453671</v>
      </c>
      <c r="AL61" s="99">
        <v>0.94432174164852967</v>
      </c>
      <c r="AM61" s="36">
        <v>2606.4421870392302</v>
      </c>
      <c r="AN61" s="36">
        <v>314.98147190255457</v>
      </c>
      <c r="AO61" s="36">
        <v>627.96874326399927</v>
      </c>
      <c r="AP61" s="99">
        <v>18.916630937970261</v>
      </c>
      <c r="AQ61" s="130">
        <v>1390.8297277272327</v>
      </c>
      <c r="AR61" s="130">
        <v>457.31964771204053</v>
      </c>
      <c r="AS61" s="130">
        <v>267.99278644557114</v>
      </c>
      <c r="AT61" s="99">
        <v>27.784792409743169</v>
      </c>
      <c r="AU61" s="99">
        <v>2.5486483403016633</v>
      </c>
      <c r="AV61" s="99">
        <v>6.3205512569188124E-3</v>
      </c>
      <c r="AW61" s="99">
        <v>7.5929863763183295E-2</v>
      </c>
      <c r="AX61" s="99">
        <v>2.8026585562474877</v>
      </c>
      <c r="AY61" s="99">
        <v>33.38366587974631</v>
      </c>
      <c r="AZ61" s="99">
        <v>3.0361174948056475</v>
      </c>
      <c r="BA61" s="99">
        <v>2.2900932678217778</v>
      </c>
      <c r="BB61" s="36">
        <v>5.1554714334806979</v>
      </c>
      <c r="BC61" s="99">
        <v>24.249367642233789</v>
      </c>
      <c r="BD61" s="99">
        <v>3.775576336695611</v>
      </c>
      <c r="BE61" s="99">
        <v>1.2652902187115935</v>
      </c>
      <c r="BF61" s="36">
        <v>14.324229884223271</v>
      </c>
      <c r="BG61" s="99">
        <v>0.59607128175923951</v>
      </c>
      <c r="BH61" s="99">
        <v>4.5348609489360139E-3</v>
      </c>
      <c r="BI61" s="99">
        <v>2.1592390530549337E-2</v>
      </c>
      <c r="BJ61" s="99">
        <v>2.3419429694480693</v>
      </c>
      <c r="BK61" s="99">
        <v>0.58041229979133491</v>
      </c>
      <c r="BL61" s="99">
        <v>8.5276707855077322E-2</v>
      </c>
      <c r="BM61" s="99">
        <v>0.18281417200043423</v>
      </c>
      <c r="BN61" s="99">
        <v>23.482578087019387</v>
      </c>
      <c r="BO61" s="130">
        <v>67.822968693718309</v>
      </c>
      <c r="BP61" s="99">
        <v>6.6186233001084691</v>
      </c>
      <c r="BQ61" s="99">
        <v>7.3502239482505844</v>
      </c>
      <c r="BR61" s="99">
        <v>8.3081296025551676</v>
      </c>
      <c r="BS61" s="130">
        <v>79.853914150141307</v>
      </c>
      <c r="BT61" s="99">
        <v>2.1197221876184438</v>
      </c>
      <c r="BU61" s="99">
        <v>1.0783451331239469</v>
      </c>
      <c r="BV61" s="347">
        <v>1.5240221595916212</v>
      </c>
      <c r="BW61" s="130">
        <v>76.167902712360359</v>
      </c>
      <c r="BX61" s="99">
        <v>19.946061602767791</v>
      </c>
      <c r="BY61" s="99">
        <v>11.550176076165656</v>
      </c>
      <c r="BZ61" s="337">
        <v>23.892719569585243</v>
      </c>
      <c r="CA61" s="99">
        <v>8.0895471578510012</v>
      </c>
      <c r="CB61" s="99">
        <v>3.3647696140930848E-2</v>
      </c>
      <c r="CC61" s="99">
        <v>3.8231403541365859E-2</v>
      </c>
      <c r="CD61" s="130">
        <v>0.59974371894445822</v>
      </c>
      <c r="CE61" s="99">
        <v>1.9535046797097924</v>
      </c>
      <c r="CF61" s="99">
        <v>7.4148510786416738E-2</v>
      </c>
      <c r="CG61" s="99">
        <v>7.8444800160509032E-2</v>
      </c>
      <c r="CH61" s="36">
        <v>3.9712044975985661</v>
      </c>
      <c r="CI61" s="99">
        <v>0.44583999999999996</v>
      </c>
      <c r="CJ61" s="99">
        <v>-1.1199601791936286E-2</v>
      </c>
      <c r="CK61" s="99">
        <v>-2.9196473132590248E-2</v>
      </c>
      <c r="CL61" s="36">
        <v>3.150449977263893</v>
      </c>
    </row>
    <row r="62" spans="1:90" s="53" customFormat="1">
      <c r="B62" s="47" t="s">
        <v>700</v>
      </c>
      <c r="C62" s="337">
        <v>64155.449829243327</v>
      </c>
      <c r="D62" s="338">
        <v>759.35808957625625</v>
      </c>
      <c r="E62" s="338">
        <v>288.52187131613022</v>
      </c>
      <c r="F62" s="339">
        <v>1.2839969338073773</v>
      </c>
      <c r="G62" s="99">
        <v>34.373290331117161</v>
      </c>
      <c r="H62" s="340">
        <v>1.3958488638104416</v>
      </c>
      <c r="I62" s="341">
        <v>1.6595177879692558</v>
      </c>
      <c r="J62" s="293">
        <v>3.1477744219650381</v>
      </c>
      <c r="K62" s="99">
        <v>453.17164148230529</v>
      </c>
      <c r="L62" s="99">
        <v>46.541266181496958</v>
      </c>
      <c r="M62" s="99">
        <v>20.813462889082018</v>
      </c>
      <c r="N62" s="99">
        <v>10.195678436768926</v>
      </c>
      <c r="O62" s="99">
        <v>0.16837520977329121</v>
      </c>
      <c r="P62" s="99">
        <v>7.2103158716333646E-2</v>
      </c>
      <c r="Q62" s="99">
        <v>2.8999498733534995E-2</v>
      </c>
      <c r="R62" s="36">
        <v>36.549041177799822</v>
      </c>
      <c r="S62" s="99">
        <v>46.97086967083689</v>
      </c>
      <c r="T62" s="99">
        <v>11.864871199446608</v>
      </c>
      <c r="U62" s="99">
        <v>6.4394466544460078</v>
      </c>
      <c r="V62" s="99">
        <v>25.009101542724515</v>
      </c>
      <c r="W62" s="99">
        <v>290.45712851788704</v>
      </c>
      <c r="X62" s="99">
        <v>1.6131840861474864</v>
      </c>
      <c r="Y62" s="99">
        <v>0.85980382115656584</v>
      </c>
      <c r="Z62" s="130">
        <v>0.52597603361887879</v>
      </c>
      <c r="AA62" s="99">
        <v>48.420242433245392</v>
      </c>
      <c r="AB62" s="99">
        <v>5.7367473392323332</v>
      </c>
      <c r="AC62" s="99">
        <v>6.5141860249693035</v>
      </c>
      <c r="AD62" s="99">
        <v>13.880459574327411</v>
      </c>
      <c r="AE62" s="36">
        <v>56823.314208523108</v>
      </c>
      <c r="AF62" s="36">
        <v>330.79216237968927</v>
      </c>
      <c r="AG62" s="36">
        <v>181.41234785095418</v>
      </c>
      <c r="AH62" s="99">
        <v>0.68082292110549802</v>
      </c>
      <c r="AI62" s="99">
        <v>15.684239248795127</v>
      </c>
      <c r="AJ62" s="99">
        <v>-0.14945200929923616</v>
      </c>
      <c r="AK62" s="99">
        <v>-0.38883349950149554</v>
      </c>
      <c r="AL62" s="99">
        <v>1.1103575921947502</v>
      </c>
      <c r="AM62" s="36">
        <v>3763.6080313270149</v>
      </c>
      <c r="AN62" s="36">
        <v>355.52072411515167</v>
      </c>
      <c r="AO62" s="36">
        <v>803.16833208946753</v>
      </c>
      <c r="AP62" s="99">
        <v>21.34038203245829</v>
      </c>
      <c r="AQ62" s="130">
        <v>1885.0816909949915</v>
      </c>
      <c r="AR62" s="130">
        <v>599.88492167626919</v>
      </c>
      <c r="AS62" s="130">
        <v>313.97281407720936</v>
      </c>
      <c r="AT62" s="99">
        <v>34.984900762201676</v>
      </c>
      <c r="AU62" s="99">
        <v>2.7496048356724785</v>
      </c>
      <c r="AV62" s="99">
        <v>1.191362951712182E-2</v>
      </c>
      <c r="AW62" s="99">
        <v>8.7742871592805471E-2</v>
      </c>
      <c r="AX62" s="99">
        <v>4.0512400952349754</v>
      </c>
      <c r="AY62" s="99">
        <v>83.966726451080788</v>
      </c>
      <c r="AZ62" s="99">
        <v>5.7238375701422743</v>
      </c>
      <c r="BA62" s="99">
        <v>5.812562408390419</v>
      </c>
      <c r="BB62" s="36">
        <v>6.2997894456088579</v>
      </c>
      <c r="BC62" s="99">
        <v>28.725548848700686</v>
      </c>
      <c r="BD62" s="99">
        <v>7.56924524528017</v>
      </c>
      <c r="BE62" s="99">
        <v>1.7799892405444171</v>
      </c>
      <c r="BF62" s="36">
        <v>18.025020402004955</v>
      </c>
      <c r="BG62" s="99">
        <v>0.93635322096687301</v>
      </c>
      <c r="BH62" s="99">
        <v>7.9126784276558858E-3</v>
      </c>
      <c r="BI62" s="99">
        <v>3.1914876521354031E-2</v>
      </c>
      <c r="BJ62" s="99">
        <v>2.4495364498196301</v>
      </c>
      <c r="BK62" s="99">
        <v>0.87331636951382385</v>
      </c>
      <c r="BL62" s="99">
        <v>9.2916071782940091E-2</v>
      </c>
      <c r="BM62" s="99">
        <v>0.20835918268110507</v>
      </c>
      <c r="BN62" s="99">
        <v>24.97444136301382</v>
      </c>
      <c r="BO62" s="130">
        <v>88.47026105599052</v>
      </c>
      <c r="BP62" s="99">
        <v>12.492681217025359</v>
      </c>
      <c r="BQ62" s="99">
        <v>11.011913554149078</v>
      </c>
      <c r="BR62" s="99">
        <v>12.153990259055766</v>
      </c>
      <c r="BS62" s="130">
        <v>129.83446359289272</v>
      </c>
      <c r="BT62" s="99">
        <v>2.9735230845739529</v>
      </c>
      <c r="BU62" s="99">
        <v>1.2580978054724259</v>
      </c>
      <c r="BV62" s="347">
        <v>1.848146407675243</v>
      </c>
      <c r="BW62" s="130">
        <v>101.83463078233716</v>
      </c>
      <c r="BX62" s="99">
        <v>26.988813081913719</v>
      </c>
      <c r="BY62" s="99">
        <v>12.101851275331926</v>
      </c>
      <c r="BZ62" s="337">
        <v>26.990911974944087</v>
      </c>
      <c r="CA62" s="99">
        <v>8.7996525161611974</v>
      </c>
      <c r="CB62" s="99">
        <v>4.2294442861487577E-2</v>
      </c>
      <c r="CC62" s="99">
        <v>4.0265506208713608E-2</v>
      </c>
      <c r="CD62" s="130">
        <v>0.73137563418046503</v>
      </c>
      <c r="CE62" s="99">
        <v>2.1956849992008509</v>
      </c>
      <c r="CF62" s="99">
        <v>8.9566178188585602E-2</v>
      </c>
      <c r="CG62" s="99">
        <v>9.3229081522729684E-2</v>
      </c>
      <c r="CH62" s="36">
        <v>5.1542319314631975</v>
      </c>
      <c r="CI62" s="99">
        <v>1.03304</v>
      </c>
      <c r="CJ62" s="99">
        <v>6.3270466917320106E-2</v>
      </c>
      <c r="CK62" s="99">
        <v>-2.9094827586206896E-2</v>
      </c>
      <c r="CL62" s="36">
        <v>8.1734573946499349</v>
      </c>
    </row>
    <row r="63" spans="1:90" s="53" customFormat="1">
      <c r="B63" s="47" t="s">
        <v>1149</v>
      </c>
      <c r="C63" s="337">
        <v>77048.708625484433</v>
      </c>
      <c r="D63" s="338">
        <v>1099.1876772792782</v>
      </c>
      <c r="E63" s="338">
        <v>492.01354883023674</v>
      </c>
      <c r="F63" s="339">
        <v>1.3086932043902126</v>
      </c>
      <c r="G63" s="99">
        <v>190.91850566026287</v>
      </c>
      <c r="H63" s="340">
        <v>4.7488018004661132</v>
      </c>
      <c r="I63" s="341">
        <v>20.530974082434472</v>
      </c>
      <c r="J63" s="293">
        <v>6.5558638749408704</v>
      </c>
      <c r="K63" s="99">
        <v>565.53387764946194</v>
      </c>
      <c r="L63" s="99">
        <v>78.737477531007343</v>
      </c>
      <c r="M63" s="99">
        <v>38.079144550647428</v>
      </c>
      <c r="N63" s="99">
        <v>14.687878687491695</v>
      </c>
      <c r="O63" s="99">
        <v>0.30836089172295156</v>
      </c>
      <c r="P63" s="99">
        <v>7.9827772425561647E-2</v>
      </c>
      <c r="Q63" s="99">
        <v>4.1786865416787451E-2</v>
      </c>
      <c r="R63" s="36">
        <v>44.143587518779654</v>
      </c>
      <c r="S63" s="99">
        <v>60.99982475831866</v>
      </c>
      <c r="T63" s="99">
        <v>13.815590321784116</v>
      </c>
      <c r="U63" s="99">
        <v>7.3009277729212059</v>
      </c>
      <c r="V63" s="99">
        <v>28.277222345256391</v>
      </c>
      <c r="W63" s="99">
        <v>1195.9238012202518</v>
      </c>
      <c r="X63" s="99">
        <v>3.0239079061373362</v>
      </c>
      <c r="Y63" s="99">
        <v>1.2043510361423495</v>
      </c>
      <c r="Z63" s="130">
        <v>1.4509032119310963</v>
      </c>
      <c r="AA63" s="99">
        <v>60.331680720753198</v>
      </c>
      <c r="AB63" s="99">
        <v>6.8805989480586094</v>
      </c>
      <c r="AC63" s="99">
        <v>6.8924795526199363</v>
      </c>
      <c r="AD63" s="99">
        <v>16.021447693902925</v>
      </c>
      <c r="AE63" s="36">
        <v>86065.516302046977</v>
      </c>
      <c r="AF63" s="36">
        <v>416.96228299576279</v>
      </c>
      <c r="AG63" s="36">
        <v>232.58188091478581</v>
      </c>
      <c r="AH63" s="99">
        <v>1.1545137106624115</v>
      </c>
      <c r="AI63" s="99">
        <v>21.361033417340099</v>
      </c>
      <c r="AJ63" s="99">
        <v>-0.14885874958650347</v>
      </c>
      <c r="AK63" s="99">
        <v>-0.38851070894902878</v>
      </c>
      <c r="AL63" s="99">
        <v>1.5440501729170344</v>
      </c>
      <c r="AM63" s="36">
        <v>4722.275138993642</v>
      </c>
      <c r="AN63" s="36">
        <v>498.34450042941705</v>
      </c>
      <c r="AO63" s="36">
        <v>870.53055740351897</v>
      </c>
      <c r="AP63" s="99">
        <v>24.808442376853865</v>
      </c>
      <c r="AQ63" s="130">
        <v>2041.3884341625933</v>
      </c>
      <c r="AR63" s="130">
        <v>757.9398183778178</v>
      </c>
      <c r="AS63" s="130">
        <v>450.840899691419</v>
      </c>
      <c r="AT63" s="99">
        <v>42.34026924435156</v>
      </c>
      <c r="AU63" s="99">
        <v>3.1599046361635996</v>
      </c>
      <c r="AV63" s="99">
        <v>1.6248140985225312E-2</v>
      </c>
      <c r="AW63" s="99">
        <v>0.14167430273858472</v>
      </c>
      <c r="AX63" s="99">
        <v>6.7510231508473888</v>
      </c>
      <c r="AY63" s="99">
        <v>277.10459324479308</v>
      </c>
      <c r="AZ63" s="99">
        <v>15.327060111960433</v>
      </c>
      <c r="BA63" s="99">
        <v>12.170917957504932</v>
      </c>
      <c r="BB63" s="36">
        <v>7.3650953033736606</v>
      </c>
      <c r="BC63" s="99">
        <v>50.384579747039155</v>
      </c>
      <c r="BD63" s="99">
        <v>8.9588014960637015</v>
      </c>
      <c r="BE63" s="99">
        <v>2.9489413293561064</v>
      </c>
      <c r="BF63" s="36">
        <v>22.764130851982333</v>
      </c>
      <c r="BG63" s="99">
        <v>1.4433927545541683</v>
      </c>
      <c r="BH63" s="99">
        <v>1.2407230469106511E-2</v>
      </c>
      <c r="BI63" s="99">
        <v>4.1748852554601666E-2</v>
      </c>
      <c r="BJ63" s="99">
        <v>3.4309331374713765</v>
      </c>
      <c r="BK63" s="99">
        <v>0.98612170553068945</v>
      </c>
      <c r="BL63" s="99">
        <v>0.10158182504642377</v>
      </c>
      <c r="BM63" s="99">
        <v>0.23275024108290929</v>
      </c>
      <c r="BN63" s="99">
        <v>35.073459727776886</v>
      </c>
      <c r="BO63" s="130">
        <v>102.63438294816342</v>
      </c>
      <c r="BP63" s="99">
        <v>17.268502401442145</v>
      </c>
      <c r="BQ63" s="99">
        <v>14.081395168650189</v>
      </c>
      <c r="BR63" s="99">
        <v>19.433333375330534</v>
      </c>
      <c r="BS63" s="130">
        <v>199.877553990038</v>
      </c>
      <c r="BT63" s="99">
        <v>4.0697799857346082</v>
      </c>
      <c r="BU63" s="99">
        <v>1.5539860069539411</v>
      </c>
      <c r="BV63" s="347">
        <v>3.2943344697157184</v>
      </c>
      <c r="BW63" s="130">
        <v>126.04293762429808</v>
      </c>
      <c r="BX63" s="99">
        <v>33.285407241535324</v>
      </c>
      <c r="BY63" s="99">
        <v>12.806351642861088</v>
      </c>
      <c r="BZ63" s="337">
        <v>31.564537790526938</v>
      </c>
      <c r="CA63" s="99">
        <v>9.3025127504711502</v>
      </c>
      <c r="CB63" s="99">
        <v>6.923154599372236E-2</v>
      </c>
      <c r="CC63" s="99">
        <v>6.4738078446888822E-2</v>
      </c>
      <c r="CD63" s="130">
        <v>0.86929205256412823</v>
      </c>
      <c r="CE63" s="99">
        <v>2.3684828815202299</v>
      </c>
      <c r="CF63" s="99">
        <v>0.17400023500413789</v>
      </c>
      <c r="CG63" s="99">
        <v>0.1087975709269957</v>
      </c>
      <c r="CH63" s="36">
        <v>7.7135187507102563</v>
      </c>
      <c r="CI63" s="99">
        <v>2.3111900000000003</v>
      </c>
      <c r="CJ63" s="99">
        <v>7.3981328105561461E-2</v>
      </c>
      <c r="CK63" s="99">
        <v>3.5001195886433328E-2</v>
      </c>
      <c r="CL63" s="36">
        <v>11.135198573553403</v>
      </c>
    </row>
    <row r="64" spans="1:90" s="53" customFormat="1">
      <c r="B64" s="47" t="s">
        <v>701</v>
      </c>
      <c r="C64" s="337">
        <v>85830.816094772454</v>
      </c>
      <c r="D64" s="338">
        <v>1600.4898679925384</v>
      </c>
      <c r="E64" s="338">
        <v>929.13275447333376</v>
      </c>
      <c r="F64" s="339">
        <v>1.9427159952349577</v>
      </c>
      <c r="G64" s="99">
        <v>4396.2603755502223</v>
      </c>
      <c r="H64" s="340">
        <v>325.69651932469458</v>
      </c>
      <c r="I64" s="341">
        <v>318.16703172453737</v>
      </c>
      <c r="J64" s="293">
        <v>28.375605120824851</v>
      </c>
      <c r="K64" s="99">
        <v>636.66294181941271</v>
      </c>
      <c r="L64" s="99">
        <v>105.52740120472339</v>
      </c>
      <c r="M64" s="99">
        <v>52.869751624254079</v>
      </c>
      <c r="N64" s="99">
        <v>21.751208237064677</v>
      </c>
      <c r="O64" s="99">
        <v>0.73149366678193695</v>
      </c>
      <c r="P64" s="99">
        <v>0.11370022530670015</v>
      </c>
      <c r="Q64" s="99">
        <v>5.9592840634187391E-2</v>
      </c>
      <c r="R64" s="36">
        <v>50.61602405200022</v>
      </c>
      <c r="S64" s="99">
        <v>77.379545209319858</v>
      </c>
      <c r="T64" s="99">
        <v>19.307238268188794</v>
      </c>
      <c r="U64" s="99">
        <v>9.9005651168188393</v>
      </c>
      <c r="V64" s="99">
        <v>39.82513307589398</v>
      </c>
      <c r="W64" s="337">
        <v>1520.7495592348223</v>
      </c>
      <c r="X64" s="99">
        <v>3.3414582104741397</v>
      </c>
      <c r="Y64" s="99">
        <v>7.5316280713930732</v>
      </c>
      <c r="Z64" s="130">
        <v>7.4585964989721258</v>
      </c>
      <c r="AA64" s="337">
        <v>138.0882691552024</v>
      </c>
      <c r="AB64" s="99">
        <v>18.754789014921556</v>
      </c>
      <c r="AC64" s="99">
        <v>21.876217971854462</v>
      </c>
      <c r="AD64" s="99">
        <v>19.065705733854735</v>
      </c>
      <c r="AE64" s="36">
        <v>117837.56275874122</v>
      </c>
      <c r="AF64" s="36">
        <v>849.05517111519737</v>
      </c>
      <c r="AG64" s="36">
        <v>441.77445765885227</v>
      </c>
      <c r="AH64" s="99">
        <v>2.2487024753840363</v>
      </c>
      <c r="AI64" s="99">
        <v>26.690757773182515</v>
      </c>
      <c r="AJ64" s="99">
        <v>0.21753113909500471</v>
      </c>
      <c r="AK64" s="99">
        <v>-0.38785389823729399</v>
      </c>
      <c r="AL64" s="99">
        <v>1.8910042374948617</v>
      </c>
      <c r="AM64" s="36">
        <v>19228.904982802807</v>
      </c>
      <c r="AN64" s="36">
        <v>583.69939598566805</v>
      </c>
      <c r="AO64" s="36">
        <v>918.80850487995531</v>
      </c>
      <c r="AP64" s="99">
        <v>40.696697082157002</v>
      </c>
      <c r="AQ64" s="130">
        <v>2404.0963578407909</v>
      </c>
      <c r="AR64" s="130">
        <v>859.9757551520853</v>
      </c>
      <c r="AS64" s="130">
        <v>564.46670422956731</v>
      </c>
      <c r="AT64" s="99">
        <v>46.876394806279805</v>
      </c>
      <c r="AU64" s="99">
        <v>3.5993979450817037</v>
      </c>
      <c r="AV64" s="99">
        <v>3.0003733239296872E-2</v>
      </c>
      <c r="AW64" s="99">
        <v>0.18657620842091011</v>
      </c>
      <c r="AX64" s="99">
        <v>7.0731194225324652</v>
      </c>
      <c r="AY64" s="99">
        <v>403.15645407769404</v>
      </c>
      <c r="AZ64" s="99">
        <v>21.290021907674213</v>
      </c>
      <c r="BA64" s="99">
        <v>16.869837245438653</v>
      </c>
      <c r="BB64" s="36">
        <v>9.9239257019091998</v>
      </c>
      <c r="BC64" s="99">
        <v>132.12043703125093</v>
      </c>
      <c r="BD64" s="99">
        <v>22.296170117068471</v>
      </c>
      <c r="BE64" s="99">
        <v>8.4532382083443789</v>
      </c>
      <c r="BF64" s="36">
        <v>30.568950204965315</v>
      </c>
      <c r="BG64" s="99">
        <v>5.735857787731705</v>
      </c>
      <c r="BH64" s="99">
        <v>4.9797036506566632E-2</v>
      </c>
      <c r="BI64" s="99">
        <v>0.11692258273379731</v>
      </c>
      <c r="BJ64" s="99">
        <v>11.801511622978609</v>
      </c>
      <c r="BK64" s="99">
        <v>1.1639358344977373</v>
      </c>
      <c r="BL64" s="99">
        <v>0.11081435469319495</v>
      </c>
      <c r="BM64" s="99">
        <v>0.26755140305977654</v>
      </c>
      <c r="BN64" s="99">
        <v>44.33527312835168</v>
      </c>
      <c r="BO64" s="130">
        <v>227.44742060699602</v>
      </c>
      <c r="BP64" s="99">
        <v>20.303002479131688</v>
      </c>
      <c r="BQ64" s="99">
        <v>14.898875986211481</v>
      </c>
      <c r="BR64" s="99">
        <v>27.89894315708494</v>
      </c>
      <c r="BS64" s="130">
        <v>257.40216199433462</v>
      </c>
      <c r="BT64" s="99">
        <v>4.5513217679637892</v>
      </c>
      <c r="BU64" s="99">
        <v>1.882814662485661</v>
      </c>
      <c r="BV64" s="347">
        <v>4.9369148555773963</v>
      </c>
      <c r="BW64" s="130">
        <v>133.11350148169839</v>
      </c>
      <c r="BX64" s="99">
        <v>38.221735352700783</v>
      </c>
      <c r="BY64" s="99">
        <v>15.58841869450953</v>
      </c>
      <c r="BZ64" s="337">
        <v>33.044855624006217</v>
      </c>
      <c r="CA64" s="99">
        <v>9.8263990050463352</v>
      </c>
      <c r="CB64" s="99">
        <v>7.9163694649922109E-2</v>
      </c>
      <c r="CC64" s="99">
        <v>7.7510997698800307E-2</v>
      </c>
      <c r="CD64" s="130">
        <v>1.6380226449050024</v>
      </c>
      <c r="CE64" s="99">
        <v>3.0237425045723891</v>
      </c>
      <c r="CF64" s="99">
        <v>0.22815007253876138</v>
      </c>
      <c r="CG64" s="99">
        <v>0.11572509905654749</v>
      </c>
      <c r="CH64" s="36">
        <v>9.9643133263830368</v>
      </c>
      <c r="CI64" s="99">
        <v>6.2097239999999987</v>
      </c>
      <c r="CJ64" s="99">
        <v>1.7426668346772825</v>
      </c>
      <c r="CK64" s="99">
        <v>9.3731577373146913E-2</v>
      </c>
      <c r="CL64" s="36">
        <v>29.932924311960853</v>
      </c>
    </row>
    <row r="65" spans="1:90" s="53" customFormat="1">
      <c r="B65" s="47" t="s">
        <v>1150</v>
      </c>
      <c r="C65" s="337">
        <v>63299.820164642719</v>
      </c>
      <c r="D65" s="338">
        <v>774.68848608809049</v>
      </c>
      <c r="E65" s="338">
        <v>353.52321523913196</v>
      </c>
      <c r="F65" s="339">
        <v>1.2238399478436546</v>
      </c>
      <c r="G65" s="99">
        <v>63.747160186996716</v>
      </c>
      <c r="H65" s="340">
        <v>2.2714359405478057</v>
      </c>
      <c r="I65" s="341">
        <v>3.0036878416172939</v>
      </c>
      <c r="J65" s="293">
        <v>4.7339997090389137</v>
      </c>
      <c r="K65" s="99">
        <v>429.45266242929273</v>
      </c>
      <c r="L65" s="99">
        <v>36.79872830882482</v>
      </c>
      <c r="M65" s="99">
        <v>17.713997978737396</v>
      </c>
      <c r="N65" s="99">
        <v>8.5687507677015642</v>
      </c>
      <c r="O65" s="99">
        <v>0.19308310711213691</v>
      </c>
      <c r="P65" s="99">
        <v>6.1852960786619657E-2</v>
      </c>
      <c r="Q65" s="99">
        <v>2.7868653644366425E-2</v>
      </c>
      <c r="R65" s="36">
        <v>32.034371992313808</v>
      </c>
      <c r="S65" s="99">
        <v>41.141328416786621</v>
      </c>
      <c r="T65" s="99">
        <v>10.518549339041238</v>
      </c>
      <c r="U65" s="99">
        <v>5.4531960424313759</v>
      </c>
      <c r="V65" s="99">
        <v>25.566868508673203</v>
      </c>
      <c r="W65" s="99">
        <v>354.0363352476943</v>
      </c>
      <c r="X65" s="99">
        <v>1.7687403879338661</v>
      </c>
      <c r="Y65" s="99">
        <v>1.014115330449268</v>
      </c>
      <c r="Z65" s="130">
        <v>0.62034762955034128</v>
      </c>
      <c r="AA65" s="99">
        <v>49.526389017299259</v>
      </c>
      <c r="AB65" s="99">
        <v>6.4951894094915996</v>
      </c>
      <c r="AC65" s="99">
        <v>6.6996078443266498</v>
      </c>
      <c r="AD65" s="99">
        <v>14.177298186234841</v>
      </c>
      <c r="AE65" s="36">
        <v>56282.889701897948</v>
      </c>
      <c r="AF65" s="36">
        <v>308.08018109432152</v>
      </c>
      <c r="AG65" s="36">
        <v>189.4485400199849</v>
      </c>
      <c r="AH65" s="99">
        <v>0.56849904332374335</v>
      </c>
      <c r="AI65" s="99">
        <v>15.178409981333942</v>
      </c>
      <c r="AJ65" s="99" t="e">
        <v>#NUM!</v>
      </c>
      <c r="AK65" s="99" t="e">
        <v>#NUM!</v>
      </c>
      <c r="AL65" s="99">
        <v>1.1956129453258542</v>
      </c>
      <c r="AM65" s="36">
        <v>3975.6603687339766</v>
      </c>
      <c r="AN65" s="36">
        <v>367.55132788556864</v>
      </c>
      <c r="AO65" s="36">
        <v>733.16414368785433</v>
      </c>
      <c r="AP65" s="99">
        <v>18.441317308030658</v>
      </c>
      <c r="AQ65" s="130">
        <v>1536.2409230510161</v>
      </c>
      <c r="AR65" s="130">
        <v>496.0216716106097</v>
      </c>
      <c r="AS65" s="130">
        <v>272.19606447976957</v>
      </c>
      <c r="AT65" s="99">
        <v>32.288013173447901</v>
      </c>
      <c r="AU65" s="99">
        <v>2.5665842562268684</v>
      </c>
      <c r="AV65" s="99">
        <v>1.0995509093582614E-2</v>
      </c>
      <c r="AW65" s="99">
        <v>0.10110556544464223</v>
      </c>
      <c r="AX65" s="99">
        <v>3.9393043575073348</v>
      </c>
      <c r="AY65" s="99">
        <v>96.432083675454521</v>
      </c>
      <c r="AZ65" s="99">
        <v>5.5482958008777716</v>
      </c>
      <c r="BA65" s="99">
        <v>5.0548638044111209</v>
      </c>
      <c r="BB65" s="36">
        <v>6.30100785775688</v>
      </c>
      <c r="BC65" s="99">
        <v>36.447062903509597</v>
      </c>
      <c r="BD65" s="99">
        <v>5.7011507882401116</v>
      </c>
      <c r="BE65" s="99">
        <v>1.7925508470996554</v>
      </c>
      <c r="BF65" s="36">
        <v>15.64227768732259</v>
      </c>
      <c r="BG65" s="99">
        <v>1.184987256869386</v>
      </c>
      <c r="BH65" s="99">
        <v>8.6546187676144505E-3</v>
      </c>
      <c r="BI65" s="99">
        <v>3.5856375098276813E-2</v>
      </c>
      <c r="BJ65" s="99">
        <v>3.025886978144023</v>
      </c>
      <c r="BK65" s="99">
        <v>0.76039392924119553</v>
      </c>
      <c r="BL65" s="99">
        <v>9.2688810536010274E-2</v>
      </c>
      <c r="BM65" s="99">
        <v>0.21296527788677413</v>
      </c>
      <c r="BN65" s="99">
        <v>28.007230160200553</v>
      </c>
      <c r="BO65" s="130">
        <v>93.094104065253248</v>
      </c>
      <c r="BP65" s="99">
        <v>9.8681965856477589</v>
      </c>
      <c r="BQ65" s="99">
        <v>9.0239905118981252</v>
      </c>
      <c r="BR65" s="99">
        <v>11.117848507261035</v>
      </c>
      <c r="BS65" s="130">
        <v>121.6417153697227</v>
      </c>
      <c r="BT65" s="99">
        <v>2.7791166272312853</v>
      </c>
      <c r="BU65" s="99">
        <v>1.1761587575565893</v>
      </c>
      <c r="BV65" s="347">
        <v>2.2846739860452696</v>
      </c>
      <c r="BW65" s="130">
        <v>98.386674123932295</v>
      </c>
      <c r="BX65" s="99">
        <v>26.06855259594165</v>
      </c>
      <c r="BY65" s="99">
        <v>12.019591930126262</v>
      </c>
      <c r="BZ65" s="337">
        <v>26.496019738511055</v>
      </c>
      <c r="CA65" s="99">
        <v>7.764870421445937</v>
      </c>
      <c r="CB65" s="99">
        <v>4.64573852092506E-2</v>
      </c>
      <c r="CC65" s="99">
        <v>4.5906350497118872E-2</v>
      </c>
      <c r="CD65" s="130">
        <v>0.79476144025430573</v>
      </c>
      <c r="CE65" s="99">
        <v>2.120525042225863</v>
      </c>
      <c r="CF65" s="99">
        <v>0.10352958551237881</v>
      </c>
      <c r="CG65" s="99">
        <v>8.041225215783479E-2</v>
      </c>
      <c r="CH65" s="36">
        <v>5.5109330703675949</v>
      </c>
      <c r="CI65" s="99">
        <v>0.95247453791444181</v>
      </c>
      <c r="CJ65" s="99" t="e">
        <v>#NUM!</v>
      </c>
      <c r="CK65" s="99" t="e">
        <v>#NUM!</v>
      </c>
      <c r="CL65" s="36">
        <v>7.0496941795043355</v>
      </c>
    </row>
    <row r="66" spans="1:90" s="53" customFormat="1">
      <c r="B66" s="47" t="s">
        <v>1151</v>
      </c>
      <c r="C66" s="337">
        <v>64934.400354379977</v>
      </c>
      <c r="D66" s="338">
        <v>858.82520844554574</v>
      </c>
      <c r="E66" s="338">
        <v>417.02934342344878</v>
      </c>
      <c r="F66" s="339">
        <v>1.2765021438359436</v>
      </c>
      <c r="G66" s="99">
        <v>890.38176887831833</v>
      </c>
      <c r="H66" s="340">
        <v>61.38301667822374</v>
      </c>
      <c r="I66" s="341">
        <v>61.417165110594105</v>
      </c>
      <c r="J66" s="293">
        <v>8.6117463995686112</v>
      </c>
      <c r="K66" s="99">
        <v>450.49286053487413</v>
      </c>
      <c r="L66" s="99">
        <v>53.2977124366491</v>
      </c>
      <c r="M66" s="99">
        <v>25.43324538428789</v>
      </c>
      <c r="N66" s="99">
        <v>11.479349157054486</v>
      </c>
      <c r="O66" s="99">
        <v>0.26827042287389863</v>
      </c>
      <c r="P66" s="99">
        <v>6.8540945097165393E-2</v>
      </c>
      <c r="Q66" s="99">
        <v>3.2395857876582008E-2</v>
      </c>
      <c r="R66" s="36">
        <v>34.653333668885857</v>
      </c>
      <c r="S66" s="99">
        <v>46.375304746805107</v>
      </c>
      <c r="T66" s="99">
        <v>11.677523234935704</v>
      </c>
      <c r="U66" s="99">
        <v>6.2713792486496738</v>
      </c>
      <c r="V66" s="99">
        <v>26.490193309699087</v>
      </c>
      <c r="W66" s="99">
        <v>640.22204332229762</v>
      </c>
      <c r="X66" s="99">
        <v>1.9593729607328854</v>
      </c>
      <c r="Y66" s="99">
        <v>2.0661665820817783</v>
      </c>
      <c r="Z66" s="130">
        <v>1.7665161300116692</v>
      </c>
      <c r="AA66" s="99">
        <v>61.045905866667617</v>
      </c>
      <c r="AB66" s="99">
        <v>8.0487767953810092</v>
      </c>
      <c r="AC66" s="99">
        <v>8.7550866657759361</v>
      </c>
      <c r="AD66" s="99">
        <v>14.447671187502054</v>
      </c>
      <c r="AE66" s="36">
        <v>64570.094002530561</v>
      </c>
      <c r="AF66" s="36">
        <v>365.28225158803792</v>
      </c>
      <c r="AG66" s="36">
        <v>217.62038304291679</v>
      </c>
      <c r="AH66" s="99">
        <v>0.90894551549317248</v>
      </c>
      <c r="AI66" s="99">
        <v>16.773636579260412</v>
      </c>
      <c r="AJ66" s="99">
        <v>-6.8653889287010356E-2</v>
      </c>
      <c r="AK66" s="99">
        <v>-0.38883042604298335</v>
      </c>
      <c r="AL66" s="99">
        <v>1.2887954123121259</v>
      </c>
      <c r="AM66" s="36">
        <v>5778.3936645050362</v>
      </c>
      <c r="AN66" s="36">
        <v>392.6800745374801</v>
      </c>
      <c r="AO66" s="36">
        <v>746.71489516607585</v>
      </c>
      <c r="AP66" s="99">
        <v>22.23239871307258</v>
      </c>
      <c r="AQ66" s="130">
        <v>1682.5050133862137</v>
      </c>
      <c r="AR66" s="130">
        <v>576.97773576380632</v>
      </c>
      <c r="AS66" s="130">
        <v>335.67129704363492</v>
      </c>
      <c r="AT66" s="99">
        <v>34.433822653640433</v>
      </c>
      <c r="AU66" s="99">
        <v>2.6755108159478951</v>
      </c>
      <c r="AV66" s="99">
        <v>1.3854429435910186E-2</v>
      </c>
      <c r="AW66" s="99">
        <v>0.1104752978285808</v>
      </c>
      <c r="AX66" s="99">
        <v>4.4520944627998071</v>
      </c>
      <c r="AY66" s="99">
        <v>166.31858658636901</v>
      </c>
      <c r="AZ66" s="99">
        <v>9.2392491433542006</v>
      </c>
      <c r="BA66" s="99">
        <v>7.547189840014604</v>
      </c>
      <c r="BB66" s="36">
        <v>6.576809549330739</v>
      </c>
      <c r="BC66" s="99">
        <v>47.441762573898657</v>
      </c>
      <c r="BD66" s="99">
        <v>8.7047157143886977</v>
      </c>
      <c r="BE66" s="99">
        <v>2.8612562058690685</v>
      </c>
      <c r="BF66" s="36">
        <v>18.622835927951265</v>
      </c>
      <c r="BG66" s="99">
        <v>1.8411795509246456</v>
      </c>
      <c r="BH66" s="99">
        <v>1.4849263997446337E-2</v>
      </c>
      <c r="BI66" s="99">
        <v>4.5626787670137677E-2</v>
      </c>
      <c r="BJ66" s="99">
        <v>4.1877684375278674</v>
      </c>
      <c r="BK66" s="99">
        <v>0.80989323220639264</v>
      </c>
      <c r="BL66" s="99">
        <v>9.3445506317193158E-2</v>
      </c>
      <c r="BM66" s="99">
        <v>0.21543871770708523</v>
      </c>
      <c r="BN66" s="99">
        <v>29.110046983930228</v>
      </c>
      <c r="BO66" s="99">
        <v>107.11144035477085</v>
      </c>
      <c r="BP66" s="99">
        <v>11.94283448640309</v>
      </c>
      <c r="BQ66" s="99">
        <v>10.070307963750956</v>
      </c>
      <c r="BR66" s="99">
        <v>14.633929700505082</v>
      </c>
      <c r="BS66" s="130">
        <v>138.61571622971508</v>
      </c>
      <c r="BT66" s="99">
        <v>3.0156395378595451</v>
      </c>
      <c r="BU66" s="99">
        <v>1.2627194111172528</v>
      </c>
      <c r="BV66" s="347">
        <v>2.5525911411443905</v>
      </c>
      <c r="BW66" s="130">
        <v>101.34622676098344</v>
      </c>
      <c r="BX66" s="99">
        <v>27.152486102093853</v>
      </c>
      <c r="BY66" s="99">
        <v>12.218637487126186</v>
      </c>
      <c r="BZ66" s="337">
        <v>26.985601896486955</v>
      </c>
      <c r="CA66" s="99">
        <v>8.1008823471540659</v>
      </c>
      <c r="CB66" s="99">
        <v>5.0125383554237631E-2</v>
      </c>
      <c r="CC66" s="99">
        <v>4.9830386465734039E-2</v>
      </c>
      <c r="CD66" s="130">
        <v>0.8814532810773712</v>
      </c>
      <c r="CE66" s="99">
        <v>2.2014717292834769</v>
      </c>
      <c r="CF66" s="99">
        <v>0.11935194458001487</v>
      </c>
      <c r="CG66" s="99">
        <v>8.651007902745303E-2</v>
      </c>
      <c r="CH66" s="36">
        <v>5.9455437046062549</v>
      </c>
      <c r="CI66" s="99">
        <v>2.1005942307692309</v>
      </c>
      <c r="CJ66" s="99">
        <v>0.31111991028068547</v>
      </c>
      <c r="CK66" s="99">
        <v>9.5908923021960808E-3</v>
      </c>
      <c r="CL66" s="36">
        <v>10.468125809766672</v>
      </c>
    </row>
    <row r="67" spans="1:90" s="53" customFormat="1">
      <c r="B67" s="47"/>
      <c r="C67" s="337"/>
      <c r="D67" s="338"/>
      <c r="E67" s="338"/>
      <c r="F67" s="339"/>
      <c r="G67" s="99"/>
      <c r="H67" s="340"/>
      <c r="I67" s="341"/>
      <c r="J67" s="293"/>
      <c r="K67" s="99"/>
      <c r="L67" s="99"/>
      <c r="M67" s="99"/>
      <c r="N67" s="99"/>
      <c r="O67" s="99"/>
      <c r="P67" s="99"/>
      <c r="Q67" s="99"/>
      <c r="R67" s="36"/>
      <c r="S67" s="99"/>
      <c r="T67" s="99"/>
      <c r="U67" s="99"/>
      <c r="V67" s="99"/>
      <c r="W67" s="99"/>
      <c r="X67" s="99"/>
      <c r="Y67" s="99"/>
      <c r="Z67" s="130"/>
      <c r="AA67" s="99"/>
      <c r="AB67" s="99"/>
      <c r="AC67" s="99"/>
      <c r="AD67" s="99"/>
      <c r="AE67" s="36"/>
      <c r="AF67" s="36"/>
      <c r="AG67" s="36"/>
      <c r="AH67" s="99"/>
      <c r="AI67" s="99"/>
      <c r="AJ67" s="99"/>
      <c r="AK67" s="99"/>
      <c r="AL67" s="99"/>
      <c r="AM67" s="36"/>
      <c r="AN67" s="36"/>
      <c r="AO67" s="36"/>
      <c r="AP67" s="99"/>
      <c r="AQ67" s="130"/>
      <c r="AR67" s="130"/>
      <c r="AS67" s="130"/>
      <c r="AT67" s="99"/>
      <c r="AU67" s="99"/>
      <c r="AV67" s="99"/>
      <c r="AW67" s="99"/>
      <c r="AX67" s="99"/>
      <c r="AY67" s="99"/>
      <c r="AZ67" s="99"/>
      <c r="BA67" s="99"/>
      <c r="BB67" s="36"/>
      <c r="BC67" s="99"/>
      <c r="BD67" s="99"/>
      <c r="BE67" s="99"/>
      <c r="BF67" s="36"/>
      <c r="BG67" s="99"/>
      <c r="BH67" s="99"/>
      <c r="BI67" s="99"/>
      <c r="BJ67" s="99"/>
      <c r="BK67" s="99"/>
      <c r="BL67" s="99"/>
      <c r="BM67" s="99"/>
      <c r="BN67" s="99"/>
      <c r="BO67" s="99"/>
      <c r="BP67" s="99"/>
      <c r="BQ67" s="99"/>
      <c r="BR67" s="99"/>
      <c r="BS67" s="130"/>
      <c r="BT67" s="99"/>
      <c r="BU67" s="99"/>
      <c r="BV67" s="347"/>
      <c r="BW67" s="130"/>
      <c r="BX67" s="99"/>
      <c r="BY67" s="99"/>
      <c r="BZ67" s="337"/>
      <c r="CA67" s="99"/>
      <c r="CB67" s="99"/>
      <c r="CC67" s="99"/>
      <c r="CD67" s="130"/>
      <c r="CE67" s="99"/>
      <c r="CF67" s="99"/>
      <c r="CG67" s="99"/>
      <c r="CH67" s="36"/>
      <c r="CI67" s="99"/>
      <c r="CJ67" s="99"/>
      <c r="CK67" s="99"/>
      <c r="CL67" s="36"/>
    </row>
    <row r="68" spans="1:90" s="53" customFormat="1">
      <c r="B68" s="47"/>
      <c r="C68" s="337"/>
      <c r="D68" s="338"/>
      <c r="E68" s="338"/>
      <c r="F68" s="339"/>
      <c r="G68" s="99"/>
      <c r="H68" s="340"/>
      <c r="I68" s="341"/>
      <c r="J68" s="293"/>
      <c r="K68" s="99"/>
      <c r="L68" s="99"/>
      <c r="M68" s="99"/>
      <c r="N68" s="99"/>
      <c r="O68" s="99"/>
      <c r="P68" s="99"/>
      <c r="Q68" s="99"/>
      <c r="R68" s="36"/>
      <c r="S68" s="99"/>
      <c r="T68" s="99"/>
      <c r="U68" s="99"/>
      <c r="V68" s="99"/>
      <c r="W68" s="99"/>
      <c r="X68" s="99"/>
      <c r="Y68" s="99"/>
      <c r="Z68" s="130"/>
      <c r="AA68" s="99"/>
      <c r="AB68" s="99"/>
      <c r="AC68" s="99"/>
      <c r="AD68" s="99"/>
      <c r="AE68" s="36"/>
      <c r="AF68" s="36"/>
      <c r="AG68" s="36"/>
      <c r="AH68" s="99"/>
      <c r="AI68" s="99"/>
      <c r="AJ68" s="99"/>
      <c r="AK68" s="99"/>
      <c r="AL68" s="99"/>
      <c r="AM68" s="36"/>
      <c r="AN68" s="36"/>
      <c r="AO68" s="36"/>
      <c r="AP68" s="99"/>
      <c r="AQ68" s="130"/>
      <c r="AR68" s="130"/>
      <c r="AS68" s="130"/>
      <c r="AT68" s="99"/>
      <c r="AU68" s="99"/>
      <c r="AV68" s="99"/>
      <c r="AW68" s="99"/>
      <c r="AX68" s="99"/>
      <c r="AY68" s="99"/>
      <c r="AZ68" s="99"/>
      <c r="BA68" s="99"/>
      <c r="BB68" s="36"/>
      <c r="BC68" s="99"/>
      <c r="BD68" s="99"/>
      <c r="BE68" s="99"/>
      <c r="BF68" s="36"/>
      <c r="BG68" s="99"/>
      <c r="BH68" s="99"/>
      <c r="BI68" s="99"/>
      <c r="BJ68" s="99"/>
      <c r="BK68" s="99"/>
      <c r="BL68" s="99"/>
      <c r="BM68" s="99"/>
      <c r="BN68" s="99"/>
      <c r="BO68" s="99"/>
      <c r="BP68" s="99"/>
      <c r="BQ68" s="99"/>
      <c r="BR68" s="99"/>
      <c r="BS68" s="130"/>
      <c r="BT68" s="99"/>
      <c r="BU68" s="99"/>
      <c r="BV68" s="347"/>
      <c r="BW68" s="130"/>
      <c r="BX68" s="99"/>
      <c r="BY68" s="99"/>
      <c r="BZ68" s="337"/>
      <c r="CA68" s="99"/>
      <c r="CB68" s="99"/>
      <c r="CC68" s="99"/>
      <c r="CD68" s="130"/>
      <c r="CE68" s="99"/>
      <c r="CF68" s="99"/>
      <c r="CG68" s="99"/>
      <c r="CH68" s="36"/>
      <c r="CI68" s="99"/>
      <c r="CJ68" s="99"/>
      <c r="CK68" s="99"/>
      <c r="CL68" s="36"/>
    </row>
    <row r="69" spans="1:90" s="392" customFormat="1"/>
    <row r="70" spans="1:90" s="368" customFormat="1">
      <c r="A70" s="368" t="s">
        <v>1189</v>
      </c>
      <c r="C70" s="369"/>
      <c r="D70" s="370"/>
      <c r="E70" s="370"/>
      <c r="F70" s="370"/>
      <c r="G70" s="369"/>
      <c r="H70" s="371"/>
      <c r="I70" s="372"/>
      <c r="J70" s="371"/>
      <c r="K70" s="369"/>
    </row>
    <row r="71" spans="1:90" s="34" customFormat="1">
      <c r="A71" s="107" t="s">
        <v>1180</v>
      </c>
      <c r="B71" s="80"/>
      <c r="C71" s="80"/>
      <c r="D71" s="80"/>
      <c r="E71" s="80"/>
      <c r="F71" s="80"/>
      <c r="G71" s="78"/>
      <c r="H71" s="78"/>
      <c r="I71" s="78"/>
      <c r="J71" s="78"/>
      <c r="K71" s="78"/>
      <c r="L71" s="78"/>
      <c r="M71" s="78"/>
      <c r="N71" s="78"/>
      <c r="O71" s="78"/>
      <c r="P71" s="78"/>
      <c r="Q71" s="78"/>
      <c r="R71" s="78"/>
      <c r="S71" s="78"/>
      <c r="T71" s="78"/>
      <c r="U71" s="78"/>
      <c r="V71" s="78"/>
      <c r="W71" s="78"/>
      <c r="X71" s="78"/>
      <c r="Y71" s="78"/>
      <c r="Z71" s="78"/>
      <c r="AA71" s="78"/>
      <c r="AB71" s="78"/>
      <c r="AC71" s="78"/>
      <c r="AD71" s="78"/>
      <c r="AE71" s="78"/>
      <c r="AF71" s="78"/>
      <c r="AG71" s="78"/>
      <c r="AH71" s="78"/>
      <c r="AI71" s="78"/>
      <c r="AJ71" s="78"/>
      <c r="AK71" s="78"/>
      <c r="AL71" s="78"/>
      <c r="AM71" s="78"/>
      <c r="AN71" s="78"/>
      <c r="AO71" s="78"/>
      <c r="AP71" s="78"/>
      <c r="AQ71" s="78"/>
      <c r="AR71" s="78"/>
      <c r="AS71" s="78"/>
      <c r="AT71" s="78"/>
      <c r="AU71" s="78"/>
      <c r="AV71" s="78"/>
      <c r="AW71" s="78"/>
      <c r="AX71" s="78"/>
      <c r="AY71" s="78"/>
      <c r="AZ71" s="78"/>
      <c r="BA71" s="78"/>
      <c r="BB71" s="78"/>
      <c r="BC71" s="78"/>
      <c r="BD71" s="78"/>
      <c r="BE71" s="78"/>
      <c r="BF71" s="78"/>
      <c r="BG71" s="78"/>
      <c r="BH71" s="78"/>
      <c r="BI71" s="78"/>
      <c r="BJ71" s="78"/>
      <c r="BK71" s="78"/>
      <c r="BL71" s="78"/>
      <c r="BM71" s="78"/>
      <c r="BN71" s="78"/>
      <c r="BO71" s="78"/>
      <c r="BP71" s="78"/>
      <c r="BQ71" s="78"/>
      <c r="BR71" s="78"/>
      <c r="BS71" s="78"/>
      <c r="BT71" s="78"/>
      <c r="BU71" s="78"/>
      <c r="BV71" s="78"/>
      <c r="BW71" s="78"/>
    </row>
    <row r="72" spans="1:90" s="34" customFormat="1" ht="63">
      <c r="A72" s="26" t="s">
        <v>0</v>
      </c>
      <c r="B72" s="1" t="s">
        <v>692</v>
      </c>
      <c r="C72" s="83" t="s">
        <v>1</v>
      </c>
      <c r="D72" s="83" t="s">
        <v>301</v>
      </c>
      <c r="E72" s="83" t="s">
        <v>300</v>
      </c>
      <c r="F72" s="83" t="s">
        <v>348</v>
      </c>
      <c r="G72" s="83" t="s">
        <v>302</v>
      </c>
      <c r="H72" s="26" t="s">
        <v>303</v>
      </c>
      <c r="I72" s="26" t="s">
        <v>363</v>
      </c>
      <c r="J72" s="26" t="s">
        <v>681</v>
      </c>
      <c r="K72" s="26" t="s">
        <v>680</v>
      </c>
      <c r="L72" s="83" t="s">
        <v>686</v>
      </c>
      <c r="M72" s="83" t="s">
        <v>693</v>
      </c>
      <c r="N72" s="57" t="s">
        <v>23</v>
      </c>
      <c r="O72" s="70" t="s">
        <v>55</v>
      </c>
      <c r="P72" s="364" t="s">
        <v>3</v>
      </c>
      <c r="Q72" s="70" t="s">
        <v>15</v>
      </c>
      <c r="R72" s="57" t="s">
        <v>32</v>
      </c>
      <c r="S72" s="70" t="s">
        <v>19</v>
      </c>
      <c r="T72" s="57" t="s">
        <v>920</v>
      </c>
      <c r="U72" s="234" t="s">
        <v>921</v>
      </c>
      <c r="V72" s="70" t="s">
        <v>922</v>
      </c>
      <c r="W72" s="234" t="s">
        <v>923</v>
      </c>
      <c r="X72" s="150" t="s">
        <v>924</v>
      </c>
      <c r="Y72" s="234" t="s">
        <v>925</v>
      </c>
      <c r="Z72" s="70" t="s">
        <v>926</v>
      </c>
      <c r="AA72" s="234" t="s">
        <v>927</v>
      </c>
      <c r="AB72" s="57" t="s">
        <v>928</v>
      </c>
      <c r="AC72" s="234" t="s">
        <v>929</v>
      </c>
      <c r="AD72" s="70" t="s">
        <v>930</v>
      </c>
      <c r="AE72" s="234" t="s">
        <v>931</v>
      </c>
      <c r="AF72" s="78"/>
      <c r="AG72" s="315" t="s">
        <v>1065</v>
      </c>
      <c r="AH72" s="315" t="s">
        <v>1066</v>
      </c>
      <c r="AI72" s="315" t="s">
        <v>1067</v>
      </c>
      <c r="AJ72" s="315" t="s">
        <v>1068</v>
      </c>
      <c r="AK72" s="315" t="s">
        <v>1073</v>
      </c>
      <c r="AL72" s="315" t="s">
        <v>1074</v>
      </c>
      <c r="AM72" s="315" t="s">
        <v>1075</v>
      </c>
      <c r="AN72" s="315" t="s">
        <v>1076</v>
      </c>
      <c r="AO72" s="315" t="s">
        <v>1081</v>
      </c>
      <c r="AP72" s="315" t="s">
        <v>1082</v>
      </c>
      <c r="AQ72" s="315" t="s">
        <v>1083</v>
      </c>
      <c r="AR72" s="315" t="s">
        <v>1084</v>
      </c>
      <c r="AS72" s="315" t="s">
        <v>1108</v>
      </c>
      <c r="AT72" s="315" t="s">
        <v>1109</v>
      </c>
      <c r="AU72" s="315" t="s">
        <v>1110</v>
      </c>
      <c r="AV72" s="315" t="s">
        <v>1111</v>
      </c>
      <c r="AW72" s="315" t="s">
        <v>1112</v>
      </c>
      <c r="AX72" s="315" t="s">
        <v>1113</v>
      </c>
      <c r="AY72" s="315" t="s">
        <v>1114</v>
      </c>
      <c r="AZ72" s="315" t="s">
        <v>1115</v>
      </c>
      <c r="BA72" s="315" t="s">
        <v>1144</v>
      </c>
      <c r="BB72" s="315" t="s">
        <v>1145</v>
      </c>
      <c r="BC72" s="315" t="s">
        <v>1146</v>
      </c>
      <c r="BD72" s="315" t="s">
        <v>1147</v>
      </c>
      <c r="BE72" s="78"/>
      <c r="BF72" s="388" t="s">
        <v>1181</v>
      </c>
      <c r="BG72" s="80" t="s">
        <v>1182</v>
      </c>
      <c r="BH72" s="80" t="s">
        <v>1183</v>
      </c>
      <c r="BI72" s="80" t="s">
        <v>1184</v>
      </c>
      <c r="BJ72" s="80" t="s">
        <v>1185</v>
      </c>
      <c r="BK72" s="80" t="s">
        <v>1186</v>
      </c>
      <c r="BL72" s="78"/>
      <c r="BM72" s="78"/>
      <c r="BN72" s="78"/>
      <c r="BO72" s="78"/>
      <c r="BP72" s="78"/>
      <c r="BQ72" s="78"/>
      <c r="BR72" s="78"/>
      <c r="BS72" s="78"/>
      <c r="BT72" s="78"/>
      <c r="BU72" s="78"/>
      <c r="BV72" s="78"/>
      <c r="BW72" s="78"/>
    </row>
    <row r="73" spans="1:90" s="34" customFormat="1" ht="18">
      <c r="A73" s="27"/>
      <c r="B73" s="27"/>
      <c r="C73" s="116"/>
      <c r="D73" s="116"/>
      <c r="E73" s="116"/>
      <c r="F73" s="116"/>
      <c r="G73" s="116"/>
      <c r="H73" s="116"/>
      <c r="I73" s="116" t="s">
        <v>349</v>
      </c>
      <c r="J73" s="116"/>
      <c r="K73" s="116"/>
      <c r="L73" s="116"/>
      <c r="M73" s="116"/>
      <c r="N73" s="8" t="s">
        <v>403</v>
      </c>
      <c r="O73" s="8" t="s">
        <v>403</v>
      </c>
      <c r="P73" s="8" t="s">
        <v>403</v>
      </c>
      <c r="Q73" s="8" t="s">
        <v>403</v>
      </c>
      <c r="R73" s="8" t="s">
        <v>403</v>
      </c>
      <c r="S73" s="8" t="s">
        <v>403</v>
      </c>
      <c r="T73" s="8" t="s">
        <v>956</v>
      </c>
      <c r="U73" s="78"/>
      <c r="V73" s="78"/>
      <c r="W73" s="78"/>
      <c r="X73" s="78"/>
      <c r="Y73" s="78"/>
      <c r="Z73" s="78"/>
      <c r="AA73" s="78"/>
      <c r="AB73" s="78"/>
      <c r="AC73" s="78"/>
      <c r="AD73" s="78"/>
      <c r="AE73" s="78"/>
      <c r="AF73" s="78"/>
      <c r="AG73" s="32" t="s">
        <v>403</v>
      </c>
      <c r="AH73" s="32" t="s">
        <v>403</v>
      </c>
      <c r="AI73" s="32" t="s">
        <v>403</v>
      </c>
      <c r="AJ73" s="32" t="s">
        <v>407</v>
      </c>
      <c r="AK73" s="32" t="s">
        <v>403</v>
      </c>
      <c r="AL73" s="32" t="s">
        <v>403</v>
      </c>
      <c r="AM73" s="32" t="s">
        <v>403</v>
      </c>
      <c r="AN73" s="32" t="s">
        <v>407</v>
      </c>
      <c r="AO73" s="32" t="s">
        <v>403</v>
      </c>
      <c r="AP73" s="32" t="s">
        <v>403</v>
      </c>
      <c r="AQ73" s="32" t="s">
        <v>403</v>
      </c>
      <c r="AR73" s="32" t="s">
        <v>407</v>
      </c>
      <c r="AS73" s="32" t="s">
        <v>403</v>
      </c>
      <c r="AT73" s="32" t="s">
        <v>403</v>
      </c>
      <c r="AU73" s="32" t="s">
        <v>403</v>
      </c>
      <c r="AV73" s="32" t="s">
        <v>407</v>
      </c>
      <c r="AW73" s="32" t="s">
        <v>403</v>
      </c>
      <c r="AX73" s="32" t="s">
        <v>403</v>
      </c>
      <c r="AY73" s="32" t="s">
        <v>403</v>
      </c>
      <c r="AZ73" s="32" t="s">
        <v>407</v>
      </c>
      <c r="BA73" s="32" t="s">
        <v>403</v>
      </c>
      <c r="BB73" s="32" t="s">
        <v>403</v>
      </c>
      <c r="BC73" s="32" t="s">
        <v>403</v>
      </c>
      <c r="BD73" s="32" t="s">
        <v>407</v>
      </c>
      <c r="BE73" s="78"/>
      <c r="BF73" s="78"/>
      <c r="BG73" s="78"/>
      <c r="BH73" s="78"/>
      <c r="BI73" s="78"/>
      <c r="BJ73" s="78"/>
      <c r="BK73" s="78"/>
      <c r="BL73" s="78"/>
      <c r="BM73" s="78"/>
      <c r="BN73" s="78"/>
      <c r="BO73" s="78"/>
      <c r="BP73" s="78"/>
      <c r="BQ73" s="78"/>
      <c r="BR73" s="78"/>
      <c r="BS73" s="78"/>
      <c r="BT73" s="78"/>
      <c r="BU73" s="78"/>
      <c r="BV73" s="78"/>
      <c r="BW73" s="78"/>
    </row>
    <row r="74" spans="1:90" s="34" customFormat="1">
      <c r="A74" s="152" t="s">
        <v>297</v>
      </c>
      <c r="B74" s="43"/>
      <c r="C74" s="153"/>
      <c r="D74" s="153"/>
      <c r="E74" s="153"/>
      <c r="F74" s="153"/>
      <c r="G74" s="153"/>
      <c r="H74" s="116"/>
      <c r="I74" s="116"/>
      <c r="J74" s="116"/>
      <c r="K74" s="153"/>
      <c r="L74" s="153"/>
      <c r="M74" s="153"/>
      <c r="N74" s="57" t="s">
        <v>77</v>
      </c>
      <c r="O74" s="57" t="s">
        <v>69</v>
      </c>
      <c r="P74" s="56">
        <v>0.02</v>
      </c>
      <c r="Q74" s="57" t="s">
        <v>69</v>
      </c>
      <c r="R74" s="57" t="s">
        <v>83</v>
      </c>
      <c r="S74" s="57" t="s">
        <v>73</v>
      </c>
      <c r="T74" s="78"/>
      <c r="U74" s="78"/>
      <c r="V74" s="78"/>
      <c r="W74" s="78"/>
      <c r="X74" s="78"/>
      <c r="Y74" s="78"/>
      <c r="Z74" s="78"/>
      <c r="AA74" s="78"/>
      <c r="AB74" s="78"/>
      <c r="AC74" s="78"/>
      <c r="AD74" s="78"/>
      <c r="AE74" s="78"/>
      <c r="AF74" s="78"/>
      <c r="AG74" s="18"/>
      <c r="AH74" s="18"/>
      <c r="AI74" s="18"/>
      <c r="AJ74" s="18"/>
      <c r="AK74" s="18"/>
      <c r="AL74" s="18"/>
      <c r="AM74" s="18"/>
      <c r="AN74" s="18"/>
      <c r="AO74" s="18"/>
      <c r="AP74" s="18"/>
      <c r="AQ74" s="18"/>
      <c r="AR74" s="18"/>
      <c r="AS74" s="18"/>
      <c r="AT74" s="18"/>
      <c r="AU74" s="18"/>
      <c r="AV74" s="18"/>
      <c r="AW74" s="18"/>
      <c r="AX74" s="18"/>
      <c r="AY74" s="18"/>
      <c r="AZ74" s="18"/>
      <c r="BA74" s="18"/>
      <c r="BB74" s="18"/>
      <c r="BC74" s="18"/>
      <c r="BD74" s="18"/>
      <c r="BE74" s="78"/>
      <c r="BF74" s="78"/>
      <c r="BG74" s="78"/>
      <c r="BH74" s="78"/>
      <c r="BI74" s="78"/>
      <c r="BJ74" s="78"/>
      <c r="BK74" s="78"/>
      <c r="BL74" s="78"/>
      <c r="BM74" s="78"/>
      <c r="BN74" s="78"/>
      <c r="BO74" s="78"/>
      <c r="BP74" s="78"/>
      <c r="BQ74" s="78"/>
      <c r="BR74" s="78"/>
      <c r="BS74" s="78"/>
      <c r="BT74" s="78"/>
      <c r="BU74" s="78"/>
      <c r="BV74" s="78"/>
      <c r="BW74" s="78"/>
    </row>
    <row r="75" spans="1:90" s="34" customFormat="1">
      <c r="A75" s="53" t="s">
        <v>97</v>
      </c>
      <c r="B75" s="154" t="s">
        <v>98</v>
      </c>
      <c r="C75" s="155" t="s">
        <v>339</v>
      </c>
      <c r="D75" s="53">
        <v>0.258245</v>
      </c>
      <c r="E75" s="53">
        <v>34.717754999999997</v>
      </c>
      <c r="F75" s="53" t="s">
        <v>372</v>
      </c>
      <c r="G75" s="53" t="s">
        <v>330</v>
      </c>
      <c r="H75" s="116" t="s">
        <v>347</v>
      </c>
      <c r="I75" s="154" t="s">
        <v>371</v>
      </c>
      <c r="J75" s="116" t="s">
        <v>687</v>
      </c>
      <c r="K75" s="53" t="s">
        <v>366</v>
      </c>
      <c r="L75" s="53" t="s">
        <v>684</v>
      </c>
      <c r="M75" s="53" t="s">
        <v>683</v>
      </c>
      <c r="N75" s="156">
        <v>8.4</v>
      </c>
      <c r="O75" s="157">
        <v>18.5</v>
      </c>
      <c r="P75" s="75">
        <v>0.44583999999999996</v>
      </c>
      <c r="Q75" s="157">
        <v>1344</v>
      </c>
      <c r="R75" s="156">
        <v>7.3999999999999996E-2</v>
      </c>
      <c r="S75" s="157">
        <v>277.10000000000002</v>
      </c>
      <c r="T75" s="144">
        <f t="shared" ref="T75:T94" si="16">(N75*100*350*30*0.000001)/(70*30*365)</f>
        <v>1.1506849315068493E-5</v>
      </c>
      <c r="U75" s="158">
        <f t="shared" ref="U75:U94" si="17">T75/0.0003</f>
        <v>3.8356164383561646E-2</v>
      </c>
      <c r="V75" s="144">
        <f t="shared" ref="V75:V94" si="18">(O75*100*350*30*0.000001)/(70*30*365)</f>
        <v>2.5342465753424657E-5</v>
      </c>
      <c r="W75" s="158">
        <f t="shared" ref="W75:W94" si="19">V75/0.0036</f>
        <v>7.0395738203957387E-3</v>
      </c>
      <c r="X75" s="144">
        <f t="shared" ref="X75:X94" si="20">(P75*100*350*30*0.000001)/(70*30*365)</f>
        <v>6.1073972602739721E-7</v>
      </c>
      <c r="Y75" s="158">
        <f t="shared" ref="Y75:Y94" si="21">X75/0.0003</f>
        <v>2.035799086757991E-3</v>
      </c>
      <c r="Z75" s="144">
        <f t="shared" ref="Z75:Z94" si="22">(Q75*100*350*30*0.000001)/(70*30*365)</f>
        <v>1.841095890410959E-3</v>
      </c>
      <c r="AA75" s="158">
        <f t="shared" ref="AA75:AA94" si="23">Z75/0.003</f>
        <v>0.61369863013698633</v>
      </c>
      <c r="AB75" s="144">
        <f t="shared" ref="AB75:AB94" si="24">(R75*100*350*30*0.000001)/(70*30*365)</f>
        <v>1.0136986301369862E-7</v>
      </c>
      <c r="AC75" s="158">
        <f t="shared" ref="AC75:AC94" si="25">AB75/0.0005</f>
        <v>2.0273972602739723E-4</v>
      </c>
      <c r="AD75" s="144">
        <f t="shared" ref="AD75:AD94" si="26">(S75*100*350*30*0.000001)/(70*30*365)</f>
        <v>3.7958904109589047E-4</v>
      </c>
      <c r="AE75" s="158">
        <f t="shared" ref="AE75:AE94" si="27">AD75/0.02</f>
        <v>1.8979452054794524E-2</v>
      </c>
      <c r="AF75" s="78"/>
      <c r="AG75" s="320">
        <v>8.4033048715267977</v>
      </c>
      <c r="AH75" s="320">
        <v>0.22993813942122468</v>
      </c>
      <c r="AI75" s="320">
        <v>0.26240193369209985</v>
      </c>
      <c r="AJ75" s="320">
        <v>3.1226039957351208</v>
      </c>
      <c r="AK75" s="320">
        <v>7.3524960701585998E-2</v>
      </c>
      <c r="AL75" s="320">
        <v>4.1481191044569772E-2</v>
      </c>
      <c r="AM75" s="320">
        <v>1.490567495686647E-2</v>
      </c>
      <c r="AN75" s="320">
        <v>56.417835043705075</v>
      </c>
      <c r="AO75" s="321">
        <v>1344.0187702484768</v>
      </c>
      <c r="AP75" s="320">
        <v>1.763180705305037</v>
      </c>
      <c r="AQ75" s="320">
        <v>0.85980382115656584</v>
      </c>
      <c r="AR75" s="320">
        <v>0.13118720841815826</v>
      </c>
      <c r="AS75" s="323">
        <v>277.10459324479308</v>
      </c>
      <c r="AT75" s="320">
        <v>11.483981637983508</v>
      </c>
      <c r="AU75" s="320">
        <v>9.173967950164597</v>
      </c>
      <c r="AV75" s="320">
        <v>4.1442768968606032</v>
      </c>
      <c r="AW75" s="320">
        <v>18.536504555845532</v>
      </c>
      <c r="AX75" s="320">
        <v>3.3412087280097351</v>
      </c>
      <c r="AY75" s="320">
        <v>0.88091902962527435</v>
      </c>
      <c r="AZ75" s="320">
        <v>18.025020402004955</v>
      </c>
      <c r="BA75" s="320">
        <v>0.44583999999999996</v>
      </c>
      <c r="BB75" s="322">
        <v>-1.1199601791936286E-2</v>
      </c>
      <c r="BC75" s="320">
        <v>3.6440542448307266E-2</v>
      </c>
      <c r="BD75" s="320">
        <v>8.1734573946499349</v>
      </c>
      <c r="BE75" s="78"/>
      <c r="BF75" s="144">
        <f>AJ75*U75</f>
        <v>0.11977111216518273</v>
      </c>
      <c r="BG75" s="144">
        <f>AN75*AC75</f>
        <v>1.1438136419819658E-2</v>
      </c>
      <c r="BH75" s="144">
        <f>AR75*AA75</f>
        <v>8.0509410097719045E-2</v>
      </c>
      <c r="BI75" s="144">
        <f>BD75*Y75</f>
        <v>1.6639517099683684E-2</v>
      </c>
      <c r="BJ75" s="144">
        <f>AV75*AE75</f>
        <v>7.8656104665758453E-2</v>
      </c>
      <c r="BK75" s="144">
        <f>AZ75*W75</f>
        <v>0.12688846173405316</v>
      </c>
      <c r="BL75" s="78"/>
      <c r="BM75" s="78"/>
      <c r="BN75" s="78"/>
      <c r="BO75" s="78"/>
      <c r="BP75" s="78"/>
      <c r="BQ75" s="78"/>
      <c r="BR75" s="78"/>
      <c r="BS75" s="78"/>
      <c r="BT75" s="78"/>
      <c r="BU75" s="78"/>
      <c r="BV75" s="78"/>
      <c r="BW75" s="78"/>
    </row>
    <row r="76" spans="1:90" s="34" customFormat="1">
      <c r="A76" s="53" t="s">
        <v>105</v>
      </c>
      <c r="B76" s="53" t="s">
        <v>106</v>
      </c>
      <c r="C76" s="155" t="s">
        <v>339</v>
      </c>
      <c r="D76" s="53">
        <v>0.25812800000000002</v>
      </c>
      <c r="E76" s="53">
        <v>34.720103999999999</v>
      </c>
      <c r="F76" s="53" t="s">
        <v>372</v>
      </c>
      <c r="G76" s="53" t="s">
        <v>330</v>
      </c>
      <c r="H76" s="116" t="s">
        <v>347</v>
      </c>
      <c r="I76" s="154" t="s">
        <v>371</v>
      </c>
      <c r="J76" s="116" t="s">
        <v>687</v>
      </c>
      <c r="K76" s="53" t="s">
        <v>368</v>
      </c>
      <c r="L76" s="53" t="s">
        <v>684</v>
      </c>
      <c r="M76" s="53" t="s">
        <v>683</v>
      </c>
      <c r="N76" s="156">
        <v>25.5</v>
      </c>
      <c r="O76" s="157">
        <v>33.299999999999997</v>
      </c>
      <c r="P76" s="75">
        <v>0.32069999999999999</v>
      </c>
      <c r="Q76" s="157">
        <v>1071.9000000000001</v>
      </c>
      <c r="R76" s="156">
        <v>0.14099999999999999</v>
      </c>
      <c r="S76" s="157">
        <v>172.95</v>
      </c>
      <c r="T76" s="144">
        <f t="shared" si="16"/>
        <v>3.493150684931507E-5</v>
      </c>
      <c r="U76" s="158">
        <f t="shared" si="17"/>
        <v>0.11643835616438358</v>
      </c>
      <c r="V76" s="144">
        <f t="shared" si="18"/>
        <v>4.5616438356164367E-5</v>
      </c>
      <c r="W76" s="158">
        <f t="shared" si="19"/>
        <v>1.2671232876712325E-2</v>
      </c>
      <c r="X76" s="144">
        <f t="shared" si="20"/>
        <v>4.3931506849315068E-7</v>
      </c>
      <c r="Y76" s="158">
        <f t="shared" si="21"/>
        <v>1.4643835616438357E-3</v>
      </c>
      <c r="Z76" s="144">
        <f t="shared" si="22"/>
        <v>1.4683561643835618E-3</v>
      </c>
      <c r="AA76" s="158">
        <f t="shared" si="23"/>
        <v>0.48945205479452059</v>
      </c>
      <c r="AB76" s="144">
        <f t="shared" si="24"/>
        <v>1.931506849315068E-7</v>
      </c>
      <c r="AC76" s="158">
        <f t="shared" si="25"/>
        <v>3.8630136986301362E-4</v>
      </c>
      <c r="AD76" s="144">
        <f t="shared" si="26"/>
        <v>2.3691780821917809E-4</v>
      </c>
      <c r="AE76" s="158">
        <f t="shared" si="27"/>
        <v>1.1845890410958904E-2</v>
      </c>
      <c r="AF76" s="78"/>
      <c r="AG76" s="320">
        <v>25.537457130828905</v>
      </c>
      <c r="AH76" s="320">
        <v>1.3958488638104416</v>
      </c>
      <c r="AI76" s="320">
        <v>1.6595177879692558</v>
      </c>
      <c r="AJ76" s="320">
        <v>6.4983673960469623</v>
      </c>
      <c r="AK76" s="320">
        <v>0.14110532454557653</v>
      </c>
      <c r="AL76" s="320">
        <v>6.59641288577313E-2</v>
      </c>
      <c r="AM76" s="320">
        <v>2.07143393850675E-2</v>
      </c>
      <c r="AN76" s="320">
        <v>46.748150057530339</v>
      </c>
      <c r="AO76" s="321">
        <v>1071.8748816682303</v>
      </c>
      <c r="AP76" s="320">
        <v>1.4868829886286479</v>
      </c>
      <c r="AQ76" s="320">
        <v>0.68350719312511909</v>
      </c>
      <c r="AR76" s="320">
        <v>0.13871796177502665</v>
      </c>
      <c r="AS76" s="323">
        <v>172.94636292860238</v>
      </c>
      <c r="AT76" s="320">
        <v>16.656230493428151</v>
      </c>
      <c r="AU76" s="320">
        <v>12.170917957504932</v>
      </c>
      <c r="AV76" s="320">
        <v>9.6308648597047153</v>
      </c>
      <c r="AW76" s="320">
        <v>33.250754419297451</v>
      </c>
      <c r="AX76" s="320">
        <v>7.56924524528017</v>
      </c>
      <c r="AY76" s="320">
        <v>1.7799892405444171</v>
      </c>
      <c r="AZ76" s="320">
        <v>22.764130851982333</v>
      </c>
      <c r="BA76" s="320">
        <v>0.32069999999999999</v>
      </c>
      <c r="BB76" s="322">
        <v>-1.116440621898776E-2</v>
      </c>
      <c r="BC76" s="320">
        <v>3.5001195886433328E-2</v>
      </c>
      <c r="BD76" s="320">
        <v>10.913999340952083</v>
      </c>
      <c r="BE76" s="78"/>
      <c r="BF76" s="144">
        <f t="shared" ref="BF76:BF127" si="28">AJ76*U76</f>
        <v>0.75665921734793407</v>
      </c>
      <c r="BG76" s="144">
        <f t="shared" ref="BG76:BG127" si="29">AN76*AC76</f>
        <v>1.8058874405785689E-2</v>
      </c>
      <c r="BH76" s="144">
        <f t="shared" ref="BH76:BH127" si="30">AR76*AA76</f>
        <v>6.7895791427694557E-2</v>
      </c>
      <c r="BI76" s="144">
        <f t="shared" ref="BI76:BI127" si="31">BD76*Y76</f>
        <v>1.5982281226681886E-2</v>
      </c>
      <c r="BJ76" s="144">
        <f t="shared" ref="BJ76:BJ127" si="32">AV76*AE76</f>
        <v>0.11408616969081715</v>
      </c>
      <c r="BK76" s="144">
        <f t="shared" ref="BK76:BK127" si="33">AZ76*W76</f>
        <v>0.28844960326141988</v>
      </c>
      <c r="BL76" s="78"/>
      <c r="BM76" s="78"/>
      <c r="BN76" s="78"/>
      <c r="BO76" s="78"/>
      <c r="BP76" s="78"/>
      <c r="BQ76" s="78"/>
      <c r="BR76" s="78"/>
      <c r="BS76" s="78"/>
      <c r="BT76" s="78"/>
      <c r="BU76" s="78"/>
      <c r="BV76" s="78"/>
      <c r="BW76" s="78"/>
    </row>
    <row r="77" spans="1:90" s="34" customFormat="1">
      <c r="A77" s="53" t="s">
        <v>113</v>
      </c>
      <c r="B77" s="53" t="s">
        <v>114</v>
      </c>
      <c r="C77" s="155" t="s">
        <v>339</v>
      </c>
      <c r="D77" s="53">
        <v>0.26076500000000002</v>
      </c>
      <c r="E77" s="53">
        <v>34.720081</v>
      </c>
      <c r="F77" s="53" t="s">
        <v>372</v>
      </c>
      <c r="G77" s="53" t="s">
        <v>330</v>
      </c>
      <c r="H77" s="116" t="s">
        <v>347</v>
      </c>
      <c r="I77" s="154" t="s">
        <v>371</v>
      </c>
      <c r="J77" s="116" t="s">
        <v>687</v>
      </c>
      <c r="K77" s="53" t="s">
        <v>366</v>
      </c>
      <c r="L77" s="53" t="s">
        <v>684</v>
      </c>
      <c r="M77" s="53" t="s">
        <v>683</v>
      </c>
      <c r="N77" s="156">
        <v>16.399999999999999</v>
      </c>
      <c r="O77" s="157">
        <v>50.7</v>
      </c>
      <c r="P77" s="75">
        <v>1.03304</v>
      </c>
      <c r="Q77" s="157">
        <v>1413</v>
      </c>
      <c r="R77" s="156">
        <v>0.12</v>
      </c>
      <c r="S77" s="157">
        <v>215.62</v>
      </c>
      <c r="T77" s="144">
        <f>(N77*100*350*30*0.000001)/(70*30*365)</f>
        <v>2.2465753424657528E-5</v>
      </c>
      <c r="U77" s="158">
        <f>T77/0.0003</f>
        <v>7.4885844748858427E-2</v>
      </c>
      <c r="V77" s="144">
        <f>(O77*100*350*30*0.000001)/(70*30*365)</f>
        <v>6.945205479452055E-5</v>
      </c>
      <c r="W77" s="158">
        <f>V77/0.0036</f>
        <v>1.9292237442922376E-2</v>
      </c>
      <c r="X77" s="144">
        <f>(P77*100*350*30*0.000001)/(70*30*365)</f>
        <v>1.4151232876712328E-6</v>
      </c>
      <c r="Y77" s="158">
        <f>X77/0.0003</f>
        <v>4.7170776255707767E-3</v>
      </c>
      <c r="Z77" s="144">
        <f>(Q77*100*350*30*0.000001)/(70*30*365)</f>
        <v>1.9356164383561641E-3</v>
      </c>
      <c r="AA77" s="158">
        <f>Z77/0.003</f>
        <v>0.64520547945205464</v>
      </c>
      <c r="AB77" s="144">
        <f>(R77*100*350*30*0.000001)/(70*30*365)</f>
        <v>1.6438356164383561E-7</v>
      </c>
      <c r="AC77" s="158">
        <f>AB77/0.0005</f>
        <v>3.2876712328767124E-4</v>
      </c>
      <c r="AD77" s="144">
        <f>(S77*100*350*30*0.000001)/(70*30*365)</f>
        <v>2.9536986301369861E-4</v>
      </c>
      <c r="AE77" s="158">
        <f>AD77/0.02</f>
        <v>1.476849315068493E-2</v>
      </c>
      <c r="AF77" s="144"/>
      <c r="AG77" s="320">
        <v>16.395236345996992</v>
      </c>
      <c r="AH77" s="320">
        <v>1.0748493768183924</v>
      </c>
      <c r="AI77" s="320">
        <v>1.0434686643632061</v>
      </c>
      <c r="AJ77" s="320">
        <v>6.5558638749408704</v>
      </c>
      <c r="AK77" s="320">
        <v>0.11982944644025005</v>
      </c>
      <c r="AL77" s="320">
        <v>5.2897016562620969E-2</v>
      </c>
      <c r="AM77" s="320">
        <v>1.7356334510872366E-2</v>
      </c>
      <c r="AN77" s="320">
        <v>44.143587518779654</v>
      </c>
      <c r="AO77" s="321">
        <v>1413.0369616135163</v>
      </c>
      <c r="AP77" s="320">
        <v>1.6131840861474864</v>
      </c>
      <c r="AQ77" s="320">
        <v>0.81606983306438163</v>
      </c>
      <c r="AR77" s="320">
        <v>0.11416432336670276</v>
      </c>
      <c r="AS77" s="323">
        <v>215.62021031957937</v>
      </c>
      <c r="AT77" s="320">
        <v>15.327060111960433</v>
      </c>
      <c r="AU77" s="320">
        <v>12.851677806882222</v>
      </c>
      <c r="AV77" s="320">
        <v>7.1083596891235672</v>
      </c>
      <c r="AW77" s="320">
        <v>50.690068048083418</v>
      </c>
      <c r="AX77" s="320">
        <v>8.811474099996893</v>
      </c>
      <c r="AY77" s="320">
        <v>2.22311759709515</v>
      </c>
      <c r="AZ77" s="320">
        <v>17.383038609533003</v>
      </c>
      <c r="BA77" s="320">
        <v>1.03304</v>
      </c>
      <c r="BB77" s="322">
        <v>-1.1248125312447925E-2</v>
      </c>
      <c r="BC77" s="320">
        <v>3.2133754126535019E-2</v>
      </c>
      <c r="BD77" s="320">
        <v>3.110601150636473</v>
      </c>
      <c r="BE77" s="78"/>
      <c r="BF77" s="144">
        <f t="shared" si="28"/>
        <v>0.49094140433347144</v>
      </c>
      <c r="BG77" s="144">
        <f t="shared" si="29"/>
        <v>1.4512960280146736E-2</v>
      </c>
      <c r="BH77" s="144">
        <f t="shared" si="30"/>
        <v>7.3659446994132863E-2</v>
      </c>
      <c r="BI77" s="144">
        <f t="shared" si="31"/>
        <v>1.467294708974202E-2</v>
      </c>
      <c r="BJ77" s="144">
        <f t="shared" si="32"/>
        <v>0.10497976138142626</v>
      </c>
      <c r="BK77" s="144">
        <f t="shared" si="33"/>
        <v>0.33535770833459794</v>
      </c>
      <c r="BL77" s="78"/>
      <c r="BM77" s="78"/>
      <c r="BN77" s="78"/>
      <c r="BO77" s="78"/>
      <c r="BP77" s="78"/>
      <c r="BQ77" s="78"/>
      <c r="BR77" s="78"/>
      <c r="BS77" s="78"/>
      <c r="BT77" s="78"/>
      <c r="BU77" s="78"/>
      <c r="BV77" s="78"/>
      <c r="BW77" s="78"/>
    </row>
    <row r="78" spans="1:90" s="34" customFormat="1">
      <c r="A78" s="53" t="s">
        <v>109</v>
      </c>
      <c r="B78" s="53" t="s">
        <v>110</v>
      </c>
      <c r="C78" s="155" t="s">
        <v>339</v>
      </c>
      <c r="D78" s="53">
        <v>0.26076500000000002</v>
      </c>
      <c r="E78" s="53">
        <v>34.720081</v>
      </c>
      <c r="F78" s="53" t="s">
        <v>372</v>
      </c>
      <c r="G78" s="53" t="s">
        <v>330</v>
      </c>
      <c r="H78" s="116" t="s">
        <v>347</v>
      </c>
      <c r="I78" s="154" t="s">
        <v>371</v>
      </c>
      <c r="J78" s="116" t="s">
        <v>687</v>
      </c>
      <c r="K78" s="53" t="s">
        <v>361</v>
      </c>
      <c r="L78" s="53" t="s">
        <v>685</v>
      </c>
      <c r="M78" s="53" t="s">
        <v>690</v>
      </c>
      <c r="N78" s="156">
        <v>95.9</v>
      </c>
      <c r="O78" s="157">
        <v>24.8</v>
      </c>
      <c r="P78" s="75">
        <v>4.4837199999999999</v>
      </c>
      <c r="Q78" s="157">
        <v>1005</v>
      </c>
      <c r="R78" s="156">
        <v>0.124</v>
      </c>
      <c r="S78" s="157">
        <v>239.98</v>
      </c>
      <c r="T78" s="144">
        <f t="shared" si="16"/>
        <v>1.3136986301369861E-4</v>
      </c>
      <c r="U78" s="158">
        <f t="shared" si="17"/>
        <v>0.43789954337899539</v>
      </c>
      <c r="V78" s="144">
        <f t="shared" si="18"/>
        <v>3.3972602739726029E-5</v>
      </c>
      <c r="W78" s="158">
        <f t="shared" si="19"/>
        <v>9.4368340943683411E-3</v>
      </c>
      <c r="X78" s="144">
        <f t="shared" si="20"/>
        <v>6.1420821917808216E-6</v>
      </c>
      <c r="Y78" s="158">
        <f t="shared" si="21"/>
        <v>2.0473607305936073E-2</v>
      </c>
      <c r="Z78" s="144">
        <f t="shared" si="22"/>
        <v>1.3767123287671233E-3</v>
      </c>
      <c r="AA78" s="158">
        <f t="shared" si="23"/>
        <v>0.4589041095890411</v>
      </c>
      <c r="AB78" s="144">
        <f t="shared" si="24"/>
        <v>1.6986301369863011E-7</v>
      </c>
      <c r="AC78" s="158">
        <f t="shared" si="25"/>
        <v>3.3972602739726023E-4</v>
      </c>
      <c r="AD78" s="144">
        <f t="shared" si="26"/>
        <v>3.2873972602739726E-4</v>
      </c>
      <c r="AE78" s="158">
        <f t="shared" si="27"/>
        <v>1.6436986301369864E-2</v>
      </c>
      <c r="AF78" s="78"/>
      <c r="AG78" s="320">
        <v>95.858783473345241</v>
      </c>
      <c r="AH78" s="320">
        <v>5.8745570333353498</v>
      </c>
      <c r="AI78" s="320">
        <v>5.5033843224258936</v>
      </c>
      <c r="AJ78" s="320">
        <v>6.128345072279</v>
      </c>
      <c r="AK78" s="320">
        <v>0.12388898038316966</v>
      </c>
      <c r="AL78" s="320">
        <v>5.2148293993299864E-2</v>
      </c>
      <c r="AM78" s="320">
        <v>1.4753174169736309E-2</v>
      </c>
      <c r="AN78" s="320">
        <v>42.092762271521785</v>
      </c>
      <c r="AO78" s="321">
        <v>1005.0197695967014</v>
      </c>
      <c r="AP78" s="320">
        <v>2.4142467784143906</v>
      </c>
      <c r="AQ78" s="320">
        <v>1.2788987470653912</v>
      </c>
      <c r="AR78" s="320">
        <v>0.24021883463876434</v>
      </c>
      <c r="AS78" s="323">
        <v>239.98456757153579</v>
      </c>
      <c r="AT78" s="320">
        <v>12.234680303170325</v>
      </c>
      <c r="AU78" s="320">
        <v>9.8748536299720193</v>
      </c>
      <c r="AV78" s="320">
        <v>5.0981112773109256</v>
      </c>
      <c r="AW78" s="320">
        <v>24.82878665742475</v>
      </c>
      <c r="AX78" s="320">
        <v>4.6764231959440581</v>
      </c>
      <c r="AY78" s="320">
        <v>1.2339979922280058</v>
      </c>
      <c r="AZ78" s="320">
        <v>18.834682743329427</v>
      </c>
      <c r="BA78" s="320">
        <v>4.4837199999999999</v>
      </c>
      <c r="BB78" s="320">
        <v>0.10871851817672416</v>
      </c>
      <c r="BC78" s="320">
        <v>3.5245756075111406E-2</v>
      </c>
      <c r="BD78" s="320">
        <v>2.4247392383271964</v>
      </c>
      <c r="BE78" s="78"/>
      <c r="BF78" s="144">
        <f t="shared" si="28"/>
        <v>2.6835995088198907</v>
      </c>
      <c r="BG78" s="144">
        <f t="shared" si="29"/>
        <v>1.4300006908681372E-2</v>
      </c>
      <c r="BH78" s="144">
        <f t="shared" si="30"/>
        <v>0.11023741041641925</v>
      </c>
      <c r="BI78" s="144">
        <f t="shared" si="31"/>
        <v>4.9643158984805556E-2</v>
      </c>
      <c r="BJ78" s="144">
        <f t="shared" si="32"/>
        <v>8.3797585228018903E-2</v>
      </c>
      <c r="BK78" s="144">
        <f t="shared" si="33"/>
        <v>0.17773977626886217</v>
      </c>
      <c r="BL78" s="78"/>
      <c r="BM78" s="78"/>
      <c r="BN78" s="78"/>
      <c r="BO78" s="78"/>
      <c r="BP78" s="78"/>
      <c r="BQ78" s="78"/>
      <c r="BR78" s="78"/>
      <c r="BS78" s="78"/>
      <c r="BT78" s="78"/>
      <c r="BU78" s="78"/>
      <c r="BV78" s="78"/>
      <c r="BW78" s="78"/>
    </row>
    <row r="79" spans="1:90" s="34" customFormat="1">
      <c r="A79" s="53" t="s">
        <v>119</v>
      </c>
      <c r="B79" s="53" t="s">
        <v>120</v>
      </c>
      <c r="C79" s="155" t="s">
        <v>339</v>
      </c>
      <c r="D79" s="53">
        <v>0.25726700000000002</v>
      </c>
      <c r="E79" s="53">
        <v>34.722675000000002</v>
      </c>
      <c r="F79" s="53" t="s">
        <v>372</v>
      </c>
      <c r="G79" s="53" t="s">
        <v>330</v>
      </c>
      <c r="H79" s="116" t="s">
        <v>347</v>
      </c>
      <c r="I79" s="154" t="s">
        <v>371</v>
      </c>
      <c r="J79" s="116" t="s">
        <v>687</v>
      </c>
      <c r="K79" s="53" t="s">
        <v>366</v>
      </c>
      <c r="L79" s="53" t="s">
        <v>684</v>
      </c>
      <c r="M79" s="53" t="s">
        <v>683</v>
      </c>
      <c r="N79" s="156">
        <v>9.3000000000000007</v>
      </c>
      <c r="O79" s="157">
        <v>27.7</v>
      </c>
      <c r="P79" s="75">
        <v>1.8359799999999999</v>
      </c>
      <c r="Q79" s="157">
        <v>290.5</v>
      </c>
      <c r="R79" s="156">
        <v>6.2E-2</v>
      </c>
      <c r="S79" s="157">
        <v>83.97</v>
      </c>
      <c r="T79" s="144">
        <f t="shared" si="16"/>
        <v>1.2739726027397261E-5</v>
      </c>
      <c r="U79" s="158">
        <f t="shared" si="17"/>
        <v>4.246575342465754E-2</v>
      </c>
      <c r="V79" s="144">
        <f t="shared" si="18"/>
        <v>3.7945205479452054E-5</v>
      </c>
      <c r="W79" s="158">
        <f t="shared" si="19"/>
        <v>1.0540334855403349E-2</v>
      </c>
      <c r="X79" s="144">
        <f t="shared" si="20"/>
        <v>2.5150410958904105E-6</v>
      </c>
      <c r="Y79" s="158">
        <f t="shared" si="21"/>
        <v>8.3834703196347029E-3</v>
      </c>
      <c r="Z79" s="144">
        <f t="shared" si="22"/>
        <v>3.97945205479452E-4</v>
      </c>
      <c r="AA79" s="158">
        <f t="shared" si="23"/>
        <v>0.13264840182648399</v>
      </c>
      <c r="AB79" s="144">
        <f t="shared" si="24"/>
        <v>8.4931506849315056E-8</v>
      </c>
      <c r="AC79" s="158">
        <f t="shared" si="25"/>
        <v>1.6986301369863012E-4</v>
      </c>
      <c r="AD79" s="144">
        <f t="shared" si="26"/>
        <v>1.1502739726027396E-4</v>
      </c>
      <c r="AE79" s="158">
        <f t="shared" si="27"/>
        <v>5.7513698630136979E-3</v>
      </c>
      <c r="AF79" s="78"/>
      <c r="AG79" s="320">
        <v>9.2646140646525694</v>
      </c>
      <c r="AH79" s="320">
        <v>0.5042775127467598</v>
      </c>
      <c r="AI79" s="320">
        <v>0.56736105663758774</v>
      </c>
      <c r="AJ79" s="320">
        <v>6.1239578106361652</v>
      </c>
      <c r="AK79" s="320">
        <v>6.244550036505344E-2</v>
      </c>
      <c r="AL79" s="320">
        <v>1.7807443523424889E-2</v>
      </c>
      <c r="AM79" s="320">
        <v>1.4263974775215195E-2</v>
      </c>
      <c r="AN79" s="320">
        <v>28.516776099676385</v>
      </c>
      <c r="AO79" s="321">
        <v>290.45712851788704</v>
      </c>
      <c r="AP79" s="320">
        <v>1.5277348839416713</v>
      </c>
      <c r="AQ79" s="320">
        <v>1.1333383338596208</v>
      </c>
      <c r="AR79" s="320">
        <v>0.52597603361887879</v>
      </c>
      <c r="AS79" s="320">
        <v>83.966726451080788</v>
      </c>
      <c r="AT79" s="320">
        <v>5.7238375701422743</v>
      </c>
      <c r="AU79" s="320">
        <v>5.812562408390419</v>
      </c>
      <c r="AV79" s="320">
        <v>6.9224592336308728</v>
      </c>
      <c r="AW79" s="320">
        <v>27.726507031817398</v>
      </c>
      <c r="AX79" s="320">
        <v>0.37799752320538055</v>
      </c>
      <c r="AY79" s="320">
        <v>0.17333161980178374</v>
      </c>
      <c r="AZ79" s="320">
        <v>1.3633074038919204</v>
      </c>
      <c r="BA79" s="320">
        <v>1.8359799999999999</v>
      </c>
      <c r="BB79" s="320">
        <v>4.8016876023366094E-2</v>
      </c>
      <c r="BC79" s="320">
        <v>2.9986517915124702E-2</v>
      </c>
      <c r="BD79" s="320">
        <v>2.6153267477513968</v>
      </c>
      <c r="BE79" s="78"/>
      <c r="BF79" s="144">
        <f t="shared" si="28"/>
        <v>0.26005848236948104</v>
      </c>
      <c r="BG79" s="144">
        <f t="shared" si="29"/>
        <v>4.8439455292600972E-3</v>
      </c>
      <c r="BH79" s="144">
        <f t="shared" si="30"/>
        <v>6.9769880258577291E-2</v>
      </c>
      <c r="BI79" s="144">
        <f t="shared" si="31"/>
        <v>2.192551416592059E-2</v>
      </c>
      <c r="BJ79" s="144">
        <f t="shared" si="32"/>
        <v>3.9813623414245498E-2</v>
      </c>
      <c r="BK79" s="144">
        <f t="shared" si="33"/>
        <v>1.4369716547871459E-2</v>
      </c>
      <c r="BL79" s="78"/>
      <c r="BM79" s="78"/>
      <c r="BN79" s="78"/>
      <c r="BO79" s="78"/>
      <c r="BP79" s="78"/>
      <c r="BQ79" s="78"/>
      <c r="BR79" s="78"/>
      <c r="BS79" s="78"/>
      <c r="BT79" s="78"/>
      <c r="BU79" s="78"/>
      <c r="BV79" s="78"/>
      <c r="BW79" s="78"/>
    </row>
    <row r="80" spans="1:90" s="34" customFormat="1">
      <c r="A80" s="53" t="s">
        <v>148</v>
      </c>
      <c r="B80" s="53" t="s">
        <v>149</v>
      </c>
      <c r="C80" s="155" t="s">
        <v>340</v>
      </c>
      <c r="D80" s="53">
        <v>0.26547500000000002</v>
      </c>
      <c r="E80" s="53">
        <v>34.728920000000002</v>
      </c>
      <c r="F80" s="53" t="s">
        <v>373</v>
      </c>
      <c r="G80" s="53" t="s">
        <v>330</v>
      </c>
      <c r="H80" s="116" t="s">
        <v>347</v>
      </c>
      <c r="I80" s="154" t="s">
        <v>371</v>
      </c>
      <c r="J80" s="116" t="s">
        <v>687</v>
      </c>
      <c r="K80" s="53" t="s">
        <v>370</v>
      </c>
      <c r="L80" s="53" t="s">
        <v>684</v>
      </c>
      <c r="M80" s="53" t="s">
        <v>683</v>
      </c>
      <c r="N80" s="156">
        <v>4.8</v>
      </c>
      <c r="O80" s="157">
        <v>17.5</v>
      </c>
      <c r="P80" s="162">
        <v>8.3000000000000004E-2</v>
      </c>
      <c r="Q80" s="157">
        <v>1195.9000000000001</v>
      </c>
      <c r="R80" s="156">
        <v>0.14699999999999999</v>
      </c>
      <c r="S80" s="157">
        <v>369.65</v>
      </c>
      <c r="T80" s="144">
        <f t="shared" si="16"/>
        <v>6.5753424657534245E-6</v>
      </c>
      <c r="U80" s="158">
        <f t="shared" si="17"/>
        <v>2.1917808219178082E-2</v>
      </c>
      <c r="V80" s="144">
        <f t="shared" si="18"/>
        <v>2.3972602739726026E-5</v>
      </c>
      <c r="W80" s="158">
        <f t="shared" si="19"/>
        <v>6.6590563165905628E-3</v>
      </c>
      <c r="X80" s="144">
        <f t="shared" si="20"/>
        <v>1.1369863013698631E-7</v>
      </c>
      <c r="Y80" s="158">
        <f t="shared" si="21"/>
        <v>3.789954337899544E-4</v>
      </c>
      <c r="Z80" s="144">
        <f t="shared" si="22"/>
        <v>1.638219178082192E-3</v>
      </c>
      <c r="AA80" s="158">
        <f t="shared" si="23"/>
        <v>0.54607305936073069</v>
      </c>
      <c r="AB80" s="144">
        <f t="shared" si="24"/>
        <v>2.013698630136986E-7</v>
      </c>
      <c r="AC80" s="158">
        <f t="shared" si="25"/>
        <v>4.0273972602739721E-4</v>
      </c>
      <c r="AD80" s="144">
        <f t="shared" si="26"/>
        <v>5.0636986301369859E-4</v>
      </c>
      <c r="AE80" s="158">
        <f t="shared" si="27"/>
        <v>2.5318493150684931E-2</v>
      </c>
      <c r="AF80" s="78"/>
      <c r="AG80" s="320">
        <v>4.8290385735962911</v>
      </c>
      <c r="AH80" s="320">
        <v>6.0487318203437966E-2</v>
      </c>
      <c r="AI80" s="320">
        <v>9.7338218595221598E-2</v>
      </c>
      <c r="AJ80" s="320">
        <v>2.0156852572567399</v>
      </c>
      <c r="AK80" s="320">
        <v>0.1468093495789575</v>
      </c>
      <c r="AL80" s="320">
        <v>6.0659459308351073E-2</v>
      </c>
      <c r="AM80" s="320">
        <v>2.3124821448958739E-2</v>
      </c>
      <c r="AN80" s="320">
        <v>41.318526021891408</v>
      </c>
      <c r="AO80" s="321">
        <v>1195.9238012202518</v>
      </c>
      <c r="AP80" s="320">
        <v>3.3324518981415823</v>
      </c>
      <c r="AQ80" s="320">
        <v>1.9719706383002786</v>
      </c>
      <c r="AR80" s="320">
        <v>0.27865085507465776</v>
      </c>
      <c r="AS80" s="323">
        <v>369.64521666906273</v>
      </c>
      <c r="AT80" s="320">
        <v>21.096929998888726</v>
      </c>
      <c r="AU80" s="320">
        <v>16.665183912686306</v>
      </c>
      <c r="AV80" s="320">
        <v>5.7073455972180103</v>
      </c>
      <c r="AW80" s="320">
        <v>17.530373250600199</v>
      </c>
      <c r="AX80" s="320">
        <v>2.0251150051805471</v>
      </c>
      <c r="AY80" s="320">
        <v>0.59778398284655709</v>
      </c>
      <c r="AZ80" s="320">
        <v>11.552035865016233</v>
      </c>
      <c r="BA80" s="320">
        <v>8.3000000000000004E-2</v>
      </c>
      <c r="BB80" s="322">
        <v>-1.1212624584717607E-2</v>
      </c>
      <c r="BC80" s="322">
        <v>-2.9245125812364599E-2</v>
      </c>
      <c r="BD80" s="320" t="s">
        <v>288</v>
      </c>
      <c r="BE80" s="78"/>
      <c r="BF80" s="144">
        <f t="shared" si="28"/>
        <v>4.4179402898777857E-2</v>
      </c>
      <c r="BG80" s="144">
        <f t="shared" si="29"/>
        <v>1.6640611849912428E-2</v>
      </c>
      <c r="BH80" s="144">
        <f t="shared" si="30"/>
        <v>0.15216372492410196</v>
      </c>
      <c r="BI80" s="144" t="s">
        <v>288</v>
      </c>
      <c r="BJ80" s="144">
        <f t="shared" si="32"/>
        <v>0.144501390411756</v>
      </c>
      <c r="BK80" s="144">
        <f t="shared" si="33"/>
        <v>7.6925657396417074E-2</v>
      </c>
      <c r="BL80" s="78"/>
      <c r="BM80" s="78"/>
      <c r="BN80" s="78"/>
      <c r="BO80" s="78"/>
      <c r="BP80" s="78"/>
      <c r="BQ80" s="78"/>
      <c r="BR80" s="78"/>
      <c r="BS80" s="78"/>
      <c r="BT80" s="78"/>
      <c r="BU80" s="78"/>
      <c r="BV80" s="78"/>
      <c r="BW80" s="78"/>
    </row>
    <row r="81" spans="1:75" s="34" customFormat="1">
      <c r="A81" s="53" t="s">
        <v>150</v>
      </c>
      <c r="B81" s="53" t="s">
        <v>151</v>
      </c>
      <c r="C81" s="155" t="s">
        <v>340</v>
      </c>
      <c r="D81" s="53">
        <v>0.26495800000000003</v>
      </c>
      <c r="E81" s="53">
        <v>34.729039</v>
      </c>
      <c r="F81" s="53" t="s">
        <v>373</v>
      </c>
      <c r="G81" s="53" t="s">
        <v>330</v>
      </c>
      <c r="H81" s="116" t="s">
        <v>347</v>
      </c>
      <c r="I81" s="154" t="s">
        <v>371</v>
      </c>
      <c r="J81" s="116" t="s">
        <v>687</v>
      </c>
      <c r="K81" s="53" t="s">
        <v>368</v>
      </c>
      <c r="L81" s="53" t="s">
        <v>684</v>
      </c>
      <c r="M81" s="53" t="s">
        <v>683</v>
      </c>
      <c r="N81" s="156">
        <v>8.3000000000000007</v>
      </c>
      <c r="O81" s="157">
        <v>22</v>
      </c>
      <c r="P81" s="162">
        <v>6.5500000000000003E-2</v>
      </c>
      <c r="Q81" s="157">
        <v>1682.3</v>
      </c>
      <c r="R81" s="156">
        <v>0.18</v>
      </c>
      <c r="S81" s="157">
        <v>444.96</v>
      </c>
      <c r="T81" s="144">
        <f t="shared" si="16"/>
        <v>1.1369863013698632E-5</v>
      </c>
      <c r="U81" s="158">
        <f t="shared" si="17"/>
        <v>3.789954337899544E-2</v>
      </c>
      <c r="V81" s="144">
        <f t="shared" si="18"/>
        <v>3.0136986301369862E-5</v>
      </c>
      <c r="W81" s="158">
        <f t="shared" si="19"/>
        <v>8.3713850837138504E-3</v>
      </c>
      <c r="X81" s="144">
        <f t="shared" si="20"/>
        <v>8.9726027397260289E-8</v>
      </c>
      <c r="Y81" s="158">
        <f t="shared" si="21"/>
        <v>2.9908675799086767E-4</v>
      </c>
      <c r="Z81" s="144">
        <f t="shared" si="22"/>
        <v>2.3045205479452053E-3</v>
      </c>
      <c r="AA81" s="158">
        <f t="shared" si="23"/>
        <v>0.76817351598173511</v>
      </c>
      <c r="AB81" s="144">
        <f t="shared" si="24"/>
        <v>2.4657534246575342E-7</v>
      </c>
      <c r="AC81" s="158">
        <f t="shared" si="25"/>
        <v>4.9315068493150684E-4</v>
      </c>
      <c r="AD81" s="144">
        <f t="shared" si="26"/>
        <v>6.095342465753424E-4</v>
      </c>
      <c r="AE81" s="158">
        <f t="shared" si="27"/>
        <v>3.0476712328767121E-2</v>
      </c>
      <c r="AF81" s="78"/>
      <c r="AG81" s="320">
        <v>8.2687969228122071</v>
      </c>
      <c r="AH81" s="320">
        <v>0.10133868281499765</v>
      </c>
      <c r="AI81" s="320">
        <v>0.14963505074097352</v>
      </c>
      <c r="AJ81" s="320">
        <v>1.8096350912689103</v>
      </c>
      <c r="AK81" s="320">
        <v>0.18014861836015975</v>
      </c>
      <c r="AL81" s="320">
        <v>7.9827772425561647E-2</v>
      </c>
      <c r="AM81" s="320">
        <v>3.3744243840226847E-2</v>
      </c>
      <c r="AN81" s="320">
        <v>44.312175775873577</v>
      </c>
      <c r="AO81" s="321">
        <v>1682.3184556667823</v>
      </c>
      <c r="AP81" s="320">
        <v>3.0239079061373362</v>
      </c>
      <c r="AQ81" s="320">
        <v>2.5148803776260751</v>
      </c>
      <c r="AR81" s="320">
        <v>0.17974646214879803</v>
      </c>
      <c r="AS81" s="323">
        <v>444.96222705958093</v>
      </c>
      <c r="AT81" s="320">
        <v>21.579659770852444</v>
      </c>
      <c r="AU81" s="320">
        <v>17.176817244567172</v>
      </c>
      <c r="AV81" s="320">
        <v>4.8497734096343654</v>
      </c>
      <c r="AW81" s="320">
        <v>21.968397967379531</v>
      </c>
      <c r="AX81" s="320">
        <v>3.958522029585438</v>
      </c>
      <c r="AY81" s="320">
        <v>1.2714572376572453</v>
      </c>
      <c r="AZ81" s="320">
        <v>18.019165691842321</v>
      </c>
      <c r="BA81" s="320">
        <v>6.5500000000000003E-2</v>
      </c>
      <c r="BB81" s="322">
        <v>-1.120890069744271E-2</v>
      </c>
      <c r="BC81" s="322">
        <v>-2.9215914766106198E-2</v>
      </c>
      <c r="BD81" s="320" t="s">
        <v>288</v>
      </c>
      <c r="BE81" s="78"/>
      <c r="BF81" s="144">
        <f t="shared" si="28"/>
        <v>6.8584343641698436E-2</v>
      </c>
      <c r="BG81" s="144">
        <f t="shared" si="29"/>
        <v>2.185257983467738E-2</v>
      </c>
      <c r="BH81" s="144">
        <f t="shared" si="30"/>
        <v>0.13807647181412006</v>
      </c>
      <c r="BI81" s="144" t="s">
        <v>288</v>
      </c>
      <c r="BJ81" s="144">
        <f t="shared" si="32"/>
        <v>0.14780514906513062</v>
      </c>
      <c r="BK81" s="144">
        <f t="shared" si="33"/>
        <v>0.15084537489365718</v>
      </c>
      <c r="BL81" s="78"/>
      <c r="BM81" s="78"/>
      <c r="BN81" s="78"/>
      <c r="BO81" s="78"/>
      <c r="BP81" s="78"/>
      <c r="BQ81" s="78"/>
      <c r="BR81" s="78"/>
      <c r="BS81" s="78"/>
      <c r="BT81" s="78"/>
      <c r="BU81" s="78"/>
      <c r="BV81" s="78"/>
      <c r="BW81" s="78"/>
    </row>
    <row r="82" spans="1:75" s="34" customFormat="1">
      <c r="A82" s="53" t="s">
        <v>154</v>
      </c>
      <c r="B82" s="53" t="s">
        <v>155</v>
      </c>
      <c r="C82" s="155" t="s">
        <v>340</v>
      </c>
      <c r="D82" s="53">
        <v>0.20325199999999999</v>
      </c>
      <c r="E82" s="53">
        <v>34.716146999999999</v>
      </c>
      <c r="F82" s="53" t="s">
        <v>351</v>
      </c>
      <c r="G82" s="53" t="s">
        <v>330</v>
      </c>
      <c r="H82" s="116" t="s">
        <v>347</v>
      </c>
      <c r="I82" s="154" t="s">
        <v>371</v>
      </c>
      <c r="J82" s="116" t="s">
        <v>687</v>
      </c>
      <c r="K82" s="53" t="s">
        <v>367</v>
      </c>
      <c r="L82" s="53" t="s">
        <v>684</v>
      </c>
      <c r="M82" s="53" t="s">
        <v>683</v>
      </c>
      <c r="N82" s="156">
        <v>24.4</v>
      </c>
      <c r="O82" s="157">
        <v>17.899999999999999</v>
      </c>
      <c r="P82" s="162">
        <v>21.142099999999999</v>
      </c>
      <c r="Q82" s="157">
        <v>257.3</v>
      </c>
      <c r="R82" s="156">
        <v>0.11700000000000001</v>
      </c>
      <c r="S82" s="157">
        <v>77.98</v>
      </c>
      <c r="T82" s="144">
        <f t="shared" si="16"/>
        <v>3.3424657534246571E-5</v>
      </c>
      <c r="U82" s="158">
        <f t="shared" si="17"/>
        <v>0.11141552511415524</v>
      </c>
      <c r="V82" s="144">
        <f t="shared" si="18"/>
        <v>2.4520547945205474E-5</v>
      </c>
      <c r="W82" s="158">
        <f t="shared" si="19"/>
        <v>6.8112633181126314E-3</v>
      </c>
      <c r="X82" s="144">
        <f t="shared" si="20"/>
        <v>2.8961780821917807E-5</v>
      </c>
      <c r="Y82" s="158">
        <f t="shared" si="21"/>
        <v>9.6539269406392694E-2</v>
      </c>
      <c r="Z82" s="144">
        <f t="shared" si="22"/>
        <v>3.5246575342465751E-4</v>
      </c>
      <c r="AA82" s="158">
        <f t="shared" si="23"/>
        <v>0.11748858447488583</v>
      </c>
      <c r="AB82" s="144">
        <f t="shared" si="24"/>
        <v>1.6027397260273975E-7</v>
      </c>
      <c r="AC82" s="158">
        <f t="shared" si="25"/>
        <v>3.205479452054795E-4</v>
      </c>
      <c r="AD82" s="144">
        <f t="shared" si="26"/>
        <v>1.0682191780821917E-4</v>
      </c>
      <c r="AE82" s="158">
        <f t="shared" si="27"/>
        <v>5.3410958904109582E-3</v>
      </c>
      <c r="AF82" s="78"/>
      <c r="AG82" s="320">
        <v>24.430934841054878</v>
      </c>
      <c r="AH82" s="320">
        <v>0.28179388232344843</v>
      </c>
      <c r="AI82" s="320">
        <v>0.39626713540864755</v>
      </c>
      <c r="AJ82" s="320">
        <v>1.6219892443196313</v>
      </c>
      <c r="AK82" s="320">
        <v>0.11678127644201661</v>
      </c>
      <c r="AL82" s="320">
        <v>5.9240835293729019E-2</v>
      </c>
      <c r="AM82" s="320">
        <v>2.9750530287078185E-2</v>
      </c>
      <c r="AN82" s="320">
        <v>50.728025158333367</v>
      </c>
      <c r="AO82" s="321">
        <v>257.25252946886656</v>
      </c>
      <c r="AP82" s="320">
        <v>0.77394108229962799</v>
      </c>
      <c r="AQ82" s="320">
        <v>0.19059972052767116</v>
      </c>
      <c r="AR82" s="320">
        <v>0.30084877450866526</v>
      </c>
      <c r="AS82" s="320">
        <v>77.975252206712128</v>
      </c>
      <c r="AT82" s="320">
        <v>4.3303017955480492</v>
      </c>
      <c r="AU82" s="320">
        <v>3.2064350316054089</v>
      </c>
      <c r="AV82" s="320">
        <v>5.5534309578998649</v>
      </c>
      <c r="AW82" s="320">
        <v>17.916076758088597</v>
      </c>
      <c r="AX82" s="320">
        <v>4.4415103042119721</v>
      </c>
      <c r="AY82" s="320">
        <v>0.50971465633794077</v>
      </c>
      <c r="AZ82" s="320">
        <v>24.790641188823649</v>
      </c>
      <c r="BA82" s="320">
        <v>21.142099999999999</v>
      </c>
      <c r="BB82" s="320">
        <v>10.847543796696662</v>
      </c>
      <c r="BC82" s="320">
        <v>1.0608716450192073</v>
      </c>
      <c r="BD82" s="320">
        <v>51.307787763262226</v>
      </c>
      <c r="BE82" s="78"/>
      <c r="BF82" s="144">
        <f t="shared" si="28"/>
        <v>0.18071478338538358</v>
      </c>
      <c r="BG82" s="144">
        <f t="shared" si="29"/>
        <v>1.6260764228835628E-2</v>
      </c>
      <c r="BH82" s="144">
        <f t="shared" si="30"/>
        <v>3.5346296658027201E-2</v>
      </c>
      <c r="BI82" s="144">
        <f t="shared" si="31"/>
        <v>4.9532163455235905</v>
      </c>
      <c r="BJ82" s="144">
        <f t="shared" si="32"/>
        <v>2.9661407266919959E-2</v>
      </c>
      <c r="BK82" s="144">
        <f t="shared" si="33"/>
        <v>0.16885558496192662</v>
      </c>
      <c r="BL82" s="78"/>
      <c r="BM82" s="78"/>
      <c r="BN82" s="78"/>
      <c r="BO82" s="78"/>
      <c r="BP82" s="78"/>
      <c r="BQ82" s="78"/>
      <c r="BR82" s="78"/>
      <c r="BS82" s="78"/>
      <c r="BT82" s="78"/>
      <c r="BU82" s="78"/>
      <c r="BV82" s="78"/>
      <c r="BW82" s="78"/>
    </row>
    <row r="83" spans="1:75" s="34" customFormat="1">
      <c r="A83" s="53" t="s">
        <v>183</v>
      </c>
      <c r="B83" s="39" t="s">
        <v>184</v>
      </c>
      <c r="C83" s="155" t="s">
        <v>343</v>
      </c>
      <c r="D83" s="53">
        <v>0.19486300000000001</v>
      </c>
      <c r="E83" s="53">
        <v>34.750653</v>
      </c>
      <c r="F83" s="53" t="s">
        <v>355</v>
      </c>
      <c r="G83" s="53" t="s">
        <v>330</v>
      </c>
      <c r="H83" s="116" t="s">
        <v>347</v>
      </c>
      <c r="I83" s="154" t="s">
        <v>371</v>
      </c>
      <c r="J83" s="116" t="s">
        <v>687</v>
      </c>
      <c r="K83" s="53" t="s">
        <v>366</v>
      </c>
      <c r="L83" s="53" t="s">
        <v>684</v>
      </c>
      <c r="M83" s="53" t="s">
        <v>683</v>
      </c>
      <c r="N83" s="156">
        <v>190.9</v>
      </c>
      <c r="O83" s="157">
        <v>50.4</v>
      </c>
      <c r="P83" s="162">
        <v>6.8764050000000001</v>
      </c>
      <c r="Q83" s="157">
        <v>106.8</v>
      </c>
      <c r="R83" s="156">
        <v>0.308</v>
      </c>
      <c r="S83" s="157">
        <v>25.82</v>
      </c>
      <c r="T83" s="144">
        <f t="shared" si="16"/>
        <v>2.6150684931506847E-4</v>
      </c>
      <c r="U83" s="158">
        <f t="shared" si="17"/>
        <v>0.87168949771689497</v>
      </c>
      <c r="V83" s="144">
        <f t="shared" si="18"/>
        <v>6.9041095890410946E-5</v>
      </c>
      <c r="W83" s="158">
        <f t="shared" si="19"/>
        <v>1.9178082191780819E-2</v>
      </c>
      <c r="X83" s="144">
        <f t="shared" si="20"/>
        <v>9.4197328767123276E-6</v>
      </c>
      <c r="Y83" s="158">
        <f t="shared" si="21"/>
        <v>3.1399109589041095E-2</v>
      </c>
      <c r="Z83" s="144">
        <f t="shared" si="22"/>
        <v>1.4630136986301369E-4</v>
      </c>
      <c r="AA83" s="158">
        <f t="shared" si="23"/>
        <v>4.876712328767123E-2</v>
      </c>
      <c r="AB83" s="144">
        <f t="shared" si="24"/>
        <v>4.2191780821917803E-7</v>
      </c>
      <c r="AC83" s="158">
        <f t="shared" si="25"/>
        <v>8.4383561643835601E-4</v>
      </c>
      <c r="AD83" s="144">
        <f t="shared" si="26"/>
        <v>3.5369863013698624E-5</v>
      </c>
      <c r="AE83" s="158">
        <f t="shared" si="27"/>
        <v>1.7684931506849312E-3</v>
      </c>
      <c r="AF83" s="78"/>
      <c r="AG83" s="319">
        <v>190.91850566026287</v>
      </c>
      <c r="AH83" s="320">
        <v>4.7488018004661132</v>
      </c>
      <c r="AI83" s="320">
        <v>5.0098594899862272</v>
      </c>
      <c r="AJ83" s="320">
        <v>2.6240827062103715</v>
      </c>
      <c r="AK83" s="320">
        <v>0.30836089172295156</v>
      </c>
      <c r="AL83" s="320">
        <v>7.7837862856673629E-2</v>
      </c>
      <c r="AM83" s="320">
        <v>4.1786865416787451E-2</v>
      </c>
      <c r="AN83" s="320">
        <v>25.24245614343581</v>
      </c>
      <c r="AO83" s="321">
        <v>106.78444902175021</v>
      </c>
      <c r="AP83" s="320">
        <v>1.5493390006994978</v>
      </c>
      <c r="AQ83" s="320">
        <v>0.5117765348512664</v>
      </c>
      <c r="AR83" s="320">
        <v>1.4509032119310963</v>
      </c>
      <c r="AS83" s="320">
        <v>25.823791387085514</v>
      </c>
      <c r="AT83" s="320">
        <v>2.219515522145119</v>
      </c>
      <c r="AU83" s="320">
        <v>1.8435861976965482</v>
      </c>
      <c r="AV83" s="320">
        <v>8.5948476305268606</v>
      </c>
      <c r="AW83" s="320">
        <v>50.384579747039155</v>
      </c>
      <c r="AX83" s="320">
        <v>10.270534345707199</v>
      </c>
      <c r="AY83" s="320">
        <v>2.9489413293561064</v>
      </c>
      <c r="AZ83" s="320">
        <v>20.38428105835446</v>
      </c>
      <c r="BA83" s="320">
        <v>6.8764050000000001</v>
      </c>
      <c r="BB83" s="320">
        <v>1.4488945936633135</v>
      </c>
      <c r="BC83" s="320">
        <v>0.11733388606545095</v>
      </c>
      <c r="BD83" s="320">
        <v>21.07052440429721</v>
      </c>
      <c r="BE83" s="78"/>
      <c r="BF83" s="144">
        <f t="shared" si="28"/>
        <v>2.2873853361441094</v>
      </c>
      <c r="BG83" s="144">
        <f t="shared" si="29"/>
        <v>2.1300483540214323E-2</v>
      </c>
      <c r="BH83" s="144">
        <f t="shared" si="30"/>
        <v>7.0756375814721953E-2</v>
      </c>
      <c r="BI83" s="144">
        <f t="shared" si="31"/>
        <v>0.66159570486909292</v>
      </c>
      <c r="BJ83" s="144">
        <f t="shared" si="32"/>
        <v>1.5199929165767363E-2</v>
      </c>
      <c r="BK83" s="144">
        <f t="shared" si="33"/>
        <v>0.39093141755748273</v>
      </c>
      <c r="BL83" s="78"/>
      <c r="BM83" s="78"/>
      <c r="BN83" s="78"/>
      <c r="BO83" s="78"/>
      <c r="BP83" s="78"/>
      <c r="BQ83" s="78"/>
      <c r="BR83" s="78"/>
      <c r="BS83" s="78"/>
      <c r="BT83" s="78"/>
      <c r="BU83" s="78"/>
      <c r="BV83" s="78"/>
      <c r="BW83" s="78"/>
    </row>
    <row r="84" spans="1:75" s="34" customFormat="1">
      <c r="A84" s="53" t="s">
        <v>185</v>
      </c>
      <c r="B84" s="39" t="s">
        <v>186</v>
      </c>
      <c r="C84" s="155" t="s">
        <v>343</v>
      </c>
      <c r="D84" s="53">
        <v>0.19508500000000001</v>
      </c>
      <c r="E84" s="53">
        <v>34.751396</v>
      </c>
      <c r="F84" s="53" t="s">
        <v>355</v>
      </c>
      <c r="G84" s="53" t="s">
        <v>330</v>
      </c>
      <c r="H84" s="116" t="s">
        <v>347</v>
      </c>
      <c r="I84" s="154" t="s">
        <v>371</v>
      </c>
      <c r="J84" s="116" t="s">
        <v>687</v>
      </c>
      <c r="K84" s="53" t="s">
        <v>367</v>
      </c>
      <c r="L84" s="53" t="s">
        <v>684</v>
      </c>
      <c r="M84" s="53" t="s">
        <v>683</v>
      </c>
      <c r="N84" s="156">
        <v>103.2</v>
      </c>
      <c r="O84" s="157">
        <v>38.799999999999997</v>
      </c>
      <c r="P84" s="162">
        <v>16.768075</v>
      </c>
      <c r="Q84" s="157">
        <v>102.1</v>
      </c>
      <c r="R84" s="156">
        <v>0.26300000000000001</v>
      </c>
      <c r="S84" s="157">
        <v>44.34</v>
      </c>
      <c r="T84" s="144">
        <f t="shared" si="16"/>
        <v>1.4136986301369864E-4</v>
      </c>
      <c r="U84" s="158">
        <f t="shared" si="17"/>
        <v>0.47123287671232883</v>
      </c>
      <c r="V84" s="144">
        <f t="shared" si="18"/>
        <v>5.3150684931506834E-5</v>
      </c>
      <c r="W84" s="158">
        <f t="shared" si="19"/>
        <v>1.4764079147640788E-2</v>
      </c>
      <c r="X84" s="144">
        <f t="shared" si="20"/>
        <v>2.2969965753424659E-5</v>
      </c>
      <c r="Y84" s="158">
        <f t="shared" si="21"/>
        <v>7.6566552511415531E-2</v>
      </c>
      <c r="Z84" s="144">
        <f t="shared" si="22"/>
        <v>1.3986301369863015E-4</v>
      </c>
      <c r="AA84" s="158">
        <f t="shared" si="23"/>
        <v>4.6621004566210045E-2</v>
      </c>
      <c r="AB84" s="144">
        <f t="shared" si="24"/>
        <v>3.6027397260273974E-7</v>
      </c>
      <c r="AC84" s="158">
        <f t="shared" si="25"/>
        <v>7.2054794520547952E-4</v>
      </c>
      <c r="AD84" s="144">
        <f t="shared" si="26"/>
        <v>6.0739726027397255E-5</v>
      </c>
      <c r="AE84" s="158">
        <f t="shared" si="27"/>
        <v>3.0369863013698629E-3</v>
      </c>
      <c r="AF84" s="78"/>
      <c r="AG84" s="319">
        <v>103.18378413501281</v>
      </c>
      <c r="AH84" s="320">
        <v>2.6049037946278304</v>
      </c>
      <c r="AI84" s="320">
        <v>2.5860626826516482</v>
      </c>
      <c r="AJ84" s="320">
        <v>2.5245282642662086</v>
      </c>
      <c r="AK84" s="320">
        <v>0.26349670661430774</v>
      </c>
      <c r="AL84" s="320">
        <v>0.12198914732394533</v>
      </c>
      <c r="AM84" s="320">
        <v>5.0339351174306816E-2</v>
      </c>
      <c r="AN84" s="320">
        <v>46.296270223409834</v>
      </c>
      <c r="AO84" s="321">
        <v>102.12634228695497</v>
      </c>
      <c r="AP84" s="320">
        <v>0.34326916044394434</v>
      </c>
      <c r="AQ84" s="320">
        <v>0.14567156693677821</v>
      </c>
      <c r="AR84" s="320">
        <v>0.33612205505160009</v>
      </c>
      <c r="AS84" s="320">
        <v>44.342539023469776</v>
      </c>
      <c r="AT84" s="320">
        <v>3.8800784719559727</v>
      </c>
      <c r="AU84" s="320">
        <v>2.82883868493143</v>
      </c>
      <c r="AV84" s="320">
        <v>8.7502397413515531</v>
      </c>
      <c r="AW84" s="320">
        <v>38.801086307584086</v>
      </c>
      <c r="AX84" s="320">
        <v>9.2449379688515521</v>
      </c>
      <c r="AY84" s="320">
        <v>1.528939154642587</v>
      </c>
      <c r="AZ84" s="320">
        <v>23.826492628492542</v>
      </c>
      <c r="BA84" s="320">
        <v>16.768075</v>
      </c>
      <c r="BB84" s="320">
        <v>5.864994996713448</v>
      </c>
      <c r="BC84" s="320">
        <v>0.2452872602698416</v>
      </c>
      <c r="BD84" s="320">
        <v>34.977151501966972</v>
      </c>
      <c r="BE84" s="78"/>
      <c r="BF84" s="144">
        <f t="shared" si="28"/>
        <v>1.1896407163117477</v>
      </c>
      <c r="BG84" s="144">
        <f t="shared" si="29"/>
        <v>3.3358682380155581E-2</v>
      </c>
      <c r="BH84" s="144">
        <f t="shared" si="30"/>
        <v>1.5670347863364551E-2</v>
      </c>
      <c r="BI84" s="144">
        <f t="shared" si="31"/>
        <v>2.6780799071750909</v>
      </c>
      <c r="BJ84" s="144">
        <f t="shared" si="32"/>
        <v>2.657435822818684E-2</v>
      </c>
      <c r="BK84" s="144">
        <f t="shared" si="33"/>
        <v>0.35177622297774369</v>
      </c>
      <c r="BL84" s="78"/>
      <c r="BM84" s="78"/>
      <c r="BN84" s="78"/>
      <c r="BO84" s="78"/>
      <c r="BP84" s="78"/>
      <c r="BQ84" s="78"/>
      <c r="BR84" s="78"/>
      <c r="BS84" s="78"/>
      <c r="BT84" s="78"/>
      <c r="BU84" s="78"/>
      <c r="BV84" s="78"/>
      <c r="BW84" s="78"/>
    </row>
    <row r="85" spans="1:75" s="34" customFormat="1">
      <c r="A85" s="53" t="s">
        <v>207</v>
      </c>
      <c r="B85" s="39" t="s">
        <v>208</v>
      </c>
      <c r="C85" s="155" t="s">
        <v>341</v>
      </c>
      <c r="D85" s="53">
        <v>0.21768199999999999</v>
      </c>
      <c r="E85" s="53">
        <v>34.802346</v>
      </c>
      <c r="F85" s="53" t="s">
        <v>356</v>
      </c>
      <c r="G85" s="53" t="s">
        <v>330</v>
      </c>
      <c r="H85" s="116" t="s">
        <v>347</v>
      </c>
      <c r="I85" s="154" t="s">
        <v>371</v>
      </c>
      <c r="J85" s="116" t="s">
        <v>687</v>
      </c>
      <c r="K85" s="53" t="s">
        <v>366</v>
      </c>
      <c r="L85" s="53" t="s">
        <v>684</v>
      </c>
      <c r="M85" s="53" t="s">
        <v>683</v>
      </c>
      <c r="N85" s="156">
        <v>57.9</v>
      </c>
      <c r="O85" s="157">
        <v>28.7</v>
      </c>
      <c r="P85" s="162">
        <v>0.55713499999999994</v>
      </c>
      <c r="Q85" s="157">
        <v>72.599999999999994</v>
      </c>
      <c r="R85" s="156">
        <v>0.36799999999999999</v>
      </c>
      <c r="S85" s="157">
        <v>12.14</v>
      </c>
      <c r="T85" s="144">
        <f t="shared" si="16"/>
        <v>7.9315068493150681E-5</v>
      </c>
      <c r="U85" s="158">
        <f t="shared" si="17"/>
        <v>0.26438356164383564</v>
      </c>
      <c r="V85" s="144">
        <f t="shared" si="18"/>
        <v>3.9315068493150684E-5</v>
      </c>
      <c r="W85" s="158">
        <f t="shared" si="19"/>
        <v>1.0920852359208524E-2</v>
      </c>
      <c r="X85" s="144">
        <f t="shared" si="20"/>
        <v>7.6319863013698615E-7</v>
      </c>
      <c r="Y85" s="158">
        <f t="shared" si="21"/>
        <v>2.5439954337899539E-3</v>
      </c>
      <c r="Z85" s="144">
        <f t="shared" si="22"/>
        <v>9.945205479452052E-5</v>
      </c>
      <c r="AA85" s="158">
        <f t="shared" si="23"/>
        <v>3.3150684931506837E-2</v>
      </c>
      <c r="AB85" s="144">
        <f t="shared" si="24"/>
        <v>5.0410958904109573E-7</v>
      </c>
      <c r="AC85" s="158">
        <f t="shared" si="25"/>
        <v>1.0082191780821914E-3</v>
      </c>
      <c r="AD85" s="144">
        <f t="shared" si="26"/>
        <v>1.663013698630137E-5</v>
      </c>
      <c r="AE85" s="158">
        <f t="shared" si="27"/>
        <v>8.3150684931506845E-4</v>
      </c>
      <c r="AF85" s="78"/>
      <c r="AG85" s="320">
        <v>57.933006547320808</v>
      </c>
      <c r="AH85" s="320">
        <v>1.4648562194709771</v>
      </c>
      <c r="AI85" s="320">
        <v>1.6920778348012726</v>
      </c>
      <c r="AJ85" s="320">
        <v>2.9207492164577209</v>
      </c>
      <c r="AK85" s="320">
        <v>0.36826773139632002</v>
      </c>
      <c r="AL85" s="320">
        <v>8.5546489285733773E-2</v>
      </c>
      <c r="AM85" s="320">
        <v>5.1061959487409679E-2</v>
      </c>
      <c r="AN85" s="320">
        <v>23.229428481658335</v>
      </c>
      <c r="AO85" s="320">
        <v>72.645520623612995</v>
      </c>
      <c r="AP85" s="320">
        <v>3.3549676789729754</v>
      </c>
      <c r="AQ85" s="320">
        <v>1.2043510361423495</v>
      </c>
      <c r="AR85" s="320">
        <v>4.6182719184511747</v>
      </c>
      <c r="AS85" s="320">
        <v>12.144729275664575</v>
      </c>
      <c r="AT85" s="320">
        <v>0.76509237310608602</v>
      </c>
      <c r="AU85" s="320">
        <v>0.72587515606237418</v>
      </c>
      <c r="AV85" s="320">
        <v>6.2997894456088579</v>
      </c>
      <c r="AW85" s="320">
        <v>28.725548848700686</v>
      </c>
      <c r="AX85" s="320">
        <v>3.775576336695611</v>
      </c>
      <c r="AY85" s="320">
        <v>1.3270514291858644</v>
      </c>
      <c r="AZ85" s="320">
        <v>13.143617748025685</v>
      </c>
      <c r="BA85" s="320">
        <v>0.55713499999999994</v>
      </c>
      <c r="BB85" s="320">
        <v>6.3270466917320106E-2</v>
      </c>
      <c r="BC85" s="322">
        <v>-2.9109305025709072E-2</v>
      </c>
      <c r="BD85" s="320">
        <v>11.356397806154723</v>
      </c>
      <c r="BE85" s="78"/>
      <c r="BF85" s="144">
        <f t="shared" si="28"/>
        <v>0.77219808051553451</v>
      </c>
      <c r="BG85" s="144">
        <f t="shared" si="29"/>
        <v>2.3420355291096616E-2</v>
      </c>
      <c r="BH85" s="144">
        <f t="shared" si="30"/>
        <v>0.15309887729660052</v>
      </c>
      <c r="BI85" s="144">
        <f t="shared" si="31"/>
        <v>2.8890624163159864E-2</v>
      </c>
      <c r="BJ85" s="144">
        <f t="shared" si="32"/>
        <v>5.2383180732665435E-3</v>
      </c>
      <c r="BK85" s="144">
        <f t="shared" si="33"/>
        <v>0.14353950889206132</v>
      </c>
      <c r="BL85" s="78"/>
      <c r="BM85" s="78"/>
      <c r="BN85" s="78"/>
      <c r="BO85" s="78"/>
      <c r="BP85" s="78"/>
      <c r="BQ85" s="78"/>
      <c r="BR85" s="78"/>
      <c r="BS85" s="78"/>
      <c r="BT85" s="78"/>
      <c r="BU85" s="78"/>
      <c r="BV85" s="78"/>
      <c r="BW85" s="78"/>
    </row>
    <row r="86" spans="1:75" s="34" customFormat="1">
      <c r="A86" s="53" t="s">
        <v>223</v>
      </c>
      <c r="B86" s="39" t="s">
        <v>224</v>
      </c>
      <c r="C86" s="155" t="s">
        <v>341</v>
      </c>
      <c r="D86" s="53">
        <v>0.17374600000000001</v>
      </c>
      <c r="E86" s="53">
        <v>34.768698000000001</v>
      </c>
      <c r="F86" s="53" t="s">
        <v>358</v>
      </c>
      <c r="G86" s="53" t="s">
        <v>330</v>
      </c>
      <c r="H86" s="116" t="s">
        <v>347</v>
      </c>
      <c r="I86" s="154" t="s">
        <v>371</v>
      </c>
      <c r="J86" s="116" t="s">
        <v>687</v>
      </c>
      <c r="K86" s="53" t="s">
        <v>366</v>
      </c>
      <c r="L86" s="53" t="s">
        <v>684</v>
      </c>
      <c r="M86" s="53" t="s">
        <v>683</v>
      </c>
      <c r="N86" s="156">
        <v>42.2</v>
      </c>
      <c r="O86" s="157">
        <v>24.2</v>
      </c>
      <c r="P86" s="162">
        <v>1.6044850000000002</v>
      </c>
      <c r="Q86" s="157">
        <v>648.6</v>
      </c>
      <c r="R86" s="156">
        <v>0.16800000000000001</v>
      </c>
      <c r="S86" s="157">
        <v>375.29</v>
      </c>
      <c r="T86" s="144">
        <f t="shared" si="16"/>
        <v>5.7808219178082184E-5</v>
      </c>
      <c r="U86" s="158">
        <f t="shared" si="17"/>
        <v>0.19269406392694063</v>
      </c>
      <c r="V86" s="144">
        <f t="shared" si="18"/>
        <v>3.3150684931506849E-5</v>
      </c>
      <c r="W86" s="158">
        <f t="shared" si="19"/>
        <v>9.2085235920852365E-3</v>
      </c>
      <c r="X86" s="144">
        <f t="shared" si="20"/>
        <v>2.1979246575342467E-6</v>
      </c>
      <c r="Y86" s="158">
        <f t="shared" si="21"/>
        <v>7.3264155251141563E-3</v>
      </c>
      <c r="Z86" s="144">
        <f t="shared" si="22"/>
        <v>8.8849315068493151E-4</v>
      </c>
      <c r="AA86" s="158">
        <f t="shared" si="23"/>
        <v>0.29616438356164382</v>
      </c>
      <c r="AB86" s="144">
        <f t="shared" si="24"/>
        <v>2.3013698630136987E-7</v>
      </c>
      <c r="AC86" s="158">
        <f t="shared" si="25"/>
        <v>4.6027397260273975E-4</v>
      </c>
      <c r="AD86" s="144">
        <f t="shared" si="26"/>
        <v>5.1409589041095884E-4</v>
      </c>
      <c r="AE86" s="158">
        <f t="shared" si="27"/>
        <v>2.5704794520547941E-2</v>
      </c>
      <c r="AF86" s="78"/>
      <c r="AG86" s="320">
        <v>42.169318806236909</v>
      </c>
      <c r="AH86" s="320">
        <v>0.90032657469815902</v>
      </c>
      <c r="AI86" s="320">
        <v>1.0682601774204685</v>
      </c>
      <c r="AJ86" s="320">
        <v>2.5332640119917498</v>
      </c>
      <c r="AK86" s="320">
        <v>0.16837520977329121</v>
      </c>
      <c r="AL86" s="320">
        <v>7.2103158716333646E-2</v>
      </c>
      <c r="AM86" s="320">
        <v>2.8999498733534995E-2</v>
      </c>
      <c r="AN86" s="320">
        <v>42.822906539161522</v>
      </c>
      <c r="AO86" s="321">
        <v>648.64090536580943</v>
      </c>
      <c r="AP86" s="320">
        <v>3.1260711392750622</v>
      </c>
      <c r="AQ86" s="320">
        <v>0.91334920842449152</v>
      </c>
      <c r="AR86" s="320">
        <v>0.48194172051361356</v>
      </c>
      <c r="AS86" s="323">
        <v>375.28593875643628</v>
      </c>
      <c r="AT86" s="320">
        <v>14.697805389619042</v>
      </c>
      <c r="AU86" s="320">
        <v>11.746432220477999</v>
      </c>
      <c r="AV86" s="320">
        <v>3.9164284807265428</v>
      </c>
      <c r="AW86" s="320">
        <v>24.249367642233789</v>
      </c>
      <c r="AX86" s="320">
        <v>6.7063105992244925</v>
      </c>
      <c r="AY86" s="320">
        <v>1.2652902187115935</v>
      </c>
      <c r="AZ86" s="320">
        <v>27.655610233499367</v>
      </c>
      <c r="BA86" s="320">
        <v>1.6044850000000002</v>
      </c>
      <c r="BB86" s="320">
        <v>7.3981328105561461E-2</v>
      </c>
      <c r="BC86" s="322">
        <v>-2.9211051930758986E-2</v>
      </c>
      <c r="BD86" s="320">
        <v>4.6109080549560417</v>
      </c>
      <c r="BE86" s="78"/>
      <c r="BF86" s="144">
        <f t="shared" si="28"/>
        <v>0.48814493747055632</v>
      </c>
      <c r="BG86" s="144">
        <f t="shared" si="29"/>
        <v>1.9710269311175716E-2</v>
      </c>
      <c r="BH86" s="144">
        <f t="shared" si="30"/>
        <v>0.14273397256855239</v>
      </c>
      <c r="BI86" s="144">
        <f t="shared" si="31"/>
        <v>3.3781428358703861E-2</v>
      </c>
      <c r="BJ86" s="144">
        <f t="shared" si="32"/>
        <v>0.10067098935149754</v>
      </c>
      <c r="BK86" s="144">
        <f t="shared" si="33"/>
        <v>0.25466733928869284</v>
      </c>
      <c r="BL86" s="78"/>
      <c r="BM86" s="78"/>
      <c r="BN86" s="78"/>
      <c r="BO86" s="78"/>
      <c r="BP86" s="78"/>
      <c r="BQ86" s="78"/>
      <c r="BR86" s="78"/>
      <c r="BS86" s="78"/>
      <c r="BT86" s="78"/>
      <c r="BU86" s="78"/>
      <c r="BV86" s="78"/>
      <c r="BW86" s="78"/>
    </row>
    <row r="87" spans="1:75" s="34" customFormat="1">
      <c r="A87" s="53" t="s">
        <v>227</v>
      </c>
      <c r="B87" s="39" t="s">
        <v>228</v>
      </c>
      <c r="C87" s="155" t="s">
        <v>341</v>
      </c>
      <c r="D87" s="53">
        <v>0.10542700000000001</v>
      </c>
      <c r="E87" s="53">
        <v>34.698397999999997</v>
      </c>
      <c r="F87" s="53" t="s">
        <v>359</v>
      </c>
      <c r="G87" s="53" t="s">
        <v>334</v>
      </c>
      <c r="H87" s="116" t="s">
        <v>347</v>
      </c>
      <c r="I87" s="154" t="s">
        <v>371</v>
      </c>
      <c r="J87" s="116" t="s">
        <v>687</v>
      </c>
      <c r="K87" s="53" t="s">
        <v>364</v>
      </c>
      <c r="L87" s="53" t="s">
        <v>685</v>
      </c>
      <c r="M87" s="53" t="s">
        <v>690</v>
      </c>
      <c r="N87" s="156">
        <v>847.1</v>
      </c>
      <c r="O87" s="157">
        <v>290.39999999999998</v>
      </c>
      <c r="P87" s="162">
        <v>3.3985000000000001E-2</v>
      </c>
      <c r="Q87" s="157">
        <v>250.7</v>
      </c>
      <c r="R87" s="156">
        <v>0.753</v>
      </c>
      <c r="S87" s="157">
        <v>124.68</v>
      </c>
      <c r="T87" s="144">
        <f t="shared" si="16"/>
        <v>1.1604109589041095E-3</v>
      </c>
      <c r="U87" s="158">
        <f t="shared" si="17"/>
        <v>3.8680365296803654</v>
      </c>
      <c r="V87" s="144">
        <f t="shared" si="18"/>
        <v>3.9780821917808208E-4</v>
      </c>
      <c r="W87" s="158">
        <f t="shared" si="19"/>
        <v>0.1105022831050228</v>
      </c>
      <c r="X87" s="144">
        <f t="shared" si="20"/>
        <v>4.6554794520547952E-8</v>
      </c>
      <c r="Y87" s="158">
        <f t="shared" si="21"/>
        <v>1.5518264840182653E-4</v>
      </c>
      <c r="Z87" s="144">
        <f t="shared" si="22"/>
        <v>3.4342465753424661E-4</v>
      </c>
      <c r="AA87" s="158">
        <f t="shared" si="23"/>
        <v>0.11447488584474887</v>
      </c>
      <c r="AB87" s="144">
        <f t="shared" si="24"/>
        <v>1.0315068493150685E-6</v>
      </c>
      <c r="AC87" s="158">
        <f t="shared" si="25"/>
        <v>2.0630136986301371E-3</v>
      </c>
      <c r="AD87" s="144">
        <f t="shared" si="26"/>
        <v>1.7079452054794518E-4</v>
      </c>
      <c r="AE87" s="158">
        <f t="shared" si="27"/>
        <v>8.539726027397259E-3</v>
      </c>
      <c r="AF87" s="78"/>
      <c r="AG87" s="319">
        <v>847.14286756759645</v>
      </c>
      <c r="AH87" s="320">
        <v>11.460256758069169</v>
      </c>
      <c r="AI87" s="320">
        <v>13.689355582865236</v>
      </c>
      <c r="AJ87" s="320">
        <v>1.615944146725985</v>
      </c>
      <c r="AK87" s="320">
        <v>0.75286293201295562</v>
      </c>
      <c r="AL87" s="320">
        <v>1.6784400142143135E-2</v>
      </c>
      <c r="AM87" s="320">
        <v>9.1074593700026692E-3</v>
      </c>
      <c r="AN87" s="320">
        <v>2.2294098206251309</v>
      </c>
      <c r="AO87" s="321">
        <v>250.74175998212709</v>
      </c>
      <c r="AP87" s="320">
        <v>0.1126308110329849</v>
      </c>
      <c r="AQ87" s="320" t="s">
        <v>1148</v>
      </c>
      <c r="AR87" s="320">
        <v>4.4919047804806524E-2</v>
      </c>
      <c r="AS87" s="323">
        <v>124.67817638921332</v>
      </c>
      <c r="AT87" s="320">
        <v>0.49774452921444134</v>
      </c>
      <c r="AU87" s="320">
        <v>0.42930463043438161</v>
      </c>
      <c r="AV87" s="320">
        <v>0.39922345965392569</v>
      </c>
      <c r="AW87" s="323">
        <v>290.39741028858617</v>
      </c>
      <c r="AX87" s="320">
        <v>5.279048305581699</v>
      </c>
      <c r="AY87" s="320">
        <v>0.81824279379286746</v>
      </c>
      <c r="AZ87" s="320">
        <v>1.8178703110112369</v>
      </c>
      <c r="BA87" s="320">
        <v>3.3985000000000001E-2</v>
      </c>
      <c r="BB87" s="320">
        <v>2.4306858153078953E-2</v>
      </c>
      <c r="BC87" s="322">
        <v>-2.9201331114808649E-2</v>
      </c>
      <c r="BD87" s="320">
        <v>71.522313235483153</v>
      </c>
      <c r="BE87" s="78"/>
      <c r="BF87" s="144">
        <f t="shared" si="28"/>
        <v>6.2505309894592784</v>
      </c>
      <c r="BG87" s="144">
        <f t="shared" si="29"/>
        <v>4.5993029998102021E-3</v>
      </c>
      <c r="BH87" s="144">
        <f t="shared" si="30"/>
        <v>5.1421028697100444E-3</v>
      </c>
      <c r="BI87" s="144">
        <f t="shared" si="31"/>
        <v>1.1099021987707286E-2</v>
      </c>
      <c r="BJ87" s="144">
        <f t="shared" si="32"/>
        <v>3.4092589691542088E-3</v>
      </c>
      <c r="BK87" s="144">
        <f t="shared" si="33"/>
        <v>0.20087881975557956</v>
      </c>
      <c r="BL87" s="78"/>
      <c r="BM87" s="78"/>
      <c r="BN87" s="78"/>
      <c r="BO87" s="78"/>
      <c r="BP87" s="78"/>
      <c r="BQ87" s="78"/>
      <c r="BR87" s="78"/>
      <c r="BS87" s="78"/>
      <c r="BT87" s="78"/>
      <c r="BU87" s="78"/>
      <c r="BV87" s="78"/>
      <c r="BW87" s="78"/>
    </row>
    <row r="88" spans="1:75" s="34" customFormat="1">
      <c r="A88" s="53" t="s">
        <v>235</v>
      </c>
      <c r="B88" s="39" t="s">
        <v>236</v>
      </c>
      <c r="C88" s="155" t="s">
        <v>341</v>
      </c>
      <c r="D88" s="53">
        <v>0.105629</v>
      </c>
      <c r="E88" s="53">
        <v>34.699337</v>
      </c>
      <c r="F88" s="53" t="s">
        <v>359</v>
      </c>
      <c r="G88" s="53" t="s">
        <v>334</v>
      </c>
      <c r="H88" s="116" t="s">
        <v>347</v>
      </c>
      <c r="I88" s="154" t="s">
        <v>371</v>
      </c>
      <c r="J88" s="116" t="s">
        <v>687</v>
      </c>
      <c r="K88" s="53" t="s">
        <v>361</v>
      </c>
      <c r="L88" s="53" t="s">
        <v>685</v>
      </c>
      <c r="M88" s="53" t="s">
        <v>690</v>
      </c>
      <c r="N88" s="156">
        <v>3405.1</v>
      </c>
      <c r="O88" s="157">
        <v>141.1</v>
      </c>
      <c r="P88" s="162">
        <v>9.0802549999999993</v>
      </c>
      <c r="Q88" s="157">
        <v>237.8</v>
      </c>
      <c r="R88" s="156">
        <v>0.95899999999999996</v>
      </c>
      <c r="S88" s="157">
        <v>98.85</v>
      </c>
      <c r="T88" s="144">
        <f t="shared" si="16"/>
        <v>4.6645205479452058E-3</v>
      </c>
      <c r="U88" s="158">
        <f t="shared" si="17"/>
        <v>15.548401826484021</v>
      </c>
      <c r="V88" s="144">
        <f t="shared" si="18"/>
        <v>1.932876712328767E-4</v>
      </c>
      <c r="W88" s="158">
        <f t="shared" si="19"/>
        <v>5.3691019786910196E-2</v>
      </c>
      <c r="X88" s="144">
        <f t="shared" si="20"/>
        <v>1.2438705479452055E-5</v>
      </c>
      <c r="Y88" s="158">
        <f t="shared" si="21"/>
        <v>4.1462351598173519E-2</v>
      </c>
      <c r="Z88" s="144">
        <f t="shared" si="22"/>
        <v>3.2575342465753426E-4</v>
      </c>
      <c r="AA88" s="158">
        <f t="shared" si="23"/>
        <v>0.10858447488584475</v>
      </c>
      <c r="AB88" s="144">
        <f t="shared" si="24"/>
        <v>1.3136986301369863E-6</v>
      </c>
      <c r="AC88" s="158">
        <f t="shared" si="25"/>
        <v>2.6273972602739726E-3</v>
      </c>
      <c r="AD88" s="144">
        <f t="shared" si="26"/>
        <v>1.3541095890410958E-4</v>
      </c>
      <c r="AE88" s="158">
        <f t="shared" si="27"/>
        <v>6.770547945205479E-3</v>
      </c>
      <c r="AF88" s="78"/>
      <c r="AG88" s="319">
        <v>3405.0887543515419</v>
      </c>
      <c r="AH88" s="320">
        <v>58.488181934375937</v>
      </c>
      <c r="AI88" s="320">
        <v>59.797131586075196</v>
      </c>
      <c r="AJ88" s="320">
        <v>1.7561108064997513</v>
      </c>
      <c r="AK88" s="320">
        <v>0.95927187722801965</v>
      </c>
      <c r="AL88" s="320">
        <v>0.18875981977635994</v>
      </c>
      <c r="AM88" s="320">
        <v>0.10268958620009142</v>
      </c>
      <c r="AN88" s="320">
        <v>19.677405775911389</v>
      </c>
      <c r="AO88" s="321">
        <v>237.75408724017146</v>
      </c>
      <c r="AP88" s="320">
        <v>1.0626193810295073</v>
      </c>
      <c r="AQ88" s="320">
        <v>0.35934517457268372</v>
      </c>
      <c r="AR88" s="320">
        <v>0.44694053143914358</v>
      </c>
      <c r="AS88" s="320">
        <v>98.852426557873187</v>
      </c>
      <c r="AT88" s="320">
        <v>4.5578057214180507</v>
      </c>
      <c r="AU88" s="320">
        <v>3.5264427001608758</v>
      </c>
      <c r="AV88" s="320">
        <v>4.6107170861907791</v>
      </c>
      <c r="AW88" s="323">
        <v>141.05717052506412</v>
      </c>
      <c r="AX88" s="320">
        <v>10.612619986006427</v>
      </c>
      <c r="AY88" s="320">
        <v>2.4133223949458866</v>
      </c>
      <c r="AZ88" s="320">
        <v>7.5236302745209924</v>
      </c>
      <c r="BA88" s="320">
        <v>9.0802549999999993</v>
      </c>
      <c r="BB88" s="320">
        <v>0.89740164548438284</v>
      </c>
      <c r="BC88" s="322">
        <v>-2.9186762015632799E-2</v>
      </c>
      <c r="BD88" s="320">
        <v>9.8830004827439648</v>
      </c>
      <c r="BE88" s="78"/>
      <c r="BF88" s="144">
        <f t="shared" si="28"/>
        <v>27.304716471289058</v>
      </c>
      <c r="BG88" s="144">
        <f t="shared" si="29"/>
        <v>5.170036202492883E-2</v>
      </c>
      <c r="BH88" s="144">
        <f t="shared" si="30"/>
        <v>4.8530802911519788E-2</v>
      </c>
      <c r="BI88" s="144">
        <f t="shared" si="31"/>
        <v>0.40977244086044889</v>
      </c>
      <c r="BJ88" s="144">
        <f t="shared" si="32"/>
        <v>3.1217081093832772E-2</v>
      </c>
      <c r="BK88" s="144">
        <f t="shared" si="33"/>
        <v>0.40395138193870317</v>
      </c>
      <c r="BL88" s="78"/>
      <c r="BM88" s="78"/>
      <c r="BN88" s="78"/>
      <c r="BO88" s="78"/>
      <c r="BP88" s="78"/>
      <c r="BQ88" s="78"/>
      <c r="BR88" s="78"/>
      <c r="BS88" s="78"/>
      <c r="BT88" s="78"/>
      <c r="BU88" s="78"/>
      <c r="BV88" s="78"/>
      <c r="BW88" s="78"/>
    </row>
    <row r="89" spans="1:75" s="34" customFormat="1">
      <c r="A89" s="53" t="s">
        <v>249</v>
      </c>
      <c r="B89" s="39" t="s">
        <v>250</v>
      </c>
      <c r="C89" s="155" t="s">
        <v>341</v>
      </c>
      <c r="D89" s="53">
        <v>0.105629</v>
      </c>
      <c r="E89" s="53">
        <v>34.699337</v>
      </c>
      <c r="F89" s="53" t="s">
        <v>359</v>
      </c>
      <c r="G89" s="53" t="s">
        <v>334</v>
      </c>
      <c r="H89" s="116" t="s">
        <v>347</v>
      </c>
      <c r="I89" s="154" t="s">
        <v>371</v>
      </c>
      <c r="J89" s="116" t="s">
        <v>687</v>
      </c>
      <c r="K89" s="53" t="s">
        <v>366</v>
      </c>
      <c r="L89" s="53" t="s">
        <v>684</v>
      </c>
      <c r="M89" s="53" t="s">
        <v>683</v>
      </c>
      <c r="N89" s="156">
        <v>8567.4</v>
      </c>
      <c r="O89" s="157">
        <v>181.4</v>
      </c>
      <c r="P89" s="74">
        <v>5.7652700000000001</v>
      </c>
      <c r="Q89" s="157">
        <v>120.8</v>
      </c>
      <c r="R89" s="156">
        <v>1.0309999999999999</v>
      </c>
      <c r="S89" s="157">
        <v>61.82</v>
      </c>
      <c r="T89" s="144">
        <f>(N89*100*350*30*0.000001)/(70*30*365)</f>
        <v>1.1736164383561645E-2</v>
      </c>
      <c r="U89" s="158">
        <f>T89/0.0003</f>
        <v>39.120547945205487</v>
      </c>
      <c r="V89" s="144">
        <f>(O89*100*350*30*0.000001)/(70*30*365)</f>
        <v>2.4849315068493151E-4</v>
      </c>
      <c r="W89" s="158">
        <f>V89/0.0036</f>
        <v>6.9025875190258754E-2</v>
      </c>
      <c r="X89" s="144">
        <f>(P89*100*350*30*0.000001)/(70*30*365)</f>
        <v>7.8976301369863009E-6</v>
      </c>
      <c r="Y89" s="158">
        <f>X89/0.0003</f>
        <v>2.6325433789954337E-2</v>
      </c>
      <c r="Z89" s="144">
        <f>(Q89*100*350*30*0.000001)/(70*30*365)</f>
        <v>1.6547945205479451E-4</v>
      </c>
      <c r="AA89" s="158">
        <f>Z89/0.003</f>
        <v>5.5159817351598167E-2</v>
      </c>
      <c r="AB89" s="144">
        <f>(R89*100*350*30*0.000001)/(70*30*365)</f>
        <v>1.4123287671232876E-6</v>
      </c>
      <c r="AC89" s="158">
        <f>AB89/0.0005</f>
        <v>2.8246575342465753E-3</v>
      </c>
      <c r="AD89" s="144">
        <f>(S89*100*350*30*0.000001)/(70*30*365)</f>
        <v>8.4684931506849321E-5</v>
      </c>
      <c r="AE89" s="158">
        <f>AD89/0.02</f>
        <v>4.234246575342466E-3</v>
      </c>
      <c r="AF89" s="78"/>
      <c r="AG89" s="319">
        <v>8567.4218191252348</v>
      </c>
      <c r="AH89" s="319">
        <v>633.83762495809128</v>
      </c>
      <c r="AI89" s="319">
        <v>614.32850321472984</v>
      </c>
      <c r="AJ89" s="320">
        <v>7.3982306268983082</v>
      </c>
      <c r="AK89" s="320">
        <v>1.0311527753766523</v>
      </c>
      <c r="AL89" s="320">
        <v>0.10925169721483294</v>
      </c>
      <c r="AM89" s="320">
        <v>5.0717174574523571E-2</v>
      </c>
      <c r="AN89" s="320">
        <v>10.59510286193297</v>
      </c>
      <c r="AO89" s="321">
        <v>120.79736136135149</v>
      </c>
      <c r="AP89" s="320">
        <v>1.0893231120773115</v>
      </c>
      <c r="AQ89" s="320">
        <v>0.27340214732150619</v>
      </c>
      <c r="AR89" s="320">
        <v>0.90177724066234022</v>
      </c>
      <c r="AS89" s="320">
        <v>61.824411056587174</v>
      </c>
      <c r="AT89" s="320">
        <v>3.3634304647873163</v>
      </c>
      <c r="AU89" s="320">
        <v>2.8837918105988671</v>
      </c>
      <c r="AV89" s="320">
        <v>5.4402951961949251</v>
      </c>
      <c r="AW89" s="323">
        <v>181.44435052100087</v>
      </c>
      <c r="AX89" s="320">
        <v>34.417843362243154</v>
      </c>
      <c r="AY89" s="320">
        <v>11.056970711460004</v>
      </c>
      <c r="AZ89" s="320">
        <v>18.968815101388088</v>
      </c>
      <c r="BA89" s="320">
        <v>5.7652700000000001</v>
      </c>
      <c r="BB89" s="320">
        <v>0.13994349298015168</v>
      </c>
      <c r="BC89" s="322">
        <v>-2.9196473132590248E-2</v>
      </c>
      <c r="BD89" s="320">
        <v>2.4273536708627987</v>
      </c>
      <c r="BE89" s="78"/>
      <c r="BF89" s="144">
        <f t="shared" si="28"/>
        <v>289.42283594926289</v>
      </c>
      <c r="BG89" s="144">
        <f t="shared" si="29"/>
        <v>2.9927537125076415E-2</v>
      </c>
      <c r="BH89" s="144">
        <f t="shared" si="30"/>
        <v>4.9741867886762874E-2</v>
      </c>
      <c r="BI89" s="144">
        <f t="shared" si="31"/>
        <v>6.3901138347101219E-2</v>
      </c>
      <c r="BJ89" s="144">
        <f t="shared" si="32"/>
        <v>2.303555130334043E-2</v>
      </c>
      <c r="BK89" s="144">
        <f t="shared" si="33"/>
        <v>1.3093390636955096</v>
      </c>
      <c r="BL89" s="78"/>
      <c r="BM89" s="78"/>
      <c r="BN89" s="78"/>
      <c r="BO89" s="78"/>
      <c r="BP89" s="78"/>
      <c r="BQ89" s="78"/>
      <c r="BR89" s="78"/>
      <c r="BS89" s="78"/>
      <c r="BT89" s="78"/>
      <c r="BU89" s="78"/>
      <c r="BV89" s="78"/>
      <c r="BW89" s="78"/>
    </row>
    <row r="90" spans="1:75" s="34" customFormat="1">
      <c r="A90" s="53" t="s">
        <v>237</v>
      </c>
      <c r="B90" s="39" t="s">
        <v>238</v>
      </c>
      <c r="C90" s="155" t="s">
        <v>341</v>
      </c>
      <c r="D90" s="53">
        <v>0.105629</v>
      </c>
      <c r="E90" s="53">
        <v>34.699337</v>
      </c>
      <c r="F90" s="53" t="s">
        <v>359</v>
      </c>
      <c r="G90" s="53" t="s">
        <v>334</v>
      </c>
      <c r="H90" s="116" t="s">
        <v>347</v>
      </c>
      <c r="I90" s="154" t="s">
        <v>371</v>
      </c>
      <c r="J90" s="116" t="s">
        <v>687</v>
      </c>
      <c r="K90" s="53" t="s">
        <v>368</v>
      </c>
      <c r="L90" s="53" t="s">
        <v>684</v>
      </c>
      <c r="M90" s="53" t="s">
        <v>683</v>
      </c>
      <c r="N90" s="156">
        <v>1615.5</v>
      </c>
      <c r="O90" s="157">
        <v>99.2</v>
      </c>
      <c r="P90" s="74">
        <v>2.3111900000000003</v>
      </c>
      <c r="Q90" s="157">
        <v>148.19999999999999</v>
      </c>
      <c r="R90" s="156">
        <v>0.53200000000000003</v>
      </c>
      <c r="S90" s="157">
        <v>58.89</v>
      </c>
      <c r="T90" s="144">
        <f t="shared" si="16"/>
        <v>2.2130136986301366E-3</v>
      </c>
      <c r="U90" s="158">
        <f t="shared" si="17"/>
        <v>7.3767123287671224</v>
      </c>
      <c r="V90" s="144">
        <f t="shared" si="18"/>
        <v>1.3589041095890412E-4</v>
      </c>
      <c r="W90" s="158">
        <f t="shared" si="19"/>
        <v>3.7747336377473364E-2</v>
      </c>
      <c r="X90" s="144">
        <f t="shared" si="20"/>
        <v>3.1660136986301376E-6</v>
      </c>
      <c r="Y90" s="158">
        <f t="shared" si="21"/>
        <v>1.0553378995433793E-2</v>
      </c>
      <c r="Z90" s="144">
        <f t="shared" si="22"/>
        <v>2.0301369863013694E-4</v>
      </c>
      <c r="AA90" s="158">
        <f t="shared" si="23"/>
        <v>6.7671232876712312E-2</v>
      </c>
      <c r="AB90" s="144">
        <f t="shared" si="24"/>
        <v>7.2876712328767121E-7</v>
      </c>
      <c r="AC90" s="158">
        <f t="shared" si="25"/>
        <v>1.4575342465753423E-3</v>
      </c>
      <c r="AD90" s="144">
        <f t="shared" si="26"/>
        <v>8.0671232876712326E-5</v>
      </c>
      <c r="AE90" s="158">
        <f t="shared" si="27"/>
        <v>4.0335616438356165E-3</v>
      </c>
      <c r="AF90" s="78"/>
      <c r="AG90" s="319">
        <v>1615.4860798335631</v>
      </c>
      <c r="AH90" s="319">
        <v>120.26911556909796</v>
      </c>
      <c r="AI90" s="319">
        <v>120.72605073107692</v>
      </c>
      <c r="AJ90" s="320">
        <v>7.4730480341566814</v>
      </c>
      <c r="AK90" s="320">
        <v>0.53172092771879464</v>
      </c>
      <c r="AL90" s="320">
        <v>0.12037301744450102</v>
      </c>
      <c r="AM90" s="320">
        <v>7.2389162354354025E-2</v>
      </c>
      <c r="AN90" s="320">
        <v>22.638382499054348</v>
      </c>
      <c r="AO90" s="321">
        <v>148.17756179905476</v>
      </c>
      <c r="AP90" s="320">
        <v>0.87007995479858857</v>
      </c>
      <c r="AQ90" s="320">
        <v>0.31919028002392158</v>
      </c>
      <c r="AR90" s="320">
        <v>0.5871873880463182</v>
      </c>
      <c r="AS90" s="320">
        <v>58.891170942941756</v>
      </c>
      <c r="AT90" s="320">
        <v>3.0361174948056475</v>
      </c>
      <c r="AU90" s="320">
        <v>2.5230717405829384</v>
      </c>
      <c r="AV90" s="320">
        <v>5.1554714334806979</v>
      </c>
      <c r="AW90" s="320">
        <v>99.237828038084501</v>
      </c>
      <c r="AX90" s="320">
        <v>14.2150546202854</v>
      </c>
      <c r="AY90" s="320">
        <v>4.1157900535285963</v>
      </c>
      <c r="AZ90" s="320">
        <v>14.324229884223271</v>
      </c>
      <c r="BA90" s="320">
        <v>2.3111900000000003</v>
      </c>
      <c r="BB90" s="320">
        <v>7.3733866925655644E-2</v>
      </c>
      <c r="BC90" s="322">
        <v>-2.9094827586206896E-2</v>
      </c>
      <c r="BD90" s="320">
        <v>3.1902988038913129</v>
      </c>
      <c r="BE90" s="78"/>
      <c r="BF90" s="144">
        <f t="shared" si="28"/>
        <v>55.126525567032502</v>
      </c>
      <c r="BG90" s="144">
        <f t="shared" si="29"/>
        <v>3.2996217779443594E-2</v>
      </c>
      <c r="BH90" s="144">
        <f t="shared" si="30"/>
        <v>3.973569447875084E-2</v>
      </c>
      <c r="BI90" s="144">
        <f t="shared" si="31"/>
        <v>3.3668432386144136E-2</v>
      </c>
      <c r="BJ90" s="144">
        <f t="shared" si="32"/>
        <v>2.0794911829977968E-2</v>
      </c>
      <c r="BK90" s="144">
        <f t="shared" si="33"/>
        <v>0.54070152378803216</v>
      </c>
      <c r="BL90" s="78"/>
      <c r="BM90" s="78"/>
      <c r="BN90" s="78"/>
      <c r="BO90" s="78"/>
      <c r="BP90" s="78"/>
      <c r="BQ90" s="78"/>
      <c r="BR90" s="78"/>
      <c r="BS90" s="78"/>
      <c r="BT90" s="78"/>
      <c r="BU90" s="78"/>
      <c r="BV90" s="78"/>
      <c r="BW90" s="78"/>
    </row>
    <row r="91" spans="1:75" s="34" customFormat="1">
      <c r="A91" s="53" t="s">
        <v>257</v>
      </c>
      <c r="B91" s="39" t="s">
        <v>258</v>
      </c>
      <c r="C91" s="155" t="s">
        <v>342</v>
      </c>
      <c r="D91" s="53">
        <v>0.10229199999999999</v>
      </c>
      <c r="E91" s="53">
        <v>34.713501999999998</v>
      </c>
      <c r="F91" s="53" t="s">
        <v>335</v>
      </c>
      <c r="G91" s="53" t="s">
        <v>334</v>
      </c>
      <c r="H91" s="116" t="s">
        <v>347</v>
      </c>
      <c r="I91" s="154" t="s">
        <v>371</v>
      </c>
      <c r="J91" s="116" t="s">
        <v>687</v>
      </c>
      <c r="K91" s="53" t="s">
        <v>361</v>
      </c>
      <c r="L91" s="53" t="s">
        <v>685</v>
      </c>
      <c r="M91" s="53" t="s">
        <v>690</v>
      </c>
      <c r="N91" s="156">
        <v>5348.2</v>
      </c>
      <c r="O91" s="157">
        <v>105.9</v>
      </c>
      <c r="P91" s="74">
        <v>88.313275000000004</v>
      </c>
      <c r="Q91" s="157">
        <v>128.30000000000001</v>
      </c>
      <c r="R91" s="156">
        <v>0.90300000000000002</v>
      </c>
      <c r="S91" s="157">
        <v>81.83</v>
      </c>
      <c r="T91" s="144">
        <f t="shared" si="16"/>
        <v>7.326301369863013E-3</v>
      </c>
      <c r="U91" s="158">
        <f t="shared" si="17"/>
        <v>24.421004566210044</v>
      </c>
      <c r="V91" s="144">
        <f t="shared" si="18"/>
        <v>1.4506849315068493E-4</v>
      </c>
      <c r="W91" s="158">
        <f t="shared" si="19"/>
        <v>4.029680365296804E-2</v>
      </c>
      <c r="X91" s="144">
        <f t="shared" si="20"/>
        <v>1.2097708904109591E-4</v>
      </c>
      <c r="Y91" s="158">
        <f t="shared" si="21"/>
        <v>0.40325696347031975</v>
      </c>
      <c r="Z91" s="144">
        <f t="shared" si="22"/>
        <v>1.757534246575343E-4</v>
      </c>
      <c r="AA91" s="158">
        <f t="shared" si="23"/>
        <v>5.8584474885844763E-2</v>
      </c>
      <c r="AB91" s="144">
        <f t="shared" si="24"/>
        <v>1.236986301369863E-6</v>
      </c>
      <c r="AC91" s="158">
        <f t="shared" si="25"/>
        <v>2.4739726027397258E-3</v>
      </c>
      <c r="AD91" s="144">
        <f t="shared" si="26"/>
        <v>1.120958904109589E-4</v>
      </c>
      <c r="AE91" s="158">
        <f t="shared" si="27"/>
        <v>5.6047945205479448E-3</v>
      </c>
      <c r="AF91" s="78"/>
      <c r="AG91" s="319">
        <v>5348.1686304467912</v>
      </c>
      <c r="AH91" s="319">
        <v>254.18062981391995</v>
      </c>
      <c r="AI91" s="319">
        <v>244.19411408722513</v>
      </c>
      <c r="AJ91" s="320">
        <v>4.7526667047647946</v>
      </c>
      <c r="AK91" s="320">
        <v>0.90292857157794482</v>
      </c>
      <c r="AL91" s="320">
        <v>0.20026619465146528</v>
      </c>
      <c r="AM91" s="320">
        <v>0.11438579467197951</v>
      </c>
      <c r="AN91" s="320">
        <v>22.179627597948638</v>
      </c>
      <c r="AO91" s="321">
        <v>128.29289007260647</v>
      </c>
      <c r="AP91" s="320">
        <v>3.2823357617011695</v>
      </c>
      <c r="AQ91" s="320">
        <v>1.2298675109912771</v>
      </c>
      <c r="AR91" s="320">
        <v>2.55847051215664</v>
      </c>
      <c r="AS91" s="320">
        <v>81.825439792567892</v>
      </c>
      <c r="AT91" s="320">
        <v>5.609554039043708</v>
      </c>
      <c r="AU91" s="320">
        <v>4.5941312921664101</v>
      </c>
      <c r="AV91" s="320">
        <v>6.855513460439985</v>
      </c>
      <c r="AW91" s="323">
        <v>105.90567370674759</v>
      </c>
      <c r="AX91" s="320">
        <v>31.335269183684666</v>
      </c>
      <c r="AY91" s="320">
        <v>10.374777239859169</v>
      </c>
      <c r="AZ91" s="320">
        <v>29.587904110266944</v>
      </c>
      <c r="BA91" s="320">
        <v>88.313275000000004</v>
      </c>
      <c r="BB91" s="320">
        <v>10.063927139007514</v>
      </c>
      <c r="BC91" s="320">
        <v>4.7668617025310072</v>
      </c>
      <c r="BD91" s="320">
        <v>11.39571274987539</v>
      </c>
      <c r="BE91" s="78"/>
      <c r="BF91" s="144">
        <f t="shared" si="28"/>
        <v>116.06489529873549</v>
      </c>
      <c r="BG91" s="144">
        <f t="shared" si="29"/>
        <v>5.4871791016294844E-2</v>
      </c>
      <c r="BH91" s="144">
        <f t="shared" si="30"/>
        <v>0.14988665146561506</v>
      </c>
      <c r="BI91" s="144">
        <f t="shared" si="31"/>
        <v>4.5954005200947572</v>
      </c>
      <c r="BJ91" s="144">
        <f t="shared" si="32"/>
        <v>3.8423744278616709E-2</v>
      </c>
      <c r="BK91" s="144">
        <f t="shared" si="33"/>
        <v>1.1922979624342731</v>
      </c>
      <c r="BL91" s="78"/>
      <c r="BM91" s="78"/>
      <c r="BN91" s="78"/>
      <c r="BO91" s="78"/>
      <c r="BP91" s="78"/>
      <c r="BQ91" s="78"/>
      <c r="BR91" s="78"/>
      <c r="BS91" s="78"/>
      <c r="BT91" s="78"/>
      <c r="BU91" s="78"/>
      <c r="BV91" s="78"/>
      <c r="BW91" s="78"/>
    </row>
    <row r="92" spans="1:75" s="34" customFormat="1">
      <c r="A92" s="53" t="s">
        <v>263</v>
      </c>
      <c r="B92" s="39" t="s">
        <v>264</v>
      </c>
      <c r="C92" s="155" t="s">
        <v>342</v>
      </c>
      <c r="D92" s="53">
        <v>0.1033</v>
      </c>
      <c r="E92" s="53">
        <v>34.713628999999997</v>
      </c>
      <c r="F92" s="53" t="s">
        <v>335</v>
      </c>
      <c r="G92" s="53" t="s">
        <v>334</v>
      </c>
      <c r="H92" s="116" t="s">
        <v>347</v>
      </c>
      <c r="I92" s="154" t="s">
        <v>371</v>
      </c>
      <c r="J92" s="116" t="s">
        <v>687</v>
      </c>
      <c r="K92" s="53" t="s">
        <v>366</v>
      </c>
      <c r="L92" s="53" t="s">
        <v>684</v>
      </c>
      <c r="M92" s="53" t="s">
        <v>683</v>
      </c>
      <c r="N92" s="156">
        <v>994</v>
      </c>
      <c r="O92" s="157">
        <v>38</v>
      </c>
      <c r="P92" s="74">
        <v>5.6278050000000004</v>
      </c>
      <c r="Q92" s="157">
        <v>99.7</v>
      </c>
      <c r="R92" s="156">
        <v>0.26500000000000001</v>
      </c>
      <c r="S92" s="157">
        <v>33.380000000000003</v>
      </c>
      <c r="T92" s="144">
        <f t="shared" si="16"/>
        <v>1.3616438356164385E-3</v>
      </c>
      <c r="U92" s="158">
        <f t="shared" si="17"/>
        <v>4.5388127853881288</v>
      </c>
      <c r="V92" s="144">
        <f t="shared" si="18"/>
        <v>5.2054794520547945E-5</v>
      </c>
      <c r="W92" s="158">
        <f t="shared" si="19"/>
        <v>1.4459665144596652E-2</v>
      </c>
      <c r="X92" s="144">
        <f t="shared" si="20"/>
        <v>7.70932191780822E-6</v>
      </c>
      <c r="Y92" s="158">
        <f t="shared" si="21"/>
        <v>2.5697739726027402E-2</v>
      </c>
      <c r="Z92" s="144">
        <f t="shared" si="22"/>
        <v>1.3657534246575343E-4</v>
      </c>
      <c r="AA92" s="158">
        <f t="shared" si="23"/>
        <v>4.5525114155251144E-2</v>
      </c>
      <c r="AB92" s="144">
        <f t="shared" si="24"/>
        <v>3.6301369863013697E-7</v>
      </c>
      <c r="AC92" s="158">
        <f t="shared" si="25"/>
        <v>7.260273972602739E-4</v>
      </c>
      <c r="AD92" s="144">
        <f t="shared" si="26"/>
        <v>4.5726027397260285E-5</v>
      </c>
      <c r="AE92" s="158">
        <f t="shared" si="27"/>
        <v>2.286301369863014E-3</v>
      </c>
      <c r="AF92" s="78"/>
      <c r="AG92" s="319">
        <v>993.96252720498876</v>
      </c>
      <c r="AH92" s="320">
        <v>30.645625756183783</v>
      </c>
      <c r="AI92" s="320">
        <v>31.287698195275922</v>
      </c>
      <c r="AJ92" s="320">
        <v>3.1477744219650381</v>
      </c>
      <c r="AK92" s="320">
        <v>0.26483149153700153</v>
      </c>
      <c r="AL92" s="320">
        <v>7.4044155879062309E-2</v>
      </c>
      <c r="AM92" s="320">
        <v>4.1099145765046328E-2</v>
      </c>
      <c r="AN92" s="320">
        <v>27.958969475016932</v>
      </c>
      <c r="AO92" s="320">
        <v>99.730157685867809</v>
      </c>
      <c r="AP92" s="320">
        <v>1.832144717851329</v>
      </c>
      <c r="AQ92" s="320">
        <v>0.60177655112392758</v>
      </c>
      <c r="AR92" s="320">
        <v>1.83710199639136</v>
      </c>
      <c r="AS92" s="320">
        <v>33.38366587974631</v>
      </c>
      <c r="AT92" s="320">
        <v>3.4597218770585099</v>
      </c>
      <c r="AU92" s="320">
        <v>2.2900932678217778</v>
      </c>
      <c r="AV92" s="320">
        <v>10.363516965215927</v>
      </c>
      <c r="AW92" s="320">
        <v>38.001836533911998</v>
      </c>
      <c r="AX92" s="320">
        <v>8.9588014960637015</v>
      </c>
      <c r="AY92" s="320">
        <v>2.8382716868846596</v>
      </c>
      <c r="AZ92" s="320">
        <v>23.574654051440554</v>
      </c>
      <c r="BA92" s="320">
        <v>5.6278050000000004</v>
      </c>
      <c r="BB92" s="320">
        <v>2.1833251961982385</v>
      </c>
      <c r="BC92" s="320">
        <v>7.7996704911610981E-2</v>
      </c>
      <c r="BD92" s="320">
        <v>38.795324219624497</v>
      </c>
      <c r="BE92" s="78"/>
      <c r="BF92" s="144">
        <f t="shared" si="28"/>
        <v>14.287158791932642</v>
      </c>
      <c r="BG92" s="144">
        <f t="shared" si="29"/>
        <v>2.0298977838025992E-2</v>
      </c>
      <c r="BH92" s="144">
        <f t="shared" si="30"/>
        <v>8.3634278100556431E-2</v>
      </c>
      <c r="BI92" s="144">
        <f t="shared" si="31"/>
        <v>0.99695214438275748</v>
      </c>
      <c r="BJ92" s="144">
        <f t="shared" si="32"/>
        <v>2.369412303417176E-2</v>
      </c>
      <c r="BK92" s="144">
        <f t="shared" si="33"/>
        <v>0.34088160348353924</v>
      </c>
      <c r="BL92" s="78"/>
      <c r="BM92" s="78"/>
      <c r="BN92" s="78"/>
      <c r="BO92" s="78"/>
      <c r="BP92" s="78"/>
      <c r="BQ92" s="78"/>
      <c r="BR92" s="78"/>
      <c r="BS92" s="78"/>
      <c r="BT92" s="78"/>
      <c r="BU92" s="78"/>
      <c r="BV92" s="78"/>
      <c r="BW92" s="78"/>
    </row>
    <row r="93" spans="1:75" s="34" customFormat="1">
      <c r="A93" s="53" t="s">
        <v>279</v>
      </c>
      <c r="B93" s="39" t="s">
        <v>280</v>
      </c>
      <c r="C93" s="155" t="s">
        <v>342</v>
      </c>
      <c r="D93" s="53">
        <v>0.156392</v>
      </c>
      <c r="E93" s="53">
        <v>34.817486000000002</v>
      </c>
      <c r="F93" s="53" t="s">
        <v>679</v>
      </c>
      <c r="G93" s="53" t="s">
        <v>334</v>
      </c>
      <c r="H93" s="116" t="s">
        <v>347</v>
      </c>
      <c r="I93" s="154" t="s">
        <v>371</v>
      </c>
      <c r="J93" s="116" t="s">
        <v>687</v>
      </c>
      <c r="K93" s="53" t="s">
        <v>361</v>
      </c>
      <c r="L93" s="53" t="s">
        <v>685</v>
      </c>
      <c r="M93" s="53" t="s">
        <v>690</v>
      </c>
      <c r="N93" s="156">
        <v>1662.2</v>
      </c>
      <c r="O93" s="157">
        <v>63.9</v>
      </c>
      <c r="P93" s="74">
        <v>4.1999950000000004</v>
      </c>
      <c r="Q93" s="157">
        <v>190.4</v>
      </c>
      <c r="R93" s="156">
        <v>0.219</v>
      </c>
      <c r="S93" s="157">
        <v>16.37</v>
      </c>
      <c r="T93" s="144">
        <f t="shared" si="16"/>
        <v>2.276986301369863E-3</v>
      </c>
      <c r="U93" s="158">
        <f t="shared" si="17"/>
        <v>7.5899543378995444</v>
      </c>
      <c r="V93" s="144">
        <f t="shared" si="18"/>
        <v>8.7534246575342466E-5</v>
      </c>
      <c r="W93" s="158">
        <f t="shared" si="19"/>
        <v>2.4315068493150686E-2</v>
      </c>
      <c r="X93" s="144">
        <f t="shared" si="20"/>
        <v>5.7534178082191783E-6</v>
      </c>
      <c r="Y93" s="158">
        <f t="shared" si="21"/>
        <v>1.9178059360730595E-2</v>
      </c>
      <c r="Z93" s="144">
        <f t="shared" si="22"/>
        <v>2.6082191780821918E-4</v>
      </c>
      <c r="AA93" s="158">
        <f t="shared" si="23"/>
        <v>8.6940639269406386E-2</v>
      </c>
      <c r="AB93" s="144">
        <f t="shared" si="24"/>
        <v>2.9999999999999993E-7</v>
      </c>
      <c r="AC93" s="158">
        <f t="shared" si="25"/>
        <v>5.9999999999999984E-4</v>
      </c>
      <c r="AD93" s="144">
        <f t="shared" si="26"/>
        <v>2.2424657534246571E-5</v>
      </c>
      <c r="AE93" s="158">
        <f t="shared" si="27"/>
        <v>1.1212328767123286E-3</v>
      </c>
      <c r="AF93" s="78"/>
      <c r="AG93" s="319">
        <v>1662.2146913751978</v>
      </c>
      <c r="AH93" s="320">
        <v>19.901208605042005</v>
      </c>
      <c r="AI93" s="320">
        <v>21.195183393450172</v>
      </c>
      <c r="AJ93" s="320">
        <v>1.2751170774405074</v>
      </c>
      <c r="AK93" s="320">
        <v>0.21911955107939865</v>
      </c>
      <c r="AL93" s="320">
        <v>1.4014600108013952E-2</v>
      </c>
      <c r="AM93" s="320">
        <v>1.5677602639623311E-2</v>
      </c>
      <c r="AN93" s="320">
        <v>7.1548168853004288</v>
      </c>
      <c r="AO93" s="321">
        <v>190.35475716493016</v>
      </c>
      <c r="AP93" s="320">
        <v>34.35130970000575</v>
      </c>
      <c r="AQ93" s="320">
        <v>13.680127683787465</v>
      </c>
      <c r="AR93" s="320">
        <v>18.045942329795597</v>
      </c>
      <c r="AS93" s="320">
        <v>16.368949047677805</v>
      </c>
      <c r="AT93" s="320">
        <v>2.2928491457992326</v>
      </c>
      <c r="AU93" s="320">
        <v>2.2766886367512806</v>
      </c>
      <c r="AV93" s="320">
        <v>14.007308221931996</v>
      </c>
      <c r="AW93" s="320">
        <v>63.857570770902306</v>
      </c>
      <c r="AX93" s="320">
        <v>17.563738410709757</v>
      </c>
      <c r="AY93" s="320">
        <v>5.8629370373457332</v>
      </c>
      <c r="AZ93" s="320">
        <v>27.504551455178355</v>
      </c>
      <c r="BA93" s="320">
        <v>4.1999950000000004</v>
      </c>
      <c r="BB93" s="320">
        <v>3.4834349990903409E-2</v>
      </c>
      <c r="BC93" s="322">
        <v>-2.9218411852838355E-2</v>
      </c>
      <c r="BD93" s="320">
        <v>0.82939027286707268</v>
      </c>
      <c r="BE93" s="78"/>
      <c r="BF93" s="144">
        <f t="shared" si="28"/>
        <v>9.6780803932493686</v>
      </c>
      <c r="BG93" s="144">
        <f t="shared" si="29"/>
        <v>4.2928901311802565E-3</v>
      </c>
      <c r="BH93" s="144">
        <f t="shared" si="30"/>
        <v>1.56892576237127</v>
      </c>
      <c r="BI93" s="144">
        <f t="shared" si="31"/>
        <v>1.5906095886257268E-2</v>
      </c>
      <c r="BJ93" s="144">
        <f t="shared" si="32"/>
        <v>1.5705454492673066E-2</v>
      </c>
      <c r="BK93" s="144">
        <f t="shared" si="33"/>
        <v>0.66877505250604907</v>
      </c>
      <c r="BL93" s="78"/>
      <c r="BM93" s="78"/>
      <c r="BN93" s="78"/>
      <c r="BO93" s="78"/>
      <c r="BP93" s="78"/>
      <c r="BQ93" s="78"/>
      <c r="BR93" s="78"/>
      <c r="BS93" s="78"/>
      <c r="BT93" s="78"/>
      <c r="BU93" s="78"/>
      <c r="BV93" s="78"/>
      <c r="BW93" s="78"/>
    </row>
    <row r="94" spans="1:75" s="34" customFormat="1">
      <c r="A94" s="53" t="s">
        <v>285</v>
      </c>
      <c r="B94" s="39" t="s">
        <v>286</v>
      </c>
      <c r="C94" s="155" t="s">
        <v>342</v>
      </c>
      <c r="D94" s="53">
        <v>0.156392</v>
      </c>
      <c r="E94" s="53">
        <v>34.817486000000002</v>
      </c>
      <c r="F94" s="53" t="s">
        <v>679</v>
      </c>
      <c r="G94" s="53" t="s">
        <v>334</v>
      </c>
      <c r="H94" s="116" t="s">
        <v>347</v>
      </c>
      <c r="I94" s="154" t="s">
        <v>371</v>
      </c>
      <c r="J94" s="116" t="s">
        <v>687</v>
      </c>
      <c r="K94" s="53" t="s">
        <v>366</v>
      </c>
      <c r="L94" s="53" t="s">
        <v>684</v>
      </c>
      <c r="M94" s="53" t="s">
        <v>683</v>
      </c>
      <c r="N94" s="156">
        <v>34.4</v>
      </c>
      <c r="O94" s="157">
        <v>25</v>
      </c>
      <c r="P94" s="74">
        <v>0.78137500000000004</v>
      </c>
      <c r="Q94" s="157">
        <v>128.5</v>
      </c>
      <c r="R94" s="156">
        <v>9.0999999999999998E-2</v>
      </c>
      <c r="S94" s="157">
        <v>30.54</v>
      </c>
      <c r="T94" s="144">
        <f t="shared" si="16"/>
        <v>4.7123287671232873E-5</v>
      </c>
      <c r="U94" s="158">
        <f t="shared" si="17"/>
        <v>0.15707762557077626</v>
      </c>
      <c r="V94" s="144">
        <f t="shared" si="18"/>
        <v>3.4246575342465751E-5</v>
      </c>
      <c r="W94" s="158">
        <f t="shared" si="19"/>
        <v>9.5129375951293754E-3</v>
      </c>
      <c r="X94" s="144">
        <f t="shared" si="20"/>
        <v>1.0703767123287669E-6</v>
      </c>
      <c r="Y94" s="158">
        <f t="shared" si="21"/>
        <v>3.5679223744292232E-3</v>
      </c>
      <c r="Z94" s="144">
        <f t="shared" si="22"/>
        <v>1.7602739726027395E-4</v>
      </c>
      <c r="AA94" s="158">
        <f t="shared" si="23"/>
        <v>5.8675799086757983E-2</v>
      </c>
      <c r="AB94" s="144">
        <f t="shared" si="24"/>
        <v>1.2465753424657535E-7</v>
      </c>
      <c r="AC94" s="158">
        <f t="shared" si="25"/>
        <v>2.4931506849315067E-4</v>
      </c>
      <c r="AD94" s="144">
        <f t="shared" si="26"/>
        <v>4.1835616438356166E-5</v>
      </c>
      <c r="AE94" s="158">
        <f t="shared" si="27"/>
        <v>2.0917808219178082E-3</v>
      </c>
      <c r="AF94" s="78"/>
      <c r="AG94" s="320">
        <v>34.373290331117161</v>
      </c>
      <c r="AH94" s="320">
        <v>2.7461260450851128</v>
      </c>
      <c r="AI94" s="320">
        <v>20.530974082434472</v>
      </c>
      <c r="AJ94" s="320">
        <v>59.729440750827301</v>
      </c>
      <c r="AK94" s="320">
        <v>9.0943269844087585E-2</v>
      </c>
      <c r="AL94" s="320">
        <v>3.3238893143753181E-2</v>
      </c>
      <c r="AM94" s="320">
        <v>1.0982957146703E-2</v>
      </c>
      <c r="AN94" s="320">
        <v>36.549041177799822</v>
      </c>
      <c r="AO94" s="321">
        <v>128.48060839727793</v>
      </c>
      <c r="AP94" s="320">
        <v>0.90258041755098717</v>
      </c>
      <c r="AQ94" s="320">
        <v>15.056749612043614</v>
      </c>
      <c r="AR94" s="320">
        <v>11.719083369753577</v>
      </c>
      <c r="AS94" s="320">
        <v>30.542581651635867</v>
      </c>
      <c r="AT94" s="320">
        <v>0.70085615882734675</v>
      </c>
      <c r="AU94" s="320">
        <v>2.2494902467536986</v>
      </c>
      <c r="AV94" s="320">
        <v>7.3650953033736606</v>
      </c>
      <c r="AW94" s="320">
        <v>24.996796856687997</v>
      </c>
      <c r="AX94" s="320">
        <v>8.7336208955753492</v>
      </c>
      <c r="AY94" s="320">
        <v>6.7174165396006398</v>
      </c>
      <c r="AZ94" s="320">
        <v>34.938960162164264</v>
      </c>
      <c r="BA94" s="320">
        <v>0.78137500000000004</v>
      </c>
      <c r="BB94" s="320">
        <v>6.9426671440836682E-2</v>
      </c>
      <c r="BC94" s="322">
        <v>-2.9138303171177153E-2</v>
      </c>
      <c r="BD94" s="320">
        <v>8.8851923136569102</v>
      </c>
      <c r="BE94" s="78"/>
      <c r="BF94" s="144">
        <f t="shared" si="28"/>
        <v>9.3821587298103157</v>
      </c>
      <c r="BG94" s="144">
        <f t="shared" si="29"/>
        <v>9.1122267046021468E-3</v>
      </c>
      <c r="BH94" s="144">
        <f t="shared" si="30"/>
        <v>0.68762658128462761</v>
      </c>
      <c r="BI94" s="144">
        <f t="shared" si="31"/>
        <v>3.1701676457003045E-2</v>
      </c>
      <c r="BJ94" s="144">
        <f t="shared" si="32"/>
        <v>1.5406165107193944E-2</v>
      </c>
      <c r="BK94" s="144">
        <f t="shared" si="33"/>
        <v>0.33237214766137996</v>
      </c>
      <c r="BL94" s="78"/>
      <c r="BM94" s="78"/>
      <c r="BN94" s="78"/>
      <c r="BO94" s="78"/>
      <c r="BP94" s="78"/>
      <c r="BQ94" s="78"/>
      <c r="BR94" s="78"/>
      <c r="BS94" s="78"/>
      <c r="BT94" s="78"/>
      <c r="BU94" s="78"/>
      <c r="BV94" s="78"/>
      <c r="BW94" s="78"/>
    </row>
    <row r="95" spans="1:75" s="34" customFormat="1">
      <c r="A95" s="53"/>
      <c r="B95" s="53"/>
      <c r="C95" s="53"/>
      <c r="D95" s="53"/>
      <c r="E95" s="53"/>
      <c r="F95" s="53"/>
      <c r="G95" s="53"/>
      <c r="H95" s="53"/>
      <c r="I95" s="53"/>
      <c r="J95" s="53"/>
      <c r="K95" s="53"/>
      <c r="L95" s="53"/>
      <c r="M95" s="53"/>
      <c r="N95" s="156"/>
      <c r="O95" s="157"/>
      <c r="P95" s="75"/>
      <c r="Q95" s="157"/>
      <c r="R95" s="156"/>
      <c r="S95" s="47" t="s">
        <v>880</v>
      </c>
      <c r="T95" s="145">
        <f>MIN(T75:T94)</f>
        <v>6.5753424657534245E-6</v>
      </c>
      <c r="U95" s="366">
        <f t="shared" ref="U95:BK95" si="34">MIN(U75:U94)</f>
        <v>2.1917808219178082E-2</v>
      </c>
      <c r="V95" s="145">
        <f t="shared" si="34"/>
        <v>2.3972602739726026E-5</v>
      </c>
      <c r="W95" s="366">
        <f t="shared" si="34"/>
        <v>6.6590563165905628E-3</v>
      </c>
      <c r="X95" s="145">
        <f t="shared" si="34"/>
        <v>4.6554794520547952E-8</v>
      </c>
      <c r="Y95" s="366">
        <f t="shared" si="34"/>
        <v>1.5518264840182653E-4</v>
      </c>
      <c r="Z95" s="145">
        <f t="shared" si="34"/>
        <v>9.945205479452052E-5</v>
      </c>
      <c r="AA95" s="366">
        <f t="shared" si="34"/>
        <v>3.3150684931506837E-2</v>
      </c>
      <c r="AB95" s="145">
        <f t="shared" si="34"/>
        <v>8.4931506849315056E-8</v>
      </c>
      <c r="AC95" s="366">
        <f t="shared" si="34"/>
        <v>1.6986301369863012E-4</v>
      </c>
      <c r="AD95" s="145">
        <f t="shared" si="34"/>
        <v>1.663013698630137E-5</v>
      </c>
      <c r="AE95" s="366">
        <f t="shared" si="34"/>
        <v>8.3150684931506845E-4</v>
      </c>
      <c r="AF95" s="145"/>
      <c r="AG95" s="145">
        <f t="shared" si="34"/>
        <v>4.8290385735962911</v>
      </c>
      <c r="AH95" s="145">
        <f t="shared" si="34"/>
        <v>6.0487318203437966E-2</v>
      </c>
      <c r="AI95" s="145">
        <f t="shared" si="34"/>
        <v>9.7338218595221598E-2</v>
      </c>
      <c r="AJ95" s="145">
        <f t="shared" si="34"/>
        <v>1.2751170774405074</v>
      </c>
      <c r="AK95" s="145">
        <f t="shared" si="34"/>
        <v>6.244550036505344E-2</v>
      </c>
      <c r="AL95" s="145">
        <f t="shared" si="34"/>
        <v>1.4014600108013952E-2</v>
      </c>
      <c r="AM95" s="145">
        <f t="shared" si="34"/>
        <v>9.1074593700026692E-3</v>
      </c>
      <c r="AN95" s="145">
        <f t="shared" si="34"/>
        <v>2.2294098206251309</v>
      </c>
      <c r="AO95" s="145">
        <f t="shared" si="34"/>
        <v>72.645520623612995</v>
      </c>
      <c r="AP95" s="145">
        <f t="shared" si="34"/>
        <v>0.1126308110329849</v>
      </c>
      <c r="AQ95" s="145">
        <f t="shared" si="34"/>
        <v>0.14567156693677821</v>
      </c>
      <c r="AR95" s="145">
        <f t="shared" si="34"/>
        <v>4.4919047804806524E-2</v>
      </c>
      <c r="AS95" s="145">
        <f t="shared" si="34"/>
        <v>12.144729275664575</v>
      </c>
      <c r="AT95" s="145">
        <f t="shared" si="34"/>
        <v>0.49774452921444134</v>
      </c>
      <c r="AU95" s="145">
        <f t="shared" si="34"/>
        <v>0.42930463043438161</v>
      </c>
      <c r="AV95" s="145">
        <f t="shared" si="34"/>
        <v>0.39922345965392569</v>
      </c>
      <c r="AW95" s="145">
        <f t="shared" si="34"/>
        <v>17.530373250600199</v>
      </c>
      <c r="AX95" s="145">
        <f t="shared" si="34"/>
        <v>0.37799752320538055</v>
      </c>
      <c r="AY95" s="145">
        <f t="shared" si="34"/>
        <v>0.17333161980178374</v>
      </c>
      <c r="AZ95" s="145">
        <f t="shared" si="34"/>
        <v>1.3633074038919204</v>
      </c>
      <c r="BA95" s="145">
        <f t="shared" si="34"/>
        <v>3.3985000000000001E-2</v>
      </c>
      <c r="BB95" s="145">
        <f t="shared" si="34"/>
        <v>-1.1248125312447925E-2</v>
      </c>
      <c r="BC95" s="145">
        <f t="shared" si="34"/>
        <v>-2.9245125812364599E-2</v>
      </c>
      <c r="BD95" s="145">
        <f t="shared" si="34"/>
        <v>0.82939027286707268</v>
      </c>
      <c r="BE95" s="145"/>
      <c r="BF95" s="145">
        <f t="shared" si="34"/>
        <v>4.4179402898777857E-2</v>
      </c>
      <c r="BG95" s="145">
        <f t="shared" si="34"/>
        <v>4.2928901311802565E-3</v>
      </c>
      <c r="BH95" s="145">
        <f t="shared" si="34"/>
        <v>5.1421028697100444E-3</v>
      </c>
      <c r="BI95" s="145">
        <f t="shared" si="34"/>
        <v>1.1099021987707286E-2</v>
      </c>
      <c r="BJ95" s="145">
        <f t="shared" si="34"/>
        <v>3.4092589691542088E-3</v>
      </c>
      <c r="BK95" s="145">
        <f t="shared" si="34"/>
        <v>1.4369716547871459E-2</v>
      </c>
      <c r="BL95" s="78"/>
      <c r="BM95" s="78"/>
      <c r="BN95" s="78"/>
      <c r="BO95" s="78"/>
      <c r="BP95" s="78"/>
      <c r="BQ95" s="78"/>
      <c r="BR95" s="78"/>
      <c r="BS95" s="78"/>
      <c r="BT95" s="78"/>
      <c r="BU95" s="78"/>
      <c r="BV95" s="78"/>
      <c r="BW95" s="78"/>
    </row>
    <row r="96" spans="1:75" s="34" customFormat="1">
      <c r="A96" s="53"/>
      <c r="B96" s="53"/>
      <c r="C96" s="53"/>
      <c r="D96" s="53"/>
      <c r="E96" s="53"/>
      <c r="F96" s="53"/>
      <c r="G96" s="53"/>
      <c r="H96" s="53"/>
      <c r="I96" s="53"/>
      <c r="J96" s="53"/>
      <c r="K96" s="53"/>
      <c r="L96" s="53"/>
      <c r="M96" s="53"/>
      <c r="N96" s="156"/>
      <c r="O96" s="157"/>
      <c r="P96" s="75"/>
      <c r="Q96" s="157"/>
      <c r="R96" s="156"/>
      <c r="S96" s="47" t="s">
        <v>881</v>
      </c>
      <c r="T96" s="145">
        <f>MAX(T75:T94)</f>
        <v>1.1736164383561645E-2</v>
      </c>
      <c r="U96" s="366">
        <f t="shared" ref="U96:BK96" si="35">MAX(U75:U94)</f>
        <v>39.120547945205487</v>
      </c>
      <c r="V96" s="145">
        <f t="shared" si="35"/>
        <v>3.9780821917808208E-4</v>
      </c>
      <c r="W96" s="366">
        <f t="shared" si="35"/>
        <v>0.1105022831050228</v>
      </c>
      <c r="X96" s="145">
        <f t="shared" si="35"/>
        <v>1.2097708904109591E-4</v>
      </c>
      <c r="Y96" s="366">
        <f t="shared" si="35"/>
        <v>0.40325696347031975</v>
      </c>
      <c r="Z96" s="145">
        <f t="shared" si="35"/>
        <v>2.3045205479452053E-3</v>
      </c>
      <c r="AA96" s="366">
        <f t="shared" si="35"/>
        <v>0.76817351598173511</v>
      </c>
      <c r="AB96" s="145">
        <f t="shared" si="35"/>
        <v>1.4123287671232876E-6</v>
      </c>
      <c r="AC96" s="366">
        <f t="shared" si="35"/>
        <v>2.8246575342465753E-3</v>
      </c>
      <c r="AD96" s="145">
        <f t="shared" si="35"/>
        <v>6.095342465753424E-4</v>
      </c>
      <c r="AE96" s="366">
        <f t="shared" si="35"/>
        <v>3.0476712328767121E-2</v>
      </c>
      <c r="AF96" s="145"/>
      <c r="AG96" s="145">
        <f t="shared" si="35"/>
        <v>8567.4218191252348</v>
      </c>
      <c r="AH96" s="145">
        <f t="shared" si="35"/>
        <v>633.83762495809128</v>
      </c>
      <c r="AI96" s="145">
        <f t="shared" si="35"/>
        <v>614.32850321472984</v>
      </c>
      <c r="AJ96" s="145">
        <f t="shared" si="35"/>
        <v>59.729440750827301</v>
      </c>
      <c r="AK96" s="145">
        <f t="shared" si="35"/>
        <v>1.0311527753766523</v>
      </c>
      <c r="AL96" s="145">
        <f t="shared" si="35"/>
        <v>0.20026619465146528</v>
      </c>
      <c r="AM96" s="145">
        <f t="shared" si="35"/>
        <v>0.11438579467197951</v>
      </c>
      <c r="AN96" s="145">
        <f t="shared" si="35"/>
        <v>56.417835043705075</v>
      </c>
      <c r="AO96" s="145">
        <f t="shared" si="35"/>
        <v>1682.3184556667823</v>
      </c>
      <c r="AP96" s="145">
        <f t="shared" si="35"/>
        <v>34.35130970000575</v>
      </c>
      <c r="AQ96" s="145">
        <f t="shared" si="35"/>
        <v>15.056749612043614</v>
      </c>
      <c r="AR96" s="145">
        <f t="shared" si="35"/>
        <v>18.045942329795597</v>
      </c>
      <c r="AS96" s="145">
        <f t="shared" si="35"/>
        <v>444.96222705958093</v>
      </c>
      <c r="AT96" s="145">
        <f t="shared" si="35"/>
        <v>21.579659770852444</v>
      </c>
      <c r="AU96" s="145">
        <f t="shared" si="35"/>
        <v>17.176817244567172</v>
      </c>
      <c r="AV96" s="145">
        <f t="shared" si="35"/>
        <v>14.007308221931996</v>
      </c>
      <c r="AW96" s="145">
        <f t="shared" si="35"/>
        <v>290.39741028858617</v>
      </c>
      <c r="AX96" s="145">
        <f t="shared" si="35"/>
        <v>34.417843362243154</v>
      </c>
      <c r="AY96" s="145">
        <f t="shared" si="35"/>
        <v>11.056970711460004</v>
      </c>
      <c r="AZ96" s="145">
        <f t="shared" si="35"/>
        <v>34.938960162164264</v>
      </c>
      <c r="BA96" s="145">
        <f t="shared" si="35"/>
        <v>88.313275000000004</v>
      </c>
      <c r="BB96" s="145">
        <f t="shared" si="35"/>
        <v>10.847543796696662</v>
      </c>
      <c r="BC96" s="145">
        <f t="shared" si="35"/>
        <v>4.7668617025310072</v>
      </c>
      <c r="BD96" s="145">
        <f t="shared" si="35"/>
        <v>71.522313235483153</v>
      </c>
      <c r="BE96" s="145"/>
      <c r="BF96" s="145">
        <f t="shared" si="35"/>
        <v>289.42283594926289</v>
      </c>
      <c r="BG96" s="145">
        <f t="shared" si="35"/>
        <v>5.4871791016294844E-2</v>
      </c>
      <c r="BH96" s="145">
        <f t="shared" si="35"/>
        <v>1.56892576237127</v>
      </c>
      <c r="BI96" s="145">
        <f t="shared" si="35"/>
        <v>4.9532163455235905</v>
      </c>
      <c r="BJ96" s="145">
        <f t="shared" si="35"/>
        <v>0.14780514906513062</v>
      </c>
      <c r="BK96" s="145">
        <f t="shared" si="35"/>
        <v>1.3093390636955096</v>
      </c>
      <c r="BL96" s="78"/>
      <c r="BM96" s="78"/>
      <c r="BN96" s="78"/>
      <c r="BO96" s="78"/>
      <c r="BP96" s="78"/>
      <c r="BQ96" s="78"/>
      <c r="BR96" s="78"/>
      <c r="BS96" s="78"/>
      <c r="BT96" s="78"/>
      <c r="BU96" s="78"/>
      <c r="BV96" s="78"/>
      <c r="BW96" s="78"/>
    </row>
    <row r="97" spans="1:75" s="34" customFormat="1">
      <c r="A97" s="53"/>
      <c r="B97" s="53"/>
      <c r="C97" s="53"/>
      <c r="D97" s="53"/>
      <c r="E97" s="53"/>
      <c r="F97" s="53"/>
      <c r="G97" s="53"/>
      <c r="H97" s="53"/>
      <c r="I97" s="53"/>
      <c r="J97" s="53"/>
      <c r="K97" s="53"/>
      <c r="L97" s="53"/>
      <c r="M97" s="53"/>
      <c r="N97" s="156"/>
      <c r="O97" s="157"/>
      <c r="P97" s="75"/>
      <c r="Q97" s="157"/>
      <c r="R97" s="156"/>
      <c r="S97" s="47" t="s">
        <v>699</v>
      </c>
      <c r="T97" s="145">
        <f>PERCENTILE(T75:T94,0.25)</f>
        <v>3.0684931506849309E-5</v>
      </c>
      <c r="U97" s="366">
        <f t="shared" ref="U97:BK97" si="36">PERCENTILE(U75:U94,0.25)</f>
        <v>0.10228310502283104</v>
      </c>
      <c r="V97" s="145">
        <f t="shared" si="36"/>
        <v>3.3767123287671234E-5</v>
      </c>
      <c r="W97" s="366">
        <f t="shared" si="36"/>
        <v>9.3797564687975645E-3</v>
      </c>
      <c r="X97" s="145">
        <f t="shared" si="36"/>
        <v>7.2508390410958892E-7</v>
      </c>
      <c r="Y97" s="366">
        <f t="shared" si="36"/>
        <v>2.4169463470319632E-3</v>
      </c>
      <c r="Z97" s="145">
        <f t="shared" si="36"/>
        <v>1.7318493150684936E-4</v>
      </c>
      <c r="AA97" s="366">
        <f t="shared" si="36"/>
        <v>5.7728310502283116E-2</v>
      </c>
      <c r="AB97" s="145">
        <f t="shared" si="36"/>
        <v>1.6849315068493147E-7</v>
      </c>
      <c r="AC97" s="366">
        <f t="shared" si="36"/>
        <v>3.3698630136986299E-4</v>
      </c>
      <c r="AD97" s="145">
        <f t="shared" si="36"/>
        <v>5.6986301369863011E-5</v>
      </c>
      <c r="AE97" s="366">
        <f t="shared" si="36"/>
        <v>2.8493150684931507E-3</v>
      </c>
      <c r="AF97" s="145"/>
      <c r="AG97" s="145">
        <f t="shared" si="36"/>
        <v>22.422010217290406</v>
      </c>
      <c r="AH97" s="145">
        <f t="shared" si="36"/>
        <v>0.80131430921030922</v>
      </c>
      <c r="AI97" s="145">
        <f t="shared" si="36"/>
        <v>0.92444176243180154</v>
      </c>
      <c r="AJ97" s="145">
        <f t="shared" si="36"/>
        <v>1.9641727157597826</v>
      </c>
      <c r="AK97" s="145">
        <f t="shared" si="36"/>
        <v>0.12287409689743975</v>
      </c>
      <c r="AL97" s="145">
        <f t="shared" si="36"/>
        <v>4.9481518256117338E-2</v>
      </c>
      <c r="AM97" s="145">
        <f t="shared" si="36"/>
        <v>1.5484620718934101E-2</v>
      </c>
      <c r="AN97" s="145">
        <f t="shared" si="36"/>
        <v>22.523693773777921</v>
      </c>
      <c r="AO97" s="145">
        <f t="shared" si="36"/>
        <v>126.41900789479273</v>
      </c>
      <c r="AP97" s="145">
        <f t="shared" si="36"/>
        <v>1.0226096401598772</v>
      </c>
      <c r="AQ97" s="145">
        <f t="shared" si="36"/>
        <v>0.43556085471197503</v>
      </c>
      <c r="AR97" s="145">
        <f t="shared" si="36"/>
        <v>0.22510074151627277</v>
      </c>
      <c r="AS97" s="145">
        <f t="shared" si="36"/>
        <v>41.602820737538906</v>
      </c>
      <c r="AT97" s="145">
        <f t="shared" si="36"/>
        <v>2.8503004075540437</v>
      </c>
      <c r="AU97" s="145">
        <f t="shared" si="36"/>
        <v>2.2867421100541536</v>
      </c>
      <c r="AV97" s="145">
        <f t="shared" si="36"/>
        <v>5.0360268103917853</v>
      </c>
      <c r="AW97" s="145">
        <f t="shared" si="36"/>
        <v>24.683931903627009</v>
      </c>
      <c r="AX97" s="145">
        <f t="shared" si="36"/>
        <v>4.3207632355553383</v>
      </c>
      <c r="AY97" s="145">
        <f t="shared" si="36"/>
        <v>1.1457282515773231</v>
      </c>
      <c r="AZ97" s="145">
        <f t="shared" si="36"/>
        <v>14.029076850173874</v>
      </c>
      <c r="BA97" s="145">
        <f t="shared" si="36"/>
        <v>0.5293112499999999</v>
      </c>
      <c r="BB97" s="145">
        <f t="shared" si="36"/>
        <v>1.5439042060062275E-2</v>
      </c>
      <c r="BC97" s="145">
        <f t="shared" si="36"/>
        <v>-2.9197687628144849E-2</v>
      </c>
      <c r="BD97" s="145">
        <f t="shared" si="36"/>
        <v>3.130525563950183</v>
      </c>
      <c r="BE97" s="145"/>
      <c r="BF97" s="145">
        <f t="shared" si="36"/>
        <v>0.4311233236952875</v>
      </c>
      <c r="BG97" s="145">
        <f t="shared" si="36"/>
        <v>1.3584539286465944E-2</v>
      </c>
      <c r="BH97" s="145">
        <f t="shared" si="36"/>
        <v>4.94391016429521E-2</v>
      </c>
      <c r="BI97" s="145">
        <f t="shared" si="36"/>
        <v>1.7961016366242911E-2</v>
      </c>
      <c r="BJ97" s="145">
        <f t="shared" si="36"/>
        <v>1.9522547495651743E-2</v>
      </c>
      <c r="BK97" s="145">
        <f t="shared" si="36"/>
        <v>0.16435303244485927</v>
      </c>
      <c r="BL97" s="78"/>
      <c r="BM97" s="78"/>
      <c r="BN97" s="78"/>
      <c r="BO97" s="78"/>
      <c r="BP97" s="78"/>
      <c r="BQ97" s="78"/>
      <c r="BR97" s="78"/>
      <c r="BS97" s="78"/>
      <c r="BT97" s="78"/>
      <c r="BU97" s="78"/>
      <c r="BV97" s="78"/>
      <c r="BW97" s="78"/>
    </row>
    <row r="98" spans="1:75" s="34" customFormat="1">
      <c r="A98" s="53"/>
      <c r="B98" s="53"/>
      <c r="C98" s="53"/>
      <c r="D98" s="53"/>
      <c r="E98" s="53"/>
      <c r="F98" s="53"/>
      <c r="G98" s="53"/>
      <c r="H98" s="53"/>
      <c r="I98" s="53"/>
      <c r="J98" s="53"/>
      <c r="K98" s="53"/>
      <c r="L98" s="53"/>
      <c r="M98" s="53"/>
      <c r="N98" s="156"/>
      <c r="O98" s="157"/>
      <c r="P98" s="75"/>
      <c r="Q98" s="157"/>
      <c r="R98" s="156"/>
      <c r="S98" s="47" t="s">
        <v>700</v>
      </c>
      <c r="T98" s="145">
        <f>PERCENTILE(T75:T94,0.5)</f>
        <v>1.0534246575342465E-4</v>
      </c>
      <c r="U98" s="366">
        <f t="shared" ref="U98:BK98" si="37">PERCENTILE(U75:U94,0.5)</f>
        <v>0.35114155251141554</v>
      </c>
      <c r="V98" s="145">
        <f t="shared" si="37"/>
        <v>4.883561643835616E-5</v>
      </c>
      <c r="W98" s="366">
        <f t="shared" si="37"/>
        <v>1.3565449010654488E-2</v>
      </c>
      <c r="X98" s="145">
        <f t="shared" si="37"/>
        <v>2.8405273972602741E-6</v>
      </c>
      <c r="Y98" s="366">
        <f t="shared" si="37"/>
        <v>9.4684246575342489E-3</v>
      </c>
      <c r="Z98" s="145">
        <f t="shared" si="37"/>
        <v>3.3458904109589041E-4</v>
      </c>
      <c r="AA98" s="366">
        <f t="shared" si="37"/>
        <v>0.11152968036529681</v>
      </c>
      <c r="AB98" s="145">
        <f t="shared" si="37"/>
        <v>2.7328767123287668E-7</v>
      </c>
      <c r="AC98" s="366">
        <f t="shared" si="37"/>
        <v>5.4657534246575334E-4</v>
      </c>
      <c r="AD98" s="145">
        <f t="shared" si="37"/>
        <v>1.1356164383561643E-4</v>
      </c>
      <c r="AE98" s="366">
        <f t="shared" si="37"/>
        <v>5.6780821917808214E-3</v>
      </c>
      <c r="AF98" s="145"/>
      <c r="AG98" s="145">
        <f t="shared" si="37"/>
        <v>76.895895010333021</v>
      </c>
      <c r="AH98" s="145">
        <f t="shared" si="37"/>
        <v>2.6755149198564716</v>
      </c>
      <c r="AI98" s="145">
        <f t="shared" si="37"/>
        <v>3.7979610863189377</v>
      </c>
      <c r="AJ98" s="145">
        <f t="shared" si="37"/>
        <v>3.0216766060964209</v>
      </c>
      <c r="AK98" s="145">
        <f t="shared" si="37"/>
        <v>0.1996340847197792</v>
      </c>
      <c r="AL98" s="145">
        <f t="shared" si="37"/>
        <v>6.9033643787032473E-2</v>
      </c>
      <c r="AM98" s="145">
        <f t="shared" si="37"/>
        <v>2.937501451030659E-2</v>
      </c>
      <c r="AN98" s="145">
        <f t="shared" si="37"/>
        <v>32.532908638738107</v>
      </c>
      <c r="AO98" s="145">
        <f t="shared" si="37"/>
        <v>244.24792361114928</v>
      </c>
      <c r="AP98" s="145">
        <f t="shared" si="37"/>
        <v>1.581261543423492</v>
      </c>
      <c r="AQ98" s="145">
        <f t="shared" si="37"/>
        <v>0.85980382115656584</v>
      </c>
      <c r="AR98" s="145">
        <f t="shared" si="37"/>
        <v>0.46444112597637854</v>
      </c>
      <c r="AS98" s="145">
        <f t="shared" si="37"/>
        <v>82.896083121824347</v>
      </c>
      <c r="AT98" s="145">
        <f t="shared" si="37"/>
        <v>4.44405375848305</v>
      </c>
      <c r="AU98" s="145">
        <f t="shared" si="37"/>
        <v>3.3664388658831426</v>
      </c>
      <c r="AV98" s="145">
        <f t="shared" si="37"/>
        <v>6.0035675214134336</v>
      </c>
      <c r="AW98" s="145">
        <f t="shared" si="37"/>
        <v>35.626295476604724</v>
      </c>
      <c r="AX98" s="145">
        <f t="shared" si="37"/>
        <v>8.1514330704277604</v>
      </c>
      <c r="AY98" s="145">
        <f t="shared" si="37"/>
        <v>1.6544641975935019</v>
      </c>
      <c r="AZ98" s="145">
        <f t="shared" si="37"/>
        <v>18.901748922358756</v>
      </c>
      <c r="BA98" s="145">
        <f t="shared" si="37"/>
        <v>2.073585</v>
      </c>
      <c r="BB98" s="145">
        <f t="shared" si="37"/>
        <v>7.158026918324617E-2</v>
      </c>
      <c r="BC98" s="145">
        <f t="shared" si="37"/>
        <v>4.4584516445890163E-4</v>
      </c>
      <c r="BD98" s="145">
        <f t="shared" si="37"/>
        <v>9.3840963982004375</v>
      </c>
      <c r="BE98" s="145"/>
      <c r="BF98" s="145">
        <f t="shared" si="37"/>
        <v>1.7385130262279285</v>
      </c>
      <c r="BG98" s="145">
        <f t="shared" si="37"/>
        <v>1.8884571858480702E-2</v>
      </c>
      <c r="BH98" s="145">
        <f t="shared" si="37"/>
        <v>7.7084428545925954E-2</v>
      </c>
      <c r="BI98" s="145">
        <f t="shared" si="37"/>
        <v>3.3724930372423995E-2</v>
      </c>
      <c r="BJ98" s="145">
        <f t="shared" si="37"/>
        <v>3.0439244180376364E-2</v>
      </c>
      <c r="BK98" s="145">
        <f t="shared" si="37"/>
        <v>0.31041087546139989</v>
      </c>
      <c r="BL98" s="78"/>
      <c r="BM98" s="78"/>
      <c r="BN98" s="78"/>
      <c r="BO98" s="78"/>
      <c r="BP98" s="78"/>
      <c r="BQ98" s="78"/>
      <c r="BR98" s="78"/>
      <c r="BS98" s="78"/>
      <c r="BT98" s="78"/>
      <c r="BU98" s="78"/>
      <c r="BV98" s="78"/>
      <c r="BW98" s="78"/>
    </row>
    <row r="99" spans="1:75" s="34" customFormat="1">
      <c r="A99" s="53"/>
      <c r="B99" s="53"/>
      <c r="C99" s="53"/>
      <c r="D99" s="53"/>
      <c r="E99" s="53"/>
      <c r="F99" s="53"/>
      <c r="G99" s="53"/>
      <c r="H99" s="53"/>
      <c r="I99" s="53"/>
      <c r="J99" s="53"/>
      <c r="K99" s="53"/>
      <c r="L99" s="53"/>
      <c r="M99" s="53"/>
      <c r="N99" s="156"/>
      <c r="O99" s="157"/>
      <c r="P99" s="75"/>
      <c r="Q99" s="157"/>
      <c r="R99" s="156"/>
      <c r="S99" s="47" t="s">
        <v>1149</v>
      </c>
      <c r="T99" s="145">
        <f>PERCENTILE(T75:T94,0.75)</f>
        <v>1.574486301369863E-3</v>
      </c>
      <c r="U99" s="366">
        <f t="shared" ref="U99:BK99" si="38">PERCENTILE(U75:U94,0.75)</f>
        <v>5.2482876712328768</v>
      </c>
      <c r="V99" s="145">
        <f t="shared" si="38"/>
        <v>9.9623287671232882E-5</v>
      </c>
      <c r="W99" s="366">
        <f t="shared" si="38"/>
        <v>2.7673135464231356E-2</v>
      </c>
      <c r="X99" s="145">
        <f t="shared" si="38"/>
        <v>8.2781558219178071E-6</v>
      </c>
      <c r="Y99" s="366">
        <f t="shared" si="38"/>
        <v>2.7593852739726026E-2</v>
      </c>
      <c r="Z99" s="145">
        <f t="shared" si="38"/>
        <v>1.399623287671233E-3</v>
      </c>
      <c r="AA99" s="366">
        <f t="shared" si="38"/>
        <v>0.46654109589041098</v>
      </c>
      <c r="AB99" s="145">
        <f t="shared" si="38"/>
        <v>5.6027397260273963E-7</v>
      </c>
      <c r="AC99" s="366">
        <f t="shared" si="38"/>
        <v>1.1205479452054792E-3</v>
      </c>
      <c r="AD99" s="145">
        <f t="shared" si="38"/>
        <v>3.0371232876712326E-4</v>
      </c>
      <c r="AE99" s="366">
        <f t="shared" si="38"/>
        <v>1.5185616438356163E-2</v>
      </c>
      <c r="AF99" s="145"/>
      <c r="AG99" s="145">
        <f t="shared" si="38"/>
        <v>1149.3434153621324</v>
      </c>
      <c r="AH99" s="145">
        <f t="shared" si="38"/>
        <v>22.587312892827448</v>
      </c>
      <c r="AI99" s="145">
        <f t="shared" si="38"/>
        <v>23.718312093906611</v>
      </c>
      <c r="AJ99" s="145">
        <f t="shared" si="38"/>
        <v>6.2208506532209906</v>
      </c>
      <c r="AK99" s="145">
        <f t="shared" si="38"/>
        <v>0.40913103047693866</v>
      </c>
      <c r="AL99" s="145">
        <f t="shared" si="38"/>
        <v>9.1472791268008558E-2</v>
      </c>
      <c r="AM99" s="145">
        <f t="shared" si="38"/>
        <v>5.0433807024361003E-2</v>
      </c>
      <c r="AN99" s="145">
        <f t="shared" si="38"/>
        <v>44.185734583053133</v>
      </c>
      <c r="AO99" s="145">
        <f t="shared" si="38"/>
        <v>1021.7335476145836</v>
      </c>
      <c r="AP99" s="145">
        <f t="shared" si="38"/>
        <v>3.0494487144217679</v>
      </c>
      <c r="AQ99" s="145">
        <f t="shared" si="38"/>
        <v>1.254383129028334</v>
      </c>
      <c r="AR99" s="145">
        <f t="shared" si="38"/>
        <v>1.5474529080461621</v>
      </c>
      <c r="AS99" s="145">
        <f t="shared" si="38"/>
        <v>221.71129963256848</v>
      </c>
      <c r="AT99" s="145">
        <f t="shared" si="38"/>
        <v>12.850461574782504</v>
      </c>
      <c r="AU99" s="145">
        <f t="shared" si="38"/>
        <v>10.342748277598513</v>
      </c>
      <c r="AV99" s="145">
        <f t="shared" si="38"/>
        <v>7.6725333851619606</v>
      </c>
      <c r="AW99" s="145">
        <f t="shared" si="38"/>
        <v>72.702635087697857</v>
      </c>
      <c r="AX99" s="145">
        <f t="shared" si="38"/>
        <v>10.356055755782005</v>
      </c>
      <c r="AY99" s="145">
        <f t="shared" si="38"/>
        <v>3.2406535103992287</v>
      </c>
      <c r="AZ99" s="145">
        <f t="shared" si="38"/>
        <v>24.067529768575319</v>
      </c>
      <c r="BA99" s="145">
        <f t="shared" si="38"/>
        <v>6.0430537500000003</v>
      </c>
      <c r="BB99" s="145">
        <f t="shared" si="38"/>
        <v>1.0352748825291156</v>
      </c>
      <c r="BC99" s="145">
        <f t="shared" si="38"/>
        <v>4.6829583064133193E-2</v>
      </c>
      <c r="BD99" s="145">
        <f t="shared" si="38"/>
        <v>18.651821490691756</v>
      </c>
      <c r="BE99" s="145"/>
      <c r="BF99" s="145">
        <f t="shared" si="38"/>
        <v>10.830349992920187</v>
      </c>
      <c r="BG99" s="145">
        <f t="shared" si="38"/>
        <v>2.5047150749591567E-2</v>
      </c>
      <c r="BH99" s="145">
        <f t="shared" si="38"/>
        <v>0.14452214229281807</v>
      </c>
      <c r="BI99" s="145">
        <f t="shared" si="38"/>
        <v>0.59863988886693198</v>
      </c>
      <c r="BJ99" s="145">
        <f t="shared" si="38"/>
        <v>8.8015936258888566E-2</v>
      </c>
      <c r="BK99" s="145">
        <f t="shared" si="38"/>
        <v>0.39418640865278787</v>
      </c>
      <c r="BL99" s="78"/>
      <c r="BM99" s="78"/>
      <c r="BN99" s="78"/>
      <c r="BO99" s="78"/>
      <c r="BP99" s="78"/>
      <c r="BQ99" s="78"/>
      <c r="BR99" s="78"/>
      <c r="BS99" s="78"/>
      <c r="BT99" s="78"/>
      <c r="BU99" s="78"/>
      <c r="BV99" s="78"/>
      <c r="BW99" s="78"/>
    </row>
    <row r="100" spans="1:75" s="34" customFormat="1">
      <c r="A100" s="53"/>
      <c r="B100" s="53"/>
      <c r="C100" s="53"/>
      <c r="D100" s="53"/>
      <c r="E100" s="53"/>
      <c r="F100" s="53"/>
      <c r="G100" s="53"/>
      <c r="H100" s="53"/>
      <c r="I100" s="53"/>
      <c r="J100" s="53"/>
      <c r="K100" s="53"/>
      <c r="L100" s="53"/>
      <c r="M100" s="53"/>
      <c r="N100" s="156"/>
      <c r="O100" s="157"/>
      <c r="P100" s="75"/>
      <c r="Q100" s="157"/>
      <c r="R100" s="156"/>
      <c r="S100" s="47" t="s">
        <v>701</v>
      </c>
      <c r="T100" s="145">
        <f>PERCENTILE(T75:T94,0.95)</f>
        <v>7.5467945205479475E-3</v>
      </c>
      <c r="U100" s="366">
        <f t="shared" ref="U100:BK100" si="39">PERCENTILE(U75:U94,0.95)</f>
        <v>25.155981735159827</v>
      </c>
      <c r="V100" s="145">
        <f t="shared" si="39"/>
        <v>2.5595890410958915E-4</v>
      </c>
      <c r="W100" s="366">
        <f t="shared" si="39"/>
        <v>7.1099695585996991E-2</v>
      </c>
      <c r="X100" s="145">
        <f t="shared" si="39"/>
        <v>3.3562546232876776E-5</v>
      </c>
      <c r="Y100" s="366">
        <f t="shared" si="39"/>
        <v>0.11187515410958926</v>
      </c>
      <c r="Z100" s="145">
        <f t="shared" si="39"/>
        <v>1.9540616438356163E-3</v>
      </c>
      <c r="AA100" s="366">
        <f t="shared" si="39"/>
        <v>0.65135388127853877</v>
      </c>
      <c r="AB100" s="145">
        <f t="shared" si="39"/>
        <v>1.3186301369863015E-6</v>
      </c>
      <c r="AC100" s="366">
        <f t="shared" si="39"/>
        <v>2.6372602739726031E-3</v>
      </c>
      <c r="AD100" s="145">
        <f t="shared" si="39"/>
        <v>5.1886780821917811E-4</v>
      </c>
      <c r="AE100" s="366">
        <f t="shared" si="39"/>
        <v>2.5943390410958903E-2</v>
      </c>
      <c r="AF100" s="145"/>
      <c r="AG100" s="145">
        <f t="shared" si="39"/>
        <v>5509.1312898807155</v>
      </c>
      <c r="AH100" s="145">
        <f t="shared" si="39"/>
        <v>273.16347957112879</v>
      </c>
      <c r="AI100" s="145">
        <f t="shared" si="39"/>
        <v>262.70083354360065</v>
      </c>
      <c r="AJ100" s="145">
        <f t="shared" si="39"/>
        <v>10.08586766999025</v>
      </c>
      <c r="AK100" s="145">
        <f t="shared" si="39"/>
        <v>0.9628659221354513</v>
      </c>
      <c r="AL100" s="145">
        <f t="shared" si="39"/>
        <v>0.18933513852011521</v>
      </c>
      <c r="AM100" s="145">
        <f t="shared" si="39"/>
        <v>0.10327439662368583</v>
      </c>
      <c r="AN100" s="145">
        <f t="shared" si="39"/>
        <v>51.012515652601955</v>
      </c>
      <c r="AO100" s="145">
        <f t="shared" si="39"/>
        <v>1426.5010363161798</v>
      </c>
      <c r="AP100" s="145">
        <f t="shared" si="39"/>
        <v>4.9047847800246362</v>
      </c>
      <c r="AQ100" s="145">
        <f t="shared" si="39"/>
        <v>13.817789876613077</v>
      </c>
      <c r="AR100" s="145">
        <f t="shared" si="39"/>
        <v>12.035426317755682</v>
      </c>
      <c r="AS100" s="145">
        <f t="shared" si="39"/>
        <v>378.76975317159355</v>
      </c>
      <c r="AT100" s="145">
        <f t="shared" si="39"/>
        <v>21.12106648748691</v>
      </c>
      <c r="AU100" s="145">
        <f t="shared" si="39"/>
        <v>16.690765579280349</v>
      </c>
      <c r="AV100" s="145">
        <f t="shared" si="39"/>
        <v>10.545706528051733</v>
      </c>
      <c r="AW100" s="145">
        <f t="shared" si="39"/>
        <v>186.8920035093802</v>
      </c>
      <c r="AX100" s="145">
        <f t="shared" si="39"/>
        <v>31.489397892612594</v>
      </c>
      <c r="AY100" s="145">
        <f t="shared" si="39"/>
        <v>10.408886913439211</v>
      </c>
      <c r="AZ100" s="145">
        <f t="shared" si="39"/>
        <v>29.855456912861815</v>
      </c>
      <c r="BA100" s="145">
        <f t="shared" si="39"/>
        <v>24.500658750000046</v>
      </c>
      <c r="BB100" s="145">
        <f t="shared" si="39"/>
        <v>10.103107971891973</v>
      </c>
      <c r="BC100" s="145">
        <f t="shared" si="39"/>
        <v>1.2461711478947999</v>
      </c>
      <c r="BD100" s="145">
        <f t="shared" si="39"/>
        <v>54.339966584095336</v>
      </c>
      <c r="BE100" s="145"/>
      <c r="BF100" s="145">
        <f t="shared" si="39"/>
        <v>124.73279233126199</v>
      </c>
      <c r="BG100" s="145">
        <f t="shared" si="39"/>
        <v>5.1858933474497132E-2</v>
      </c>
      <c r="BH100" s="145">
        <f t="shared" si="39"/>
        <v>0.73169154033896033</v>
      </c>
      <c r="BI100" s="145">
        <f t="shared" si="39"/>
        <v>4.6490728939090813</v>
      </c>
      <c r="BJ100" s="145">
        <f t="shared" si="39"/>
        <v>0.14466657834442473</v>
      </c>
      <c r="BK100" s="145">
        <f t="shared" si="39"/>
        <v>1.198150017497335</v>
      </c>
      <c r="BL100" s="78"/>
      <c r="BM100" s="78"/>
      <c r="BN100" s="78"/>
      <c r="BO100" s="78"/>
      <c r="BP100" s="78"/>
      <c r="BQ100" s="78"/>
      <c r="BR100" s="78"/>
      <c r="BS100" s="78"/>
      <c r="BT100" s="78"/>
      <c r="BU100" s="78"/>
      <c r="BV100" s="78"/>
      <c r="BW100" s="78"/>
    </row>
    <row r="101" spans="1:75" s="34" customFormat="1">
      <c r="A101" s="53"/>
      <c r="B101" s="53"/>
      <c r="C101" s="53"/>
      <c r="D101" s="53"/>
      <c r="E101" s="53"/>
      <c r="F101" s="53"/>
      <c r="G101" s="53"/>
      <c r="H101" s="53"/>
      <c r="I101" s="53"/>
      <c r="J101" s="53"/>
      <c r="K101" s="53"/>
      <c r="L101" s="53"/>
      <c r="M101" s="53"/>
      <c r="N101" s="156"/>
      <c r="O101" s="157"/>
      <c r="P101" s="75"/>
      <c r="Q101" s="157"/>
      <c r="R101" s="156"/>
      <c r="S101" s="47" t="s">
        <v>1150</v>
      </c>
      <c r="T101" s="145">
        <f>GEOMEAN(T75:T94)</f>
        <v>1.7749555779612212E-4</v>
      </c>
      <c r="U101" s="366">
        <f t="shared" ref="U101:BK101" si="40">GEOMEAN(U75:U94)</f>
        <v>0.59165185932040709</v>
      </c>
      <c r="V101" s="145">
        <f t="shared" si="40"/>
        <v>6.1039114256323257E-5</v>
      </c>
      <c r="W101" s="366">
        <f t="shared" si="40"/>
        <v>1.6955309515645348E-2</v>
      </c>
      <c r="X101" s="145">
        <f t="shared" si="40"/>
        <v>2.4318026551104795E-6</v>
      </c>
      <c r="Y101" s="366">
        <f t="shared" si="40"/>
        <v>8.106008850368265E-3</v>
      </c>
      <c r="Z101" s="145">
        <f t="shared" si="40"/>
        <v>4.1955956662893774E-4</v>
      </c>
      <c r="AA101" s="366">
        <f t="shared" si="40"/>
        <v>0.13985318887631257</v>
      </c>
      <c r="AB101" s="145">
        <f t="shared" si="40"/>
        <v>3.2298438504458747E-7</v>
      </c>
      <c r="AC101" s="366">
        <f t="shared" si="40"/>
        <v>6.4596877008917496E-4</v>
      </c>
      <c r="AD101" s="145">
        <f t="shared" si="40"/>
        <v>1.2112647077838537E-4</v>
      </c>
      <c r="AE101" s="366">
        <f t="shared" si="40"/>
        <v>6.0563235389192683E-3</v>
      </c>
      <c r="AF101" s="145"/>
      <c r="AG101" s="145">
        <f t="shared" si="40"/>
        <v>129.57093280188323</v>
      </c>
      <c r="AH101" s="145">
        <f t="shared" si="40"/>
        <v>3.8890583388680366</v>
      </c>
      <c r="AI101" s="145">
        <f t="shared" si="40"/>
        <v>4.7795856811662505</v>
      </c>
      <c r="AJ101" s="145">
        <f t="shared" si="40"/>
        <v>3.7209188843636376</v>
      </c>
      <c r="AK101" s="145">
        <f t="shared" si="40"/>
        <v>0.23579926297764467</v>
      </c>
      <c r="AL101" s="145">
        <f t="shared" si="40"/>
        <v>6.1750948261690509E-2</v>
      </c>
      <c r="AM101" s="145">
        <f t="shared" si="40"/>
        <v>2.9360845087348729E-2</v>
      </c>
      <c r="AN101" s="145">
        <f t="shared" si="40"/>
        <v>26.335170530165811</v>
      </c>
      <c r="AO101" s="145">
        <f t="shared" si="40"/>
        <v>306.28148551509747</v>
      </c>
      <c r="AP101" s="145">
        <f t="shared" si="40"/>
        <v>1.6137859874255398</v>
      </c>
      <c r="AQ101" s="145">
        <f t="shared" si="40"/>
        <v>0.93109986780918697</v>
      </c>
      <c r="AR101" s="145">
        <f t="shared" si="40"/>
        <v>0.60650929556747546</v>
      </c>
      <c r="AS101" s="145">
        <f t="shared" si="40"/>
        <v>88.425268493679951</v>
      </c>
      <c r="AT101" s="145">
        <f t="shared" si="40"/>
        <v>4.7054874084269578</v>
      </c>
      <c r="AU101" s="145">
        <f t="shared" si="40"/>
        <v>4.1209722037262324</v>
      </c>
      <c r="AV101" s="145">
        <f t="shared" si="40"/>
        <v>5.6452737411546847</v>
      </c>
      <c r="AW101" s="145">
        <f t="shared" si="40"/>
        <v>44.571652898518245</v>
      </c>
      <c r="AX101" s="145">
        <f t="shared" si="40"/>
        <v>6.7607441190871542</v>
      </c>
      <c r="AY101" s="145">
        <f t="shared" si="40"/>
        <v>1.8530521014917063</v>
      </c>
      <c r="AZ101" s="145">
        <f t="shared" si="40"/>
        <v>15.16825982307672</v>
      </c>
      <c r="BA101" s="145">
        <f t="shared" si="40"/>
        <v>1.7752159382306503</v>
      </c>
      <c r="BB101" s="145" t="e">
        <f t="shared" si="40"/>
        <v>#NUM!</v>
      </c>
      <c r="BC101" s="145" t="e">
        <f t="shared" si="40"/>
        <v>#NUM!</v>
      </c>
      <c r="BD101" s="145">
        <f t="shared" si="40"/>
        <v>8.5696511964054753</v>
      </c>
      <c r="BE101" s="145"/>
      <c r="BF101" s="145">
        <f t="shared" si="40"/>
        <v>2.2014885763141612</v>
      </c>
      <c r="BG101" s="145">
        <f t="shared" si="40"/>
        <v>1.7011697717459893E-2</v>
      </c>
      <c r="BH101" s="145">
        <f t="shared" si="40"/>
        <v>8.4822259068237441E-2</v>
      </c>
      <c r="BI101" s="145">
        <f t="shared" si="40"/>
        <v>9.891915206440971E-2</v>
      </c>
      <c r="BJ101" s="145">
        <f t="shared" si="40"/>
        <v>3.4189604242197955E-2</v>
      </c>
      <c r="BK101" s="145">
        <f t="shared" si="40"/>
        <v>0.25718254011399372</v>
      </c>
      <c r="BL101" s="78"/>
      <c r="BM101" s="78"/>
      <c r="BN101" s="78"/>
      <c r="BO101" s="78"/>
      <c r="BP101" s="78"/>
      <c r="BQ101" s="78"/>
      <c r="BR101" s="78"/>
      <c r="BS101" s="78"/>
      <c r="BT101" s="78"/>
      <c r="BU101" s="78"/>
      <c r="BV101" s="78"/>
      <c r="BW101" s="78"/>
    </row>
    <row r="102" spans="1:75" s="34" customFormat="1">
      <c r="A102" s="53"/>
      <c r="B102" s="53"/>
      <c r="C102" s="53"/>
      <c r="D102" s="53"/>
      <c r="E102" s="53"/>
      <c r="F102" s="53"/>
      <c r="G102" s="53"/>
      <c r="H102" s="53"/>
      <c r="I102" s="53"/>
      <c r="J102" s="53"/>
      <c r="K102" s="53"/>
      <c r="L102" s="53"/>
      <c r="M102" s="53"/>
      <c r="N102" s="156"/>
      <c r="O102" s="157"/>
      <c r="P102" s="75"/>
      <c r="Q102" s="157"/>
      <c r="R102" s="156"/>
      <c r="S102" s="47" t="s">
        <v>1151</v>
      </c>
      <c r="T102" s="145">
        <f>AVERAGE(T75:T94)</f>
        <v>1.5795273972602736E-3</v>
      </c>
      <c r="U102" s="366">
        <f t="shared" ref="U102:BK102" si="41">AVERAGE(U75:U94)</f>
        <v>5.2650913242009141</v>
      </c>
      <c r="V102" s="145">
        <f t="shared" si="41"/>
        <v>8.8999999999999995E-5</v>
      </c>
      <c r="W102" s="366">
        <f t="shared" si="41"/>
        <v>2.4722222222222222E-2</v>
      </c>
      <c r="X102" s="145">
        <f t="shared" si="41"/>
        <v>1.1734871917808221E-5</v>
      </c>
      <c r="Y102" s="366">
        <f t="shared" si="41"/>
        <v>3.9116239726027402E-2</v>
      </c>
      <c r="Z102" s="145">
        <f t="shared" si="41"/>
        <v>7.1879452054794527E-4</v>
      </c>
      <c r="AA102" s="366">
        <f t="shared" si="41"/>
        <v>0.23959817351598178</v>
      </c>
      <c r="AB102" s="145">
        <f t="shared" si="41"/>
        <v>4.6746575342465752E-7</v>
      </c>
      <c r="AC102" s="366">
        <f t="shared" si="41"/>
        <v>9.3493150684931508E-4</v>
      </c>
      <c r="AD102" s="145">
        <f t="shared" si="41"/>
        <v>1.9494246575342463E-4</v>
      </c>
      <c r="AE102" s="366">
        <f t="shared" si="41"/>
        <v>9.7471232876712322E-3</v>
      </c>
      <c r="AF102" s="145"/>
      <c r="AG102" s="145">
        <f t="shared" si="41"/>
        <v>1153.0525720804339</v>
      </c>
      <c r="AH102" s="145">
        <f t="shared" si="41"/>
        <v>57.538537431930116</v>
      </c>
      <c r="AI102" s="145">
        <f t="shared" si="41"/>
        <v>57.28923226139127</v>
      </c>
      <c r="AJ102" s="145">
        <f t="shared" si="41"/>
        <v>6.5813702255343909</v>
      </c>
      <c r="AK102" s="145">
        <f t="shared" si="41"/>
        <v>0.34129326963492479</v>
      </c>
      <c r="AL102" s="145">
        <f t="shared" si="41"/>
        <v>7.721177887760533E-2</v>
      </c>
      <c r="AM102" s="145">
        <f t="shared" si="41"/>
        <v>3.7892482545419229E-2</v>
      </c>
      <c r="AN102" s="145">
        <f t="shared" si="41"/>
        <v>32.042582771428343</v>
      </c>
      <c r="AO102" s="145">
        <f t="shared" si="41"/>
        <v>524.72143495011142</v>
      </c>
      <c r="AP102" s="145">
        <f t="shared" si="41"/>
        <v>3.3906100582227445</v>
      </c>
      <c r="AQ102" s="145">
        <f t="shared" si="41"/>
        <v>2.3023513668918096</v>
      </c>
      <c r="AR102" s="145">
        <f t="shared" si="41"/>
        <v>2.2469085887773459</v>
      </c>
      <c r="AS102" s="145">
        <f t="shared" si="41"/>
        <v>142.3084488105923</v>
      </c>
      <c r="AT102" s="145">
        <f t="shared" si="41"/>
        <v>7.6756626434877173</v>
      </c>
      <c r="AU102" s="145">
        <f t="shared" si="41"/>
        <v>6.2425081263105815</v>
      </c>
      <c r="AV102" s="145">
        <f t="shared" si="41"/>
        <v>6.5386534173039292</v>
      </c>
      <c r="AW102" s="145">
        <f t="shared" si="41"/>
        <v>64.975334423753992</v>
      </c>
      <c r="AX102" s="145">
        <f t="shared" si="41"/>
        <v>9.8157425821021587</v>
      </c>
      <c r="AY102" s="145">
        <f t="shared" si="41"/>
        <v>2.996913097272504</v>
      </c>
      <c r="AZ102" s="145">
        <f t="shared" si="41"/>
        <v>18.79913198874948</v>
      </c>
      <c r="BA102" s="145">
        <f t="shared" si="41"/>
        <v>8.5664564999999993</v>
      </c>
      <c r="BB102" s="145">
        <f t="shared" si="41"/>
        <v>1.5943143068935812</v>
      </c>
      <c r="BC102" s="145">
        <f t="shared" si="41"/>
        <v>0.30726707294202182</v>
      </c>
      <c r="BD102" s="145">
        <f t="shared" si="41"/>
        <v>16.527193286219962</v>
      </c>
      <c r="BE102" s="145"/>
      <c r="BF102" s="145">
        <f t="shared" si="41"/>
        <v>26.842938975808767</v>
      </c>
      <c r="BG102" s="145">
        <f t="shared" si="41"/>
        <v>2.1174848779956176E-2</v>
      </c>
      <c r="BH102" s="145">
        <f t="shared" si="41"/>
        <v>0.18715708737514219</v>
      </c>
      <c r="BI102" s="145">
        <f t="shared" si="41"/>
        <v>0.8129349388365914</v>
      </c>
      <c r="BJ102" s="145">
        <f t="shared" si="41"/>
        <v>5.3133553802587608E-2</v>
      </c>
      <c r="BK102" s="145">
        <f t="shared" si="41"/>
        <v>0.37347719636889265</v>
      </c>
      <c r="BL102" s="78"/>
      <c r="BM102" s="78"/>
      <c r="BN102" s="78"/>
      <c r="BO102" s="78"/>
      <c r="BP102" s="78"/>
      <c r="BQ102" s="78"/>
      <c r="BR102" s="78"/>
      <c r="BS102" s="78"/>
      <c r="BT102" s="78"/>
      <c r="BU102" s="78"/>
      <c r="BV102" s="78"/>
      <c r="BW102" s="78"/>
    </row>
    <row r="103" spans="1:75" s="34" customFormat="1">
      <c r="A103" s="78"/>
      <c r="B103" s="78"/>
      <c r="C103" s="78"/>
      <c r="D103" s="78"/>
      <c r="E103" s="78"/>
      <c r="F103" s="78"/>
      <c r="G103" s="78"/>
      <c r="H103" s="78"/>
      <c r="I103" s="78"/>
      <c r="J103" s="78"/>
      <c r="K103" s="78"/>
      <c r="L103" s="78"/>
      <c r="M103" s="78"/>
      <c r="N103" s="78"/>
      <c r="O103" s="78"/>
      <c r="P103" s="78"/>
      <c r="Q103" s="78"/>
      <c r="R103" s="78"/>
      <c r="S103" s="78"/>
      <c r="T103" s="144"/>
      <c r="U103" s="158"/>
      <c r="V103" s="144"/>
      <c r="W103" s="158"/>
      <c r="X103" s="144"/>
      <c r="Y103" s="144"/>
      <c r="Z103" s="144"/>
      <c r="AA103" s="144"/>
      <c r="AB103" s="144"/>
      <c r="AC103" s="144"/>
      <c r="AD103" s="144"/>
      <c r="AE103" s="144"/>
      <c r="AF103" s="78"/>
      <c r="AG103" s="78"/>
      <c r="AH103" s="78"/>
      <c r="AI103" s="78"/>
      <c r="AJ103" s="78"/>
      <c r="AK103" s="78"/>
      <c r="AL103" s="78"/>
      <c r="AM103" s="78"/>
      <c r="AN103" s="78"/>
      <c r="AO103" s="78"/>
      <c r="AP103" s="78"/>
      <c r="AQ103" s="78"/>
      <c r="AR103" s="78"/>
      <c r="AS103" s="78"/>
      <c r="AT103" s="78"/>
      <c r="AU103" s="78"/>
      <c r="AV103" s="78"/>
      <c r="AW103" s="78"/>
      <c r="AX103" s="78"/>
      <c r="AY103" s="78"/>
      <c r="AZ103" s="78"/>
      <c r="BA103" s="78"/>
      <c r="BB103" s="78"/>
      <c r="BC103" s="78"/>
      <c r="BD103" s="78"/>
      <c r="BE103" s="78"/>
      <c r="BF103" s="144"/>
      <c r="BG103" s="144"/>
      <c r="BH103" s="144"/>
      <c r="BI103" s="144"/>
      <c r="BJ103" s="144"/>
      <c r="BK103" s="144"/>
      <c r="BL103" s="78"/>
      <c r="BM103" s="78"/>
      <c r="BN103" s="78"/>
      <c r="BO103" s="78"/>
      <c r="BP103" s="78"/>
      <c r="BQ103" s="78"/>
      <c r="BR103" s="78"/>
      <c r="BS103" s="78"/>
      <c r="BT103" s="78"/>
      <c r="BU103" s="78"/>
      <c r="BV103" s="78"/>
      <c r="BW103" s="78"/>
    </row>
    <row r="104" spans="1:75" s="34" customFormat="1">
      <c r="A104" s="17" t="s">
        <v>1187</v>
      </c>
      <c r="B104" s="78"/>
      <c r="C104" s="78"/>
      <c r="D104" s="78"/>
      <c r="E104" s="78"/>
      <c r="F104" s="78"/>
      <c r="G104" s="78"/>
      <c r="H104" s="78"/>
      <c r="I104" s="78"/>
      <c r="J104" s="78"/>
      <c r="K104" s="78"/>
      <c r="L104" s="78"/>
      <c r="M104" s="78"/>
      <c r="N104" s="78"/>
      <c r="O104" s="78"/>
      <c r="P104" s="78"/>
      <c r="Q104" s="78"/>
      <c r="R104" s="78"/>
      <c r="S104" s="78"/>
      <c r="T104" s="144"/>
      <c r="U104" s="158"/>
      <c r="V104" s="144"/>
      <c r="W104" s="158"/>
      <c r="X104" s="144"/>
      <c r="Y104" s="144"/>
      <c r="Z104" s="144"/>
      <c r="AA104" s="144"/>
      <c r="AB104" s="144"/>
      <c r="AC104" s="144"/>
      <c r="AD104" s="144"/>
      <c r="AE104" s="144"/>
      <c r="AF104" s="78"/>
      <c r="AG104" s="78"/>
      <c r="AH104" s="78"/>
      <c r="AI104" s="78"/>
      <c r="AJ104" s="78"/>
      <c r="AK104" s="78"/>
      <c r="AL104" s="78"/>
      <c r="AM104" s="78"/>
      <c r="AN104" s="78"/>
      <c r="AO104" s="78"/>
      <c r="AP104" s="78"/>
      <c r="AQ104" s="78"/>
      <c r="AR104" s="78"/>
      <c r="AS104" s="78"/>
      <c r="AT104" s="78"/>
      <c r="AU104" s="78"/>
      <c r="AV104" s="78"/>
      <c r="AW104" s="78"/>
      <c r="AX104" s="78"/>
      <c r="AY104" s="78"/>
      <c r="AZ104" s="78"/>
      <c r="BA104" s="78"/>
      <c r="BB104" s="78"/>
      <c r="BC104" s="78"/>
      <c r="BD104" s="78"/>
      <c r="BE104" s="78"/>
      <c r="BF104" s="144"/>
      <c r="BG104" s="144"/>
      <c r="BH104" s="144"/>
      <c r="BI104" s="144"/>
      <c r="BJ104" s="144"/>
      <c r="BK104" s="144"/>
      <c r="BL104" s="78"/>
      <c r="BM104" s="78"/>
      <c r="BN104" s="78"/>
      <c r="BO104" s="78"/>
      <c r="BP104" s="78"/>
      <c r="BQ104" s="78"/>
      <c r="BR104" s="78"/>
      <c r="BS104" s="78"/>
      <c r="BT104" s="78"/>
      <c r="BU104" s="78"/>
      <c r="BV104" s="78"/>
      <c r="BW104" s="78"/>
    </row>
    <row r="105" spans="1:75" s="34" customFormat="1" ht="63">
      <c r="A105" s="26" t="s">
        <v>0</v>
      </c>
      <c r="B105" s="26" t="s">
        <v>692</v>
      </c>
      <c r="C105" s="83" t="s">
        <v>1</v>
      </c>
      <c r="D105" s="83" t="s">
        <v>301</v>
      </c>
      <c r="E105" s="83" t="s">
        <v>300</v>
      </c>
      <c r="F105" s="83" t="s">
        <v>348</v>
      </c>
      <c r="G105" s="83" t="s">
        <v>302</v>
      </c>
      <c r="H105" s="26" t="s">
        <v>303</v>
      </c>
      <c r="I105" s="26" t="s">
        <v>363</v>
      </c>
      <c r="J105" s="26" t="s">
        <v>681</v>
      </c>
      <c r="K105" s="26" t="s">
        <v>680</v>
      </c>
      <c r="L105" s="83" t="s">
        <v>686</v>
      </c>
      <c r="M105" s="83" t="s">
        <v>693</v>
      </c>
      <c r="N105" s="78"/>
      <c r="O105" s="78"/>
      <c r="P105" s="78"/>
      <c r="Q105" s="78"/>
      <c r="R105" s="78"/>
      <c r="S105" s="78"/>
      <c r="T105" s="205" t="s">
        <v>920</v>
      </c>
      <c r="U105" s="206" t="s">
        <v>921</v>
      </c>
      <c r="V105" s="32" t="s">
        <v>922</v>
      </c>
      <c r="W105" s="206" t="s">
        <v>923</v>
      </c>
      <c r="X105" s="143" t="s">
        <v>924</v>
      </c>
      <c r="Y105" s="206" t="s">
        <v>925</v>
      </c>
      <c r="Z105" s="32" t="s">
        <v>926</v>
      </c>
      <c r="AA105" s="206" t="s">
        <v>927</v>
      </c>
      <c r="AB105" s="205" t="s">
        <v>928</v>
      </c>
      <c r="AC105" s="206" t="s">
        <v>929</v>
      </c>
      <c r="AD105" s="32" t="s">
        <v>930</v>
      </c>
      <c r="AE105" s="206" t="s">
        <v>931</v>
      </c>
      <c r="AF105" s="78"/>
      <c r="AG105" s="315" t="s">
        <v>1065</v>
      </c>
      <c r="AH105" s="315" t="s">
        <v>1066</v>
      </c>
      <c r="AI105" s="315" t="s">
        <v>1067</v>
      </c>
      <c r="AJ105" s="315" t="s">
        <v>1068</v>
      </c>
      <c r="AK105" s="315" t="s">
        <v>1073</v>
      </c>
      <c r="AL105" s="315" t="s">
        <v>1074</v>
      </c>
      <c r="AM105" s="315" t="s">
        <v>1075</v>
      </c>
      <c r="AN105" s="315" t="s">
        <v>1076</v>
      </c>
      <c r="AO105" s="315" t="s">
        <v>1081</v>
      </c>
      <c r="AP105" s="315" t="s">
        <v>1082</v>
      </c>
      <c r="AQ105" s="315" t="s">
        <v>1083</v>
      </c>
      <c r="AR105" s="315" t="s">
        <v>1084</v>
      </c>
      <c r="AS105" s="315" t="s">
        <v>1108</v>
      </c>
      <c r="AT105" s="315" t="s">
        <v>1109</v>
      </c>
      <c r="AU105" s="315" t="s">
        <v>1110</v>
      </c>
      <c r="AV105" s="315" t="s">
        <v>1111</v>
      </c>
      <c r="AW105" s="315" t="s">
        <v>1112</v>
      </c>
      <c r="AX105" s="315" t="s">
        <v>1113</v>
      </c>
      <c r="AY105" s="315" t="s">
        <v>1114</v>
      </c>
      <c r="AZ105" s="315" t="s">
        <v>1115</v>
      </c>
      <c r="BA105" s="315" t="s">
        <v>1144</v>
      </c>
      <c r="BB105" s="315" t="s">
        <v>1145</v>
      </c>
      <c r="BC105" s="315" t="s">
        <v>1146</v>
      </c>
      <c r="BD105" s="315" t="s">
        <v>1147</v>
      </c>
      <c r="BE105" s="78"/>
      <c r="BF105" s="388" t="s">
        <v>1181</v>
      </c>
      <c r="BG105" s="80" t="s">
        <v>1182</v>
      </c>
      <c r="BH105" s="80" t="s">
        <v>1183</v>
      </c>
      <c r="BI105" s="80" t="s">
        <v>1184</v>
      </c>
      <c r="BJ105" s="80" t="s">
        <v>1185</v>
      </c>
      <c r="BK105" s="80" t="s">
        <v>1186</v>
      </c>
      <c r="BL105" s="78"/>
      <c r="BM105" s="78"/>
      <c r="BN105" s="78"/>
      <c r="BO105" s="78"/>
      <c r="BP105" s="78"/>
      <c r="BQ105" s="78"/>
      <c r="BR105" s="78"/>
      <c r="BS105" s="78"/>
      <c r="BT105" s="78"/>
      <c r="BU105" s="78"/>
      <c r="BV105" s="78"/>
      <c r="BW105" s="78"/>
    </row>
    <row r="106" spans="1:75" s="34" customFormat="1" ht="18">
      <c r="A106" s="27"/>
      <c r="B106" s="27"/>
      <c r="C106" s="116"/>
      <c r="D106" s="116"/>
      <c r="E106" s="116"/>
      <c r="F106" s="116"/>
      <c r="G106" s="116"/>
      <c r="H106" s="116"/>
      <c r="I106" s="116" t="s">
        <v>349</v>
      </c>
      <c r="J106" s="116"/>
      <c r="K106" s="116"/>
      <c r="L106" s="116"/>
      <c r="M106" s="116"/>
      <c r="N106" s="8" t="s">
        <v>403</v>
      </c>
      <c r="O106" s="8" t="s">
        <v>403</v>
      </c>
      <c r="P106" s="8" t="s">
        <v>403</v>
      </c>
      <c r="Q106" s="8" t="s">
        <v>403</v>
      </c>
      <c r="R106" s="8" t="s">
        <v>403</v>
      </c>
      <c r="S106" s="8" t="s">
        <v>403</v>
      </c>
      <c r="T106" s="8" t="s">
        <v>960</v>
      </c>
      <c r="U106" s="89"/>
      <c r="V106" s="78"/>
      <c r="W106" s="89"/>
      <c r="X106" s="78"/>
      <c r="Y106" s="89"/>
      <c r="Z106" s="78"/>
      <c r="AA106" s="89"/>
      <c r="AB106" s="78"/>
      <c r="AC106" s="89"/>
      <c r="AD106" s="78"/>
      <c r="AE106" s="89"/>
      <c r="AF106" s="78"/>
      <c r="AG106" s="32" t="s">
        <v>403</v>
      </c>
      <c r="AH106" s="32" t="s">
        <v>403</v>
      </c>
      <c r="AI106" s="32" t="s">
        <v>403</v>
      </c>
      <c r="AJ106" s="32" t="s">
        <v>407</v>
      </c>
      <c r="AK106" s="32" t="s">
        <v>403</v>
      </c>
      <c r="AL106" s="32" t="s">
        <v>403</v>
      </c>
      <c r="AM106" s="32" t="s">
        <v>403</v>
      </c>
      <c r="AN106" s="32" t="s">
        <v>407</v>
      </c>
      <c r="AO106" s="32" t="s">
        <v>403</v>
      </c>
      <c r="AP106" s="32" t="s">
        <v>403</v>
      </c>
      <c r="AQ106" s="32" t="s">
        <v>403</v>
      </c>
      <c r="AR106" s="32" t="s">
        <v>407</v>
      </c>
      <c r="AS106" s="32" t="s">
        <v>403</v>
      </c>
      <c r="AT106" s="32" t="s">
        <v>403</v>
      </c>
      <c r="AU106" s="32" t="s">
        <v>403</v>
      </c>
      <c r="AV106" s="32" t="s">
        <v>407</v>
      </c>
      <c r="AW106" s="32" t="s">
        <v>403</v>
      </c>
      <c r="AX106" s="32" t="s">
        <v>403</v>
      </c>
      <c r="AY106" s="32" t="s">
        <v>403</v>
      </c>
      <c r="AZ106" s="32" t="s">
        <v>407</v>
      </c>
      <c r="BA106" s="32" t="s">
        <v>403</v>
      </c>
      <c r="BB106" s="32" t="s">
        <v>403</v>
      </c>
      <c r="BC106" s="32" t="s">
        <v>403</v>
      </c>
      <c r="BD106" s="32" t="s">
        <v>407</v>
      </c>
      <c r="BE106" s="78"/>
      <c r="BF106" s="78"/>
      <c r="BG106" s="78"/>
      <c r="BH106" s="78"/>
      <c r="BI106" s="78"/>
      <c r="BJ106" s="78"/>
      <c r="BK106" s="78"/>
      <c r="BL106" s="78"/>
      <c r="BM106" s="78"/>
      <c r="BN106" s="78"/>
      <c r="BO106" s="78"/>
      <c r="BP106" s="78"/>
      <c r="BQ106" s="78"/>
      <c r="BR106" s="78"/>
      <c r="BS106" s="78"/>
      <c r="BT106" s="78"/>
      <c r="BU106" s="78"/>
      <c r="BV106" s="78"/>
      <c r="BW106" s="78"/>
    </row>
    <row r="107" spans="1:75" s="34" customFormat="1">
      <c r="A107" s="152" t="s">
        <v>297</v>
      </c>
      <c r="B107" s="43"/>
      <c r="C107" s="153"/>
      <c r="D107" s="153"/>
      <c r="E107" s="153"/>
      <c r="F107" s="153"/>
      <c r="G107" s="153"/>
      <c r="H107" s="116"/>
      <c r="I107" s="116"/>
      <c r="J107" s="116"/>
      <c r="K107" s="153"/>
      <c r="L107" s="153"/>
      <c r="M107" s="153"/>
      <c r="N107" s="57" t="s">
        <v>77</v>
      </c>
      <c r="O107" s="57" t="s">
        <v>69</v>
      </c>
      <c r="P107" s="56">
        <v>0.02</v>
      </c>
      <c r="Q107" s="57" t="s">
        <v>69</v>
      </c>
      <c r="R107" s="57" t="s">
        <v>83</v>
      </c>
      <c r="S107" s="57" t="s">
        <v>73</v>
      </c>
      <c r="T107" s="211"/>
      <c r="U107" s="211"/>
      <c r="V107" s="211"/>
      <c r="W107" s="211"/>
      <c r="X107" s="211"/>
      <c r="Y107" s="211"/>
      <c r="Z107" s="211"/>
      <c r="AA107" s="211"/>
      <c r="AB107" s="211"/>
      <c r="AC107" s="211"/>
      <c r="AD107" s="211"/>
      <c r="AE107" s="211"/>
      <c r="AF107" s="78"/>
      <c r="AG107" s="18"/>
      <c r="AH107" s="18"/>
      <c r="AI107" s="18"/>
      <c r="AJ107" s="18"/>
      <c r="AK107" s="18"/>
      <c r="AL107" s="18"/>
      <c r="AM107" s="18"/>
      <c r="AN107" s="18"/>
      <c r="AO107" s="18"/>
      <c r="AP107" s="18"/>
      <c r="AQ107" s="18"/>
      <c r="AR107" s="18"/>
      <c r="AS107" s="18"/>
      <c r="AT107" s="18"/>
      <c r="AU107" s="18"/>
      <c r="AV107" s="18"/>
      <c r="AW107" s="18"/>
      <c r="AX107" s="18"/>
      <c r="AY107" s="18"/>
      <c r="AZ107" s="18"/>
      <c r="BA107" s="18"/>
      <c r="BB107" s="18"/>
      <c r="BC107" s="18"/>
      <c r="BD107" s="18"/>
      <c r="BE107" s="78"/>
      <c r="BF107" s="78"/>
      <c r="BG107" s="78"/>
      <c r="BH107" s="78"/>
      <c r="BI107" s="78"/>
      <c r="BJ107" s="78"/>
      <c r="BK107" s="78"/>
      <c r="BL107" s="78"/>
      <c r="BM107" s="78"/>
      <c r="BN107" s="78"/>
      <c r="BO107" s="78"/>
      <c r="BP107" s="78"/>
      <c r="BQ107" s="78"/>
      <c r="BR107" s="78"/>
      <c r="BS107" s="78"/>
      <c r="BT107" s="78"/>
      <c r="BU107" s="78"/>
      <c r="BV107" s="78"/>
      <c r="BW107" s="78"/>
    </row>
    <row r="108" spans="1:75" s="34" customFormat="1">
      <c r="A108" s="53" t="s">
        <v>97</v>
      </c>
      <c r="B108" s="154" t="s">
        <v>98</v>
      </c>
      <c r="C108" s="155" t="s">
        <v>339</v>
      </c>
      <c r="D108" s="53">
        <v>0.258245</v>
      </c>
      <c r="E108" s="53">
        <v>34.717754999999997</v>
      </c>
      <c r="F108" s="53" t="s">
        <v>372</v>
      </c>
      <c r="G108" s="53" t="s">
        <v>330</v>
      </c>
      <c r="H108" s="116" t="s">
        <v>347</v>
      </c>
      <c r="I108" s="154" t="s">
        <v>371</v>
      </c>
      <c r="J108" s="116" t="s">
        <v>687</v>
      </c>
      <c r="K108" s="53" t="s">
        <v>366</v>
      </c>
      <c r="L108" s="53" t="s">
        <v>684</v>
      </c>
      <c r="M108" s="53" t="s">
        <v>683</v>
      </c>
      <c r="N108" s="156">
        <v>8.4</v>
      </c>
      <c r="O108" s="157">
        <v>18.5</v>
      </c>
      <c r="P108" s="75">
        <v>0.44583999999999996</v>
      </c>
      <c r="Q108" s="157">
        <v>1344</v>
      </c>
      <c r="R108" s="156">
        <v>7.3999999999999996E-2</v>
      </c>
      <c r="S108" s="157">
        <v>277.10000000000002</v>
      </c>
      <c r="T108" s="144">
        <f t="shared" ref="T108:T127" si="42">(N108*200*350*6*0.000001)/(15*6*365)</f>
        <v>1.0739726027397261E-4</v>
      </c>
      <c r="U108" s="158">
        <f t="shared" ref="U108:U127" si="43">T108/0.0003</f>
        <v>0.35799086757990872</v>
      </c>
      <c r="V108" s="144">
        <f t="shared" ref="V108:V127" si="44">(O108*200*350*6*0.000001)/(15*6*365)</f>
        <v>2.3652968036529679E-4</v>
      </c>
      <c r="W108" s="158">
        <f t="shared" ref="W108:W127" si="45">V108/0.0036</f>
        <v>6.570268899036022E-2</v>
      </c>
      <c r="X108" s="144">
        <f t="shared" ref="X108:X127" si="46">(P108*200*350*6*0.000001)/(15*6*365)</f>
        <v>5.7002374429223733E-6</v>
      </c>
      <c r="Y108" s="158">
        <f t="shared" ref="Y108:Y127" si="47">X108/0.0003</f>
        <v>1.9000791476407913E-2</v>
      </c>
      <c r="Z108" s="144">
        <f t="shared" ref="Z108:Z127" si="48">(Q108*200*350*6*0.000001)/(15*6*365)</f>
        <v>1.7183561643835617E-2</v>
      </c>
      <c r="AA108" s="158">
        <f t="shared" ref="AA108:AA127" si="49">Z108/0.003</f>
        <v>5.7278538812785387</v>
      </c>
      <c r="AB108" s="144">
        <f t="shared" ref="AB108:AB127" si="50">(R108*200*350*6*0.000001)/(15*6*365)</f>
        <v>9.4611872146118718E-7</v>
      </c>
      <c r="AC108" s="158">
        <f t="shared" ref="AC108:AC127" si="51">AB108/0.0005</f>
        <v>1.8922374429223743E-3</v>
      </c>
      <c r="AD108" s="144">
        <f t="shared" ref="AD108:AD127" si="52">(S108*200*350*6*0.000001)/(15*6*365)</f>
        <v>3.5428310502283113E-3</v>
      </c>
      <c r="AE108" s="158">
        <f t="shared" ref="AE108:AE127" si="53">AD108/0.02</f>
        <v>0.17714155251141556</v>
      </c>
      <c r="AF108" s="78"/>
      <c r="AG108" s="320">
        <v>8.4033048715267977</v>
      </c>
      <c r="AH108" s="320">
        <v>0.22993813942122468</v>
      </c>
      <c r="AI108" s="320">
        <v>0.26240193369209985</v>
      </c>
      <c r="AJ108" s="320">
        <v>3.1226039957351208</v>
      </c>
      <c r="AK108" s="320">
        <v>7.3524960701585998E-2</v>
      </c>
      <c r="AL108" s="320">
        <v>4.1481191044569772E-2</v>
      </c>
      <c r="AM108" s="320">
        <v>1.490567495686647E-2</v>
      </c>
      <c r="AN108" s="320">
        <v>56.417835043705075</v>
      </c>
      <c r="AO108" s="321">
        <v>1344.0187702484768</v>
      </c>
      <c r="AP108" s="320">
        <v>1.763180705305037</v>
      </c>
      <c r="AQ108" s="320">
        <v>0.85980382115656584</v>
      </c>
      <c r="AR108" s="320">
        <v>0.13118720841815826</v>
      </c>
      <c r="AS108" s="323">
        <v>277.10459324479308</v>
      </c>
      <c r="AT108" s="320">
        <v>11.483981637983508</v>
      </c>
      <c r="AU108" s="320">
        <v>9.173967950164597</v>
      </c>
      <c r="AV108" s="320">
        <v>4.1442768968606032</v>
      </c>
      <c r="AW108" s="320">
        <v>18.536504555845532</v>
      </c>
      <c r="AX108" s="320">
        <v>3.3412087280097351</v>
      </c>
      <c r="AY108" s="320">
        <v>0.88091902962527435</v>
      </c>
      <c r="AZ108" s="320">
        <v>18.025020402004955</v>
      </c>
      <c r="BA108" s="320">
        <v>0.44583999999999996</v>
      </c>
      <c r="BB108" s="322">
        <v>-1.1199601791936286E-2</v>
      </c>
      <c r="BC108" s="320">
        <v>3.6440542448307266E-2</v>
      </c>
      <c r="BD108" s="320">
        <v>8.1734573946499349</v>
      </c>
      <c r="BE108" s="78"/>
      <c r="BF108" s="144">
        <f t="shared" si="28"/>
        <v>1.1178637135417056</v>
      </c>
      <c r="BG108" s="144">
        <f t="shared" si="29"/>
        <v>0.10675593991831681</v>
      </c>
      <c r="BH108" s="144">
        <f t="shared" si="30"/>
        <v>0.75142116091204436</v>
      </c>
      <c r="BI108" s="144">
        <f t="shared" si="31"/>
        <v>0.15530215959704771</v>
      </c>
      <c r="BJ108" s="144">
        <f t="shared" si="32"/>
        <v>0.73412364354707882</v>
      </c>
      <c r="BK108" s="144">
        <f t="shared" si="33"/>
        <v>1.1842923095178293</v>
      </c>
      <c r="BL108" s="78"/>
      <c r="BM108" s="78"/>
      <c r="BN108" s="78"/>
      <c r="BO108" s="78"/>
      <c r="BP108" s="78"/>
      <c r="BQ108" s="78"/>
      <c r="BR108" s="78"/>
      <c r="BS108" s="78"/>
      <c r="BT108" s="78"/>
      <c r="BU108" s="78"/>
      <c r="BV108" s="78"/>
      <c r="BW108" s="78"/>
    </row>
    <row r="109" spans="1:75" s="34" customFormat="1">
      <c r="A109" s="53" t="s">
        <v>105</v>
      </c>
      <c r="B109" s="53" t="s">
        <v>106</v>
      </c>
      <c r="C109" s="155" t="s">
        <v>339</v>
      </c>
      <c r="D109" s="53">
        <v>0.25812800000000002</v>
      </c>
      <c r="E109" s="53">
        <v>34.720103999999999</v>
      </c>
      <c r="F109" s="53" t="s">
        <v>372</v>
      </c>
      <c r="G109" s="53" t="s">
        <v>330</v>
      </c>
      <c r="H109" s="116" t="s">
        <v>347</v>
      </c>
      <c r="I109" s="154" t="s">
        <v>371</v>
      </c>
      <c r="J109" s="116" t="s">
        <v>687</v>
      </c>
      <c r="K109" s="53" t="s">
        <v>368</v>
      </c>
      <c r="L109" s="53" t="s">
        <v>684</v>
      </c>
      <c r="M109" s="53" t="s">
        <v>683</v>
      </c>
      <c r="N109" s="156">
        <v>25.5</v>
      </c>
      <c r="O109" s="157">
        <v>33.299999999999997</v>
      </c>
      <c r="P109" s="75">
        <v>0.32069999999999999</v>
      </c>
      <c r="Q109" s="157">
        <v>1071.9000000000001</v>
      </c>
      <c r="R109" s="156">
        <v>0.14099999999999999</v>
      </c>
      <c r="S109" s="157">
        <v>172.95</v>
      </c>
      <c r="T109" s="144">
        <f t="shared" si="42"/>
        <v>3.2602739726027394E-4</v>
      </c>
      <c r="U109" s="158">
        <f t="shared" si="43"/>
        <v>1.08675799086758</v>
      </c>
      <c r="V109" s="144">
        <f t="shared" si="44"/>
        <v>4.2575342465753409E-4</v>
      </c>
      <c r="W109" s="158">
        <f t="shared" si="45"/>
        <v>0.11826484018264836</v>
      </c>
      <c r="X109" s="144">
        <f t="shared" si="46"/>
        <v>4.1002739726027389E-6</v>
      </c>
      <c r="Y109" s="158">
        <f t="shared" si="47"/>
        <v>1.3667579908675797E-2</v>
      </c>
      <c r="Z109" s="144">
        <f t="shared" si="48"/>
        <v>1.3704657534246578E-2</v>
      </c>
      <c r="AA109" s="158">
        <f t="shared" si="49"/>
        <v>4.5682191780821926</v>
      </c>
      <c r="AB109" s="144">
        <f t="shared" si="50"/>
        <v>1.8027397260273967E-6</v>
      </c>
      <c r="AC109" s="158">
        <f t="shared" si="51"/>
        <v>3.6054794520547933E-3</v>
      </c>
      <c r="AD109" s="144">
        <f t="shared" si="52"/>
        <v>2.2112328767123286E-3</v>
      </c>
      <c r="AE109" s="158">
        <f t="shared" si="53"/>
        <v>0.11056164383561642</v>
      </c>
      <c r="AF109" s="78"/>
      <c r="AG109" s="320">
        <v>25.537457130828905</v>
      </c>
      <c r="AH109" s="320">
        <v>1.3958488638104416</v>
      </c>
      <c r="AI109" s="320">
        <v>1.6595177879692558</v>
      </c>
      <c r="AJ109" s="320">
        <v>6.4983673960469623</v>
      </c>
      <c r="AK109" s="320">
        <v>0.14110532454557653</v>
      </c>
      <c r="AL109" s="320">
        <v>6.59641288577313E-2</v>
      </c>
      <c r="AM109" s="320">
        <v>2.07143393850675E-2</v>
      </c>
      <c r="AN109" s="320">
        <v>46.748150057530339</v>
      </c>
      <c r="AO109" s="321">
        <v>1071.8748816682303</v>
      </c>
      <c r="AP109" s="320">
        <v>1.4868829886286479</v>
      </c>
      <c r="AQ109" s="320">
        <v>0.68350719312511909</v>
      </c>
      <c r="AR109" s="320">
        <v>0.13871796177502665</v>
      </c>
      <c r="AS109" s="323">
        <v>172.94636292860238</v>
      </c>
      <c r="AT109" s="320">
        <v>16.656230493428151</v>
      </c>
      <c r="AU109" s="320">
        <v>12.170917957504932</v>
      </c>
      <c r="AV109" s="320">
        <v>9.6308648597047153</v>
      </c>
      <c r="AW109" s="320">
        <v>33.250754419297451</v>
      </c>
      <c r="AX109" s="320">
        <v>7.56924524528017</v>
      </c>
      <c r="AY109" s="320">
        <v>1.7799892405444171</v>
      </c>
      <c r="AZ109" s="320">
        <v>22.764130851982333</v>
      </c>
      <c r="BA109" s="320">
        <v>0.32069999999999999</v>
      </c>
      <c r="BB109" s="322">
        <v>-1.116440621898776E-2</v>
      </c>
      <c r="BC109" s="320">
        <v>3.5001195886433328E-2</v>
      </c>
      <c r="BD109" s="320">
        <v>10.913999340952083</v>
      </c>
      <c r="BE109" s="78"/>
      <c r="BF109" s="144">
        <f t="shared" si="28"/>
        <v>7.0621526952473843</v>
      </c>
      <c r="BG109" s="144">
        <f t="shared" si="29"/>
        <v>0.16854949445399975</v>
      </c>
      <c r="BH109" s="144">
        <f t="shared" si="30"/>
        <v>0.63369405332514928</v>
      </c>
      <c r="BI109" s="144">
        <f t="shared" si="31"/>
        <v>0.14916795811569758</v>
      </c>
      <c r="BJ109" s="144">
        <f t="shared" si="32"/>
        <v>1.0648042504476267</v>
      </c>
      <c r="BK109" s="144">
        <f t="shared" si="33"/>
        <v>2.6921962971065856</v>
      </c>
      <c r="BL109" s="78"/>
      <c r="BM109" s="78"/>
      <c r="BN109" s="78"/>
      <c r="BO109" s="78"/>
      <c r="BP109" s="78"/>
      <c r="BQ109" s="78"/>
      <c r="BR109" s="78"/>
      <c r="BS109" s="78"/>
      <c r="BT109" s="78"/>
      <c r="BU109" s="78"/>
      <c r="BV109" s="78"/>
      <c r="BW109" s="78"/>
    </row>
    <row r="110" spans="1:75" s="34" customFormat="1">
      <c r="A110" s="53" t="s">
        <v>113</v>
      </c>
      <c r="B110" s="53" t="s">
        <v>114</v>
      </c>
      <c r="C110" s="155" t="s">
        <v>339</v>
      </c>
      <c r="D110" s="53">
        <v>0.26076500000000002</v>
      </c>
      <c r="E110" s="53">
        <v>34.720081</v>
      </c>
      <c r="F110" s="53" t="s">
        <v>372</v>
      </c>
      <c r="G110" s="53" t="s">
        <v>330</v>
      </c>
      <c r="H110" s="116" t="s">
        <v>347</v>
      </c>
      <c r="I110" s="154" t="s">
        <v>371</v>
      </c>
      <c r="J110" s="116" t="s">
        <v>687</v>
      </c>
      <c r="K110" s="53" t="s">
        <v>366</v>
      </c>
      <c r="L110" s="53" t="s">
        <v>684</v>
      </c>
      <c r="M110" s="53" t="s">
        <v>683</v>
      </c>
      <c r="N110" s="156">
        <v>16.399999999999999</v>
      </c>
      <c r="O110" s="157">
        <v>50.7</v>
      </c>
      <c r="P110" s="75">
        <v>1.03304</v>
      </c>
      <c r="Q110" s="157">
        <v>1413</v>
      </c>
      <c r="R110" s="156">
        <v>0.12</v>
      </c>
      <c r="S110" s="157">
        <v>215.62</v>
      </c>
      <c r="T110" s="144">
        <f>(N110*200*350*6*0.000001)/(15*6*365)</f>
        <v>2.0968036529680359E-4</v>
      </c>
      <c r="U110" s="158">
        <f>T110/0.0003</f>
        <v>0.69893455098934532</v>
      </c>
      <c r="V110" s="144">
        <f>(O110*200*350*6*0.000001)/(15*6*365)</f>
        <v>6.482191780821918E-4</v>
      </c>
      <c r="W110" s="158">
        <f>V110/0.0036</f>
        <v>0.18006088280060883</v>
      </c>
      <c r="X110" s="144">
        <f>(P110*200*350*6*0.000001)/(15*6*365)</f>
        <v>1.3207817351598173E-5</v>
      </c>
      <c r="Y110" s="158">
        <f>X110/0.0003</f>
        <v>4.4026057838660579E-2</v>
      </c>
      <c r="Z110" s="144">
        <f>(Q110*200*350*6*0.000001)/(15*6*365)</f>
        <v>1.8065753424657532E-2</v>
      </c>
      <c r="AA110" s="158">
        <f>Z110/0.003</f>
        <v>6.0219178082191771</v>
      </c>
      <c r="AB110" s="144">
        <f>(R110*200*350*6*0.000001)/(15*6*365)</f>
        <v>1.5342465753424657E-6</v>
      </c>
      <c r="AC110" s="158">
        <f>AB110/0.0005</f>
        <v>3.0684931506849314E-3</v>
      </c>
      <c r="AD110" s="144">
        <f>(S110*200*350*6*0.000001)/(15*6*365)</f>
        <v>2.756785388127854E-3</v>
      </c>
      <c r="AE110" s="158">
        <f>AD110/0.02</f>
        <v>0.13783926940639268</v>
      </c>
      <c r="AF110" s="78"/>
      <c r="AG110" s="320">
        <v>16.395236345996992</v>
      </c>
      <c r="AH110" s="320">
        <v>1.0748493768183924</v>
      </c>
      <c r="AI110" s="320">
        <v>1.0434686643632061</v>
      </c>
      <c r="AJ110" s="320">
        <v>6.5558638749408704</v>
      </c>
      <c r="AK110" s="320">
        <v>0.11982944644025005</v>
      </c>
      <c r="AL110" s="320">
        <v>5.2897016562620969E-2</v>
      </c>
      <c r="AM110" s="320">
        <v>1.7356334510872366E-2</v>
      </c>
      <c r="AN110" s="320">
        <v>44.143587518779654</v>
      </c>
      <c r="AO110" s="321">
        <v>1413.0369616135163</v>
      </c>
      <c r="AP110" s="320">
        <v>1.6131840861474864</v>
      </c>
      <c r="AQ110" s="320">
        <v>0.81606983306438163</v>
      </c>
      <c r="AR110" s="320">
        <v>0.11416432336670276</v>
      </c>
      <c r="AS110" s="323">
        <v>215.62021031957937</v>
      </c>
      <c r="AT110" s="320">
        <v>15.327060111960433</v>
      </c>
      <c r="AU110" s="320">
        <v>12.851677806882222</v>
      </c>
      <c r="AV110" s="320">
        <v>7.1083596891235672</v>
      </c>
      <c r="AW110" s="320">
        <v>50.690068048083418</v>
      </c>
      <c r="AX110" s="320">
        <v>8.811474099996893</v>
      </c>
      <c r="AY110" s="320">
        <v>2.22311759709515</v>
      </c>
      <c r="AZ110" s="320">
        <v>17.383038609533003</v>
      </c>
      <c r="BA110" s="320">
        <v>1.03304</v>
      </c>
      <c r="BB110" s="322">
        <v>-1.1248125312447925E-2</v>
      </c>
      <c r="BC110" s="320">
        <v>3.2133754126535019E-2</v>
      </c>
      <c r="BD110" s="320">
        <v>3.110601150636473</v>
      </c>
      <c r="BE110" s="78"/>
      <c r="BF110" s="144">
        <f t="shared" si="28"/>
        <v>4.5821197737790671</v>
      </c>
      <c r="BG110" s="144">
        <f t="shared" si="29"/>
        <v>0.13545429594803618</v>
      </c>
      <c r="BH110" s="144">
        <f t="shared" si="30"/>
        <v>0.68748817194524015</v>
      </c>
      <c r="BI110" s="144">
        <f t="shared" si="31"/>
        <v>0.13694750617092552</v>
      </c>
      <c r="BJ110" s="144">
        <f t="shared" si="32"/>
        <v>0.97981110622664513</v>
      </c>
      <c r="BK110" s="144">
        <f t="shared" si="33"/>
        <v>3.1300052777895804</v>
      </c>
      <c r="BL110" s="78"/>
      <c r="BM110" s="78"/>
      <c r="BN110" s="78"/>
      <c r="BO110" s="78"/>
      <c r="BP110" s="78"/>
      <c r="BQ110" s="78"/>
      <c r="BR110" s="78"/>
      <c r="BS110" s="78"/>
      <c r="BT110" s="78"/>
      <c r="BU110" s="78"/>
      <c r="BV110" s="78"/>
      <c r="BW110" s="78"/>
    </row>
    <row r="111" spans="1:75" s="34" customFormat="1">
      <c r="A111" s="53" t="s">
        <v>109</v>
      </c>
      <c r="B111" s="53" t="s">
        <v>110</v>
      </c>
      <c r="C111" s="155" t="s">
        <v>339</v>
      </c>
      <c r="D111" s="53">
        <v>0.26076500000000002</v>
      </c>
      <c r="E111" s="53">
        <v>34.720081</v>
      </c>
      <c r="F111" s="53" t="s">
        <v>372</v>
      </c>
      <c r="G111" s="53" t="s">
        <v>330</v>
      </c>
      <c r="H111" s="116" t="s">
        <v>347</v>
      </c>
      <c r="I111" s="154" t="s">
        <v>371</v>
      </c>
      <c r="J111" s="116" t="s">
        <v>687</v>
      </c>
      <c r="K111" s="53" t="s">
        <v>361</v>
      </c>
      <c r="L111" s="53" t="s">
        <v>685</v>
      </c>
      <c r="M111" s="53" t="s">
        <v>690</v>
      </c>
      <c r="N111" s="156">
        <v>95.9</v>
      </c>
      <c r="O111" s="157">
        <v>24.8</v>
      </c>
      <c r="P111" s="75">
        <v>4.4837199999999999</v>
      </c>
      <c r="Q111" s="157">
        <v>1005</v>
      </c>
      <c r="R111" s="156">
        <v>0.124</v>
      </c>
      <c r="S111" s="157">
        <v>239.98</v>
      </c>
      <c r="T111" s="144">
        <f t="shared" si="42"/>
        <v>1.2261187214611872E-3</v>
      </c>
      <c r="U111" s="158">
        <f t="shared" si="43"/>
        <v>4.0870624048706246</v>
      </c>
      <c r="V111" s="144">
        <f t="shared" si="44"/>
        <v>3.1707762557077625E-4</v>
      </c>
      <c r="W111" s="158">
        <f t="shared" si="45"/>
        <v>8.8077118214104522E-2</v>
      </c>
      <c r="X111" s="144">
        <f t="shared" si="46"/>
        <v>5.7326100456621008E-5</v>
      </c>
      <c r="Y111" s="158">
        <f t="shared" si="47"/>
        <v>0.19108700152207003</v>
      </c>
      <c r="Z111" s="144">
        <f t="shared" si="48"/>
        <v>1.284931506849315E-2</v>
      </c>
      <c r="AA111" s="158">
        <f t="shared" si="49"/>
        <v>4.2831050228310499</v>
      </c>
      <c r="AB111" s="144">
        <f t="shared" si="50"/>
        <v>1.5853881278538811E-6</v>
      </c>
      <c r="AC111" s="158">
        <f t="shared" si="51"/>
        <v>3.170776255707762E-3</v>
      </c>
      <c r="AD111" s="144">
        <f t="shared" si="52"/>
        <v>3.0682374429223747E-3</v>
      </c>
      <c r="AE111" s="158">
        <f t="shared" si="53"/>
        <v>0.15341187214611873</v>
      </c>
      <c r="AF111" s="78"/>
      <c r="AG111" s="320">
        <v>95.858783473345241</v>
      </c>
      <c r="AH111" s="320">
        <v>5.8745570333353498</v>
      </c>
      <c r="AI111" s="320">
        <v>5.5033843224258936</v>
      </c>
      <c r="AJ111" s="320">
        <v>6.128345072279</v>
      </c>
      <c r="AK111" s="320">
        <v>0.12388898038316966</v>
      </c>
      <c r="AL111" s="320">
        <v>5.2148293993299864E-2</v>
      </c>
      <c r="AM111" s="320">
        <v>1.4753174169736309E-2</v>
      </c>
      <c r="AN111" s="320">
        <v>42.092762271521785</v>
      </c>
      <c r="AO111" s="321">
        <v>1005.0197695967014</v>
      </c>
      <c r="AP111" s="320">
        <v>2.4142467784143906</v>
      </c>
      <c r="AQ111" s="320">
        <v>1.2788987470653912</v>
      </c>
      <c r="AR111" s="320">
        <v>0.24021883463876434</v>
      </c>
      <c r="AS111" s="323">
        <v>239.98456757153579</v>
      </c>
      <c r="AT111" s="320">
        <v>12.234680303170325</v>
      </c>
      <c r="AU111" s="320">
        <v>9.8748536299720193</v>
      </c>
      <c r="AV111" s="320">
        <v>5.0981112773109256</v>
      </c>
      <c r="AW111" s="320">
        <v>24.82878665742475</v>
      </c>
      <c r="AX111" s="320">
        <v>4.6764231959440581</v>
      </c>
      <c r="AY111" s="320">
        <v>1.2339979922280058</v>
      </c>
      <c r="AZ111" s="320">
        <v>18.834682743329427</v>
      </c>
      <c r="BA111" s="320">
        <v>4.4837199999999999</v>
      </c>
      <c r="BB111" s="320">
        <v>0.10871851817672416</v>
      </c>
      <c r="BC111" s="320">
        <v>3.5245756075111406E-2</v>
      </c>
      <c r="BD111" s="320">
        <v>2.4247392383271964</v>
      </c>
      <c r="BE111" s="78"/>
      <c r="BF111" s="144">
        <f t="shared" si="28"/>
        <v>25.04692874898565</v>
      </c>
      <c r="BG111" s="144">
        <f t="shared" si="29"/>
        <v>0.13346673114769281</v>
      </c>
      <c r="BH111" s="144">
        <f t="shared" si="30"/>
        <v>1.0288824972199129</v>
      </c>
      <c r="BI111" s="144">
        <f t="shared" si="31"/>
        <v>0.46333615052485189</v>
      </c>
      <c r="BJ111" s="144">
        <f t="shared" si="32"/>
        <v>0.78211079546150974</v>
      </c>
      <c r="BK111" s="144">
        <f t="shared" si="33"/>
        <v>1.6589045785093803</v>
      </c>
      <c r="BL111" s="78"/>
      <c r="BM111" s="78"/>
      <c r="BN111" s="78"/>
      <c r="BO111" s="78"/>
      <c r="BP111" s="78"/>
      <c r="BQ111" s="78"/>
      <c r="BR111" s="78"/>
      <c r="BS111" s="78"/>
      <c r="BT111" s="78"/>
      <c r="BU111" s="78"/>
      <c r="BV111" s="78"/>
      <c r="BW111" s="78"/>
    </row>
    <row r="112" spans="1:75" s="34" customFormat="1">
      <c r="A112" s="53" t="s">
        <v>119</v>
      </c>
      <c r="B112" s="53" t="s">
        <v>120</v>
      </c>
      <c r="C112" s="155" t="s">
        <v>339</v>
      </c>
      <c r="D112" s="53">
        <v>0.25726700000000002</v>
      </c>
      <c r="E112" s="53">
        <v>34.722675000000002</v>
      </c>
      <c r="F112" s="53" t="s">
        <v>372</v>
      </c>
      <c r="G112" s="53" t="s">
        <v>330</v>
      </c>
      <c r="H112" s="116" t="s">
        <v>347</v>
      </c>
      <c r="I112" s="154" t="s">
        <v>371</v>
      </c>
      <c r="J112" s="116" t="s">
        <v>687</v>
      </c>
      <c r="K112" s="53" t="s">
        <v>366</v>
      </c>
      <c r="L112" s="53" t="s">
        <v>684</v>
      </c>
      <c r="M112" s="53" t="s">
        <v>683</v>
      </c>
      <c r="N112" s="156">
        <v>9.3000000000000007</v>
      </c>
      <c r="O112" s="157">
        <v>27.7</v>
      </c>
      <c r="P112" s="75">
        <v>1.8359799999999999</v>
      </c>
      <c r="Q112" s="157">
        <v>290.5</v>
      </c>
      <c r="R112" s="156">
        <v>6.2E-2</v>
      </c>
      <c r="S112" s="157">
        <v>83.97</v>
      </c>
      <c r="T112" s="144">
        <f t="shared" si="42"/>
        <v>1.1890410958904111E-4</v>
      </c>
      <c r="U112" s="158">
        <f t="shared" si="43"/>
        <v>0.39634703196347043</v>
      </c>
      <c r="V112" s="144">
        <f t="shared" si="44"/>
        <v>3.5415525114155253E-4</v>
      </c>
      <c r="W112" s="158">
        <f t="shared" si="45"/>
        <v>9.8376458650431264E-2</v>
      </c>
      <c r="X112" s="144">
        <f t="shared" si="46"/>
        <v>2.3473716894977166E-5</v>
      </c>
      <c r="Y112" s="158">
        <f t="shared" si="47"/>
        <v>7.8245722983257229E-2</v>
      </c>
      <c r="Z112" s="144">
        <f t="shared" si="48"/>
        <v>3.7141552511415522E-3</v>
      </c>
      <c r="AA112" s="158">
        <f t="shared" si="49"/>
        <v>1.2380517503805173</v>
      </c>
      <c r="AB112" s="144">
        <f t="shared" si="50"/>
        <v>7.9269406392694056E-7</v>
      </c>
      <c r="AC112" s="158">
        <f t="shared" si="51"/>
        <v>1.585388127853881E-3</v>
      </c>
      <c r="AD112" s="144">
        <f t="shared" si="52"/>
        <v>1.0735890410958902E-3</v>
      </c>
      <c r="AE112" s="158">
        <f t="shared" si="53"/>
        <v>5.3679452054794505E-2</v>
      </c>
      <c r="AF112" s="78"/>
      <c r="AG112" s="320">
        <v>9.2646140646525694</v>
      </c>
      <c r="AH112" s="320">
        <v>0.5042775127467598</v>
      </c>
      <c r="AI112" s="320">
        <v>0.56736105663758774</v>
      </c>
      <c r="AJ112" s="320">
        <v>6.1239578106361652</v>
      </c>
      <c r="AK112" s="320">
        <v>6.244550036505344E-2</v>
      </c>
      <c r="AL112" s="320">
        <v>1.7807443523424889E-2</v>
      </c>
      <c r="AM112" s="320">
        <v>1.4263974775215195E-2</v>
      </c>
      <c r="AN112" s="320">
        <v>28.516776099676385</v>
      </c>
      <c r="AO112" s="321">
        <v>290.45712851788704</v>
      </c>
      <c r="AP112" s="320">
        <v>1.5277348839416713</v>
      </c>
      <c r="AQ112" s="320">
        <v>1.1333383338596208</v>
      </c>
      <c r="AR112" s="320">
        <v>0.52597603361887879</v>
      </c>
      <c r="AS112" s="320">
        <v>83.966726451080788</v>
      </c>
      <c r="AT112" s="320">
        <v>5.7238375701422743</v>
      </c>
      <c r="AU112" s="320">
        <v>5.812562408390419</v>
      </c>
      <c r="AV112" s="320">
        <v>6.9224592336308728</v>
      </c>
      <c r="AW112" s="320">
        <v>27.726507031817398</v>
      </c>
      <c r="AX112" s="320">
        <v>0.37799752320538055</v>
      </c>
      <c r="AY112" s="320">
        <v>0.17333161980178374</v>
      </c>
      <c r="AZ112" s="320">
        <v>1.3633074038919204</v>
      </c>
      <c r="BA112" s="320">
        <v>1.8359799999999999</v>
      </c>
      <c r="BB112" s="320">
        <v>4.8016876023366094E-2</v>
      </c>
      <c r="BC112" s="320">
        <v>2.9986517915124702E-2</v>
      </c>
      <c r="BD112" s="320">
        <v>2.6153267477513968</v>
      </c>
      <c r="BE112" s="78"/>
      <c r="BF112" s="144">
        <f t="shared" si="28"/>
        <v>2.4272125021151565</v>
      </c>
      <c r="BG112" s="144">
        <f t="shared" si="29"/>
        <v>4.5210158273094242E-2</v>
      </c>
      <c r="BH112" s="144">
        <f t="shared" si="30"/>
        <v>0.65118554908005466</v>
      </c>
      <c r="BI112" s="144">
        <f t="shared" si="31"/>
        <v>0.20463813221525887</v>
      </c>
      <c r="BJ112" s="144">
        <f t="shared" si="32"/>
        <v>0.37159381853295792</v>
      </c>
      <c r="BK112" s="144">
        <f t="shared" si="33"/>
        <v>0.13411735444680031</v>
      </c>
      <c r="BL112" s="78"/>
      <c r="BM112" s="78"/>
      <c r="BN112" s="78"/>
      <c r="BO112" s="78"/>
      <c r="BP112" s="78"/>
      <c r="BQ112" s="78"/>
      <c r="BR112" s="78"/>
      <c r="BS112" s="78"/>
      <c r="BT112" s="78"/>
      <c r="BU112" s="78"/>
      <c r="BV112" s="78"/>
      <c r="BW112" s="78"/>
    </row>
    <row r="113" spans="1:79" s="34" customFormat="1">
      <c r="A113" s="53" t="s">
        <v>148</v>
      </c>
      <c r="B113" s="53" t="s">
        <v>149</v>
      </c>
      <c r="C113" s="155" t="s">
        <v>340</v>
      </c>
      <c r="D113" s="53">
        <v>0.26547500000000002</v>
      </c>
      <c r="E113" s="53">
        <v>34.728920000000002</v>
      </c>
      <c r="F113" s="53" t="s">
        <v>373</v>
      </c>
      <c r="G113" s="53" t="s">
        <v>330</v>
      </c>
      <c r="H113" s="116" t="s">
        <v>347</v>
      </c>
      <c r="I113" s="154" t="s">
        <v>371</v>
      </c>
      <c r="J113" s="116" t="s">
        <v>687</v>
      </c>
      <c r="K113" s="53" t="s">
        <v>370</v>
      </c>
      <c r="L113" s="53" t="s">
        <v>684</v>
      </c>
      <c r="M113" s="53" t="s">
        <v>683</v>
      </c>
      <c r="N113" s="156">
        <v>4.8</v>
      </c>
      <c r="O113" s="157">
        <v>17.5</v>
      </c>
      <c r="P113" s="162">
        <v>8.3000000000000004E-2</v>
      </c>
      <c r="Q113" s="157">
        <v>1195.9000000000001</v>
      </c>
      <c r="R113" s="156">
        <v>0.14699999999999999</v>
      </c>
      <c r="S113" s="157">
        <v>369.65</v>
      </c>
      <c r="T113" s="144">
        <f t="shared" si="42"/>
        <v>6.1369863013698632E-5</v>
      </c>
      <c r="U113" s="158">
        <f t="shared" si="43"/>
        <v>0.20456621004566214</v>
      </c>
      <c r="V113" s="144">
        <f t="shared" si="44"/>
        <v>2.2374429223744291E-4</v>
      </c>
      <c r="W113" s="158">
        <f t="shared" si="45"/>
        <v>6.2151192288178586E-2</v>
      </c>
      <c r="X113" s="144">
        <f t="shared" si="46"/>
        <v>1.0611872146118723E-6</v>
      </c>
      <c r="Y113" s="158">
        <f t="shared" si="47"/>
        <v>3.5372907153729083E-3</v>
      </c>
      <c r="Z113" s="144">
        <f t="shared" si="48"/>
        <v>1.5290045662100458E-2</v>
      </c>
      <c r="AA113" s="158">
        <f t="shared" si="49"/>
        <v>5.0966818873668194</v>
      </c>
      <c r="AB113" s="144">
        <f t="shared" si="50"/>
        <v>1.8794520547945204E-6</v>
      </c>
      <c r="AC113" s="158">
        <f t="shared" si="51"/>
        <v>3.7589041095890405E-3</v>
      </c>
      <c r="AD113" s="144">
        <f t="shared" si="52"/>
        <v>4.7261187214611864E-3</v>
      </c>
      <c r="AE113" s="158">
        <f t="shared" si="53"/>
        <v>0.23630593607305933</v>
      </c>
      <c r="AF113" s="78"/>
      <c r="AG113" s="320">
        <v>4.8290385735962911</v>
      </c>
      <c r="AH113" s="320">
        <v>6.0487318203437966E-2</v>
      </c>
      <c r="AI113" s="320">
        <v>9.7338218595221598E-2</v>
      </c>
      <c r="AJ113" s="320">
        <v>2.0156852572567399</v>
      </c>
      <c r="AK113" s="320">
        <v>0.1468093495789575</v>
      </c>
      <c r="AL113" s="320">
        <v>6.0659459308351073E-2</v>
      </c>
      <c r="AM113" s="320">
        <v>2.3124821448958739E-2</v>
      </c>
      <c r="AN113" s="320">
        <v>41.318526021891408</v>
      </c>
      <c r="AO113" s="321">
        <v>1195.9238012202518</v>
      </c>
      <c r="AP113" s="320">
        <v>3.3324518981415823</v>
      </c>
      <c r="AQ113" s="320">
        <v>1.9719706383002786</v>
      </c>
      <c r="AR113" s="320">
        <v>0.27865085507465776</v>
      </c>
      <c r="AS113" s="323">
        <v>369.64521666906273</v>
      </c>
      <c r="AT113" s="320">
        <v>21.096929998888726</v>
      </c>
      <c r="AU113" s="320">
        <v>16.665183912686306</v>
      </c>
      <c r="AV113" s="320">
        <v>5.7073455972180103</v>
      </c>
      <c r="AW113" s="320">
        <v>17.530373250600199</v>
      </c>
      <c r="AX113" s="320">
        <v>2.0251150051805471</v>
      </c>
      <c r="AY113" s="320">
        <v>0.59778398284655709</v>
      </c>
      <c r="AZ113" s="320">
        <v>11.552035865016233</v>
      </c>
      <c r="BA113" s="320">
        <v>8.3000000000000004E-2</v>
      </c>
      <c r="BB113" s="322">
        <v>-1.1212624584717607E-2</v>
      </c>
      <c r="BC113" s="322">
        <v>-2.9245125812364603E-2</v>
      </c>
      <c r="BD113" s="320" t="s">
        <v>288</v>
      </c>
      <c r="BE113" s="78"/>
      <c r="BF113" s="144">
        <f t="shared" si="28"/>
        <v>0.41234109372192679</v>
      </c>
      <c r="BG113" s="144">
        <f t="shared" si="29"/>
        <v>0.15531237726584932</v>
      </c>
      <c r="BH113" s="144">
        <f t="shared" si="30"/>
        <v>1.4201947659582848</v>
      </c>
      <c r="BI113" s="144" t="s">
        <v>288</v>
      </c>
      <c r="BJ113" s="144" t="s">
        <v>288</v>
      </c>
      <c r="BK113" s="144">
        <f t="shared" si="33"/>
        <v>0.71797280236655936</v>
      </c>
      <c r="BL113" s="78"/>
      <c r="BM113" s="78"/>
      <c r="BN113" s="78"/>
      <c r="BO113" s="78"/>
      <c r="BP113" s="78"/>
      <c r="BQ113" s="78"/>
      <c r="BR113" s="78"/>
      <c r="BS113" s="78"/>
      <c r="BT113" s="78"/>
      <c r="BU113" s="78"/>
      <c r="BV113" s="78"/>
      <c r="BW113" s="78"/>
    </row>
    <row r="114" spans="1:79" s="34" customFormat="1">
      <c r="A114" s="53" t="s">
        <v>150</v>
      </c>
      <c r="B114" s="53" t="s">
        <v>151</v>
      </c>
      <c r="C114" s="155" t="s">
        <v>340</v>
      </c>
      <c r="D114" s="53">
        <v>0.26495800000000003</v>
      </c>
      <c r="E114" s="53">
        <v>34.729039</v>
      </c>
      <c r="F114" s="53" t="s">
        <v>373</v>
      </c>
      <c r="G114" s="53" t="s">
        <v>330</v>
      </c>
      <c r="H114" s="116" t="s">
        <v>347</v>
      </c>
      <c r="I114" s="154" t="s">
        <v>371</v>
      </c>
      <c r="J114" s="116" t="s">
        <v>687</v>
      </c>
      <c r="K114" s="53" t="s">
        <v>368</v>
      </c>
      <c r="L114" s="53" t="s">
        <v>684</v>
      </c>
      <c r="M114" s="53" t="s">
        <v>683</v>
      </c>
      <c r="N114" s="156">
        <v>8.3000000000000007</v>
      </c>
      <c r="O114" s="157">
        <v>22</v>
      </c>
      <c r="P114" s="162">
        <v>6.5500000000000003E-2</v>
      </c>
      <c r="Q114" s="157">
        <v>1682.3</v>
      </c>
      <c r="R114" s="156">
        <v>0.18</v>
      </c>
      <c r="S114" s="157">
        <v>444.96</v>
      </c>
      <c r="T114" s="144">
        <f t="shared" si="42"/>
        <v>1.0611872146118724E-4</v>
      </c>
      <c r="U114" s="158">
        <f t="shared" si="43"/>
        <v>0.35372907153729083</v>
      </c>
      <c r="V114" s="144">
        <f t="shared" si="44"/>
        <v>2.8127853881278539E-4</v>
      </c>
      <c r="W114" s="158">
        <f t="shared" si="45"/>
        <v>7.8132927447995951E-2</v>
      </c>
      <c r="X114" s="144">
        <f t="shared" si="46"/>
        <v>8.374429223744294E-7</v>
      </c>
      <c r="Y114" s="158">
        <f t="shared" si="47"/>
        <v>2.7914764079147651E-3</v>
      </c>
      <c r="Z114" s="144">
        <f t="shared" si="48"/>
        <v>2.1508858447488583E-2</v>
      </c>
      <c r="AA114" s="158">
        <f t="shared" si="49"/>
        <v>7.1696194824961941</v>
      </c>
      <c r="AB114" s="144">
        <f t="shared" si="50"/>
        <v>2.3013698630136988E-6</v>
      </c>
      <c r="AC114" s="158">
        <f t="shared" si="51"/>
        <v>4.6027397260273977E-3</v>
      </c>
      <c r="AD114" s="144">
        <f t="shared" si="52"/>
        <v>5.6889863013698623E-3</v>
      </c>
      <c r="AE114" s="158">
        <f t="shared" si="53"/>
        <v>0.28444931506849308</v>
      </c>
      <c r="AF114" s="78"/>
      <c r="AG114" s="320">
        <v>8.2687969228122071</v>
      </c>
      <c r="AH114" s="320">
        <v>0.10133868281499765</v>
      </c>
      <c r="AI114" s="320">
        <v>0.14963505074097352</v>
      </c>
      <c r="AJ114" s="320">
        <v>1.8096350912689103</v>
      </c>
      <c r="AK114" s="320">
        <v>0.18014861836015975</v>
      </c>
      <c r="AL114" s="320">
        <v>7.9827772425561647E-2</v>
      </c>
      <c r="AM114" s="320">
        <v>3.3744243840226847E-2</v>
      </c>
      <c r="AN114" s="320">
        <v>44.312175775873577</v>
      </c>
      <c r="AO114" s="321">
        <v>1682.3184556667823</v>
      </c>
      <c r="AP114" s="320">
        <v>3.0239079061373362</v>
      </c>
      <c r="AQ114" s="320">
        <v>2.5148803776260751</v>
      </c>
      <c r="AR114" s="320">
        <v>0.17974646214879803</v>
      </c>
      <c r="AS114" s="323">
        <v>444.96222705958093</v>
      </c>
      <c r="AT114" s="320">
        <v>21.579659770852444</v>
      </c>
      <c r="AU114" s="320">
        <v>17.176817244567172</v>
      </c>
      <c r="AV114" s="320">
        <v>4.8497734096343654</v>
      </c>
      <c r="AW114" s="320">
        <v>21.968397967379531</v>
      </c>
      <c r="AX114" s="320">
        <v>3.958522029585438</v>
      </c>
      <c r="AY114" s="320">
        <v>1.2714572376572453</v>
      </c>
      <c r="AZ114" s="320">
        <v>18.019165691842321</v>
      </c>
      <c r="BA114" s="320">
        <v>6.5500000000000003E-2</v>
      </c>
      <c r="BB114" s="322">
        <v>-1.120890069744271E-2</v>
      </c>
      <c r="BC114" s="322">
        <v>-2.9215914766106209E-2</v>
      </c>
      <c r="BD114" s="320" t="s">
        <v>288</v>
      </c>
      <c r="BE114" s="78"/>
      <c r="BF114" s="144">
        <f t="shared" si="28"/>
        <v>0.64012054065585222</v>
      </c>
      <c r="BG114" s="144">
        <f t="shared" si="29"/>
        <v>0.20395741179032223</v>
      </c>
      <c r="BH114" s="144">
        <f t="shared" si="30"/>
        <v>1.2887137369317869</v>
      </c>
      <c r="BI114" s="144" t="s">
        <v>288</v>
      </c>
      <c r="BJ114" s="144" t="s">
        <v>288</v>
      </c>
      <c r="BK114" s="144">
        <f t="shared" si="33"/>
        <v>1.4078901656741338</v>
      </c>
      <c r="BL114" s="78"/>
      <c r="BM114" s="78"/>
      <c r="BN114" s="78"/>
      <c r="BO114" s="78"/>
      <c r="BP114" s="78"/>
      <c r="BQ114" s="78"/>
      <c r="BR114" s="78"/>
      <c r="BS114" s="78"/>
      <c r="BT114" s="78"/>
      <c r="BU114" s="78"/>
      <c r="BV114" s="78"/>
      <c r="BW114" s="78"/>
    </row>
    <row r="115" spans="1:79" s="34" customFormat="1">
      <c r="A115" s="53" t="s">
        <v>154</v>
      </c>
      <c r="B115" s="53" t="s">
        <v>155</v>
      </c>
      <c r="C115" s="155" t="s">
        <v>340</v>
      </c>
      <c r="D115" s="53">
        <v>0.20325199999999999</v>
      </c>
      <c r="E115" s="53">
        <v>34.716146999999999</v>
      </c>
      <c r="F115" s="53" t="s">
        <v>351</v>
      </c>
      <c r="G115" s="53" t="s">
        <v>330</v>
      </c>
      <c r="H115" s="116" t="s">
        <v>347</v>
      </c>
      <c r="I115" s="154" t="s">
        <v>371</v>
      </c>
      <c r="J115" s="116" t="s">
        <v>687</v>
      </c>
      <c r="K115" s="53" t="s">
        <v>367</v>
      </c>
      <c r="L115" s="53" t="s">
        <v>684</v>
      </c>
      <c r="M115" s="53" t="s">
        <v>683</v>
      </c>
      <c r="N115" s="156">
        <v>24.4</v>
      </c>
      <c r="O115" s="157">
        <v>17.899999999999999</v>
      </c>
      <c r="P115" s="162">
        <v>21.142099999999999</v>
      </c>
      <c r="Q115" s="157">
        <v>257.3</v>
      </c>
      <c r="R115" s="156">
        <v>0.11700000000000001</v>
      </c>
      <c r="S115" s="157">
        <v>77.98</v>
      </c>
      <c r="T115" s="144">
        <f t="shared" si="42"/>
        <v>3.119634703196347E-4</v>
      </c>
      <c r="U115" s="158">
        <f t="shared" si="43"/>
        <v>1.0398782343987825</v>
      </c>
      <c r="V115" s="144">
        <f t="shared" si="44"/>
        <v>2.2885844748858441E-4</v>
      </c>
      <c r="W115" s="158">
        <f t="shared" si="45"/>
        <v>6.3571790969051231E-2</v>
      </c>
      <c r="X115" s="144">
        <f t="shared" si="46"/>
        <v>2.7030995433789949E-4</v>
      </c>
      <c r="Y115" s="158">
        <f t="shared" si="47"/>
        <v>0.90103318112633168</v>
      </c>
      <c r="Z115" s="144">
        <f t="shared" si="48"/>
        <v>3.2896803652968033E-3</v>
      </c>
      <c r="AA115" s="158">
        <f t="shared" si="49"/>
        <v>1.0965601217656011</v>
      </c>
      <c r="AB115" s="144">
        <f t="shared" si="50"/>
        <v>1.4958904109589043E-6</v>
      </c>
      <c r="AC115" s="158">
        <f t="shared" si="51"/>
        <v>2.9917808219178084E-3</v>
      </c>
      <c r="AD115" s="144">
        <f t="shared" si="52"/>
        <v>9.9700456621004555E-4</v>
      </c>
      <c r="AE115" s="158">
        <f t="shared" si="53"/>
        <v>4.9850228310502273E-2</v>
      </c>
      <c r="AF115" s="78"/>
      <c r="AG115" s="320">
        <v>24.430934841054878</v>
      </c>
      <c r="AH115" s="320">
        <v>0.28179388232344843</v>
      </c>
      <c r="AI115" s="320">
        <v>0.39626713540864755</v>
      </c>
      <c r="AJ115" s="320">
        <v>1.6219892443196313</v>
      </c>
      <c r="AK115" s="320">
        <v>0.11678127644201661</v>
      </c>
      <c r="AL115" s="320">
        <v>5.9240835293729019E-2</v>
      </c>
      <c r="AM115" s="320">
        <v>2.9750530287078185E-2</v>
      </c>
      <c r="AN115" s="320">
        <v>50.728025158333367</v>
      </c>
      <c r="AO115" s="321">
        <v>257.25252946886656</v>
      </c>
      <c r="AP115" s="320">
        <v>0.77394108229962799</v>
      </c>
      <c r="AQ115" s="320">
        <v>0.19059972052767116</v>
      </c>
      <c r="AR115" s="320">
        <v>0.30084877450866526</v>
      </c>
      <c r="AS115" s="320">
        <v>77.975252206712128</v>
      </c>
      <c r="AT115" s="320">
        <v>4.3303017955480492</v>
      </c>
      <c r="AU115" s="320">
        <v>3.2064350316054089</v>
      </c>
      <c r="AV115" s="320">
        <v>5.5534309578998649</v>
      </c>
      <c r="AW115" s="320">
        <v>17.916076758088597</v>
      </c>
      <c r="AX115" s="320">
        <v>4.4415103042119721</v>
      </c>
      <c r="AY115" s="320">
        <v>0.50971465633794077</v>
      </c>
      <c r="AZ115" s="320">
        <v>24.790641188823649</v>
      </c>
      <c r="BA115" s="320">
        <v>21.142099999999999</v>
      </c>
      <c r="BB115" s="320">
        <v>10.847543796696662</v>
      </c>
      <c r="BC115" s="320">
        <v>1.0608716450192073</v>
      </c>
      <c r="BD115" s="320">
        <v>51.307787763262226</v>
      </c>
      <c r="BE115" s="78"/>
      <c r="BF115" s="144">
        <f t="shared" si="28"/>
        <v>1.6866713115969136</v>
      </c>
      <c r="BG115" s="144">
        <f t="shared" si="29"/>
        <v>0.15176713280246587</v>
      </c>
      <c r="BH115" s="144">
        <f t="shared" si="30"/>
        <v>0.32989876880825386</v>
      </c>
      <c r="BI115" s="144">
        <f t="shared" si="31"/>
        <v>46.230019224886838</v>
      </c>
      <c r="BJ115" s="144">
        <f t="shared" si="32"/>
        <v>0.27683980115791962</v>
      </c>
      <c r="BK115" s="144">
        <f t="shared" si="33"/>
        <v>1.5759854596446488</v>
      </c>
      <c r="BL115" s="78"/>
      <c r="BM115" s="78"/>
      <c r="BN115" s="78"/>
      <c r="BO115" s="78"/>
      <c r="BP115" s="78"/>
      <c r="BQ115" s="78"/>
      <c r="BR115" s="78"/>
      <c r="BS115" s="78"/>
      <c r="BT115" s="78"/>
      <c r="BU115" s="78"/>
      <c r="BV115" s="78"/>
      <c r="BW115" s="78"/>
    </row>
    <row r="116" spans="1:79" s="34" customFormat="1">
      <c r="A116" s="53" t="s">
        <v>183</v>
      </c>
      <c r="B116" s="39" t="s">
        <v>184</v>
      </c>
      <c r="C116" s="155" t="s">
        <v>343</v>
      </c>
      <c r="D116" s="53">
        <v>0.19486300000000001</v>
      </c>
      <c r="E116" s="53">
        <v>34.750653</v>
      </c>
      <c r="F116" s="53" t="s">
        <v>355</v>
      </c>
      <c r="G116" s="53" t="s">
        <v>330</v>
      </c>
      <c r="H116" s="116" t="s">
        <v>347</v>
      </c>
      <c r="I116" s="154" t="s">
        <v>371</v>
      </c>
      <c r="J116" s="116" t="s">
        <v>687</v>
      </c>
      <c r="K116" s="53" t="s">
        <v>366</v>
      </c>
      <c r="L116" s="53" t="s">
        <v>684</v>
      </c>
      <c r="M116" s="53" t="s">
        <v>683</v>
      </c>
      <c r="N116" s="156">
        <v>190.9</v>
      </c>
      <c r="O116" s="157">
        <v>50.4</v>
      </c>
      <c r="P116" s="162">
        <v>6.8764050000000001</v>
      </c>
      <c r="Q116" s="157">
        <v>106.8</v>
      </c>
      <c r="R116" s="156">
        <v>0.308</v>
      </c>
      <c r="S116" s="157">
        <v>25.82</v>
      </c>
      <c r="T116" s="144">
        <f t="shared" si="42"/>
        <v>2.440730593607306E-3</v>
      </c>
      <c r="U116" s="158">
        <f t="shared" si="43"/>
        <v>8.1357686453576878</v>
      </c>
      <c r="V116" s="144">
        <f t="shared" si="44"/>
        <v>6.4438356164383561E-4</v>
      </c>
      <c r="W116" s="158">
        <f t="shared" si="45"/>
        <v>0.17899543378995433</v>
      </c>
      <c r="X116" s="144">
        <f t="shared" si="46"/>
        <v>8.7917506849315047E-5</v>
      </c>
      <c r="Y116" s="158">
        <f t="shared" si="47"/>
        <v>0.29305835616438353</v>
      </c>
      <c r="Z116" s="144">
        <f t="shared" si="48"/>
        <v>1.3654794520547944E-3</v>
      </c>
      <c r="AA116" s="158">
        <f t="shared" si="49"/>
        <v>0.45515981735159811</v>
      </c>
      <c r="AB116" s="144">
        <f t="shared" si="50"/>
        <v>3.9378995433789953E-6</v>
      </c>
      <c r="AC116" s="158">
        <f t="shared" si="51"/>
        <v>7.8757990867579907E-3</v>
      </c>
      <c r="AD116" s="144">
        <f t="shared" si="52"/>
        <v>3.3011872146118725E-4</v>
      </c>
      <c r="AE116" s="158">
        <f t="shared" si="53"/>
        <v>1.6505936073059363E-2</v>
      </c>
      <c r="AF116" s="78"/>
      <c r="AG116" s="319">
        <v>190.91850566026287</v>
      </c>
      <c r="AH116" s="320">
        <v>4.7488018004661132</v>
      </c>
      <c r="AI116" s="320">
        <v>5.0098594899862272</v>
      </c>
      <c r="AJ116" s="320">
        <v>2.6240827062103715</v>
      </c>
      <c r="AK116" s="320">
        <v>0.30836089172295156</v>
      </c>
      <c r="AL116" s="320">
        <v>7.7837862856673629E-2</v>
      </c>
      <c r="AM116" s="320">
        <v>4.1786865416787451E-2</v>
      </c>
      <c r="AN116" s="320">
        <v>25.24245614343581</v>
      </c>
      <c r="AO116" s="321">
        <v>106.78444902175021</v>
      </c>
      <c r="AP116" s="320">
        <v>1.5493390006994978</v>
      </c>
      <c r="AQ116" s="320">
        <v>0.5117765348512664</v>
      </c>
      <c r="AR116" s="320">
        <v>1.4509032119310963</v>
      </c>
      <c r="AS116" s="320">
        <v>25.823791387085514</v>
      </c>
      <c r="AT116" s="320">
        <v>2.219515522145119</v>
      </c>
      <c r="AU116" s="320">
        <v>1.8435861976965482</v>
      </c>
      <c r="AV116" s="320">
        <v>8.5948476305268606</v>
      </c>
      <c r="AW116" s="320">
        <v>50.384579747039155</v>
      </c>
      <c r="AX116" s="320">
        <v>10.270534345707199</v>
      </c>
      <c r="AY116" s="320">
        <v>2.9489413293561064</v>
      </c>
      <c r="AZ116" s="320">
        <v>20.38428105835446</v>
      </c>
      <c r="BA116" s="320">
        <v>6.8764050000000001</v>
      </c>
      <c r="BB116" s="320">
        <v>1.4488945936633135</v>
      </c>
      <c r="BC116" s="320">
        <v>0.11733388606545095</v>
      </c>
      <c r="BD116" s="320">
        <v>21.07052440429721</v>
      </c>
      <c r="BE116" s="78"/>
      <c r="BF116" s="144">
        <f t="shared" si="28"/>
        <v>21.348929804011689</v>
      </c>
      <c r="BG116" s="144">
        <f t="shared" si="29"/>
        <v>0.19880451304200039</v>
      </c>
      <c r="BH116" s="144">
        <f t="shared" si="30"/>
        <v>0.6603928409374048</v>
      </c>
      <c r="BI116" s="144">
        <f t="shared" si="31"/>
        <v>6.1748932454448671</v>
      </c>
      <c r="BJ116" s="144">
        <f t="shared" si="32"/>
        <v>0.14186600554716211</v>
      </c>
      <c r="BK116" s="144">
        <f t="shared" si="33"/>
        <v>3.6486932305365061</v>
      </c>
      <c r="BL116" s="78"/>
      <c r="BM116" s="78"/>
      <c r="BN116" s="78"/>
      <c r="BO116" s="78"/>
      <c r="BP116" s="78"/>
      <c r="BQ116" s="78"/>
      <c r="BR116" s="78"/>
      <c r="BS116" s="78"/>
      <c r="BT116" s="78"/>
      <c r="BU116" s="78"/>
      <c r="BV116" s="78"/>
      <c r="BW116" s="78"/>
    </row>
    <row r="117" spans="1:79" s="34" customFormat="1">
      <c r="A117" s="53" t="s">
        <v>185</v>
      </c>
      <c r="B117" s="39" t="s">
        <v>186</v>
      </c>
      <c r="C117" s="155" t="s">
        <v>343</v>
      </c>
      <c r="D117" s="53">
        <v>0.19508500000000001</v>
      </c>
      <c r="E117" s="53">
        <v>34.751396</v>
      </c>
      <c r="F117" s="53" t="s">
        <v>355</v>
      </c>
      <c r="G117" s="53" t="s">
        <v>330</v>
      </c>
      <c r="H117" s="116" t="s">
        <v>347</v>
      </c>
      <c r="I117" s="154" t="s">
        <v>371</v>
      </c>
      <c r="J117" s="116" t="s">
        <v>687</v>
      </c>
      <c r="K117" s="53" t="s">
        <v>367</v>
      </c>
      <c r="L117" s="53" t="s">
        <v>684</v>
      </c>
      <c r="M117" s="53" t="s">
        <v>683</v>
      </c>
      <c r="N117" s="156">
        <v>103.2</v>
      </c>
      <c r="O117" s="157">
        <v>38.799999999999997</v>
      </c>
      <c r="P117" s="162">
        <v>16.768075</v>
      </c>
      <c r="Q117" s="157">
        <v>102.1</v>
      </c>
      <c r="R117" s="156">
        <v>0.26300000000000001</v>
      </c>
      <c r="S117" s="157">
        <v>44.34</v>
      </c>
      <c r="T117" s="144">
        <f t="shared" si="42"/>
        <v>1.3194520547945205E-3</v>
      </c>
      <c r="U117" s="158">
        <f t="shared" si="43"/>
        <v>4.3981735159817354</v>
      </c>
      <c r="V117" s="144">
        <f t="shared" si="44"/>
        <v>4.960730593607305E-4</v>
      </c>
      <c r="W117" s="158">
        <f t="shared" si="45"/>
        <v>0.13779807204464736</v>
      </c>
      <c r="X117" s="144">
        <f t="shared" si="46"/>
        <v>2.1438634703196345E-4</v>
      </c>
      <c r="Y117" s="158">
        <f t="shared" si="47"/>
        <v>0.71462115677321159</v>
      </c>
      <c r="Z117" s="144">
        <f t="shared" si="48"/>
        <v>1.3053881278538811E-3</v>
      </c>
      <c r="AA117" s="158">
        <f t="shared" si="49"/>
        <v>0.4351293759512937</v>
      </c>
      <c r="AB117" s="144">
        <f t="shared" si="50"/>
        <v>3.3625570776255705E-6</v>
      </c>
      <c r="AC117" s="158">
        <f t="shared" si="51"/>
        <v>6.7251141552511409E-3</v>
      </c>
      <c r="AD117" s="144">
        <f t="shared" si="52"/>
        <v>5.6690410958904099E-4</v>
      </c>
      <c r="AE117" s="158">
        <f t="shared" si="53"/>
        <v>2.8345205479452049E-2</v>
      </c>
      <c r="AF117" s="78"/>
      <c r="AG117" s="319">
        <v>103.18378413501281</v>
      </c>
      <c r="AH117" s="320">
        <v>2.6049037946278304</v>
      </c>
      <c r="AI117" s="320">
        <v>2.5860626826516482</v>
      </c>
      <c r="AJ117" s="320">
        <v>2.5245282642662086</v>
      </c>
      <c r="AK117" s="320">
        <v>0.26349670661430774</v>
      </c>
      <c r="AL117" s="320">
        <v>0.12198914732394533</v>
      </c>
      <c r="AM117" s="320">
        <v>5.0339351174306816E-2</v>
      </c>
      <c r="AN117" s="320">
        <v>46.296270223409834</v>
      </c>
      <c r="AO117" s="321">
        <v>102.12634228695497</v>
      </c>
      <c r="AP117" s="320">
        <v>0.34326916044394434</v>
      </c>
      <c r="AQ117" s="320">
        <v>0.14567156693677821</v>
      </c>
      <c r="AR117" s="320">
        <v>0.33612205505160009</v>
      </c>
      <c r="AS117" s="320">
        <v>44.342539023469776</v>
      </c>
      <c r="AT117" s="320">
        <v>3.8800784719559727</v>
      </c>
      <c r="AU117" s="320">
        <v>2.82883868493143</v>
      </c>
      <c r="AV117" s="320">
        <v>8.7502397413515531</v>
      </c>
      <c r="AW117" s="320">
        <v>38.801086307584086</v>
      </c>
      <c r="AX117" s="320">
        <v>9.2449379688515521</v>
      </c>
      <c r="AY117" s="320">
        <v>1.528939154642587</v>
      </c>
      <c r="AZ117" s="320">
        <v>23.826492628492542</v>
      </c>
      <c r="BA117" s="320">
        <v>16.768075</v>
      </c>
      <c r="BB117" s="320">
        <v>5.864994996713448</v>
      </c>
      <c r="BC117" s="320">
        <v>0.2452872602698416</v>
      </c>
      <c r="BD117" s="320">
        <v>34.977151501966972</v>
      </c>
      <c r="BE117" s="78"/>
      <c r="BF117" s="144">
        <f t="shared" si="28"/>
        <v>11.103313352242978</v>
      </c>
      <c r="BG117" s="144">
        <f t="shared" si="29"/>
        <v>0.31134770221478536</v>
      </c>
      <c r="BH117" s="144">
        <f t="shared" si="30"/>
        <v>0.14625658005806913</v>
      </c>
      <c r="BI117" s="144">
        <f t="shared" si="31"/>
        <v>24.995412466967512</v>
      </c>
      <c r="BJ117" s="144">
        <f t="shared" si="32"/>
        <v>0.24802734346307712</v>
      </c>
      <c r="BK117" s="144">
        <f t="shared" si="33"/>
        <v>3.2832447477922746</v>
      </c>
      <c r="BL117" s="78"/>
      <c r="BM117" s="78"/>
      <c r="BN117" s="78"/>
      <c r="BO117" s="78"/>
      <c r="BP117" s="78"/>
      <c r="BQ117" s="78"/>
      <c r="BR117" s="78"/>
      <c r="BS117" s="78"/>
      <c r="BT117" s="78"/>
      <c r="BU117" s="78"/>
      <c r="BV117" s="78"/>
      <c r="BW117" s="78"/>
    </row>
    <row r="118" spans="1:79" s="34" customFormat="1">
      <c r="A118" s="53" t="s">
        <v>207</v>
      </c>
      <c r="B118" s="39" t="s">
        <v>208</v>
      </c>
      <c r="C118" s="155" t="s">
        <v>341</v>
      </c>
      <c r="D118" s="53">
        <v>0.21768199999999999</v>
      </c>
      <c r="E118" s="53">
        <v>34.802346</v>
      </c>
      <c r="F118" s="53" t="s">
        <v>356</v>
      </c>
      <c r="G118" s="53" t="s">
        <v>330</v>
      </c>
      <c r="H118" s="116" t="s">
        <v>347</v>
      </c>
      <c r="I118" s="154" t="s">
        <v>371</v>
      </c>
      <c r="J118" s="116" t="s">
        <v>687</v>
      </c>
      <c r="K118" s="53" t="s">
        <v>366</v>
      </c>
      <c r="L118" s="53" t="s">
        <v>684</v>
      </c>
      <c r="M118" s="53" t="s">
        <v>683</v>
      </c>
      <c r="N118" s="156">
        <v>57.9</v>
      </c>
      <c r="O118" s="157">
        <v>28.7</v>
      </c>
      <c r="P118" s="162">
        <v>0.55713499999999994</v>
      </c>
      <c r="Q118" s="157">
        <v>72.599999999999994</v>
      </c>
      <c r="R118" s="156">
        <v>0.36799999999999999</v>
      </c>
      <c r="S118" s="157">
        <v>12.14</v>
      </c>
      <c r="T118" s="144">
        <f t="shared" si="42"/>
        <v>7.4027397260273962E-4</v>
      </c>
      <c r="U118" s="158">
        <f t="shared" si="43"/>
        <v>2.4675799086757988</v>
      </c>
      <c r="V118" s="144">
        <f t="shared" si="44"/>
        <v>3.6694063926940641E-4</v>
      </c>
      <c r="W118" s="158">
        <f t="shared" si="45"/>
        <v>0.1019279553526129</v>
      </c>
      <c r="X118" s="144">
        <f t="shared" si="46"/>
        <v>7.1231872146118714E-6</v>
      </c>
      <c r="Y118" s="158">
        <f t="shared" si="47"/>
        <v>2.3743957382039573E-2</v>
      </c>
      <c r="Z118" s="144">
        <f t="shared" si="48"/>
        <v>9.2821917808219145E-4</v>
      </c>
      <c r="AA118" s="158">
        <f t="shared" si="49"/>
        <v>0.30940639269406384</v>
      </c>
      <c r="AB118" s="144">
        <f t="shared" si="50"/>
        <v>4.7050228310502275E-6</v>
      </c>
      <c r="AC118" s="158">
        <f t="shared" si="51"/>
        <v>9.4100456621004549E-3</v>
      </c>
      <c r="AD118" s="144">
        <f t="shared" si="52"/>
        <v>1.5521461187214611E-4</v>
      </c>
      <c r="AE118" s="158">
        <f t="shared" si="53"/>
        <v>7.7607305936073052E-3</v>
      </c>
      <c r="AF118" s="78"/>
      <c r="AG118" s="320">
        <v>57.933006547320808</v>
      </c>
      <c r="AH118" s="320">
        <v>1.4648562194709771</v>
      </c>
      <c r="AI118" s="320">
        <v>1.6920778348012726</v>
      </c>
      <c r="AJ118" s="320">
        <v>2.9207492164577209</v>
      </c>
      <c r="AK118" s="320">
        <v>0.36826773139632002</v>
      </c>
      <c r="AL118" s="320">
        <v>8.5546489285733773E-2</v>
      </c>
      <c r="AM118" s="320">
        <v>5.1061959487409679E-2</v>
      </c>
      <c r="AN118" s="320">
        <v>23.229428481658335</v>
      </c>
      <c r="AO118" s="320">
        <v>72.645520623612995</v>
      </c>
      <c r="AP118" s="320">
        <v>3.3549676789729754</v>
      </c>
      <c r="AQ118" s="320">
        <v>1.2043510361423495</v>
      </c>
      <c r="AR118" s="320">
        <v>4.6182719184511747</v>
      </c>
      <c r="AS118" s="320">
        <v>12.144729275664575</v>
      </c>
      <c r="AT118" s="320">
        <v>0.76509237310608602</v>
      </c>
      <c r="AU118" s="320">
        <v>0.72587515606237418</v>
      </c>
      <c r="AV118" s="320">
        <v>6.2997894456088579</v>
      </c>
      <c r="AW118" s="320">
        <v>28.725548848700686</v>
      </c>
      <c r="AX118" s="320">
        <v>3.775576336695611</v>
      </c>
      <c r="AY118" s="320">
        <v>1.3270514291858644</v>
      </c>
      <c r="AZ118" s="320">
        <v>13.143617748025685</v>
      </c>
      <c r="BA118" s="320">
        <v>0.55713499999999994</v>
      </c>
      <c r="BB118" s="320">
        <v>6.3270466917320106E-2</v>
      </c>
      <c r="BC118" s="322">
        <v>-2.9109305025709072E-2</v>
      </c>
      <c r="BD118" s="320">
        <v>11.356397806154723</v>
      </c>
      <c r="BE118" s="78"/>
      <c r="BF118" s="144">
        <f t="shared" si="28"/>
        <v>7.2071820848116541</v>
      </c>
      <c r="BG118" s="144">
        <f t="shared" si="29"/>
        <v>0.21858998271690178</v>
      </c>
      <c r="BH118" s="144">
        <f t="shared" si="30"/>
        <v>1.4289228547682717</v>
      </c>
      <c r="BI118" s="144">
        <f t="shared" si="31"/>
        <v>0.26964582552282546</v>
      </c>
      <c r="BJ118" s="144">
        <f t="shared" si="32"/>
        <v>4.8890968683821069E-2</v>
      </c>
      <c r="BK118" s="144">
        <f t="shared" si="33"/>
        <v>1.3397020829925725</v>
      </c>
      <c r="BL118" s="78"/>
      <c r="BM118" s="78"/>
      <c r="BN118" s="78"/>
      <c r="BO118" s="78"/>
      <c r="BP118" s="78"/>
      <c r="BQ118" s="78"/>
      <c r="BR118" s="78"/>
      <c r="BS118" s="78"/>
      <c r="BT118" s="78"/>
      <c r="BU118" s="78"/>
      <c r="BV118" s="78"/>
      <c r="BW118" s="78"/>
    </row>
    <row r="119" spans="1:79" s="34" customFormat="1">
      <c r="A119" s="53" t="s">
        <v>223</v>
      </c>
      <c r="B119" s="39" t="s">
        <v>224</v>
      </c>
      <c r="C119" s="155" t="s">
        <v>341</v>
      </c>
      <c r="D119" s="53">
        <v>0.17374600000000001</v>
      </c>
      <c r="E119" s="53">
        <v>34.768698000000001</v>
      </c>
      <c r="F119" s="53" t="s">
        <v>358</v>
      </c>
      <c r="G119" s="53" t="s">
        <v>330</v>
      </c>
      <c r="H119" s="116" t="s">
        <v>347</v>
      </c>
      <c r="I119" s="154" t="s">
        <v>371</v>
      </c>
      <c r="J119" s="116" t="s">
        <v>687</v>
      </c>
      <c r="K119" s="53" t="s">
        <v>366</v>
      </c>
      <c r="L119" s="53" t="s">
        <v>684</v>
      </c>
      <c r="M119" s="53" t="s">
        <v>683</v>
      </c>
      <c r="N119" s="156">
        <v>42.2</v>
      </c>
      <c r="O119" s="157">
        <v>24.2</v>
      </c>
      <c r="P119" s="162">
        <v>1.6044850000000002</v>
      </c>
      <c r="Q119" s="157">
        <v>648.6</v>
      </c>
      <c r="R119" s="156">
        <v>0.16800000000000001</v>
      </c>
      <c r="S119" s="157">
        <v>375.29</v>
      </c>
      <c r="T119" s="144">
        <f t="shared" si="42"/>
        <v>5.3954337899543374E-4</v>
      </c>
      <c r="U119" s="158">
        <f t="shared" si="43"/>
        <v>1.7984779299847793</v>
      </c>
      <c r="V119" s="144">
        <f t="shared" si="44"/>
        <v>3.0940639269406392E-4</v>
      </c>
      <c r="W119" s="158">
        <f t="shared" si="45"/>
        <v>8.5946220192795533E-2</v>
      </c>
      <c r="X119" s="144">
        <f t="shared" si="46"/>
        <v>2.0513963470319637E-5</v>
      </c>
      <c r="Y119" s="158">
        <f t="shared" si="47"/>
        <v>6.8379878234398797E-2</v>
      </c>
      <c r="Z119" s="144">
        <f t="shared" si="48"/>
        <v>8.2926027397260266E-3</v>
      </c>
      <c r="AA119" s="158">
        <f t="shared" si="49"/>
        <v>2.7642009132420089</v>
      </c>
      <c r="AB119" s="144">
        <f t="shared" si="50"/>
        <v>2.1479452054794522E-6</v>
      </c>
      <c r="AC119" s="158">
        <f t="shared" si="51"/>
        <v>4.2958904109589042E-3</v>
      </c>
      <c r="AD119" s="144">
        <f t="shared" si="52"/>
        <v>4.7982283105022826E-3</v>
      </c>
      <c r="AE119" s="158">
        <f t="shared" si="53"/>
        <v>0.23991141552511414</v>
      </c>
      <c r="AF119" s="78"/>
      <c r="AG119" s="320">
        <v>42.169318806236909</v>
      </c>
      <c r="AH119" s="320">
        <v>0.90032657469815902</v>
      </c>
      <c r="AI119" s="320">
        <v>1.0682601774204685</v>
      </c>
      <c r="AJ119" s="320">
        <v>2.5332640119917498</v>
      </c>
      <c r="AK119" s="320">
        <v>0.16837520977329121</v>
      </c>
      <c r="AL119" s="320">
        <v>7.2103158716333646E-2</v>
      </c>
      <c r="AM119" s="320">
        <v>2.8999498733534995E-2</v>
      </c>
      <c r="AN119" s="320">
        <v>42.822906539161522</v>
      </c>
      <c r="AO119" s="321">
        <v>648.64090536580943</v>
      </c>
      <c r="AP119" s="320">
        <v>3.1260711392750622</v>
      </c>
      <c r="AQ119" s="320">
        <v>0.91334920842449152</v>
      </c>
      <c r="AR119" s="320">
        <v>0.48194172051361356</v>
      </c>
      <c r="AS119" s="323">
        <v>375.28593875643628</v>
      </c>
      <c r="AT119" s="320">
        <v>14.697805389619042</v>
      </c>
      <c r="AU119" s="320">
        <v>11.746432220477999</v>
      </c>
      <c r="AV119" s="320">
        <v>3.9164284807265428</v>
      </c>
      <c r="AW119" s="320">
        <v>24.249367642233789</v>
      </c>
      <c r="AX119" s="320">
        <v>6.7063105992244925</v>
      </c>
      <c r="AY119" s="320">
        <v>1.2652902187115935</v>
      </c>
      <c r="AZ119" s="320">
        <v>27.655610233499367</v>
      </c>
      <c r="BA119" s="320">
        <v>1.6044850000000002</v>
      </c>
      <c r="BB119" s="320">
        <v>7.3981328105561461E-2</v>
      </c>
      <c r="BC119" s="322">
        <v>-2.9211051930758986E-2</v>
      </c>
      <c r="BD119" s="320">
        <v>4.6109080549560417</v>
      </c>
      <c r="BE119" s="78"/>
      <c r="BF119" s="144">
        <f t="shared" si="28"/>
        <v>4.5560194163918588</v>
      </c>
      <c r="BG119" s="144">
        <f t="shared" si="29"/>
        <v>0.18396251357097335</v>
      </c>
      <c r="BH119" s="144">
        <f t="shared" si="30"/>
        <v>1.3321837439731556</v>
      </c>
      <c r="BI119" s="144">
        <f t="shared" si="31"/>
        <v>0.31529333134790272</v>
      </c>
      <c r="BJ119" s="144">
        <f t="shared" si="32"/>
        <v>0.93959590061397702</v>
      </c>
      <c r="BK119" s="144">
        <f t="shared" si="33"/>
        <v>2.376895166694466</v>
      </c>
      <c r="BL119" s="78"/>
      <c r="BM119" s="78"/>
      <c r="BN119" s="78"/>
      <c r="BO119" s="78"/>
      <c r="BP119" s="78"/>
      <c r="BQ119" s="78"/>
      <c r="BR119" s="78"/>
      <c r="BS119" s="78"/>
      <c r="BT119" s="78"/>
      <c r="BU119" s="78"/>
      <c r="BV119" s="78"/>
      <c r="BW119" s="78"/>
    </row>
    <row r="120" spans="1:79" s="34" customFormat="1">
      <c r="A120" s="53" t="s">
        <v>227</v>
      </c>
      <c r="B120" s="39" t="s">
        <v>228</v>
      </c>
      <c r="C120" s="155" t="s">
        <v>341</v>
      </c>
      <c r="D120" s="53">
        <v>0.10542700000000001</v>
      </c>
      <c r="E120" s="53">
        <v>34.698397999999997</v>
      </c>
      <c r="F120" s="53" t="s">
        <v>359</v>
      </c>
      <c r="G120" s="53" t="s">
        <v>334</v>
      </c>
      <c r="H120" s="116" t="s">
        <v>347</v>
      </c>
      <c r="I120" s="154" t="s">
        <v>371</v>
      </c>
      <c r="J120" s="116" t="s">
        <v>687</v>
      </c>
      <c r="K120" s="53" t="s">
        <v>364</v>
      </c>
      <c r="L120" s="53" t="s">
        <v>685</v>
      </c>
      <c r="M120" s="53" t="s">
        <v>690</v>
      </c>
      <c r="N120" s="156">
        <v>847.1</v>
      </c>
      <c r="O120" s="157">
        <v>290.39999999999998</v>
      </c>
      <c r="P120" s="162">
        <v>3.3985000000000001E-2</v>
      </c>
      <c r="Q120" s="157">
        <v>250.7</v>
      </c>
      <c r="R120" s="156">
        <v>0.753</v>
      </c>
      <c r="S120" s="157">
        <v>124.68</v>
      </c>
      <c r="T120" s="144">
        <f t="shared" si="42"/>
        <v>1.0830502283105023E-2</v>
      </c>
      <c r="U120" s="158">
        <f t="shared" si="43"/>
        <v>36.101674277016748</v>
      </c>
      <c r="V120" s="144">
        <f t="shared" si="44"/>
        <v>3.7128767123287658E-3</v>
      </c>
      <c r="W120" s="158">
        <f t="shared" si="45"/>
        <v>1.031354642313546</v>
      </c>
      <c r="X120" s="144">
        <f t="shared" si="46"/>
        <v>4.3451141552511415E-7</v>
      </c>
      <c r="Y120" s="158">
        <f t="shared" si="47"/>
        <v>1.448371385083714E-3</v>
      </c>
      <c r="Z120" s="144">
        <f t="shared" si="48"/>
        <v>3.2052968036529678E-3</v>
      </c>
      <c r="AA120" s="158">
        <f t="shared" si="49"/>
        <v>1.0684322678843226</v>
      </c>
      <c r="AB120" s="144">
        <f t="shared" si="50"/>
        <v>9.6273972602739721E-6</v>
      </c>
      <c r="AC120" s="158">
        <f t="shared" si="51"/>
        <v>1.9254794520547944E-2</v>
      </c>
      <c r="AD120" s="144">
        <f t="shared" si="52"/>
        <v>1.5940821917808218E-3</v>
      </c>
      <c r="AE120" s="158">
        <f t="shared" si="53"/>
        <v>7.9704109589041089E-2</v>
      </c>
      <c r="AF120" s="78"/>
      <c r="AG120" s="319">
        <v>847.14286756759645</v>
      </c>
      <c r="AH120" s="320">
        <v>11.460256758069169</v>
      </c>
      <c r="AI120" s="320">
        <v>13.689355582865236</v>
      </c>
      <c r="AJ120" s="320">
        <v>1.615944146725985</v>
      </c>
      <c r="AK120" s="320">
        <v>0.75286293201295562</v>
      </c>
      <c r="AL120" s="320">
        <v>1.6784400142143135E-2</v>
      </c>
      <c r="AM120" s="320">
        <v>9.1074593700026692E-3</v>
      </c>
      <c r="AN120" s="320">
        <v>2.2294098206251309</v>
      </c>
      <c r="AO120" s="321">
        <v>250.74175998212709</v>
      </c>
      <c r="AP120" s="320">
        <v>0.1126308110329849</v>
      </c>
      <c r="AQ120" s="320" t="s">
        <v>1148</v>
      </c>
      <c r="AR120" s="320">
        <v>4.4919047804806524E-2</v>
      </c>
      <c r="AS120" s="323">
        <v>124.67817638921332</v>
      </c>
      <c r="AT120" s="320">
        <v>0.49774452921444134</v>
      </c>
      <c r="AU120" s="320">
        <v>0.42930463043438161</v>
      </c>
      <c r="AV120" s="320">
        <v>0.39922345965392569</v>
      </c>
      <c r="AW120" s="323">
        <v>290.39741028858617</v>
      </c>
      <c r="AX120" s="320">
        <v>5.279048305581699</v>
      </c>
      <c r="AY120" s="320">
        <v>0.81824279379286746</v>
      </c>
      <c r="AZ120" s="320">
        <v>1.8178703110112369</v>
      </c>
      <c r="BA120" s="320">
        <v>3.3985000000000001E-2</v>
      </c>
      <c r="BB120" s="320">
        <v>2.4306858153078953E-2</v>
      </c>
      <c r="BC120" s="322">
        <v>-2.9201331114808649E-2</v>
      </c>
      <c r="BD120" s="320">
        <v>71.522313235483153</v>
      </c>
      <c r="BE120" s="78"/>
      <c r="BF120" s="144">
        <f t="shared" si="28"/>
        <v>58.338289234953272</v>
      </c>
      <c r="BG120" s="144">
        <f t="shared" si="29"/>
        <v>4.2926827998228542E-2</v>
      </c>
      <c r="BH120" s="144">
        <f t="shared" si="30"/>
        <v>4.7992960117293731E-2</v>
      </c>
      <c r="BI120" s="144">
        <f t="shared" si="31"/>
        <v>0.10359087188526798</v>
      </c>
      <c r="BJ120" s="144">
        <f t="shared" si="32"/>
        <v>3.1819750378772618E-2</v>
      </c>
      <c r="BK120" s="144">
        <f t="shared" si="33"/>
        <v>1.8748689843854089</v>
      </c>
      <c r="BL120" s="78"/>
      <c r="BM120" s="78"/>
      <c r="BN120" s="78"/>
      <c r="BO120" s="78"/>
      <c r="BP120" s="78"/>
      <c r="BQ120" s="78"/>
      <c r="BR120" s="78"/>
      <c r="BS120" s="78"/>
      <c r="BT120" s="78"/>
      <c r="BU120" s="78"/>
      <c r="BV120" s="78"/>
      <c r="BW120" s="78"/>
    </row>
    <row r="121" spans="1:79" s="34" customFormat="1">
      <c r="A121" s="53" t="s">
        <v>235</v>
      </c>
      <c r="B121" s="39" t="s">
        <v>236</v>
      </c>
      <c r="C121" s="155" t="s">
        <v>341</v>
      </c>
      <c r="D121" s="53">
        <v>0.105629</v>
      </c>
      <c r="E121" s="53">
        <v>34.699337</v>
      </c>
      <c r="F121" s="53" t="s">
        <v>359</v>
      </c>
      <c r="G121" s="53" t="s">
        <v>334</v>
      </c>
      <c r="H121" s="116" t="s">
        <v>347</v>
      </c>
      <c r="I121" s="154" t="s">
        <v>371</v>
      </c>
      <c r="J121" s="116" t="s">
        <v>687</v>
      </c>
      <c r="K121" s="53" t="s">
        <v>361</v>
      </c>
      <c r="L121" s="53" t="s">
        <v>685</v>
      </c>
      <c r="M121" s="53" t="s">
        <v>690</v>
      </c>
      <c r="N121" s="156">
        <v>3405.1</v>
      </c>
      <c r="O121" s="157">
        <v>141.1</v>
      </c>
      <c r="P121" s="162">
        <v>9.0802549999999993</v>
      </c>
      <c r="Q121" s="157">
        <v>237.8</v>
      </c>
      <c r="R121" s="156">
        <v>0.95899999999999996</v>
      </c>
      <c r="S121" s="157">
        <v>98.85</v>
      </c>
      <c r="T121" s="144">
        <f t="shared" si="42"/>
        <v>4.3535525114155246E-2</v>
      </c>
      <c r="U121" s="158">
        <f t="shared" si="43"/>
        <v>145.11841704718418</v>
      </c>
      <c r="V121" s="144">
        <f t="shared" si="44"/>
        <v>1.8040182648401827E-3</v>
      </c>
      <c r="W121" s="158">
        <f t="shared" si="45"/>
        <v>0.50111618467782848</v>
      </c>
      <c r="X121" s="144">
        <f t="shared" si="46"/>
        <v>1.1609458447488582E-4</v>
      </c>
      <c r="Y121" s="158">
        <f t="shared" si="47"/>
        <v>0.38698194824961946</v>
      </c>
      <c r="Z121" s="144">
        <f t="shared" si="48"/>
        <v>3.0403652968036526E-3</v>
      </c>
      <c r="AA121" s="158">
        <f t="shared" si="49"/>
        <v>1.0134550989345508</v>
      </c>
      <c r="AB121" s="144">
        <f t="shared" si="50"/>
        <v>1.2261187214611872E-5</v>
      </c>
      <c r="AC121" s="158">
        <f t="shared" si="51"/>
        <v>2.4522374429223743E-2</v>
      </c>
      <c r="AD121" s="144">
        <f t="shared" si="52"/>
        <v>1.2638356164383561E-3</v>
      </c>
      <c r="AE121" s="158">
        <f t="shared" si="53"/>
        <v>6.3191780821917801E-2</v>
      </c>
      <c r="AF121" s="78"/>
      <c r="AG121" s="319">
        <v>3405.0887543515419</v>
      </c>
      <c r="AH121" s="320">
        <v>58.488181934375937</v>
      </c>
      <c r="AI121" s="320">
        <v>59.797131586075196</v>
      </c>
      <c r="AJ121" s="320">
        <v>1.7561108064997513</v>
      </c>
      <c r="AK121" s="320">
        <v>0.95927187722801965</v>
      </c>
      <c r="AL121" s="320">
        <v>0.18875981977635994</v>
      </c>
      <c r="AM121" s="320">
        <v>0.10268958620009142</v>
      </c>
      <c r="AN121" s="320">
        <v>19.677405775911389</v>
      </c>
      <c r="AO121" s="321">
        <v>237.75408724017146</v>
      </c>
      <c r="AP121" s="320">
        <v>1.0626193810295073</v>
      </c>
      <c r="AQ121" s="320">
        <v>0.35934517457268372</v>
      </c>
      <c r="AR121" s="320">
        <v>0.44694053143914358</v>
      </c>
      <c r="AS121" s="320">
        <v>98.852426557873187</v>
      </c>
      <c r="AT121" s="320">
        <v>4.5578057214180507</v>
      </c>
      <c r="AU121" s="320">
        <v>3.5264427001608758</v>
      </c>
      <c r="AV121" s="320">
        <v>4.6107170861907791</v>
      </c>
      <c r="AW121" s="323">
        <v>141.05717052506412</v>
      </c>
      <c r="AX121" s="320">
        <v>10.612619986006427</v>
      </c>
      <c r="AY121" s="320">
        <v>2.4133223949458866</v>
      </c>
      <c r="AZ121" s="320">
        <v>7.5236302745209924</v>
      </c>
      <c r="BA121" s="320">
        <v>9.0802549999999993</v>
      </c>
      <c r="BB121" s="320">
        <v>0.89740164548438284</v>
      </c>
      <c r="BC121" s="322">
        <v>-2.9186762015632799E-2</v>
      </c>
      <c r="BD121" s="320">
        <v>9.8830004827439648</v>
      </c>
      <c r="BE121" s="78"/>
      <c r="BF121" s="144">
        <f t="shared" si="28"/>
        <v>254.84402039869786</v>
      </c>
      <c r="BG121" s="144">
        <f t="shared" si="29"/>
        <v>0.48253671223266903</v>
      </c>
      <c r="BH121" s="144">
        <f t="shared" si="30"/>
        <v>0.45295416050751797</v>
      </c>
      <c r="BI121" s="144">
        <f t="shared" si="31"/>
        <v>3.824542781364189</v>
      </c>
      <c r="BJ121" s="144">
        <f t="shared" si="32"/>
        <v>0.29135942354243921</v>
      </c>
      <c r="BK121" s="144">
        <f t="shared" si="33"/>
        <v>3.7702128980945631</v>
      </c>
      <c r="BL121" s="78"/>
      <c r="BM121" s="78"/>
      <c r="BN121" s="78"/>
      <c r="BO121" s="78"/>
      <c r="BP121" s="78"/>
      <c r="BQ121" s="78"/>
      <c r="BR121" s="78"/>
      <c r="BS121" s="78"/>
      <c r="BT121" s="78"/>
      <c r="BU121" s="78"/>
      <c r="BV121" s="78"/>
      <c r="BW121" s="78"/>
    </row>
    <row r="122" spans="1:79" s="34" customFormat="1">
      <c r="A122" s="53" t="s">
        <v>249</v>
      </c>
      <c r="B122" s="39" t="s">
        <v>250</v>
      </c>
      <c r="C122" s="155" t="s">
        <v>341</v>
      </c>
      <c r="D122" s="53">
        <v>0.105629</v>
      </c>
      <c r="E122" s="53">
        <v>34.699337</v>
      </c>
      <c r="F122" s="53" t="s">
        <v>359</v>
      </c>
      <c r="G122" s="53" t="s">
        <v>334</v>
      </c>
      <c r="H122" s="116" t="s">
        <v>347</v>
      </c>
      <c r="I122" s="154" t="s">
        <v>371</v>
      </c>
      <c r="J122" s="116" t="s">
        <v>687</v>
      </c>
      <c r="K122" s="53" t="s">
        <v>366</v>
      </c>
      <c r="L122" s="53" t="s">
        <v>684</v>
      </c>
      <c r="M122" s="53" t="s">
        <v>683</v>
      </c>
      <c r="N122" s="156">
        <v>8567.4</v>
      </c>
      <c r="O122" s="157">
        <v>181.4</v>
      </c>
      <c r="P122" s="74">
        <v>5.7652700000000001</v>
      </c>
      <c r="Q122" s="157">
        <v>120.8</v>
      </c>
      <c r="R122" s="156">
        <v>1.0309999999999999</v>
      </c>
      <c r="S122" s="157">
        <v>61.82</v>
      </c>
      <c r="T122" s="144">
        <f>(N122*200*350*6*0.000001)/(15*6*365)</f>
        <v>0.10953753424657534</v>
      </c>
      <c r="U122" s="158">
        <f>T122/0.0003</f>
        <v>365.12511415525114</v>
      </c>
      <c r="V122" s="144">
        <f>(O122*200*350*6*0.000001)/(15*6*365)</f>
        <v>2.3192694063926943E-3</v>
      </c>
      <c r="W122" s="158">
        <f>V122/0.0036</f>
        <v>0.64424150177574846</v>
      </c>
      <c r="X122" s="144">
        <f>(P122*200*350*6*0.000001)/(15*6*365)</f>
        <v>7.3711214611872151E-5</v>
      </c>
      <c r="Y122" s="158">
        <f>X122/0.0003</f>
        <v>0.24570404870624052</v>
      </c>
      <c r="Z122" s="144">
        <f>(Q122*200*350*6*0.000001)/(15*6*365)</f>
        <v>1.5444748858447488E-3</v>
      </c>
      <c r="AA122" s="158">
        <f>Z122/0.003</f>
        <v>0.51482496194824956</v>
      </c>
      <c r="AB122" s="144">
        <f>(R122*200*350*6*0.000001)/(15*6*365)</f>
        <v>1.318173515981735E-5</v>
      </c>
      <c r="AC122" s="158">
        <f>AB122/0.0005</f>
        <v>2.6363470319634701E-2</v>
      </c>
      <c r="AD122" s="144">
        <f>(S122*200*350*6*0.000001)/(15*6*365)</f>
        <v>7.9039269406392689E-4</v>
      </c>
      <c r="AE122" s="158">
        <f>AD122/0.02</f>
        <v>3.9519634703196346E-2</v>
      </c>
      <c r="AF122" s="78"/>
      <c r="AG122" s="319">
        <v>8567.4218191252348</v>
      </c>
      <c r="AH122" s="319">
        <v>633.83762495809128</v>
      </c>
      <c r="AI122" s="319">
        <v>614.32850321472984</v>
      </c>
      <c r="AJ122" s="320">
        <v>7.3982306268983082</v>
      </c>
      <c r="AK122" s="320">
        <v>1.0311527753766523</v>
      </c>
      <c r="AL122" s="320">
        <v>0.10925169721483294</v>
      </c>
      <c r="AM122" s="320">
        <v>5.0717174574523571E-2</v>
      </c>
      <c r="AN122" s="320">
        <v>10.59510286193297</v>
      </c>
      <c r="AO122" s="321">
        <v>120.79736136135149</v>
      </c>
      <c r="AP122" s="320">
        <v>1.0893231120773115</v>
      </c>
      <c r="AQ122" s="320">
        <v>0.27340214732150619</v>
      </c>
      <c r="AR122" s="320">
        <v>0.90177724066234022</v>
      </c>
      <c r="AS122" s="320">
        <v>61.824411056587174</v>
      </c>
      <c r="AT122" s="320">
        <v>3.3634304647873163</v>
      </c>
      <c r="AU122" s="320">
        <v>2.8837918105988671</v>
      </c>
      <c r="AV122" s="320">
        <v>5.4402951961949251</v>
      </c>
      <c r="AW122" s="323">
        <v>181.44435052100087</v>
      </c>
      <c r="AX122" s="320">
        <v>34.417843362243154</v>
      </c>
      <c r="AY122" s="320">
        <v>11.056970711460004</v>
      </c>
      <c r="AZ122" s="320">
        <v>18.968815101388088</v>
      </c>
      <c r="BA122" s="320">
        <v>5.7652700000000001</v>
      </c>
      <c r="BB122" s="320">
        <v>0.13994349298015168</v>
      </c>
      <c r="BC122" s="322">
        <v>-2.9196473132590248E-2</v>
      </c>
      <c r="BD122" s="320">
        <v>2.4273536708627987</v>
      </c>
      <c r="BE122" s="78"/>
      <c r="BF122" s="144">
        <f t="shared" si="28"/>
        <v>2701.2798021931198</v>
      </c>
      <c r="BG122" s="144">
        <f t="shared" si="29"/>
        <v>0.27932367983404655</v>
      </c>
      <c r="BH122" s="144">
        <f t="shared" si="30"/>
        <v>0.46425743360978677</v>
      </c>
      <c r="BI122" s="144">
        <f t="shared" si="31"/>
        <v>0.5964106245729448</v>
      </c>
      <c r="BJ122" s="144">
        <f t="shared" si="32"/>
        <v>0.21499847883117734</v>
      </c>
      <c r="BK122" s="144">
        <f t="shared" si="33"/>
        <v>12.220497927824759</v>
      </c>
      <c r="BL122" s="78"/>
      <c r="BM122" s="78"/>
      <c r="BN122" s="78"/>
      <c r="BO122" s="78"/>
      <c r="BP122" s="78"/>
      <c r="BQ122" s="78"/>
      <c r="BR122" s="78"/>
      <c r="BS122" s="78"/>
      <c r="BT122" s="78"/>
      <c r="BU122" s="78"/>
      <c r="BV122" s="78"/>
      <c r="BW122" s="78"/>
    </row>
    <row r="123" spans="1:79" s="34" customFormat="1">
      <c r="A123" s="53" t="s">
        <v>237</v>
      </c>
      <c r="B123" s="39" t="s">
        <v>238</v>
      </c>
      <c r="C123" s="155" t="s">
        <v>341</v>
      </c>
      <c r="D123" s="53">
        <v>0.105629</v>
      </c>
      <c r="E123" s="53">
        <v>34.699337</v>
      </c>
      <c r="F123" s="53" t="s">
        <v>359</v>
      </c>
      <c r="G123" s="53" t="s">
        <v>334</v>
      </c>
      <c r="H123" s="116" t="s">
        <v>347</v>
      </c>
      <c r="I123" s="154" t="s">
        <v>371</v>
      </c>
      <c r="J123" s="116" t="s">
        <v>687</v>
      </c>
      <c r="K123" s="53" t="s">
        <v>368</v>
      </c>
      <c r="L123" s="53" t="s">
        <v>684</v>
      </c>
      <c r="M123" s="53" t="s">
        <v>683</v>
      </c>
      <c r="N123" s="156">
        <v>1615.5</v>
      </c>
      <c r="O123" s="157">
        <v>99.2</v>
      </c>
      <c r="P123" s="74">
        <v>2.3111900000000003</v>
      </c>
      <c r="Q123" s="157">
        <v>148.19999999999999</v>
      </c>
      <c r="R123" s="156">
        <v>0.53200000000000003</v>
      </c>
      <c r="S123" s="157">
        <v>58.89</v>
      </c>
      <c r="T123" s="144">
        <f t="shared" si="42"/>
        <v>2.0654794520547946E-2</v>
      </c>
      <c r="U123" s="158">
        <f t="shared" si="43"/>
        <v>68.849315068493155</v>
      </c>
      <c r="V123" s="144">
        <f t="shared" si="44"/>
        <v>1.268310502283105E-3</v>
      </c>
      <c r="W123" s="158">
        <f t="shared" si="45"/>
        <v>0.35230847285641809</v>
      </c>
      <c r="X123" s="144">
        <f t="shared" si="46"/>
        <v>2.9549461187214612E-5</v>
      </c>
      <c r="Y123" s="158">
        <f t="shared" si="47"/>
        <v>9.8498203957382055E-2</v>
      </c>
      <c r="Z123" s="144">
        <f t="shared" si="48"/>
        <v>1.8947945205479448E-3</v>
      </c>
      <c r="AA123" s="158">
        <f t="shared" si="49"/>
        <v>0.63159817351598158</v>
      </c>
      <c r="AB123" s="144">
        <f t="shared" si="50"/>
        <v>6.8018264840182652E-6</v>
      </c>
      <c r="AC123" s="158">
        <f t="shared" si="51"/>
        <v>1.360365296803653E-2</v>
      </c>
      <c r="AD123" s="144">
        <f t="shared" si="52"/>
        <v>7.5293150684931499E-4</v>
      </c>
      <c r="AE123" s="158">
        <f t="shared" si="53"/>
        <v>3.7646575342465752E-2</v>
      </c>
      <c r="AF123" s="78"/>
      <c r="AG123" s="319">
        <v>1615.4860798335631</v>
      </c>
      <c r="AH123" s="319">
        <v>120.26911556909796</v>
      </c>
      <c r="AI123" s="319">
        <v>120.72605073107692</v>
      </c>
      <c r="AJ123" s="320">
        <v>7.4730480341566814</v>
      </c>
      <c r="AK123" s="320">
        <v>0.53172092771879464</v>
      </c>
      <c r="AL123" s="320">
        <v>0.12037301744450102</v>
      </c>
      <c r="AM123" s="320">
        <v>7.2389162354354025E-2</v>
      </c>
      <c r="AN123" s="320">
        <v>22.638382499054348</v>
      </c>
      <c r="AO123" s="321">
        <v>148.17756179905476</v>
      </c>
      <c r="AP123" s="320">
        <v>0.87007995479858857</v>
      </c>
      <c r="AQ123" s="320">
        <v>0.31919028002392158</v>
      </c>
      <c r="AR123" s="320">
        <v>0.5871873880463182</v>
      </c>
      <c r="AS123" s="320">
        <v>58.891170942941756</v>
      </c>
      <c r="AT123" s="320">
        <v>3.0361174948056475</v>
      </c>
      <c r="AU123" s="320">
        <v>2.5230717405829384</v>
      </c>
      <c r="AV123" s="320">
        <v>5.1554714334806979</v>
      </c>
      <c r="AW123" s="320">
        <v>99.237828038084501</v>
      </c>
      <c r="AX123" s="320">
        <v>14.2150546202854</v>
      </c>
      <c r="AY123" s="320">
        <v>4.1157900535285963</v>
      </c>
      <c r="AZ123" s="320">
        <v>14.324229884223271</v>
      </c>
      <c r="BA123" s="320">
        <v>2.3111900000000003</v>
      </c>
      <c r="BB123" s="320">
        <v>7.3733866925655644E-2</v>
      </c>
      <c r="BC123" s="322">
        <v>-2.9094827586206896E-2</v>
      </c>
      <c r="BD123" s="320">
        <v>3.1902988038913129</v>
      </c>
      <c r="BE123" s="78"/>
      <c r="BF123" s="144">
        <f t="shared" si="28"/>
        <v>514.51423862563672</v>
      </c>
      <c r="BG123" s="144">
        <f t="shared" si="29"/>
        <v>0.30796469927480691</v>
      </c>
      <c r="BH123" s="144">
        <f t="shared" si="30"/>
        <v>0.37086648180167447</v>
      </c>
      <c r="BI123" s="144">
        <f t="shared" si="31"/>
        <v>0.31423870227067857</v>
      </c>
      <c r="BJ123" s="144">
        <f t="shared" si="32"/>
        <v>0.19408584374646101</v>
      </c>
      <c r="BK123" s="144">
        <f t="shared" si="33"/>
        <v>5.0465475553549668</v>
      </c>
      <c r="BL123" s="78"/>
      <c r="BM123" s="78"/>
      <c r="BN123" s="78"/>
      <c r="BO123" s="78"/>
      <c r="BP123" s="78"/>
      <c r="BQ123" s="78"/>
      <c r="BR123" s="78"/>
      <c r="BS123" s="78"/>
      <c r="BT123" s="78"/>
      <c r="BU123" s="78"/>
      <c r="BV123" s="78"/>
      <c r="BW123" s="78"/>
    </row>
    <row r="124" spans="1:79" s="34" customFormat="1">
      <c r="A124" s="53" t="s">
        <v>257</v>
      </c>
      <c r="B124" s="39" t="s">
        <v>258</v>
      </c>
      <c r="C124" s="155" t="s">
        <v>342</v>
      </c>
      <c r="D124" s="53">
        <v>0.10229199999999999</v>
      </c>
      <c r="E124" s="53">
        <v>34.713501999999998</v>
      </c>
      <c r="F124" s="53" t="s">
        <v>335</v>
      </c>
      <c r="G124" s="53" t="s">
        <v>334</v>
      </c>
      <c r="H124" s="116" t="s">
        <v>347</v>
      </c>
      <c r="I124" s="154" t="s">
        <v>371</v>
      </c>
      <c r="J124" s="116" t="s">
        <v>687</v>
      </c>
      <c r="K124" s="53" t="s">
        <v>361</v>
      </c>
      <c r="L124" s="53" t="s">
        <v>685</v>
      </c>
      <c r="M124" s="53" t="s">
        <v>690</v>
      </c>
      <c r="N124" s="156">
        <v>5348.2</v>
      </c>
      <c r="O124" s="157">
        <v>105.9</v>
      </c>
      <c r="P124" s="74">
        <v>88.313275000000004</v>
      </c>
      <c r="Q124" s="157">
        <v>128.30000000000001</v>
      </c>
      <c r="R124" s="156">
        <v>0.90300000000000002</v>
      </c>
      <c r="S124" s="157">
        <v>81.83</v>
      </c>
      <c r="T124" s="144">
        <f t="shared" si="42"/>
        <v>6.8378812785388113E-2</v>
      </c>
      <c r="U124" s="158">
        <f t="shared" si="43"/>
        <v>227.92937595129374</v>
      </c>
      <c r="V124" s="144">
        <f t="shared" si="44"/>
        <v>1.3539726027397261E-3</v>
      </c>
      <c r="W124" s="158">
        <f t="shared" si="45"/>
        <v>0.37610350076103505</v>
      </c>
      <c r="X124" s="144">
        <f t="shared" si="46"/>
        <v>1.1291194977168951E-3</v>
      </c>
      <c r="Y124" s="158">
        <f t="shared" si="47"/>
        <v>3.7637316590563175</v>
      </c>
      <c r="Z124" s="144">
        <f t="shared" si="48"/>
        <v>1.6403652968036532E-3</v>
      </c>
      <c r="AA124" s="158">
        <f t="shared" si="49"/>
        <v>0.54678843226788443</v>
      </c>
      <c r="AB124" s="144">
        <f t="shared" si="50"/>
        <v>1.1545205479452054E-5</v>
      </c>
      <c r="AC124" s="158">
        <f t="shared" si="51"/>
        <v>2.3090410958904108E-2</v>
      </c>
      <c r="AD124" s="144">
        <f t="shared" si="52"/>
        <v>1.0462283105022831E-3</v>
      </c>
      <c r="AE124" s="158">
        <f t="shared" si="53"/>
        <v>5.2311415525114154E-2</v>
      </c>
      <c r="AF124" s="78"/>
      <c r="AG124" s="319">
        <v>5348.1686304467912</v>
      </c>
      <c r="AH124" s="319">
        <v>254.18062981391995</v>
      </c>
      <c r="AI124" s="319">
        <v>244.19411408722513</v>
      </c>
      <c r="AJ124" s="320">
        <v>4.7526667047647946</v>
      </c>
      <c r="AK124" s="320">
        <v>0.90292857157794482</v>
      </c>
      <c r="AL124" s="320">
        <v>0.20026619465146528</v>
      </c>
      <c r="AM124" s="320">
        <v>0.11438579467197951</v>
      </c>
      <c r="AN124" s="320">
        <v>22.179627597948638</v>
      </c>
      <c r="AO124" s="321">
        <v>128.29289007260647</v>
      </c>
      <c r="AP124" s="320">
        <v>3.2823357617011695</v>
      </c>
      <c r="AQ124" s="320">
        <v>1.2298675109912771</v>
      </c>
      <c r="AR124" s="320">
        <v>2.55847051215664</v>
      </c>
      <c r="AS124" s="320">
        <v>81.825439792567892</v>
      </c>
      <c r="AT124" s="320">
        <v>5.609554039043708</v>
      </c>
      <c r="AU124" s="320">
        <v>4.5941312921664101</v>
      </c>
      <c r="AV124" s="320">
        <v>6.855513460439985</v>
      </c>
      <c r="AW124" s="323">
        <v>105.90567370674759</v>
      </c>
      <c r="AX124" s="320">
        <v>31.335269183684666</v>
      </c>
      <c r="AY124" s="320">
        <v>10.374777239859169</v>
      </c>
      <c r="AZ124" s="320">
        <v>29.587904110266944</v>
      </c>
      <c r="BA124" s="320">
        <v>88.313275000000004</v>
      </c>
      <c r="BB124" s="320">
        <v>10.063927139007514</v>
      </c>
      <c r="BC124" s="320">
        <v>4.7668617025310072</v>
      </c>
      <c r="BD124" s="320">
        <v>11.39571274987539</v>
      </c>
      <c r="BE124" s="78"/>
      <c r="BF124" s="144">
        <f t="shared" si="28"/>
        <v>1083.2723561215312</v>
      </c>
      <c r="BG124" s="144">
        <f t="shared" si="29"/>
        <v>0.51213671615208523</v>
      </c>
      <c r="BH124" s="144">
        <f t="shared" si="30"/>
        <v>1.3989420803457406</v>
      </c>
      <c r="BI124" s="144">
        <f t="shared" si="31"/>
        <v>42.890404854217728</v>
      </c>
      <c r="BJ124" s="144">
        <f t="shared" si="32"/>
        <v>0.3586216132670893</v>
      </c>
      <c r="BK124" s="144">
        <f t="shared" si="33"/>
        <v>11.128114316053216</v>
      </c>
      <c r="BL124" s="78"/>
      <c r="BM124" s="78"/>
      <c r="BN124" s="78"/>
      <c r="BO124" s="78"/>
      <c r="BP124" s="78"/>
      <c r="BQ124" s="78"/>
      <c r="BR124" s="78"/>
      <c r="BS124" s="78"/>
      <c r="BT124" s="78"/>
      <c r="BU124" s="78"/>
      <c r="BV124" s="78"/>
      <c r="BW124" s="78"/>
    </row>
    <row r="125" spans="1:79" s="34" customFormat="1">
      <c r="A125" s="53" t="s">
        <v>263</v>
      </c>
      <c r="B125" s="39" t="s">
        <v>264</v>
      </c>
      <c r="C125" s="155" t="s">
        <v>342</v>
      </c>
      <c r="D125" s="53">
        <v>0.1033</v>
      </c>
      <c r="E125" s="53">
        <v>34.713628999999997</v>
      </c>
      <c r="F125" s="53" t="s">
        <v>335</v>
      </c>
      <c r="G125" s="53" t="s">
        <v>334</v>
      </c>
      <c r="H125" s="116" t="s">
        <v>347</v>
      </c>
      <c r="I125" s="154" t="s">
        <v>371</v>
      </c>
      <c r="J125" s="116" t="s">
        <v>687</v>
      </c>
      <c r="K125" s="53" t="s">
        <v>366</v>
      </c>
      <c r="L125" s="53" t="s">
        <v>684</v>
      </c>
      <c r="M125" s="53" t="s">
        <v>683</v>
      </c>
      <c r="N125" s="156">
        <v>994</v>
      </c>
      <c r="O125" s="157">
        <v>38</v>
      </c>
      <c r="P125" s="74">
        <v>5.6278050000000004</v>
      </c>
      <c r="Q125" s="157">
        <v>99.7</v>
      </c>
      <c r="R125" s="156">
        <v>0.26500000000000001</v>
      </c>
      <c r="S125" s="157">
        <v>33.380000000000003</v>
      </c>
      <c r="T125" s="144">
        <f t="shared" si="42"/>
        <v>1.2708675799086756E-2</v>
      </c>
      <c r="U125" s="158">
        <f t="shared" si="43"/>
        <v>42.36225266362252</v>
      </c>
      <c r="V125" s="144">
        <f t="shared" si="44"/>
        <v>4.8584474885844745E-4</v>
      </c>
      <c r="W125" s="158">
        <f t="shared" si="45"/>
        <v>0.13495687468290207</v>
      </c>
      <c r="X125" s="144">
        <f t="shared" si="46"/>
        <v>7.1953671232876716E-5</v>
      </c>
      <c r="Y125" s="158">
        <f t="shared" si="47"/>
        <v>0.23984557077625573</v>
      </c>
      <c r="Z125" s="144">
        <f t="shared" si="48"/>
        <v>1.2747031963470318E-3</v>
      </c>
      <c r="AA125" s="158">
        <f t="shared" si="49"/>
        <v>0.42490106544901057</v>
      </c>
      <c r="AB125" s="144">
        <f t="shared" si="50"/>
        <v>3.3881278538812784E-6</v>
      </c>
      <c r="AC125" s="158">
        <f t="shared" si="51"/>
        <v>6.776255707762557E-3</v>
      </c>
      <c r="AD125" s="144">
        <f t="shared" si="52"/>
        <v>4.267762557077626E-4</v>
      </c>
      <c r="AE125" s="158">
        <f t="shared" si="53"/>
        <v>2.1338812785388128E-2</v>
      </c>
      <c r="AF125" s="78"/>
      <c r="AG125" s="319">
        <v>993.96252720498876</v>
      </c>
      <c r="AH125" s="320">
        <v>30.645625756183783</v>
      </c>
      <c r="AI125" s="320">
        <v>31.287698195275922</v>
      </c>
      <c r="AJ125" s="320">
        <v>3.1477744219650381</v>
      </c>
      <c r="AK125" s="320">
        <v>0.26483149153700153</v>
      </c>
      <c r="AL125" s="320">
        <v>7.4044155879062309E-2</v>
      </c>
      <c r="AM125" s="320">
        <v>4.1099145765046328E-2</v>
      </c>
      <c r="AN125" s="320">
        <v>27.958969475016932</v>
      </c>
      <c r="AO125" s="320">
        <v>99.730157685867809</v>
      </c>
      <c r="AP125" s="320">
        <v>1.832144717851329</v>
      </c>
      <c r="AQ125" s="320">
        <v>0.60177655112392758</v>
      </c>
      <c r="AR125" s="320">
        <v>1.83710199639136</v>
      </c>
      <c r="AS125" s="320">
        <v>33.38366587974631</v>
      </c>
      <c r="AT125" s="320">
        <v>3.4597218770585099</v>
      </c>
      <c r="AU125" s="320">
        <v>2.2900932678217778</v>
      </c>
      <c r="AV125" s="320">
        <v>10.363516965215927</v>
      </c>
      <c r="AW125" s="320">
        <v>38.001836533911998</v>
      </c>
      <c r="AX125" s="320">
        <v>8.9588014960637015</v>
      </c>
      <c r="AY125" s="320">
        <v>2.8382716868846596</v>
      </c>
      <c r="AZ125" s="320">
        <v>23.574654051440554</v>
      </c>
      <c r="BA125" s="320">
        <v>5.6278050000000004</v>
      </c>
      <c r="BB125" s="320">
        <v>2.1833251961982385</v>
      </c>
      <c r="BC125" s="320">
        <v>7.7996704911610981E-2</v>
      </c>
      <c r="BD125" s="320">
        <v>38.795324219624497</v>
      </c>
      <c r="BE125" s="78"/>
      <c r="BF125" s="144">
        <f t="shared" si="28"/>
        <v>133.34681539137128</v>
      </c>
      <c r="BG125" s="144">
        <f t="shared" si="29"/>
        <v>0.18945712648824259</v>
      </c>
      <c r="BH125" s="144">
        <f t="shared" si="30"/>
        <v>0.78058659560519328</v>
      </c>
      <c r="BI125" s="144">
        <f t="shared" si="31"/>
        <v>9.3048866809057351</v>
      </c>
      <c r="BJ125" s="144">
        <f t="shared" si="32"/>
        <v>0.22114514831893639</v>
      </c>
      <c r="BK125" s="144">
        <f t="shared" si="33"/>
        <v>3.1815616325130325</v>
      </c>
      <c r="BL125" s="78"/>
      <c r="BM125" s="78"/>
      <c r="BN125" s="78"/>
      <c r="BO125" s="78"/>
      <c r="BP125" s="78"/>
      <c r="BQ125" s="78"/>
      <c r="BR125" s="78"/>
      <c r="BS125" s="78"/>
      <c r="BT125" s="78"/>
      <c r="BU125" s="78"/>
      <c r="BV125" s="78"/>
      <c r="BW125" s="78"/>
    </row>
    <row r="126" spans="1:79" s="34" customFormat="1">
      <c r="A126" s="53" t="s">
        <v>279</v>
      </c>
      <c r="B126" s="39" t="s">
        <v>280</v>
      </c>
      <c r="C126" s="155" t="s">
        <v>342</v>
      </c>
      <c r="D126" s="53">
        <v>0.156392</v>
      </c>
      <c r="E126" s="53">
        <v>34.817486000000002</v>
      </c>
      <c r="F126" s="53" t="s">
        <v>679</v>
      </c>
      <c r="G126" s="53" t="s">
        <v>334</v>
      </c>
      <c r="H126" s="116" t="s">
        <v>347</v>
      </c>
      <c r="I126" s="154" t="s">
        <v>371</v>
      </c>
      <c r="J126" s="116" t="s">
        <v>687</v>
      </c>
      <c r="K126" s="53" t="s">
        <v>361</v>
      </c>
      <c r="L126" s="53" t="s">
        <v>685</v>
      </c>
      <c r="M126" s="53" t="s">
        <v>690</v>
      </c>
      <c r="N126" s="156">
        <v>1662.2</v>
      </c>
      <c r="O126" s="157">
        <v>63.9</v>
      </c>
      <c r="P126" s="74">
        <v>4.1999950000000004</v>
      </c>
      <c r="Q126" s="157">
        <v>190.4</v>
      </c>
      <c r="R126" s="156">
        <v>0.219</v>
      </c>
      <c r="S126" s="157">
        <v>16.37</v>
      </c>
      <c r="T126" s="144">
        <f t="shared" si="42"/>
        <v>2.1251872146118723E-2</v>
      </c>
      <c r="U126" s="158">
        <f t="shared" si="43"/>
        <v>70.839573820395742</v>
      </c>
      <c r="V126" s="144">
        <f t="shared" si="44"/>
        <v>8.1698630136986289E-4</v>
      </c>
      <c r="W126" s="158">
        <f t="shared" si="45"/>
        <v>0.22694063926940636</v>
      </c>
      <c r="X126" s="144">
        <f t="shared" si="46"/>
        <v>5.3698566210045666E-5</v>
      </c>
      <c r="Y126" s="158">
        <f t="shared" si="47"/>
        <v>0.17899522070015222</v>
      </c>
      <c r="Z126" s="144">
        <f t="shared" si="48"/>
        <v>2.4343378995433785E-3</v>
      </c>
      <c r="AA126" s="158">
        <f t="shared" si="49"/>
        <v>0.81144596651445955</v>
      </c>
      <c r="AB126" s="144">
        <f t="shared" si="50"/>
        <v>2.7999999999999994E-6</v>
      </c>
      <c r="AC126" s="158">
        <f t="shared" si="51"/>
        <v>5.5999999999999991E-3</v>
      </c>
      <c r="AD126" s="144">
        <f t="shared" si="52"/>
        <v>2.0929680365296802E-4</v>
      </c>
      <c r="AE126" s="158">
        <f t="shared" si="53"/>
        <v>1.0464840182648401E-2</v>
      </c>
      <c r="AF126" s="78"/>
      <c r="AG126" s="319">
        <v>1662.2146913751978</v>
      </c>
      <c r="AH126" s="320">
        <v>19.901208605042005</v>
      </c>
      <c r="AI126" s="320">
        <v>21.195183393450172</v>
      </c>
      <c r="AJ126" s="320">
        <v>1.2751170774405074</v>
      </c>
      <c r="AK126" s="320">
        <v>0.21911955107939865</v>
      </c>
      <c r="AL126" s="320">
        <v>1.4014600108013952E-2</v>
      </c>
      <c r="AM126" s="320">
        <v>1.5677602639623311E-2</v>
      </c>
      <c r="AN126" s="320">
        <v>7.1548168853004288</v>
      </c>
      <c r="AO126" s="321">
        <v>190.35475716493016</v>
      </c>
      <c r="AP126" s="320">
        <v>34.35130970000575</v>
      </c>
      <c r="AQ126" s="320">
        <v>13.680127683787465</v>
      </c>
      <c r="AR126" s="320">
        <v>18.045942329795597</v>
      </c>
      <c r="AS126" s="320">
        <v>16.368949047677805</v>
      </c>
      <c r="AT126" s="320">
        <v>2.2928491457992326</v>
      </c>
      <c r="AU126" s="320">
        <v>2.2766886367512806</v>
      </c>
      <c r="AV126" s="320">
        <v>14.007308221931996</v>
      </c>
      <c r="AW126" s="320">
        <v>63.857570770902306</v>
      </c>
      <c r="AX126" s="320">
        <v>17.563738410709757</v>
      </c>
      <c r="AY126" s="320">
        <v>5.8629370373457332</v>
      </c>
      <c r="AZ126" s="320">
        <v>27.504551455178355</v>
      </c>
      <c r="BA126" s="320">
        <v>4.1999950000000004</v>
      </c>
      <c r="BB126" s="320">
        <v>3.4834349990903409E-2</v>
      </c>
      <c r="BC126" s="322">
        <v>-2.9218411852838355E-2</v>
      </c>
      <c r="BD126" s="320">
        <v>0.82939027286707268</v>
      </c>
      <c r="BE126" s="78"/>
      <c r="BF126" s="144">
        <f t="shared" si="28"/>
        <v>90.328750336994105</v>
      </c>
      <c r="BG126" s="144">
        <f t="shared" si="29"/>
        <v>4.0066974557682392E-2</v>
      </c>
      <c r="BH126" s="144">
        <f t="shared" si="30"/>
        <v>14.643307115465186</v>
      </c>
      <c r="BI126" s="144">
        <f t="shared" si="31"/>
        <v>0.14845689493840114</v>
      </c>
      <c r="BJ126" s="144">
        <f t="shared" si="32"/>
        <v>0.14658424193161529</v>
      </c>
      <c r="BK126" s="144">
        <f t="shared" si="33"/>
        <v>6.241900490056457</v>
      </c>
      <c r="BL126" s="78"/>
      <c r="BM126" s="78"/>
      <c r="BN126" s="78"/>
      <c r="BO126" s="78"/>
      <c r="BP126" s="78"/>
      <c r="BQ126" s="78"/>
      <c r="BR126" s="78"/>
      <c r="BS126" s="78"/>
      <c r="BT126" s="78"/>
      <c r="BU126" s="78"/>
      <c r="BV126" s="78"/>
      <c r="BW126" s="78"/>
    </row>
    <row r="127" spans="1:79" s="34" customFormat="1">
      <c r="A127" s="53" t="s">
        <v>285</v>
      </c>
      <c r="B127" s="39" t="s">
        <v>286</v>
      </c>
      <c r="C127" s="155" t="s">
        <v>342</v>
      </c>
      <c r="D127" s="53">
        <v>0.156392</v>
      </c>
      <c r="E127" s="53">
        <v>34.817486000000002</v>
      </c>
      <c r="F127" s="53" t="s">
        <v>679</v>
      </c>
      <c r="G127" s="53" t="s">
        <v>334</v>
      </c>
      <c r="H127" s="116" t="s">
        <v>347</v>
      </c>
      <c r="I127" s="154" t="s">
        <v>371</v>
      </c>
      <c r="J127" s="116" t="s">
        <v>687</v>
      </c>
      <c r="K127" s="53" t="s">
        <v>366</v>
      </c>
      <c r="L127" s="53" t="s">
        <v>684</v>
      </c>
      <c r="M127" s="53" t="s">
        <v>683</v>
      </c>
      <c r="N127" s="156">
        <v>34.4</v>
      </c>
      <c r="O127" s="157">
        <v>25</v>
      </c>
      <c r="P127" s="74">
        <v>0.78137500000000004</v>
      </c>
      <c r="Q127" s="157">
        <v>128.5</v>
      </c>
      <c r="R127" s="156">
        <v>9.0999999999999998E-2</v>
      </c>
      <c r="S127" s="157">
        <v>30.54</v>
      </c>
      <c r="T127" s="144">
        <f t="shared" si="42"/>
        <v>4.3981735159817349E-4</v>
      </c>
      <c r="U127" s="158">
        <f t="shared" si="43"/>
        <v>1.4660578386605785</v>
      </c>
      <c r="V127" s="144">
        <f t="shared" si="44"/>
        <v>3.1963470319634703E-4</v>
      </c>
      <c r="W127" s="158">
        <f t="shared" si="45"/>
        <v>8.8787417554540837E-2</v>
      </c>
      <c r="X127" s="144">
        <f t="shared" si="46"/>
        <v>9.9901826484018276E-6</v>
      </c>
      <c r="Y127" s="158">
        <f t="shared" si="47"/>
        <v>3.3300608828006097E-2</v>
      </c>
      <c r="Z127" s="144">
        <f t="shared" si="48"/>
        <v>1.6429223744292237E-3</v>
      </c>
      <c r="AA127" s="158">
        <f t="shared" si="49"/>
        <v>0.54764079147640787</v>
      </c>
      <c r="AB127" s="144">
        <f t="shared" si="50"/>
        <v>1.1634703196347031E-6</v>
      </c>
      <c r="AC127" s="158">
        <f t="shared" si="51"/>
        <v>2.3269406392694061E-3</v>
      </c>
      <c r="AD127" s="144">
        <f t="shared" si="52"/>
        <v>3.9046575342465751E-4</v>
      </c>
      <c r="AE127" s="158">
        <f t="shared" si="53"/>
        <v>1.9523287671232875E-2</v>
      </c>
      <c r="AF127" s="78"/>
      <c r="AG127" s="320">
        <v>34.373290331117161</v>
      </c>
      <c r="AH127" s="320">
        <v>2.7461260450851128</v>
      </c>
      <c r="AI127" s="320">
        <v>20.530974082434472</v>
      </c>
      <c r="AJ127" s="320">
        <v>59.729440750827301</v>
      </c>
      <c r="AK127" s="320">
        <v>9.0943269844087585E-2</v>
      </c>
      <c r="AL127" s="320">
        <v>3.3238893143753181E-2</v>
      </c>
      <c r="AM127" s="320">
        <v>1.0982957146703E-2</v>
      </c>
      <c r="AN127" s="320">
        <v>36.549041177799822</v>
      </c>
      <c r="AO127" s="321">
        <v>128.48060839727793</v>
      </c>
      <c r="AP127" s="320">
        <v>0.90258041755098717</v>
      </c>
      <c r="AQ127" s="320">
        <v>15.056749612043614</v>
      </c>
      <c r="AR127" s="320">
        <v>11.719083369753577</v>
      </c>
      <c r="AS127" s="320">
        <v>30.542581651635867</v>
      </c>
      <c r="AT127" s="320">
        <v>0.70085615882734675</v>
      </c>
      <c r="AU127" s="320">
        <v>2.2494902467536986</v>
      </c>
      <c r="AV127" s="320">
        <v>7.3650953033736606</v>
      </c>
      <c r="AW127" s="320">
        <v>24.996796856687997</v>
      </c>
      <c r="AX127" s="320">
        <v>8.7336208955753492</v>
      </c>
      <c r="AY127" s="320">
        <v>6.7174165396006398</v>
      </c>
      <c r="AZ127" s="320">
        <v>34.938960162164264</v>
      </c>
      <c r="BA127" s="320">
        <v>0.78137500000000004</v>
      </c>
      <c r="BB127" s="320">
        <v>6.9426671440836682E-2</v>
      </c>
      <c r="BC127" s="322">
        <v>-2.9138303171177153E-2</v>
      </c>
      <c r="BD127" s="320">
        <v>8.8851923136569102</v>
      </c>
      <c r="BE127" s="78"/>
      <c r="BF127" s="144">
        <f t="shared" si="28"/>
        <v>87.566814811562949</v>
      </c>
      <c r="BG127" s="144">
        <f t="shared" si="29"/>
        <v>8.5047449242953363E-2</v>
      </c>
      <c r="BH127" s="144">
        <f t="shared" si="30"/>
        <v>6.4178480919898577</v>
      </c>
      <c r="BI127" s="144">
        <f t="shared" si="31"/>
        <v>0.29588231359869521</v>
      </c>
      <c r="BJ127" s="144">
        <f t="shared" si="32"/>
        <v>0.14379087433381013</v>
      </c>
      <c r="BK127" s="144">
        <f t="shared" si="33"/>
        <v>3.1021400448395462</v>
      </c>
      <c r="BL127" s="78"/>
      <c r="BM127" s="78"/>
      <c r="BN127" s="78"/>
      <c r="BO127" s="78"/>
      <c r="BP127" s="78"/>
      <c r="BQ127" s="78"/>
      <c r="BR127" s="78"/>
      <c r="BS127" s="78"/>
      <c r="BT127" s="78"/>
      <c r="BU127" s="78"/>
      <c r="BV127" s="78"/>
      <c r="BW127" s="78"/>
    </row>
    <row r="128" spans="1:79">
      <c r="S128" s="47" t="s">
        <v>880</v>
      </c>
      <c r="T128" s="145">
        <f>MIN(T108:T127)</f>
        <v>6.1369863013698632E-5</v>
      </c>
      <c r="U128" s="366">
        <f t="shared" ref="U128:BK128" si="54">MIN(U108:U127)</f>
        <v>0.20456621004566214</v>
      </c>
      <c r="V128" s="145">
        <f t="shared" si="54"/>
        <v>2.2374429223744291E-4</v>
      </c>
      <c r="W128" s="366">
        <f t="shared" si="54"/>
        <v>6.2151192288178586E-2</v>
      </c>
      <c r="X128" s="145">
        <f t="shared" si="54"/>
        <v>4.3451141552511415E-7</v>
      </c>
      <c r="Y128" s="366">
        <f t="shared" si="54"/>
        <v>1.448371385083714E-3</v>
      </c>
      <c r="Z128" s="145">
        <f t="shared" si="54"/>
        <v>9.2821917808219145E-4</v>
      </c>
      <c r="AA128" s="366">
        <f t="shared" si="54"/>
        <v>0.30940639269406384</v>
      </c>
      <c r="AB128" s="145">
        <f t="shared" si="54"/>
        <v>7.9269406392694056E-7</v>
      </c>
      <c r="AC128" s="366">
        <f t="shared" si="54"/>
        <v>1.585388127853881E-3</v>
      </c>
      <c r="AD128" s="145">
        <f t="shared" si="54"/>
        <v>1.5521461187214611E-4</v>
      </c>
      <c r="AE128" s="366">
        <f t="shared" si="54"/>
        <v>7.7607305936073052E-3</v>
      </c>
      <c r="AF128" s="145"/>
      <c r="AG128" s="145">
        <f t="shared" si="54"/>
        <v>4.8290385735962911</v>
      </c>
      <c r="AH128" s="145">
        <f t="shared" si="54"/>
        <v>6.0487318203437966E-2</v>
      </c>
      <c r="AI128" s="145">
        <f t="shared" si="54"/>
        <v>9.7338218595221598E-2</v>
      </c>
      <c r="AJ128" s="145">
        <f t="shared" si="54"/>
        <v>1.2751170774405074</v>
      </c>
      <c r="AK128" s="145">
        <f t="shared" si="54"/>
        <v>6.244550036505344E-2</v>
      </c>
      <c r="AL128" s="145">
        <f t="shared" si="54"/>
        <v>1.4014600108013952E-2</v>
      </c>
      <c r="AM128" s="145">
        <f t="shared" si="54"/>
        <v>9.1074593700026692E-3</v>
      </c>
      <c r="AN128" s="145">
        <f t="shared" si="54"/>
        <v>2.2294098206251309</v>
      </c>
      <c r="AO128" s="145">
        <f t="shared" si="54"/>
        <v>72.645520623612995</v>
      </c>
      <c r="AP128" s="145">
        <f t="shared" si="54"/>
        <v>0.1126308110329849</v>
      </c>
      <c r="AQ128" s="145">
        <f t="shared" si="54"/>
        <v>0.14567156693677821</v>
      </c>
      <c r="AR128" s="145">
        <f t="shared" si="54"/>
        <v>4.4919047804806524E-2</v>
      </c>
      <c r="AS128" s="145">
        <f t="shared" si="54"/>
        <v>12.144729275664575</v>
      </c>
      <c r="AT128" s="145">
        <f t="shared" si="54"/>
        <v>0.49774452921444134</v>
      </c>
      <c r="AU128" s="145">
        <f t="shared" si="54"/>
        <v>0.42930463043438161</v>
      </c>
      <c r="AV128" s="145">
        <f t="shared" si="54"/>
        <v>0.39922345965392569</v>
      </c>
      <c r="AW128" s="145">
        <f t="shared" si="54"/>
        <v>17.530373250600199</v>
      </c>
      <c r="AX128" s="145">
        <f t="shared" si="54"/>
        <v>0.37799752320538055</v>
      </c>
      <c r="AY128" s="145">
        <f t="shared" si="54"/>
        <v>0.17333161980178374</v>
      </c>
      <c r="AZ128" s="145">
        <f t="shared" si="54"/>
        <v>1.3633074038919204</v>
      </c>
      <c r="BA128" s="145">
        <f t="shared" si="54"/>
        <v>3.3985000000000001E-2</v>
      </c>
      <c r="BB128" s="145">
        <f t="shared" si="54"/>
        <v>-1.1248125312447925E-2</v>
      </c>
      <c r="BC128" s="145">
        <f t="shared" si="54"/>
        <v>-2.9245125812364603E-2</v>
      </c>
      <c r="BD128" s="145">
        <f t="shared" si="54"/>
        <v>0.82939027286707268</v>
      </c>
      <c r="BE128" s="145"/>
      <c r="BF128" s="145">
        <f t="shared" si="54"/>
        <v>0.41234109372192679</v>
      </c>
      <c r="BG128" s="145">
        <f t="shared" si="54"/>
        <v>4.0066974557682392E-2</v>
      </c>
      <c r="BH128" s="145">
        <f t="shared" si="54"/>
        <v>4.7992960117293731E-2</v>
      </c>
      <c r="BI128" s="145">
        <f t="shared" si="54"/>
        <v>0.10359087188526798</v>
      </c>
      <c r="BJ128" s="145">
        <f t="shared" si="54"/>
        <v>3.1819750378772618E-2</v>
      </c>
      <c r="BK128" s="145">
        <f t="shared" si="54"/>
        <v>0.13411735444680031</v>
      </c>
      <c r="BL128" s="53"/>
      <c r="BM128" s="53"/>
      <c r="BN128" s="53"/>
      <c r="BO128" s="53"/>
      <c r="BP128" s="53"/>
      <c r="BQ128" s="53"/>
      <c r="BR128" s="53"/>
      <c r="BS128" s="53"/>
      <c r="BT128" s="53"/>
      <c r="BU128" s="53"/>
      <c r="BV128" s="53"/>
      <c r="BW128" s="53"/>
      <c r="BX128" s="53"/>
      <c r="BY128" s="53"/>
      <c r="BZ128" s="53"/>
      <c r="CA128" s="53"/>
    </row>
    <row r="129" spans="19:79">
      <c r="S129" s="47" t="s">
        <v>881</v>
      </c>
      <c r="T129" s="145">
        <f>MAX(T108:T127)</f>
        <v>0.10953753424657534</v>
      </c>
      <c r="U129" s="366">
        <f t="shared" ref="U129:BK129" si="55">MAX(U108:U127)</f>
        <v>365.12511415525114</v>
      </c>
      <c r="V129" s="145">
        <f t="shared" si="55"/>
        <v>3.7128767123287658E-3</v>
      </c>
      <c r="W129" s="366">
        <f t="shared" si="55"/>
        <v>1.031354642313546</v>
      </c>
      <c r="X129" s="145">
        <f t="shared" si="55"/>
        <v>1.1291194977168951E-3</v>
      </c>
      <c r="Y129" s="366">
        <f t="shared" si="55"/>
        <v>3.7637316590563175</v>
      </c>
      <c r="Z129" s="145">
        <f t="shared" si="55"/>
        <v>2.1508858447488583E-2</v>
      </c>
      <c r="AA129" s="366">
        <f t="shared" si="55"/>
        <v>7.1696194824961941</v>
      </c>
      <c r="AB129" s="145">
        <f t="shared" si="55"/>
        <v>1.318173515981735E-5</v>
      </c>
      <c r="AC129" s="366">
        <f t="shared" si="55"/>
        <v>2.6363470319634701E-2</v>
      </c>
      <c r="AD129" s="145">
        <f t="shared" si="55"/>
        <v>5.6889863013698623E-3</v>
      </c>
      <c r="AE129" s="366">
        <f t="shared" si="55"/>
        <v>0.28444931506849308</v>
      </c>
      <c r="AF129" s="145"/>
      <c r="AG129" s="145">
        <f t="shared" si="55"/>
        <v>8567.4218191252348</v>
      </c>
      <c r="AH129" s="145">
        <f t="shared" si="55"/>
        <v>633.83762495809128</v>
      </c>
      <c r="AI129" s="145">
        <f t="shared" si="55"/>
        <v>614.32850321472984</v>
      </c>
      <c r="AJ129" s="145">
        <f t="shared" si="55"/>
        <v>59.729440750827301</v>
      </c>
      <c r="AK129" s="145">
        <f t="shared" si="55"/>
        <v>1.0311527753766523</v>
      </c>
      <c r="AL129" s="145">
        <f t="shared" si="55"/>
        <v>0.20026619465146528</v>
      </c>
      <c r="AM129" s="145">
        <f t="shared" si="55"/>
        <v>0.11438579467197951</v>
      </c>
      <c r="AN129" s="145">
        <f t="shared" si="55"/>
        <v>56.417835043705075</v>
      </c>
      <c r="AO129" s="145">
        <f t="shared" si="55"/>
        <v>1682.3184556667823</v>
      </c>
      <c r="AP129" s="145">
        <f t="shared" si="55"/>
        <v>34.35130970000575</v>
      </c>
      <c r="AQ129" s="145">
        <f t="shared" si="55"/>
        <v>15.056749612043614</v>
      </c>
      <c r="AR129" s="145">
        <f t="shared" si="55"/>
        <v>18.045942329795597</v>
      </c>
      <c r="AS129" s="145">
        <f t="shared" si="55"/>
        <v>444.96222705958093</v>
      </c>
      <c r="AT129" s="145">
        <f t="shared" si="55"/>
        <v>21.579659770852444</v>
      </c>
      <c r="AU129" s="145">
        <f t="shared" si="55"/>
        <v>17.176817244567172</v>
      </c>
      <c r="AV129" s="145">
        <f t="shared" si="55"/>
        <v>14.007308221931996</v>
      </c>
      <c r="AW129" s="145">
        <f t="shared" si="55"/>
        <v>290.39741028858617</v>
      </c>
      <c r="AX129" s="145">
        <f t="shared" si="55"/>
        <v>34.417843362243154</v>
      </c>
      <c r="AY129" s="145">
        <f t="shared" si="55"/>
        <v>11.056970711460004</v>
      </c>
      <c r="AZ129" s="145">
        <f t="shared" si="55"/>
        <v>34.938960162164264</v>
      </c>
      <c r="BA129" s="145">
        <f t="shared" si="55"/>
        <v>88.313275000000004</v>
      </c>
      <c r="BB129" s="145">
        <f t="shared" si="55"/>
        <v>10.847543796696662</v>
      </c>
      <c r="BC129" s="145">
        <f t="shared" si="55"/>
        <v>4.7668617025310072</v>
      </c>
      <c r="BD129" s="145">
        <f t="shared" si="55"/>
        <v>71.522313235483153</v>
      </c>
      <c r="BE129" s="145"/>
      <c r="BF129" s="145">
        <f t="shared" si="55"/>
        <v>2701.2798021931198</v>
      </c>
      <c r="BG129" s="145">
        <f t="shared" si="55"/>
        <v>0.51213671615208523</v>
      </c>
      <c r="BH129" s="145">
        <f t="shared" si="55"/>
        <v>14.643307115465186</v>
      </c>
      <c r="BI129" s="145">
        <f t="shared" si="55"/>
        <v>46.230019224886838</v>
      </c>
      <c r="BJ129" s="145">
        <f t="shared" si="55"/>
        <v>1.0648042504476267</v>
      </c>
      <c r="BK129" s="145">
        <f t="shared" si="55"/>
        <v>12.220497927824759</v>
      </c>
      <c r="BL129" s="53"/>
      <c r="BM129" s="53"/>
      <c r="BN129" s="53"/>
      <c r="BO129" s="53"/>
      <c r="BP129" s="53"/>
      <c r="BQ129" s="53"/>
      <c r="BR129" s="53"/>
      <c r="BS129" s="53"/>
      <c r="BT129" s="53"/>
      <c r="BU129" s="53"/>
      <c r="BV129" s="53"/>
      <c r="BW129" s="53"/>
      <c r="BX129" s="53"/>
      <c r="BY129" s="53"/>
      <c r="BZ129" s="53"/>
      <c r="CA129" s="53"/>
    </row>
    <row r="130" spans="19:79">
      <c r="S130" s="47" t="s">
        <v>699</v>
      </c>
      <c r="T130" s="145">
        <f>PERCENTILE(T108:T127,0.25)</f>
        <v>2.8639269406392689E-4</v>
      </c>
      <c r="U130" s="366">
        <f t="shared" ref="U130:BK130" si="56">PERCENTILE(U108:U127,0.25)</f>
        <v>0.95464231354642315</v>
      </c>
      <c r="V130" s="145">
        <f t="shared" si="56"/>
        <v>3.1515981735159816E-4</v>
      </c>
      <c r="W130" s="366">
        <f t="shared" si="56"/>
        <v>8.7544393708777271E-2</v>
      </c>
      <c r="X130" s="145">
        <f t="shared" si="56"/>
        <v>6.7674497716894967E-6</v>
      </c>
      <c r="Y130" s="366">
        <f t="shared" si="56"/>
        <v>2.2558165905631658E-2</v>
      </c>
      <c r="Z130" s="145">
        <f t="shared" si="56"/>
        <v>1.6163926940639271E-3</v>
      </c>
      <c r="AA130" s="366">
        <f t="shared" si="56"/>
        <v>0.53879756468797568</v>
      </c>
      <c r="AB130" s="145">
        <f t="shared" si="56"/>
        <v>1.5726027397260274E-6</v>
      </c>
      <c r="AC130" s="366">
        <f t="shared" si="56"/>
        <v>3.1452054794520543E-3</v>
      </c>
      <c r="AD130" s="145">
        <f t="shared" si="56"/>
        <v>5.3187214611872136E-4</v>
      </c>
      <c r="AE130" s="366">
        <f t="shared" si="56"/>
        <v>2.659360730593607E-2</v>
      </c>
      <c r="AF130" s="145"/>
      <c r="AG130" s="145">
        <f t="shared" si="56"/>
        <v>22.422010217290406</v>
      </c>
      <c r="AH130" s="145">
        <f t="shared" si="56"/>
        <v>0.80131430921030922</v>
      </c>
      <c r="AI130" s="145">
        <f t="shared" si="56"/>
        <v>0.92444176243180154</v>
      </c>
      <c r="AJ130" s="145">
        <f t="shared" si="56"/>
        <v>1.9641727157597826</v>
      </c>
      <c r="AK130" s="145">
        <f t="shared" si="56"/>
        <v>0.12287409689743975</v>
      </c>
      <c r="AL130" s="145">
        <f t="shared" si="56"/>
        <v>4.9481518256117338E-2</v>
      </c>
      <c r="AM130" s="145">
        <f t="shared" si="56"/>
        <v>1.5484620718934101E-2</v>
      </c>
      <c r="AN130" s="145">
        <f t="shared" si="56"/>
        <v>22.523693773777921</v>
      </c>
      <c r="AO130" s="145">
        <f t="shared" si="56"/>
        <v>126.41900789479273</v>
      </c>
      <c r="AP130" s="145">
        <f t="shared" si="56"/>
        <v>1.0226096401598772</v>
      </c>
      <c r="AQ130" s="145">
        <f t="shared" si="56"/>
        <v>0.43556085471197503</v>
      </c>
      <c r="AR130" s="145">
        <f t="shared" si="56"/>
        <v>0.22510074151627277</v>
      </c>
      <c r="AS130" s="145">
        <f t="shared" si="56"/>
        <v>41.602820737538906</v>
      </c>
      <c r="AT130" s="145">
        <f t="shared" si="56"/>
        <v>2.8503004075540437</v>
      </c>
      <c r="AU130" s="145">
        <f t="shared" si="56"/>
        <v>2.2867421100541536</v>
      </c>
      <c r="AV130" s="145">
        <f t="shared" si="56"/>
        <v>5.0360268103917853</v>
      </c>
      <c r="AW130" s="145">
        <f t="shared" si="56"/>
        <v>24.683931903627009</v>
      </c>
      <c r="AX130" s="145">
        <f t="shared" si="56"/>
        <v>4.3207632355553383</v>
      </c>
      <c r="AY130" s="145">
        <f t="shared" si="56"/>
        <v>1.1457282515773231</v>
      </c>
      <c r="AZ130" s="145">
        <f t="shared" si="56"/>
        <v>14.029076850173874</v>
      </c>
      <c r="BA130" s="145">
        <f t="shared" si="56"/>
        <v>0.5293112499999999</v>
      </c>
      <c r="BB130" s="145">
        <f t="shared" si="56"/>
        <v>1.5439042060062275E-2</v>
      </c>
      <c r="BC130" s="145">
        <f t="shared" si="56"/>
        <v>-2.9197687628144849E-2</v>
      </c>
      <c r="BD130" s="145">
        <f t="shared" si="56"/>
        <v>3.130525563950183</v>
      </c>
      <c r="BE130" s="145"/>
      <c r="BF130" s="145">
        <f t="shared" si="56"/>
        <v>4.0238176878226835</v>
      </c>
      <c r="BG130" s="145">
        <f t="shared" si="56"/>
        <v>0.1267890333403488</v>
      </c>
      <c r="BH130" s="145">
        <f t="shared" si="56"/>
        <v>0.46143161533421956</v>
      </c>
      <c r="BI130" s="145">
        <f t="shared" si="56"/>
        <v>0.16763615275160049</v>
      </c>
      <c r="BJ130" s="145">
        <f t="shared" si="56"/>
        <v>0.15845964238532673</v>
      </c>
      <c r="BK130" s="145">
        <f t="shared" si="56"/>
        <v>1.5339616361520201</v>
      </c>
      <c r="BL130" s="53"/>
      <c r="BM130" s="53"/>
      <c r="BN130" s="53"/>
      <c r="BO130" s="53"/>
      <c r="BP130" s="53"/>
      <c r="BQ130" s="53"/>
      <c r="BR130" s="53"/>
      <c r="BS130" s="53"/>
      <c r="BT130" s="53"/>
      <c r="BU130" s="53"/>
      <c r="BV130" s="53"/>
      <c r="BW130" s="53"/>
      <c r="BX130" s="53"/>
      <c r="BY130" s="53"/>
      <c r="BZ130" s="53"/>
      <c r="CA130" s="53"/>
    </row>
    <row r="131" spans="19:79">
      <c r="S131" s="47" t="s">
        <v>700</v>
      </c>
      <c r="T131" s="145">
        <f>PERCENTILE(T108:T127,0.5)</f>
        <v>9.8319634703196348E-4</v>
      </c>
      <c r="U131" s="366">
        <f t="shared" ref="U131:BK131" si="57">PERCENTILE(U108:U127,0.5)</f>
        <v>3.2773211567732119</v>
      </c>
      <c r="V131" s="145">
        <f t="shared" si="57"/>
        <v>4.5579908675799077E-4</v>
      </c>
      <c r="W131" s="366">
        <f t="shared" si="57"/>
        <v>0.12661085743277523</v>
      </c>
      <c r="X131" s="145">
        <f t="shared" si="57"/>
        <v>2.6511589041095889E-5</v>
      </c>
      <c r="Y131" s="366">
        <f t="shared" si="57"/>
        <v>8.8371963470319642E-2</v>
      </c>
      <c r="Z131" s="145">
        <f t="shared" si="57"/>
        <v>3.1228310502283102E-3</v>
      </c>
      <c r="AA131" s="366">
        <f t="shared" si="57"/>
        <v>1.0409436834094365</v>
      </c>
      <c r="AB131" s="145">
        <f t="shared" si="57"/>
        <v>2.5506849315068489E-6</v>
      </c>
      <c r="AC131" s="366">
        <f t="shared" si="57"/>
        <v>5.1013698630136984E-3</v>
      </c>
      <c r="AD131" s="145">
        <f t="shared" si="57"/>
        <v>1.0599086757990866E-3</v>
      </c>
      <c r="AE131" s="366">
        <f t="shared" si="57"/>
        <v>5.2995433789954333E-2</v>
      </c>
      <c r="AF131" s="145"/>
      <c r="AG131" s="145">
        <f t="shared" si="57"/>
        <v>76.895895010333021</v>
      </c>
      <c r="AH131" s="145">
        <f t="shared" si="57"/>
        <v>2.6755149198564716</v>
      </c>
      <c r="AI131" s="145">
        <f t="shared" si="57"/>
        <v>3.7979610863189377</v>
      </c>
      <c r="AJ131" s="145">
        <f t="shared" si="57"/>
        <v>3.0216766060964209</v>
      </c>
      <c r="AK131" s="145">
        <f t="shared" si="57"/>
        <v>0.1996340847197792</v>
      </c>
      <c r="AL131" s="145">
        <f t="shared" si="57"/>
        <v>6.9033643787032473E-2</v>
      </c>
      <c r="AM131" s="145">
        <f t="shared" si="57"/>
        <v>2.937501451030659E-2</v>
      </c>
      <c r="AN131" s="145">
        <f t="shared" si="57"/>
        <v>32.532908638738107</v>
      </c>
      <c r="AO131" s="145">
        <f t="shared" si="57"/>
        <v>244.24792361114928</v>
      </c>
      <c r="AP131" s="145">
        <f t="shared" si="57"/>
        <v>1.581261543423492</v>
      </c>
      <c r="AQ131" s="145">
        <f t="shared" si="57"/>
        <v>0.85980382115656584</v>
      </c>
      <c r="AR131" s="145">
        <f t="shared" si="57"/>
        <v>0.46444112597637854</v>
      </c>
      <c r="AS131" s="145">
        <f t="shared" si="57"/>
        <v>82.896083121824347</v>
      </c>
      <c r="AT131" s="145">
        <f t="shared" si="57"/>
        <v>4.44405375848305</v>
      </c>
      <c r="AU131" s="145">
        <f t="shared" si="57"/>
        <v>3.3664388658831426</v>
      </c>
      <c r="AV131" s="145">
        <f t="shared" si="57"/>
        <v>6.0035675214134336</v>
      </c>
      <c r="AW131" s="145">
        <f t="shared" si="57"/>
        <v>35.626295476604724</v>
      </c>
      <c r="AX131" s="145">
        <f t="shared" si="57"/>
        <v>8.1514330704277604</v>
      </c>
      <c r="AY131" s="145">
        <f t="shared" si="57"/>
        <v>1.6544641975935019</v>
      </c>
      <c r="AZ131" s="145">
        <f t="shared" si="57"/>
        <v>18.901748922358756</v>
      </c>
      <c r="BA131" s="145">
        <f t="shared" si="57"/>
        <v>2.073585</v>
      </c>
      <c r="BB131" s="145">
        <f t="shared" si="57"/>
        <v>7.158026918324617E-2</v>
      </c>
      <c r="BC131" s="145">
        <f t="shared" si="57"/>
        <v>4.4584516445890163E-4</v>
      </c>
      <c r="BD131" s="145">
        <f t="shared" si="57"/>
        <v>9.3840963982004375</v>
      </c>
      <c r="BE131" s="145"/>
      <c r="BF131" s="145">
        <f t="shared" si="57"/>
        <v>16.226121578127334</v>
      </c>
      <c r="BG131" s="145">
        <f t="shared" si="57"/>
        <v>0.17625600401248653</v>
      </c>
      <c r="BH131" s="145">
        <f t="shared" si="57"/>
        <v>0.71945466642864231</v>
      </c>
      <c r="BI131" s="145">
        <f t="shared" si="57"/>
        <v>0.31476601680929062</v>
      </c>
      <c r="BJ131" s="145">
        <f t="shared" si="57"/>
        <v>0.26243357231049835</v>
      </c>
      <c r="BK131" s="145">
        <f t="shared" si="57"/>
        <v>2.8971681709730657</v>
      </c>
      <c r="BL131" s="53"/>
      <c r="BM131" s="53"/>
      <c r="BN131" s="53"/>
      <c r="BO131" s="53"/>
      <c r="BP131" s="53"/>
      <c r="BQ131" s="53"/>
      <c r="BR131" s="53"/>
      <c r="BS131" s="53"/>
      <c r="BT131" s="53"/>
      <c r="BU131" s="53"/>
      <c r="BV131" s="53"/>
      <c r="BW131" s="53"/>
      <c r="BX131" s="53"/>
      <c r="BY131" s="53"/>
      <c r="BZ131" s="53"/>
      <c r="CA131" s="53"/>
    </row>
    <row r="132" spans="19:79">
      <c r="S132" s="47" t="s">
        <v>1149</v>
      </c>
      <c r="T132" s="145">
        <f>PERCENTILE(T108:T127,0.75)</f>
        <v>1.4695205479452054E-2</v>
      </c>
      <c r="U132" s="366">
        <f t="shared" ref="U132:BK132" si="58">PERCENTILE(U108:U127,0.75)</f>
        <v>48.984018264840181</v>
      </c>
      <c r="V132" s="145">
        <f t="shared" si="58"/>
        <v>9.2981735159817342E-4</v>
      </c>
      <c r="W132" s="366">
        <f t="shared" si="58"/>
        <v>0.2582825976661593</v>
      </c>
      <c r="X132" s="145">
        <f t="shared" si="58"/>
        <v>7.7262787671232878E-5</v>
      </c>
      <c r="Y132" s="366">
        <f t="shared" si="58"/>
        <v>0.25754262557077628</v>
      </c>
      <c r="Z132" s="145">
        <f t="shared" si="58"/>
        <v>1.3063150684931506E-2</v>
      </c>
      <c r="AA132" s="366">
        <f t="shared" si="58"/>
        <v>4.3543835616438358</v>
      </c>
      <c r="AB132" s="145">
        <f t="shared" si="58"/>
        <v>5.229223744292237E-6</v>
      </c>
      <c r="AC132" s="366">
        <f t="shared" si="58"/>
        <v>1.0458447488584474E-2</v>
      </c>
      <c r="AD132" s="145">
        <f t="shared" si="58"/>
        <v>2.8346484018264839E-3</v>
      </c>
      <c r="AE132" s="366">
        <f t="shared" si="58"/>
        <v>0.1417324200913242</v>
      </c>
      <c r="AF132" s="145"/>
      <c r="AG132" s="145">
        <f t="shared" si="58"/>
        <v>1149.3434153621324</v>
      </c>
      <c r="AH132" s="145">
        <f t="shared" si="58"/>
        <v>22.587312892827448</v>
      </c>
      <c r="AI132" s="145">
        <f t="shared" si="58"/>
        <v>23.718312093906611</v>
      </c>
      <c r="AJ132" s="145">
        <f t="shared" si="58"/>
        <v>6.2208506532209906</v>
      </c>
      <c r="AK132" s="145">
        <f t="shared" si="58"/>
        <v>0.40913103047693866</v>
      </c>
      <c r="AL132" s="145">
        <f t="shared" si="58"/>
        <v>9.1472791268008558E-2</v>
      </c>
      <c r="AM132" s="145">
        <f t="shared" si="58"/>
        <v>5.0433807024361003E-2</v>
      </c>
      <c r="AN132" s="145">
        <f t="shared" si="58"/>
        <v>44.185734583053133</v>
      </c>
      <c r="AO132" s="145">
        <f t="shared" si="58"/>
        <v>1021.7335476145836</v>
      </c>
      <c r="AP132" s="145">
        <f t="shared" si="58"/>
        <v>3.0494487144217679</v>
      </c>
      <c r="AQ132" s="145">
        <f t="shared" si="58"/>
        <v>1.254383129028334</v>
      </c>
      <c r="AR132" s="145">
        <f t="shared" si="58"/>
        <v>1.5474529080461621</v>
      </c>
      <c r="AS132" s="145">
        <f t="shared" si="58"/>
        <v>221.71129963256848</v>
      </c>
      <c r="AT132" s="145">
        <f t="shared" si="58"/>
        <v>12.850461574782504</v>
      </c>
      <c r="AU132" s="145">
        <f t="shared" si="58"/>
        <v>10.342748277598513</v>
      </c>
      <c r="AV132" s="145">
        <f t="shared" si="58"/>
        <v>7.6725333851619606</v>
      </c>
      <c r="AW132" s="145">
        <f t="shared" si="58"/>
        <v>72.702635087697857</v>
      </c>
      <c r="AX132" s="145">
        <f t="shared" si="58"/>
        <v>10.356055755782005</v>
      </c>
      <c r="AY132" s="145">
        <f t="shared" si="58"/>
        <v>3.2406535103992287</v>
      </c>
      <c r="AZ132" s="145">
        <f t="shared" si="58"/>
        <v>24.067529768575319</v>
      </c>
      <c r="BA132" s="145">
        <f t="shared" si="58"/>
        <v>6.0430537500000003</v>
      </c>
      <c r="BB132" s="145">
        <f t="shared" si="58"/>
        <v>1.0352748825291156</v>
      </c>
      <c r="BC132" s="145">
        <f t="shared" si="58"/>
        <v>4.6829583064133193E-2</v>
      </c>
      <c r="BD132" s="145">
        <f t="shared" si="58"/>
        <v>18.651821490691756</v>
      </c>
      <c r="BE132" s="145"/>
      <c r="BF132" s="145">
        <f t="shared" si="58"/>
        <v>101.0832666005884</v>
      </c>
      <c r="BG132" s="145">
        <f t="shared" si="58"/>
        <v>0.23377340699618798</v>
      </c>
      <c r="BH132" s="145">
        <f t="shared" si="58"/>
        <v>1.3488733280663019</v>
      </c>
      <c r="BI132" s="145">
        <f t="shared" si="58"/>
        <v>5.5873056294246979</v>
      </c>
      <c r="BJ132" s="145">
        <f t="shared" si="58"/>
        <v>0.64349118729354859</v>
      </c>
      <c r="BK132" s="145">
        <f t="shared" si="58"/>
        <v>3.6790731474260205</v>
      </c>
      <c r="BL132" s="53"/>
      <c r="BM132" s="53"/>
      <c r="BN132" s="53"/>
      <c r="BO132" s="53"/>
      <c r="BP132" s="53"/>
      <c r="BQ132" s="53"/>
      <c r="BR132" s="53"/>
      <c r="BS132" s="53"/>
      <c r="BT132" s="53"/>
      <c r="BU132" s="53"/>
      <c r="BV132" s="53"/>
      <c r="BW132" s="53"/>
      <c r="BX132" s="53"/>
      <c r="BY132" s="53"/>
      <c r="BZ132" s="53"/>
      <c r="CA132" s="53"/>
    </row>
    <row r="133" spans="19:79">
      <c r="S133" s="47" t="s">
        <v>701</v>
      </c>
      <c r="T133" s="145">
        <f>PERCENTILE(T108:T127,0.95)</f>
        <v>7.0436748858447501E-2</v>
      </c>
      <c r="U133" s="366">
        <f t="shared" ref="U133:BK133" si="59">PERCENTILE(U108:U127,0.95)</f>
        <v>234.78916286149169</v>
      </c>
      <c r="V133" s="145">
        <f t="shared" si="59"/>
        <v>2.3889497716894988E-3</v>
      </c>
      <c r="W133" s="366">
        <f t="shared" si="59"/>
        <v>0.66359715880263859</v>
      </c>
      <c r="X133" s="145">
        <f t="shared" si="59"/>
        <v>3.1325043150684989E-4</v>
      </c>
      <c r="Y133" s="366">
        <f t="shared" si="59"/>
        <v>1.0441681050228331</v>
      </c>
      <c r="Z133" s="145">
        <f t="shared" si="59"/>
        <v>1.8237908675799087E-2</v>
      </c>
      <c r="AA133" s="366">
        <f t="shared" si="59"/>
        <v>6.079302891933029</v>
      </c>
      <c r="AB133" s="145">
        <f t="shared" si="59"/>
        <v>1.2307214611872147E-5</v>
      </c>
      <c r="AC133" s="366">
        <f t="shared" si="59"/>
        <v>2.4614429223744291E-2</v>
      </c>
      <c r="AD133" s="145">
        <f t="shared" si="59"/>
        <v>4.8427662100456624E-3</v>
      </c>
      <c r="AE133" s="366">
        <f t="shared" si="59"/>
        <v>0.24213831050228313</v>
      </c>
      <c r="AF133" s="145"/>
      <c r="AG133" s="145">
        <f t="shared" si="59"/>
        <v>5509.1312898807155</v>
      </c>
      <c r="AH133" s="145">
        <f t="shared" si="59"/>
        <v>273.16347957112879</v>
      </c>
      <c r="AI133" s="145">
        <f t="shared" si="59"/>
        <v>262.70083354360065</v>
      </c>
      <c r="AJ133" s="145">
        <f t="shared" si="59"/>
        <v>10.08586766999025</v>
      </c>
      <c r="AK133" s="145">
        <f t="shared" si="59"/>
        <v>0.9628659221354513</v>
      </c>
      <c r="AL133" s="145">
        <f t="shared" si="59"/>
        <v>0.18933513852011521</v>
      </c>
      <c r="AM133" s="145">
        <f t="shared" si="59"/>
        <v>0.10327439662368583</v>
      </c>
      <c r="AN133" s="145">
        <f t="shared" si="59"/>
        <v>51.012515652601955</v>
      </c>
      <c r="AO133" s="145">
        <f t="shared" si="59"/>
        <v>1426.5010363161798</v>
      </c>
      <c r="AP133" s="145">
        <f t="shared" si="59"/>
        <v>4.9047847800246362</v>
      </c>
      <c r="AQ133" s="145">
        <f t="shared" si="59"/>
        <v>13.817789876613077</v>
      </c>
      <c r="AR133" s="145">
        <f t="shared" si="59"/>
        <v>12.035426317755682</v>
      </c>
      <c r="AS133" s="145">
        <f t="shared" si="59"/>
        <v>378.76975317159355</v>
      </c>
      <c r="AT133" s="145">
        <f t="shared" si="59"/>
        <v>21.12106648748691</v>
      </c>
      <c r="AU133" s="145">
        <f t="shared" si="59"/>
        <v>16.690765579280349</v>
      </c>
      <c r="AV133" s="145">
        <f t="shared" si="59"/>
        <v>10.545706528051733</v>
      </c>
      <c r="AW133" s="145">
        <f t="shared" si="59"/>
        <v>186.8920035093802</v>
      </c>
      <c r="AX133" s="145">
        <f t="shared" si="59"/>
        <v>31.489397892612594</v>
      </c>
      <c r="AY133" s="145">
        <f t="shared" si="59"/>
        <v>10.408886913439211</v>
      </c>
      <c r="AZ133" s="145">
        <f t="shared" si="59"/>
        <v>29.855456912861815</v>
      </c>
      <c r="BA133" s="145">
        <f t="shared" si="59"/>
        <v>24.500658750000046</v>
      </c>
      <c r="BB133" s="145">
        <f t="shared" si="59"/>
        <v>10.103107971891973</v>
      </c>
      <c r="BC133" s="145">
        <f t="shared" si="59"/>
        <v>1.2461711478947999</v>
      </c>
      <c r="BD133" s="145">
        <f t="shared" si="59"/>
        <v>54.339966584095336</v>
      </c>
      <c r="BE133" s="145"/>
      <c r="BF133" s="145">
        <f t="shared" si="59"/>
        <v>1164.1727284251117</v>
      </c>
      <c r="BG133" s="145">
        <f t="shared" si="59"/>
        <v>0.48401671242863986</v>
      </c>
      <c r="BH133" s="145">
        <f t="shared" si="59"/>
        <v>6.8291210431636298</v>
      </c>
      <c r="BI133" s="145">
        <f t="shared" si="59"/>
        <v>43.391347009818091</v>
      </c>
      <c r="BJ133" s="145">
        <f t="shared" si="59"/>
        <v>0.99256007785979228</v>
      </c>
      <c r="BK133" s="145">
        <f t="shared" si="59"/>
        <v>11.182733496641793</v>
      </c>
      <c r="BL133" s="53"/>
      <c r="BM133" s="53"/>
      <c r="BN133" s="53"/>
      <c r="BO133" s="53"/>
      <c r="BP133" s="53"/>
      <c r="BQ133" s="53"/>
      <c r="BR133" s="53"/>
      <c r="BS133" s="53"/>
      <c r="BT133" s="53"/>
      <c r="BU133" s="53"/>
      <c r="BV133" s="53"/>
      <c r="BW133" s="53"/>
      <c r="BX133" s="53"/>
      <c r="BY133" s="53"/>
      <c r="BZ133" s="53"/>
      <c r="CA133" s="53"/>
    </row>
    <row r="134" spans="19:79">
      <c r="S134" s="47" t="s">
        <v>1150</v>
      </c>
      <c r="T134" s="145">
        <f>GEOMEAN(T108:T127)</f>
        <v>1.6566252060971399E-3</v>
      </c>
      <c r="U134" s="366">
        <f t="shared" ref="U134:BK134" si="60">GEOMEAN(U108:U127)</f>
        <v>5.5220840203238</v>
      </c>
      <c r="V134" s="145">
        <f t="shared" si="60"/>
        <v>5.6969839972568364E-4</v>
      </c>
      <c r="W134" s="366">
        <f t="shared" si="60"/>
        <v>0.15824955547935657</v>
      </c>
      <c r="X134" s="145">
        <f t="shared" si="60"/>
        <v>2.2696824781031142E-5</v>
      </c>
      <c r="Y134" s="366">
        <f t="shared" si="60"/>
        <v>7.5656082603437147E-2</v>
      </c>
      <c r="Z134" s="145">
        <f t="shared" si="60"/>
        <v>3.9158892885367523E-3</v>
      </c>
      <c r="AA134" s="366">
        <f t="shared" si="60"/>
        <v>1.3052964295122507</v>
      </c>
      <c r="AB134" s="145">
        <f t="shared" si="60"/>
        <v>3.0145209270828164E-6</v>
      </c>
      <c r="AC134" s="366">
        <f t="shared" si="60"/>
        <v>6.0290418541656329E-3</v>
      </c>
      <c r="AD134" s="145">
        <f t="shared" si="60"/>
        <v>1.13051372726493E-3</v>
      </c>
      <c r="AE134" s="366">
        <f t="shared" si="60"/>
        <v>5.6525686363246501E-2</v>
      </c>
      <c r="AF134" s="145"/>
      <c r="AG134" s="145">
        <f t="shared" si="60"/>
        <v>129.57093280188323</v>
      </c>
      <c r="AH134" s="145">
        <f t="shared" si="60"/>
        <v>3.8890583388680366</v>
      </c>
      <c r="AI134" s="145">
        <f t="shared" si="60"/>
        <v>4.7795856811662505</v>
      </c>
      <c r="AJ134" s="145">
        <f t="shared" si="60"/>
        <v>3.7209188843636376</v>
      </c>
      <c r="AK134" s="145">
        <f t="shared" si="60"/>
        <v>0.23579926297764467</v>
      </c>
      <c r="AL134" s="145">
        <f t="shared" si="60"/>
        <v>6.1750948261690509E-2</v>
      </c>
      <c r="AM134" s="145">
        <f t="shared" si="60"/>
        <v>2.9360845087348729E-2</v>
      </c>
      <c r="AN134" s="145">
        <f t="shared" si="60"/>
        <v>26.335170530165811</v>
      </c>
      <c r="AO134" s="145">
        <f t="shared" si="60"/>
        <v>306.28148551509747</v>
      </c>
      <c r="AP134" s="145">
        <f t="shared" si="60"/>
        <v>1.6137859874255398</v>
      </c>
      <c r="AQ134" s="145">
        <f t="shared" si="60"/>
        <v>0.93109986780918697</v>
      </c>
      <c r="AR134" s="145">
        <f t="shared" si="60"/>
        <v>0.60650929556747546</v>
      </c>
      <c r="AS134" s="145">
        <f t="shared" si="60"/>
        <v>88.425268493679951</v>
      </c>
      <c r="AT134" s="145">
        <f t="shared" si="60"/>
        <v>4.7054874084269578</v>
      </c>
      <c r="AU134" s="145">
        <f t="shared" si="60"/>
        <v>4.1209722037262324</v>
      </c>
      <c r="AV134" s="145">
        <f t="shared" si="60"/>
        <v>5.6452737411546847</v>
      </c>
      <c r="AW134" s="145">
        <f t="shared" si="60"/>
        <v>44.571652898518245</v>
      </c>
      <c r="AX134" s="145">
        <f t="shared" si="60"/>
        <v>6.7607441190871542</v>
      </c>
      <c r="AY134" s="145">
        <f t="shared" si="60"/>
        <v>1.8530521014917063</v>
      </c>
      <c r="AZ134" s="145">
        <f t="shared" si="60"/>
        <v>15.16825982307672</v>
      </c>
      <c r="BA134" s="145">
        <f t="shared" si="60"/>
        <v>1.7752159382306503</v>
      </c>
      <c r="BB134" s="145" t="e">
        <f t="shared" si="60"/>
        <v>#NUM!</v>
      </c>
      <c r="BC134" s="145" t="e">
        <f t="shared" si="60"/>
        <v>#NUM!</v>
      </c>
      <c r="BD134" s="145">
        <f t="shared" si="60"/>
        <v>8.5696511964054753</v>
      </c>
      <c r="BE134" s="145"/>
      <c r="BF134" s="145">
        <f t="shared" si="60"/>
        <v>20.547226712265505</v>
      </c>
      <c r="BG134" s="145">
        <f t="shared" si="60"/>
        <v>0.15877584536295902</v>
      </c>
      <c r="BH134" s="145">
        <f t="shared" si="60"/>
        <v>0.79167441797021598</v>
      </c>
      <c r="BI134" s="145">
        <f t="shared" si="60"/>
        <v>0.92324541926782389</v>
      </c>
      <c r="BJ134" s="145">
        <f t="shared" si="60"/>
        <v>0.27153906969064479</v>
      </c>
      <c r="BK134" s="145">
        <f t="shared" si="60"/>
        <v>2.4003703743972751</v>
      </c>
      <c r="BL134" s="53"/>
      <c r="BM134" s="53"/>
      <c r="BN134" s="53"/>
      <c r="BO134" s="53"/>
      <c r="BP134" s="53"/>
      <c r="BQ134" s="53"/>
      <c r="BR134" s="53"/>
      <c r="BS134" s="53"/>
      <c r="BT134" s="53"/>
      <c r="BU134" s="53"/>
      <c r="BV134" s="53"/>
      <c r="BW134" s="53"/>
      <c r="BX134" s="53"/>
      <c r="BY134" s="53"/>
      <c r="BZ134" s="53"/>
      <c r="CA134" s="53"/>
    </row>
    <row r="135" spans="19:79">
      <c r="S135" s="47" t="s">
        <v>1151</v>
      </c>
      <c r="T135" s="145">
        <f>AVERAGE(T108:T127)</f>
        <v>1.4742255707762556E-2</v>
      </c>
      <c r="U135" s="366">
        <f t="shared" ref="U135:BK135" si="61">AVERAGE(U108:U127)</f>
        <v>49.14085235920853</v>
      </c>
      <c r="V135" s="145">
        <f t="shared" si="61"/>
        <v>8.3066666666666651E-4</v>
      </c>
      <c r="W135" s="366">
        <f t="shared" si="61"/>
        <v>0.23074074074074075</v>
      </c>
      <c r="X135" s="145">
        <f t="shared" si="61"/>
        <v>1.0952547123287671E-4</v>
      </c>
      <c r="Y135" s="366">
        <f t="shared" si="61"/>
        <v>0.36508490410958905</v>
      </c>
      <c r="Z135" s="145">
        <f t="shared" si="61"/>
        <v>6.7087488584474889E-3</v>
      </c>
      <c r="AA135" s="366">
        <f t="shared" si="61"/>
        <v>2.2362496194824963</v>
      </c>
      <c r="AB135" s="145">
        <f t="shared" si="61"/>
        <v>4.3630136986301374E-6</v>
      </c>
      <c r="AC135" s="366">
        <f t="shared" si="61"/>
        <v>8.7260273972602723E-3</v>
      </c>
      <c r="AD135" s="145">
        <f t="shared" si="61"/>
        <v>1.81946301369863E-3</v>
      </c>
      <c r="AE135" s="366">
        <f t="shared" si="61"/>
        <v>9.0973150684931475E-2</v>
      </c>
      <c r="AF135" s="145"/>
      <c r="AG135" s="145">
        <f t="shared" si="61"/>
        <v>1153.0525720804339</v>
      </c>
      <c r="AH135" s="145">
        <f t="shared" si="61"/>
        <v>57.538537431930116</v>
      </c>
      <c r="AI135" s="145">
        <f t="shared" si="61"/>
        <v>57.28923226139127</v>
      </c>
      <c r="AJ135" s="145">
        <f t="shared" si="61"/>
        <v>6.5813702255343909</v>
      </c>
      <c r="AK135" s="145">
        <f t="shared" si="61"/>
        <v>0.34129326963492479</v>
      </c>
      <c r="AL135" s="145">
        <f t="shared" si="61"/>
        <v>7.721177887760533E-2</v>
      </c>
      <c r="AM135" s="145">
        <f t="shared" si="61"/>
        <v>3.7892482545419229E-2</v>
      </c>
      <c r="AN135" s="145">
        <f t="shared" si="61"/>
        <v>32.042582771428343</v>
      </c>
      <c r="AO135" s="145">
        <f t="shared" si="61"/>
        <v>524.72143495011142</v>
      </c>
      <c r="AP135" s="145">
        <f t="shared" si="61"/>
        <v>3.3906100582227445</v>
      </c>
      <c r="AQ135" s="145">
        <f t="shared" si="61"/>
        <v>2.3023513668918096</v>
      </c>
      <c r="AR135" s="145">
        <f t="shared" si="61"/>
        <v>2.2469085887773459</v>
      </c>
      <c r="AS135" s="145">
        <f t="shared" si="61"/>
        <v>142.3084488105923</v>
      </c>
      <c r="AT135" s="145">
        <f t="shared" si="61"/>
        <v>7.6756626434877173</v>
      </c>
      <c r="AU135" s="145">
        <f t="shared" si="61"/>
        <v>6.2425081263105815</v>
      </c>
      <c r="AV135" s="145">
        <f t="shared" si="61"/>
        <v>6.5386534173039292</v>
      </c>
      <c r="AW135" s="145">
        <f t="shared" si="61"/>
        <v>64.975334423753992</v>
      </c>
      <c r="AX135" s="145">
        <f t="shared" si="61"/>
        <v>9.8157425821021587</v>
      </c>
      <c r="AY135" s="145">
        <f t="shared" si="61"/>
        <v>2.996913097272504</v>
      </c>
      <c r="AZ135" s="145">
        <f t="shared" si="61"/>
        <v>18.79913198874948</v>
      </c>
      <c r="BA135" s="145">
        <f t="shared" si="61"/>
        <v>8.5664564999999993</v>
      </c>
      <c r="BB135" s="145">
        <f t="shared" si="61"/>
        <v>1.5943143068935812</v>
      </c>
      <c r="BC135" s="145">
        <f t="shared" si="61"/>
        <v>0.30726707294202182</v>
      </c>
      <c r="BD135" s="145">
        <f t="shared" si="61"/>
        <v>16.527193286219962</v>
      </c>
      <c r="BE135" s="145"/>
      <c r="BF135" s="145">
        <f t="shared" si="61"/>
        <v>250.5340971075484</v>
      </c>
      <c r="BG135" s="145">
        <f t="shared" si="61"/>
        <v>0.19763192194625764</v>
      </c>
      <c r="BH135" s="145">
        <f t="shared" si="61"/>
        <v>1.7467994821679942</v>
      </c>
      <c r="BI135" s="145">
        <f t="shared" si="61"/>
        <v>7.5873927624748534</v>
      </c>
      <c r="BJ135" s="145">
        <f t="shared" si="61"/>
        <v>0.39944827822400425</v>
      </c>
      <c r="BK135" s="145">
        <f t="shared" si="61"/>
        <v>3.485787166109664</v>
      </c>
      <c r="BL135" s="53"/>
      <c r="BM135" s="53"/>
      <c r="BN135" s="53"/>
      <c r="BO135" s="53"/>
      <c r="BP135" s="53"/>
      <c r="BQ135" s="53"/>
      <c r="BR135" s="53"/>
      <c r="BS135" s="53"/>
      <c r="BT135" s="53"/>
      <c r="BU135" s="53"/>
      <c r="BV135" s="53"/>
      <c r="BW135" s="53"/>
      <c r="BX135" s="53"/>
      <c r="BY135" s="53"/>
      <c r="BZ135" s="53"/>
      <c r="CA135" s="53"/>
    </row>
    <row r="136" spans="19:79">
      <c r="S136" s="53"/>
      <c r="T136" s="144"/>
      <c r="U136" s="144"/>
      <c r="V136" s="144"/>
      <c r="W136" s="144"/>
      <c r="X136" s="144"/>
      <c r="Y136" s="144"/>
      <c r="Z136" s="144"/>
      <c r="AA136" s="144"/>
      <c r="AB136" s="144"/>
      <c r="AC136" s="144"/>
      <c r="AD136" s="144"/>
      <c r="AE136" s="144"/>
      <c r="AF136" s="144"/>
      <c r="AG136" s="144"/>
      <c r="AH136" s="144"/>
      <c r="AI136" s="144"/>
      <c r="AJ136" s="144"/>
      <c r="AK136" s="144"/>
      <c r="AL136" s="144"/>
      <c r="AM136" s="144"/>
      <c r="AN136" s="144"/>
      <c r="AO136" s="144"/>
      <c r="AP136" s="144"/>
      <c r="AQ136" s="144"/>
      <c r="AR136" s="144"/>
      <c r="AS136" s="144"/>
      <c r="AT136" s="144"/>
      <c r="AU136" s="144"/>
      <c r="AV136" s="144"/>
      <c r="AW136" s="144"/>
      <c r="AX136" s="144"/>
      <c r="AY136" s="144"/>
      <c r="AZ136" s="144"/>
      <c r="BA136" s="144"/>
      <c r="BB136" s="144"/>
      <c r="BC136" s="144"/>
      <c r="BD136" s="144"/>
      <c r="BE136" s="144"/>
      <c r="BF136" s="144"/>
      <c r="BG136" s="144"/>
      <c r="BH136" s="144"/>
      <c r="BI136" s="144"/>
      <c r="BJ136" s="144"/>
      <c r="BK136" s="144"/>
      <c r="BL136" s="53"/>
      <c r="BM136" s="53"/>
      <c r="BN136" s="53"/>
      <c r="BO136" s="53"/>
      <c r="BP136" s="53"/>
      <c r="BQ136" s="53"/>
      <c r="BR136" s="53"/>
      <c r="BS136" s="53"/>
      <c r="BT136" s="53"/>
      <c r="BU136" s="53"/>
      <c r="BV136" s="53"/>
      <c r="BW136" s="53"/>
      <c r="BX136" s="53"/>
      <c r="BY136" s="53"/>
      <c r="BZ136" s="53"/>
      <c r="CA136" s="53"/>
    </row>
    <row r="137" spans="19:79">
      <c r="S137" s="53"/>
      <c r="T137" s="365"/>
      <c r="U137" s="365"/>
      <c r="V137" s="365"/>
      <c r="W137" s="365"/>
      <c r="X137" s="365"/>
      <c r="Y137" s="365"/>
      <c r="Z137" s="365"/>
      <c r="AA137" s="365"/>
      <c r="AB137" s="365"/>
      <c r="AC137" s="365"/>
      <c r="AD137" s="365"/>
      <c r="AE137" s="365"/>
      <c r="AF137" s="365"/>
      <c r="AG137" s="365"/>
      <c r="AH137" s="365"/>
      <c r="AI137" s="365"/>
      <c r="AJ137" s="365"/>
      <c r="AK137" s="365"/>
      <c r="AL137" s="365"/>
      <c r="AM137" s="365"/>
      <c r="AN137" s="365"/>
      <c r="AO137" s="365"/>
      <c r="AP137" s="365"/>
      <c r="AQ137" s="365"/>
      <c r="AR137" s="365"/>
      <c r="AS137" s="365"/>
      <c r="AT137" s="365"/>
      <c r="AU137" s="365"/>
      <c r="AV137" s="365"/>
      <c r="AW137" s="365"/>
      <c r="AX137" s="365"/>
      <c r="AY137" s="365"/>
      <c r="AZ137" s="365"/>
      <c r="BA137" s="365"/>
      <c r="BB137" s="365"/>
      <c r="BC137" s="365"/>
      <c r="BD137" s="365"/>
      <c r="BE137" s="365"/>
      <c r="BF137" s="365"/>
      <c r="BG137" s="365"/>
      <c r="BH137" s="365"/>
      <c r="BI137" s="365"/>
      <c r="BJ137" s="365"/>
      <c r="BK137" s="365"/>
      <c r="BL137" s="53"/>
      <c r="BM137" s="53"/>
      <c r="BN137" s="53"/>
      <c r="BO137" s="53"/>
      <c r="BP137" s="53"/>
      <c r="BQ137" s="53"/>
      <c r="BR137" s="53"/>
      <c r="BS137" s="53"/>
      <c r="BT137" s="53"/>
      <c r="BU137" s="53"/>
      <c r="BV137" s="53"/>
      <c r="BW137" s="53"/>
      <c r="BX137" s="53"/>
      <c r="BY137" s="53"/>
      <c r="BZ137" s="53"/>
      <c r="CA137" s="53"/>
    </row>
    <row r="138" spans="19:79">
      <c r="S138" s="53"/>
      <c r="T138" s="53"/>
      <c r="U138" s="53"/>
      <c r="V138" s="53"/>
      <c r="W138" s="53"/>
      <c r="X138" s="53"/>
      <c r="Y138" s="53"/>
      <c r="Z138" s="53"/>
      <c r="AA138" s="53"/>
      <c r="AB138" s="53"/>
      <c r="AC138" s="53"/>
      <c r="AD138" s="53"/>
      <c r="AE138" s="53"/>
      <c r="AF138" s="53"/>
      <c r="AG138" s="53"/>
      <c r="AH138" s="53"/>
      <c r="AI138" s="53"/>
      <c r="AJ138" s="53"/>
      <c r="AK138" s="53"/>
      <c r="AL138" s="53"/>
      <c r="AM138" s="53"/>
      <c r="AN138" s="53"/>
      <c r="AO138" s="53"/>
      <c r="AP138" s="53"/>
      <c r="AQ138" s="53"/>
      <c r="AR138" s="53"/>
      <c r="AS138" s="53"/>
      <c r="AT138" s="53"/>
      <c r="AU138" s="53"/>
      <c r="AV138" s="53"/>
      <c r="AW138" s="53"/>
      <c r="AX138" s="53"/>
      <c r="AY138" s="53"/>
      <c r="AZ138" s="53"/>
      <c r="BA138" s="53"/>
      <c r="BB138" s="53"/>
      <c r="BC138" s="53"/>
      <c r="BD138" s="53"/>
      <c r="BE138" s="53"/>
      <c r="BF138" s="53"/>
      <c r="BG138" s="53"/>
      <c r="BH138" s="53"/>
      <c r="BI138" s="53"/>
      <c r="BJ138" s="53"/>
      <c r="BK138" s="53"/>
      <c r="BL138" s="53"/>
      <c r="BM138" s="53"/>
      <c r="BN138" s="53"/>
      <c r="BO138" s="53"/>
      <c r="BP138" s="53"/>
      <c r="BQ138" s="53"/>
      <c r="BR138" s="53"/>
      <c r="BS138" s="53"/>
      <c r="BT138" s="53"/>
      <c r="BU138" s="53"/>
      <c r="BV138" s="53"/>
      <c r="BW138" s="53"/>
      <c r="BX138" s="53"/>
      <c r="BY138" s="53"/>
      <c r="BZ138" s="53"/>
      <c r="CA138" s="53"/>
    </row>
    <row r="139" spans="19:79">
      <c r="S139" s="53"/>
      <c r="T139" s="53"/>
      <c r="U139" s="53"/>
      <c r="V139" s="53"/>
      <c r="W139" s="53"/>
      <c r="X139" s="53"/>
      <c r="Y139" s="53"/>
      <c r="Z139" s="53"/>
      <c r="AA139" s="53"/>
      <c r="AB139" s="53"/>
      <c r="AC139" s="53"/>
      <c r="AD139" s="53"/>
      <c r="AE139" s="53"/>
      <c r="AF139" s="53"/>
      <c r="AG139" s="53"/>
      <c r="AH139" s="53"/>
      <c r="AI139" s="53"/>
      <c r="AJ139" s="53"/>
      <c r="AK139" s="53"/>
      <c r="AL139" s="53"/>
      <c r="AM139" s="53"/>
      <c r="AN139" s="53"/>
      <c r="AO139" s="53"/>
      <c r="AP139" s="53"/>
      <c r="AQ139" s="53"/>
      <c r="AR139" s="53"/>
      <c r="AS139" s="53"/>
      <c r="AT139" s="53"/>
      <c r="AU139" s="53"/>
      <c r="AV139" s="53"/>
      <c r="AW139" s="53"/>
      <c r="AX139" s="53"/>
      <c r="AY139" s="53"/>
      <c r="AZ139" s="53"/>
      <c r="BA139" s="53"/>
      <c r="BB139" s="53"/>
      <c r="BC139" s="53"/>
      <c r="BD139" s="53"/>
      <c r="BE139" s="53"/>
      <c r="BF139" s="53"/>
      <c r="BG139" s="53"/>
      <c r="BH139" s="53"/>
      <c r="BI139" s="53"/>
      <c r="BJ139" s="53"/>
      <c r="BK139" s="53"/>
      <c r="BL139" s="53"/>
      <c r="BM139" s="53"/>
      <c r="BN139" s="53"/>
      <c r="BO139" s="53"/>
      <c r="BP139" s="53"/>
      <c r="BQ139" s="53"/>
      <c r="BR139" s="53"/>
      <c r="BS139" s="53"/>
      <c r="BT139" s="53"/>
      <c r="BU139" s="53"/>
      <c r="BV139" s="53"/>
      <c r="BW139" s="53"/>
      <c r="BX139" s="53"/>
      <c r="BY139" s="53"/>
      <c r="BZ139" s="53"/>
      <c r="CA139" s="53"/>
    </row>
    <row r="140" spans="19:79">
      <c r="S140" s="53"/>
      <c r="T140" s="53"/>
      <c r="U140" s="53"/>
      <c r="V140" s="53"/>
      <c r="W140" s="53"/>
      <c r="X140" s="53"/>
      <c r="Y140" s="53"/>
      <c r="Z140" s="53"/>
      <c r="AA140" s="53"/>
      <c r="AB140" s="53"/>
      <c r="AC140" s="53"/>
      <c r="AD140" s="53"/>
      <c r="AE140" s="53"/>
      <c r="AF140" s="53"/>
      <c r="AG140" s="53"/>
      <c r="AH140" s="53"/>
      <c r="AI140" s="53"/>
      <c r="AJ140" s="53"/>
      <c r="AK140" s="53"/>
      <c r="AL140" s="53"/>
      <c r="AM140" s="53"/>
      <c r="AN140" s="53"/>
      <c r="AO140" s="53"/>
      <c r="AP140" s="53"/>
      <c r="AQ140" s="53"/>
      <c r="AR140" s="53"/>
      <c r="AS140" s="53"/>
      <c r="AT140" s="53"/>
      <c r="AU140" s="53"/>
      <c r="AV140" s="53"/>
      <c r="AW140" s="53"/>
      <c r="AX140" s="53"/>
      <c r="AY140" s="53"/>
      <c r="AZ140" s="53"/>
      <c r="BA140" s="53"/>
      <c r="BB140" s="53"/>
      <c r="BC140" s="53"/>
      <c r="BD140" s="53"/>
      <c r="BE140" s="53"/>
      <c r="BF140" s="53"/>
      <c r="BG140" s="53"/>
      <c r="BH140" s="53"/>
      <c r="BI140" s="53"/>
      <c r="BJ140" s="53"/>
      <c r="BK140" s="53"/>
      <c r="BL140" s="53"/>
      <c r="BM140" s="53"/>
      <c r="BN140" s="53"/>
      <c r="BO140" s="53"/>
      <c r="BP140" s="53"/>
      <c r="BQ140" s="53"/>
      <c r="BR140" s="53"/>
      <c r="BS140" s="53"/>
      <c r="BT140" s="53"/>
      <c r="BU140" s="53"/>
      <c r="BV140" s="53"/>
      <c r="BW140" s="53"/>
      <c r="BX140" s="53"/>
      <c r="BY140" s="53"/>
      <c r="BZ140" s="53"/>
      <c r="CA140" s="53"/>
    </row>
  </sheetData>
  <mergeCells count="1">
    <mergeCell ref="A69:XFD69"/>
  </mergeCell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FS70"/>
  <sheetViews>
    <sheetView workbookViewId="0"/>
  </sheetViews>
  <sheetFormatPr defaultColWidth="9.140625" defaultRowHeight="15.75"/>
  <cols>
    <col min="1" max="1" width="26" style="17" customWidth="1"/>
    <col min="2" max="2" width="15.28515625" style="53" bestFit="1" customWidth="1"/>
    <col min="3" max="4" width="18.140625" style="53" bestFit="1" customWidth="1"/>
    <col min="5" max="5" width="10.28515625" style="53" bestFit="1" customWidth="1"/>
    <col min="6" max="6" width="11.42578125" style="53" bestFit="1" customWidth="1"/>
    <col min="7" max="7" width="10.28515625" style="53" bestFit="1" customWidth="1"/>
    <col min="8" max="8" width="11.42578125" style="53" bestFit="1" customWidth="1"/>
    <col min="9" max="9" width="10.28515625" style="53" bestFit="1" customWidth="1"/>
    <col min="10" max="10" width="12.28515625" style="53" bestFit="1" customWidth="1"/>
    <col min="11" max="11" width="10.28515625" style="53" bestFit="1" customWidth="1"/>
    <col min="12" max="12" width="11.42578125" style="53" bestFit="1" customWidth="1"/>
    <col min="13" max="13" width="15.5703125" style="53" customWidth="1"/>
    <col min="14" max="14" width="15.42578125" style="53" customWidth="1"/>
    <col min="15" max="15" width="15.5703125" style="53" bestFit="1" customWidth="1"/>
    <col min="16" max="16" width="15.42578125" style="53" customWidth="1"/>
    <col min="17" max="17" width="15.5703125" style="53" bestFit="1" customWidth="1"/>
    <col min="18" max="18" width="15.42578125" style="53" customWidth="1"/>
    <col min="19" max="19" width="13.85546875" style="53" bestFit="1" customWidth="1"/>
    <col min="20" max="20" width="13.7109375" style="53" customWidth="1"/>
    <col min="21" max="21" width="14.5703125" style="53" bestFit="1" customWidth="1"/>
    <col min="22" max="22" width="14.42578125" style="53" customWidth="1"/>
    <col min="23" max="23" width="15.5703125" style="53" bestFit="1" customWidth="1"/>
    <col min="24" max="24" width="15.42578125" style="53" customWidth="1"/>
    <col min="25" max="25" width="15.5703125" style="53" bestFit="1" customWidth="1"/>
    <col min="26" max="26" width="15.42578125" style="53" customWidth="1"/>
    <col min="27" max="27" width="14.5703125" style="53" bestFit="1" customWidth="1"/>
    <col min="28" max="28" width="14.42578125" style="53" customWidth="1"/>
    <col min="29" max="29" width="13.5703125" style="53" bestFit="1" customWidth="1"/>
    <col min="30" max="30" width="13.42578125" style="53" customWidth="1"/>
    <col min="31" max="31" width="13.5703125" style="53" bestFit="1" customWidth="1"/>
    <col min="32" max="32" width="13.42578125" style="53" customWidth="1"/>
    <col min="33" max="33" width="14.5703125" style="53" bestFit="1" customWidth="1"/>
    <col min="34" max="34" width="14.42578125" style="53" customWidth="1"/>
    <col min="35" max="35" width="16.5703125" style="53" bestFit="1" customWidth="1"/>
    <col min="36" max="36" width="16.42578125" style="53" customWidth="1"/>
    <col min="37" max="37" width="12.5703125" style="53" bestFit="1" customWidth="1"/>
    <col min="38" max="38" width="12.42578125" style="53" customWidth="1"/>
    <col min="39" max="39" width="12.5703125" style="53" bestFit="1" customWidth="1"/>
    <col min="40" max="40" width="12.5703125" style="53" customWidth="1"/>
    <col min="41" max="41" width="13.5703125" style="53" bestFit="1" customWidth="1"/>
    <col min="42" max="42" width="13.42578125" style="53" customWidth="1"/>
    <col min="43" max="43" width="13.5703125" style="53" bestFit="1" customWidth="1"/>
    <col min="44" max="44" width="13.42578125" style="53" customWidth="1"/>
    <col min="45" max="45" width="12.5703125" style="53" bestFit="1" customWidth="1"/>
    <col min="46" max="46" width="12.42578125" style="53" customWidth="1"/>
    <col min="47" max="47" width="14.5703125" style="53" bestFit="1" customWidth="1"/>
    <col min="48" max="48" width="14.42578125" style="53" customWidth="1"/>
    <col min="49" max="49" width="11.5703125" style="53" bestFit="1" customWidth="1"/>
    <col min="50" max="50" width="11.42578125" style="53" customWidth="1"/>
    <col min="51" max="51" width="12.5703125" style="53" bestFit="1" customWidth="1"/>
    <col min="52" max="52" width="12.5703125" style="53" customWidth="1"/>
    <col min="53" max="53" width="13.5703125" style="53" bestFit="1" customWidth="1"/>
    <col min="54" max="54" width="13.42578125" style="53" customWidth="1"/>
    <col min="55" max="55" width="12.5703125" style="53" bestFit="1" customWidth="1"/>
    <col min="56" max="56" width="12.42578125" style="53" customWidth="1"/>
    <col min="57" max="57" width="13.5703125" style="53" bestFit="1" customWidth="1"/>
    <col min="58" max="58" width="13.42578125" style="53" customWidth="1"/>
    <col min="59" max="59" width="12.5703125" style="53" bestFit="1" customWidth="1"/>
    <col min="60" max="60" width="12.5703125" style="53" customWidth="1"/>
    <col min="61" max="61" width="12.42578125" style="53" bestFit="1" customWidth="1"/>
    <col min="62" max="62" width="12.42578125" style="53" customWidth="1"/>
    <col min="63" max="63" width="11.42578125" style="53" bestFit="1" customWidth="1"/>
    <col min="64" max="64" width="11.42578125" style="53" customWidth="1"/>
    <col min="65" max="65" width="11.42578125" style="53" bestFit="1" customWidth="1"/>
    <col min="66" max="66" width="11.42578125" style="53" customWidth="1"/>
    <col min="67" max="67" width="11.42578125" style="53" bestFit="1" customWidth="1"/>
    <col min="68" max="68" width="11.42578125" style="53" customWidth="1"/>
    <col min="69" max="69" width="12.42578125" style="53" bestFit="1" customWidth="1"/>
    <col min="70" max="70" width="12.42578125" style="53" customWidth="1"/>
    <col min="71" max="71" width="11.42578125" style="53" bestFit="1" customWidth="1"/>
    <col min="72" max="72" width="11.42578125" style="53" customWidth="1"/>
    <col min="73" max="73" width="13.7109375" style="53" bestFit="1" customWidth="1"/>
    <col min="74" max="74" width="13.7109375" style="53" customWidth="1"/>
    <col min="75" max="75" width="12.5703125" style="53" bestFit="1" customWidth="1"/>
    <col min="76" max="76" width="12.5703125" style="53" customWidth="1"/>
    <col min="77" max="77" width="13.42578125" style="53" bestFit="1" customWidth="1"/>
    <col min="78" max="78" width="13.42578125" style="53" customWidth="1"/>
    <col min="79" max="79" width="11.42578125" style="53" bestFit="1" customWidth="1"/>
    <col min="80" max="80" width="11.42578125" style="53" customWidth="1"/>
    <col min="81" max="81" width="12.42578125" style="53" bestFit="1" customWidth="1"/>
    <col min="82" max="82" width="12.42578125" style="53" customWidth="1"/>
    <col min="83" max="83" width="11.42578125" style="53" bestFit="1" customWidth="1"/>
    <col min="84" max="84" width="11.42578125" style="53" customWidth="1"/>
    <col min="85" max="85" width="11.42578125" style="53" bestFit="1" customWidth="1"/>
    <col min="86" max="86" width="11.42578125" style="53" customWidth="1"/>
    <col min="87" max="87" width="11.42578125" style="53" bestFit="1" customWidth="1"/>
    <col min="88" max="88" width="11.42578125" style="53" customWidth="1"/>
    <col min="89" max="89" width="11.42578125" style="53" bestFit="1" customWidth="1"/>
    <col min="90" max="90" width="11.42578125" style="53" customWidth="1"/>
    <col min="91" max="91" width="11.42578125" style="53" bestFit="1" customWidth="1"/>
    <col min="92" max="92" width="11.42578125" style="53" customWidth="1"/>
    <col min="93" max="93" width="11.42578125" style="53" bestFit="1" customWidth="1"/>
    <col min="94" max="94" width="11.42578125" style="53" customWidth="1"/>
    <col min="95" max="95" width="11.42578125" style="53" bestFit="1" customWidth="1"/>
    <col min="96" max="96" width="11.42578125" style="53" customWidth="1"/>
    <col min="97" max="97" width="11.42578125" style="53" bestFit="1" customWidth="1"/>
    <col min="98" max="98" width="11.42578125" style="53" customWidth="1"/>
    <col min="99" max="99" width="11.42578125" style="53" bestFit="1" customWidth="1"/>
    <col min="100" max="100" width="11.42578125" style="53" customWidth="1"/>
    <col min="101" max="101" width="11.42578125" style="53" bestFit="1" customWidth="1"/>
    <col min="102" max="102" width="11.42578125" style="53" customWidth="1"/>
    <col min="103" max="103" width="11.42578125" style="53" bestFit="1" customWidth="1"/>
    <col min="104" max="104" width="11.42578125" style="53" customWidth="1"/>
    <col min="105" max="105" width="11.42578125" style="53" bestFit="1" customWidth="1"/>
    <col min="106" max="106" width="11.42578125" style="53" customWidth="1"/>
    <col min="107" max="107" width="12.42578125" style="53" bestFit="1" customWidth="1"/>
    <col min="108" max="108" width="12.42578125" style="53" customWidth="1"/>
    <col min="109" max="109" width="11.42578125" style="53" bestFit="1" customWidth="1"/>
    <col min="110" max="110" width="11.42578125" style="53" customWidth="1"/>
    <col min="111" max="111" width="13.42578125" style="53" bestFit="1" customWidth="1"/>
    <col min="112" max="112" width="13.42578125" style="53" customWidth="1"/>
    <col min="113" max="113" width="12.42578125" style="53" bestFit="1" customWidth="1"/>
    <col min="114" max="114" width="12.42578125" style="53" customWidth="1"/>
    <col min="115" max="115" width="11.42578125" style="53" bestFit="1" customWidth="1"/>
    <col min="116" max="116" width="11.42578125" style="53" customWidth="1"/>
    <col min="117" max="117" width="11.42578125" style="53" bestFit="1" customWidth="1"/>
    <col min="118" max="16384" width="9.140625" style="53"/>
  </cols>
  <sheetData>
    <row r="1" spans="1:175" ht="15.6" customHeight="1">
      <c r="A1" s="25" t="s">
        <v>1179</v>
      </c>
    </row>
    <row r="2" spans="1:175" ht="18.600000000000001" customHeight="1">
      <c r="B2" s="47"/>
    </row>
    <row r="3" spans="1:175" ht="47.25">
      <c r="B3" s="289" t="s">
        <v>705</v>
      </c>
      <c r="C3" s="53" t="s">
        <v>706</v>
      </c>
      <c r="D3" s="53" t="s">
        <v>707</v>
      </c>
      <c r="E3" s="53" t="s">
        <v>706</v>
      </c>
      <c r="F3" s="53" t="s">
        <v>707</v>
      </c>
      <c r="G3" s="53" t="s">
        <v>706</v>
      </c>
      <c r="H3" s="53" t="s">
        <v>707</v>
      </c>
      <c r="I3" s="53" t="s">
        <v>706</v>
      </c>
      <c r="J3" s="53" t="s">
        <v>707</v>
      </c>
      <c r="K3" s="53" t="s">
        <v>706</v>
      </c>
      <c r="L3" s="53" t="s">
        <v>707</v>
      </c>
      <c r="M3" s="53" t="s">
        <v>706</v>
      </c>
      <c r="N3" s="53" t="s">
        <v>707</v>
      </c>
      <c r="O3" s="53" t="s">
        <v>706</v>
      </c>
      <c r="P3" s="53" t="s">
        <v>707</v>
      </c>
      <c r="Q3" s="53" t="s">
        <v>706</v>
      </c>
      <c r="R3" s="53" t="s">
        <v>707</v>
      </c>
      <c r="S3" s="53" t="s">
        <v>706</v>
      </c>
      <c r="T3" s="53" t="s">
        <v>707</v>
      </c>
      <c r="U3" s="53" t="s">
        <v>706</v>
      </c>
      <c r="V3" s="53" t="s">
        <v>707</v>
      </c>
      <c r="W3" s="53" t="s">
        <v>706</v>
      </c>
      <c r="X3" s="53" t="s">
        <v>707</v>
      </c>
      <c r="Y3" s="53" t="s">
        <v>706</v>
      </c>
      <c r="Z3" s="53" t="s">
        <v>707</v>
      </c>
      <c r="AA3" s="53" t="s">
        <v>706</v>
      </c>
      <c r="AB3" s="53" t="s">
        <v>707</v>
      </c>
      <c r="AC3" s="53" t="s">
        <v>706</v>
      </c>
      <c r="AD3" s="53" t="s">
        <v>707</v>
      </c>
      <c r="AE3" s="53" t="s">
        <v>706</v>
      </c>
      <c r="AF3" s="53" t="s">
        <v>707</v>
      </c>
      <c r="AG3" s="53" t="s">
        <v>706</v>
      </c>
      <c r="AH3" s="53" t="s">
        <v>707</v>
      </c>
      <c r="AI3" s="53" t="s">
        <v>706</v>
      </c>
      <c r="AJ3" s="53" t="s">
        <v>707</v>
      </c>
      <c r="AK3" s="53" t="s">
        <v>706</v>
      </c>
      <c r="AL3" s="53" t="s">
        <v>707</v>
      </c>
      <c r="AM3" s="53" t="s">
        <v>706</v>
      </c>
      <c r="AN3" s="53" t="s">
        <v>707</v>
      </c>
      <c r="AO3" s="53" t="s">
        <v>706</v>
      </c>
      <c r="AP3" s="53" t="s">
        <v>707</v>
      </c>
      <c r="AQ3" s="53" t="s">
        <v>706</v>
      </c>
      <c r="AR3" s="53" t="s">
        <v>707</v>
      </c>
      <c r="AS3" s="53" t="s">
        <v>706</v>
      </c>
      <c r="AT3" s="53" t="s">
        <v>707</v>
      </c>
      <c r="AU3" s="53" t="s">
        <v>706</v>
      </c>
      <c r="AV3" s="53" t="s">
        <v>707</v>
      </c>
      <c r="AW3" s="53" t="s">
        <v>706</v>
      </c>
      <c r="AX3" s="53" t="s">
        <v>707</v>
      </c>
      <c r="AY3" s="53" t="s">
        <v>706</v>
      </c>
      <c r="AZ3" s="53" t="s">
        <v>707</v>
      </c>
      <c r="BA3" s="53" t="s">
        <v>706</v>
      </c>
      <c r="BB3" s="53" t="s">
        <v>707</v>
      </c>
      <c r="BC3" s="53" t="s">
        <v>706</v>
      </c>
      <c r="BD3" s="53" t="s">
        <v>707</v>
      </c>
      <c r="BE3" s="53" t="s">
        <v>706</v>
      </c>
      <c r="BF3" s="53" t="s">
        <v>707</v>
      </c>
      <c r="BG3" s="53" t="s">
        <v>706</v>
      </c>
      <c r="BH3" s="53" t="s">
        <v>707</v>
      </c>
      <c r="BI3" s="53" t="s">
        <v>706</v>
      </c>
      <c r="BJ3" s="53" t="s">
        <v>707</v>
      </c>
      <c r="BK3" s="53" t="s">
        <v>706</v>
      </c>
      <c r="BL3" s="53" t="s">
        <v>707</v>
      </c>
      <c r="BM3" s="53" t="s">
        <v>706</v>
      </c>
      <c r="BN3" s="53" t="s">
        <v>707</v>
      </c>
      <c r="BO3" s="53" t="s">
        <v>706</v>
      </c>
      <c r="BP3" s="53" t="s">
        <v>707</v>
      </c>
      <c r="BQ3" s="53" t="s">
        <v>706</v>
      </c>
      <c r="BR3" s="53" t="s">
        <v>707</v>
      </c>
      <c r="BS3" s="53" t="s">
        <v>706</v>
      </c>
      <c r="BT3" s="53" t="s">
        <v>707</v>
      </c>
      <c r="BU3" s="53" t="s">
        <v>706</v>
      </c>
      <c r="BV3" s="53" t="s">
        <v>707</v>
      </c>
      <c r="BW3" s="53" t="s">
        <v>706</v>
      </c>
      <c r="BX3" s="53" t="s">
        <v>707</v>
      </c>
      <c r="BY3" s="53" t="s">
        <v>706</v>
      </c>
      <c r="BZ3" s="53" t="s">
        <v>707</v>
      </c>
      <c r="CA3" s="53" t="s">
        <v>706</v>
      </c>
      <c r="CB3" s="53" t="s">
        <v>707</v>
      </c>
      <c r="CC3" s="53" t="s">
        <v>706</v>
      </c>
      <c r="CD3" s="53" t="s">
        <v>707</v>
      </c>
      <c r="CE3" s="53" t="s">
        <v>706</v>
      </c>
      <c r="CF3" s="53" t="s">
        <v>707</v>
      </c>
      <c r="CG3" s="53" t="s">
        <v>706</v>
      </c>
      <c r="CH3" s="53" t="s">
        <v>707</v>
      </c>
      <c r="CI3" s="53" t="s">
        <v>706</v>
      </c>
      <c r="CJ3" s="53" t="s">
        <v>707</v>
      </c>
      <c r="CK3" s="53" t="s">
        <v>706</v>
      </c>
      <c r="CL3" s="53" t="s">
        <v>707</v>
      </c>
      <c r="CM3" s="53" t="s">
        <v>706</v>
      </c>
      <c r="CN3" s="53" t="s">
        <v>707</v>
      </c>
      <c r="CO3" s="53" t="s">
        <v>706</v>
      </c>
      <c r="CP3" s="53" t="s">
        <v>707</v>
      </c>
      <c r="CQ3" s="53" t="s">
        <v>706</v>
      </c>
      <c r="CR3" s="53" t="s">
        <v>707</v>
      </c>
      <c r="CS3" s="53" t="s">
        <v>706</v>
      </c>
      <c r="CT3" s="53" t="s">
        <v>707</v>
      </c>
      <c r="CU3" s="53" t="s">
        <v>706</v>
      </c>
      <c r="CV3" s="53" t="s">
        <v>707</v>
      </c>
      <c r="CW3" s="53" t="s">
        <v>706</v>
      </c>
      <c r="CX3" s="53" t="s">
        <v>707</v>
      </c>
      <c r="CY3" s="53" t="s">
        <v>706</v>
      </c>
      <c r="CZ3" s="53" t="s">
        <v>707</v>
      </c>
      <c r="DA3" s="53" t="s">
        <v>706</v>
      </c>
      <c r="DB3" s="53" t="s">
        <v>707</v>
      </c>
      <c r="DC3" s="53" t="s">
        <v>706</v>
      </c>
      <c r="DD3" s="53" t="s">
        <v>707</v>
      </c>
      <c r="DE3" s="53" t="s">
        <v>706</v>
      </c>
      <c r="DF3" s="53" t="s">
        <v>707</v>
      </c>
      <c r="DG3" s="53" t="s">
        <v>706</v>
      </c>
      <c r="DH3" s="53" t="s">
        <v>707</v>
      </c>
      <c r="DI3" s="53" t="s">
        <v>706</v>
      </c>
      <c r="DJ3" s="53" t="s">
        <v>707</v>
      </c>
      <c r="DK3" s="53" t="s">
        <v>706</v>
      </c>
      <c r="DL3" s="53" t="s">
        <v>707</v>
      </c>
      <c r="DM3" s="53" t="s">
        <v>706</v>
      </c>
      <c r="DN3" s="53" t="s">
        <v>707</v>
      </c>
    </row>
    <row r="4" spans="1:175">
      <c r="B4" s="47" t="s">
        <v>694</v>
      </c>
      <c r="C4" s="26" t="s">
        <v>299</v>
      </c>
      <c r="D4" s="26" t="s">
        <v>299</v>
      </c>
      <c r="E4" s="69" t="s">
        <v>2</v>
      </c>
      <c r="F4" s="69" t="s">
        <v>2</v>
      </c>
      <c r="G4" s="69" t="s">
        <v>3</v>
      </c>
      <c r="H4" s="69" t="s">
        <v>3</v>
      </c>
      <c r="I4" s="57" t="s">
        <v>4</v>
      </c>
      <c r="J4" s="57" t="s">
        <v>4</v>
      </c>
      <c r="K4" s="57" t="s">
        <v>5</v>
      </c>
      <c r="L4" s="57" t="s">
        <v>5</v>
      </c>
      <c r="M4" s="70" t="s">
        <v>6</v>
      </c>
      <c r="N4" s="70" t="s">
        <v>6</v>
      </c>
      <c r="O4" s="70" t="s">
        <v>7</v>
      </c>
      <c r="P4" s="70" t="s">
        <v>7</v>
      </c>
      <c r="Q4" s="71" t="s">
        <v>8</v>
      </c>
      <c r="R4" s="71" t="s">
        <v>8</v>
      </c>
      <c r="S4" s="70" t="s">
        <v>9</v>
      </c>
      <c r="T4" s="70" t="s">
        <v>9</v>
      </c>
      <c r="U4" s="70" t="s">
        <v>10</v>
      </c>
      <c r="V4" s="70" t="s">
        <v>10</v>
      </c>
      <c r="W4" s="70" t="s">
        <v>11</v>
      </c>
      <c r="X4" s="70" t="s">
        <v>11</v>
      </c>
      <c r="Y4" s="70" t="s">
        <v>12</v>
      </c>
      <c r="Z4" s="70" t="s">
        <v>12</v>
      </c>
      <c r="AA4" s="70" t="s">
        <v>13</v>
      </c>
      <c r="AB4" s="70" t="s">
        <v>13</v>
      </c>
      <c r="AC4" s="70" t="s">
        <v>14</v>
      </c>
      <c r="AD4" s="70" t="s">
        <v>14</v>
      </c>
      <c r="AE4" s="70" t="s">
        <v>15</v>
      </c>
      <c r="AF4" s="70" t="s">
        <v>15</v>
      </c>
      <c r="AG4" s="70" t="s">
        <v>16</v>
      </c>
      <c r="AH4" s="70" t="s">
        <v>16</v>
      </c>
      <c r="AI4" s="71" t="s">
        <v>17</v>
      </c>
      <c r="AJ4" s="71" t="s">
        <v>17</v>
      </c>
      <c r="AK4" s="57" t="s">
        <v>18</v>
      </c>
      <c r="AL4" s="57" t="s">
        <v>18</v>
      </c>
      <c r="AM4" s="70" t="s">
        <v>19</v>
      </c>
      <c r="AN4" s="70" t="s">
        <v>19</v>
      </c>
      <c r="AO4" s="70" t="s">
        <v>20</v>
      </c>
      <c r="AP4" s="70" t="s">
        <v>20</v>
      </c>
      <c r="AQ4" s="57" t="s">
        <v>21</v>
      </c>
      <c r="AR4" s="57" t="s">
        <v>21</v>
      </c>
      <c r="AS4" s="57" t="s">
        <v>22</v>
      </c>
      <c r="AT4" s="57" t="s">
        <v>22</v>
      </c>
      <c r="AU4" s="57" t="s">
        <v>23</v>
      </c>
      <c r="AV4" s="57" t="s">
        <v>23</v>
      </c>
      <c r="AW4" s="57" t="s">
        <v>24</v>
      </c>
      <c r="AX4" s="57" t="s">
        <v>24</v>
      </c>
      <c r="AY4" s="57" t="s">
        <v>25</v>
      </c>
      <c r="AZ4" s="57" t="s">
        <v>25</v>
      </c>
      <c r="BA4" s="70" t="s">
        <v>26</v>
      </c>
      <c r="BB4" s="57" t="s">
        <v>26</v>
      </c>
      <c r="BC4" s="57" t="s">
        <v>27</v>
      </c>
      <c r="BD4" s="57" t="s">
        <v>695</v>
      </c>
      <c r="BE4" s="70" t="s">
        <v>28</v>
      </c>
      <c r="BF4" s="57" t="s">
        <v>28</v>
      </c>
      <c r="BG4" s="57" t="s">
        <v>29</v>
      </c>
      <c r="BH4" s="57" t="s">
        <v>29</v>
      </c>
      <c r="BI4" s="70" t="s">
        <v>30</v>
      </c>
      <c r="BJ4" s="70" t="s">
        <v>30</v>
      </c>
      <c r="BK4" s="57" t="s">
        <v>31</v>
      </c>
      <c r="BL4" s="57" t="s">
        <v>31</v>
      </c>
      <c r="BM4" s="57" t="s">
        <v>32</v>
      </c>
      <c r="BN4" s="57" t="s">
        <v>32</v>
      </c>
      <c r="BO4" s="70" t="s">
        <v>33</v>
      </c>
      <c r="BP4" s="70" t="s">
        <v>33</v>
      </c>
      <c r="BQ4" s="57" t="s">
        <v>34</v>
      </c>
      <c r="BR4" s="57" t="s">
        <v>34</v>
      </c>
      <c r="BS4" s="57" t="s">
        <v>35</v>
      </c>
      <c r="BT4" s="57" t="s">
        <v>35</v>
      </c>
      <c r="BU4" s="70" t="s">
        <v>36</v>
      </c>
      <c r="BV4" s="70" t="s">
        <v>36</v>
      </c>
      <c r="BW4" s="57" t="s">
        <v>37</v>
      </c>
      <c r="BX4" s="57" t="s">
        <v>37</v>
      </c>
      <c r="BY4" s="57" t="s">
        <v>38</v>
      </c>
      <c r="BZ4" s="57" t="s">
        <v>38</v>
      </c>
      <c r="CA4" s="57" t="s">
        <v>39</v>
      </c>
      <c r="CB4" s="57" t="s">
        <v>39</v>
      </c>
      <c r="CC4" s="57" t="s">
        <v>40</v>
      </c>
      <c r="CD4" s="57" t="s">
        <v>40</v>
      </c>
      <c r="CE4" s="57" t="s">
        <v>41</v>
      </c>
      <c r="CF4" s="57" t="s">
        <v>41</v>
      </c>
      <c r="CG4" s="57" t="s">
        <v>42</v>
      </c>
      <c r="CH4" s="57" t="s">
        <v>42</v>
      </c>
      <c r="CI4" s="57" t="s">
        <v>43</v>
      </c>
      <c r="CJ4" s="57" t="s">
        <v>43</v>
      </c>
      <c r="CK4" s="57" t="s">
        <v>44</v>
      </c>
      <c r="CL4" s="57" t="s">
        <v>44</v>
      </c>
      <c r="CM4" s="57" t="s">
        <v>45</v>
      </c>
      <c r="CN4" s="57" t="s">
        <v>45</v>
      </c>
      <c r="CO4" s="57" t="s">
        <v>46</v>
      </c>
      <c r="CP4" s="57" t="s">
        <v>46</v>
      </c>
      <c r="CQ4" s="57" t="s">
        <v>47</v>
      </c>
      <c r="CR4" s="57" t="s">
        <v>47</v>
      </c>
      <c r="CS4" s="57" t="s">
        <v>48</v>
      </c>
      <c r="CT4" s="57" t="s">
        <v>48</v>
      </c>
      <c r="CU4" s="57" t="s">
        <v>49</v>
      </c>
      <c r="CV4" s="57" t="s">
        <v>49</v>
      </c>
      <c r="CW4" s="57" t="s">
        <v>50</v>
      </c>
      <c r="CX4" s="57" t="s">
        <v>50</v>
      </c>
      <c r="CY4" s="57" t="s">
        <v>51</v>
      </c>
      <c r="CZ4" s="57" t="s">
        <v>51</v>
      </c>
      <c r="DA4" s="70" t="s">
        <v>52</v>
      </c>
      <c r="DB4" s="70" t="s">
        <v>52</v>
      </c>
      <c r="DC4" s="70" t="s">
        <v>53</v>
      </c>
      <c r="DD4" s="70" t="s">
        <v>53</v>
      </c>
      <c r="DE4" s="70" t="s">
        <v>54</v>
      </c>
      <c r="DF4" s="70" t="s">
        <v>54</v>
      </c>
      <c r="DG4" s="70" t="s">
        <v>55</v>
      </c>
      <c r="DH4" s="70" t="s">
        <v>55</v>
      </c>
      <c r="DI4" s="70" t="s">
        <v>56</v>
      </c>
      <c r="DJ4" s="70" t="s">
        <v>56</v>
      </c>
      <c r="DK4" s="57" t="s">
        <v>57</v>
      </c>
      <c r="DL4" s="57" t="s">
        <v>57</v>
      </c>
      <c r="DM4" s="57" t="s">
        <v>58</v>
      </c>
      <c r="DN4" s="57" t="s">
        <v>58</v>
      </c>
    </row>
    <row r="5" spans="1:175" ht="18">
      <c r="C5" s="53" t="s">
        <v>696</v>
      </c>
      <c r="D5" s="53" t="s">
        <v>696</v>
      </c>
      <c r="G5" s="53" t="s">
        <v>403</v>
      </c>
      <c r="H5" s="53" t="s">
        <v>403</v>
      </c>
      <c r="I5" s="53" t="s">
        <v>403</v>
      </c>
      <c r="J5" s="53" t="s">
        <v>403</v>
      </c>
      <c r="K5" s="53" t="s">
        <v>403</v>
      </c>
      <c r="L5" s="53" t="s">
        <v>403</v>
      </c>
      <c r="M5" s="53" t="s">
        <v>403</v>
      </c>
      <c r="N5" s="53" t="s">
        <v>403</v>
      </c>
      <c r="O5" s="53" t="s">
        <v>403</v>
      </c>
      <c r="P5" s="53" t="s">
        <v>403</v>
      </c>
      <c r="Q5" s="53" t="s">
        <v>403</v>
      </c>
      <c r="R5" s="53" t="s">
        <v>403</v>
      </c>
      <c r="S5" s="53" t="s">
        <v>403</v>
      </c>
      <c r="T5" s="53" t="s">
        <v>403</v>
      </c>
      <c r="U5" s="53" t="s">
        <v>403</v>
      </c>
      <c r="V5" s="53" t="s">
        <v>403</v>
      </c>
      <c r="W5" s="53" t="s">
        <v>403</v>
      </c>
      <c r="X5" s="53" t="s">
        <v>403</v>
      </c>
      <c r="Y5" s="53" t="s">
        <v>403</v>
      </c>
      <c r="Z5" s="53" t="s">
        <v>403</v>
      </c>
      <c r="AA5" s="53" t="s">
        <v>403</v>
      </c>
      <c r="AB5" s="53" t="s">
        <v>403</v>
      </c>
      <c r="AC5" s="53" t="s">
        <v>403</v>
      </c>
      <c r="AD5" s="53" t="s">
        <v>403</v>
      </c>
      <c r="AE5" s="53" t="s">
        <v>403</v>
      </c>
      <c r="AF5" s="53" t="s">
        <v>403</v>
      </c>
      <c r="AG5" s="53" t="s">
        <v>403</v>
      </c>
      <c r="AH5" s="53" t="s">
        <v>403</v>
      </c>
      <c r="AI5" s="53" t="s">
        <v>403</v>
      </c>
      <c r="AJ5" s="53" t="s">
        <v>403</v>
      </c>
      <c r="AK5" s="53" t="s">
        <v>403</v>
      </c>
      <c r="AL5" s="53" t="s">
        <v>403</v>
      </c>
      <c r="AM5" s="53" t="s">
        <v>403</v>
      </c>
      <c r="AN5" s="53" t="s">
        <v>403</v>
      </c>
      <c r="AO5" s="53" t="s">
        <v>403</v>
      </c>
      <c r="AP5" s="53" t="s">
        <v>403</v>
      </c>
      <c r="AQ5" s="53" t="s">
        <v>403</v>
      </c>
      <c r="AR5" s="53" t="s">
        <v>403</v>
      </c>
      <c r="AS5" s="53" t="s">
        <v>403</v>
      </c>
      <c r="AT5" s="53" t="s">
        <v>403</v>
      </c>
      <c r="AU5" s="53" t="s">
        <v>403</v>
      </c>
      <c r="AV5" s="53" t="s">
        <v>403</v>
      </c>
      <c r="AW5" s="53" t="s">
        <v>403</v>
      </c>
      <c r="AX5" s="53" t="s">
        <v>403</v>
      </c>
      <c r="AY5" s="53" t="s">
        <v>403</v>
      </c>
      <c r="AZ5" s="53" t="s">
        <v>403</v>
      </c>
      <c r="BA5" s="53" t="s">
        <v>403</v>
      </c>
      <c r="BB5" s="53" t="s">
        <v>403</v>
      </c>
      <c r="BC5" s="53" t="s">
        <v>403</v>
      </c>
      <c r="BD5" s="53" t="s">
        <v>403</v>
      </c>
      <c r="BE5" s="53" t="s">
        <v>403</v>
      </c>
      <c r="BF5" s="53" t="s">
        <v>403</v>
      </c>
      <c r="BG5" s="53" t="s">
        <v>403</v>
      </c>
      <c r="BH5" s="53" t="s">
        <v>403</v>
      </c>
      <c r="BI5" s="53" t="s">
        <v>403</v>
      </c>
      <c r="BJ5" s="53" t="s">
        <v>403</v>
      </c>
      <c r="BK5" s="53" t="s">
        <v>403</v>
      </c>
      <c r="BL5" s="53" t="s">
        <v>403</v>
      </c>
      <c r="BM5" s="53" t="s">
        <v>403</v>
      </c>
      <c r="BN5" s="53" t="s">
        <v>403</v>
      </c>
      <c r="BO5" s="53" t="s">
        <v>403</v>
      </c>
      <c r="BP5" s="53" t="s">
        <v>403</v>
      </c>
      <c r="BQ5" s="53" t="s">
        <v>403</v>
      </c>
      <c r="BR5" s="53" t="s">
        <v>403</v>
      </c>
      <c r="BS5" s="53" t="s">
        <v>403</v>
      </c>
      <c r="BT5" s="53" t="s">
        <v>403</v>
      </c>
      <c r="BU5" s="53" t="s">
        <v>403</v>
      </c>
      <c r="BV5" s="53" t="s">
        <v>403</v>
      </c>
      <c r="BW5" s="53" t="s">
        <v>403</v>
      </c>
      <c r="BX5" s="53" t="s">
        <v>403</v>
      </c>
      <c r="BY5" s="53" t="s">
        <v>403</v>
      </c>
      <c r="BZ5" s="53" t="s">
        <v>403</v>
      </c>
      <c r="CA5" s="53" t="s">
        <v>403</v>
      </c>
      <c r="CB5" s="53" t="s">
        <v>403</v>
      </c>
      <c r="CC5" s="53" t="s">
        <v>403</v>
      </c>
      <c r="CD5" s="53" t="s">
        <v>403</v>
      </c>
      <c r="CE5" s="53" t="s">
        <v>403</v>
      </c>
      <c r="CF5" s="53" t="s">
        <v>403</v>
      </c>
      <c r="CG5" s="53" t="s">
        <v>403</v>
      </c>
      <c r="CH5" s="53" t="s">
        <v>403</v>
      </c>
      <c r="CI5" s="53" t="s">
        <v>403</v>
      </c>
      <c r="CJ5" s="53" t="s">
        <v>403</v>
      </c>
      <c r="CK5" s="53" t="s">
        <v>403</v>
      </c>
      <c r="CL5" s="53" t="s">
        <v>403</v>
      </c>
      <c r="CM5" s="53" t="s">
        <v>403</v>
      </c>
      <c r="CN5" s="53" t="s">
        <v>403</v>
      </c>
      <c r="CO5" s="53" t="s">
        <v>403</v>
      </c>
      <c r="CP5" s="53" t="s">
        <v>403</v>
      </c>
      <c r="CQ5" s="53" t="s">
        <v>403</v>
      </c>
      <c r="CR5" s="53" t="s">
        <v>403</v>
      </c>
      <c r="CS5" s="53" t="s">
        <v>403</v>
      </c>
      <c r="CT5" s="53" t="s">
        <v>403</v>
      </c>
      <c r="CU5" s="53" t="s">
        <v>403</v>
      </c>
      <c r="CV5" s="53" t="s">
        <v>403</v>
      </c>
      <c r="CW5" s="53" t="s">
        <v>403</v>
      </c>
      <c r="CX5" s="53" t="s">
        <v>403</v>
      </c>
      <c r="CY5" s="53" t="s">
        <v>403</v>
      </c>
      <c r="CZ5" s="53" t="s">
        <v>403</v>
      </c>
      <c r="DA5" s="53" t="s">
        <v>403</v>
      </c>
      <c r="DB5" s="53" t="s">
        <v>403</v>
      </c>
      <c r="DC5" s="53" t="s">
        <v>403</v>
      </c>
      <c r="DD5" s="53" t="s">
        <v>403</v>
      </c>
      <c r="DE5" s="53" t="s">
        <v>403</v>
      </c>
      <c r="DF5" s="53" t="s">
        <v>403</v>
      </c>
      <c r="DG5" s="53" t="s">
        <v>403</v>
      </c>
      <c r="DH5" s="53" t="s">
        <v>403</v>
      </c>
      <c r="DI5" s="53" t="s">
        <v>403</v>
      </c>
      <c r="DJ5" s="53" t="s">
        <v>403</v>
      </c>
      <c r="DK5" s="53" t="s">
        <v>403</v>
      </c>
      <c r="DL5" s="53" t="s">
        <v>403</v>
      </c>
      <c r="DM5" s="53" t="s">
        <v>403</v>
      </c>
      <c r="DN5" s="53" t="s">
        <v>403</v>
      </c>
    </row>
    <row r="6" spans="1:175">
      <c r="A6" s="25" t="s">
        <v>714</v>
      </c>
      <c r="B6" s="47" t="s">
        <v>697</v>
      </c>
      <c r="C6" s="72">
        <v>0.94098394190445822</v>
      </c>
      <c r="D6" s="74">
        <v>21.625089094796625</v>
      </c>
      <c r="E6" s="72">
        <v>4.13</v>
      </c>
      <c r="F6" s="75">
        <v>6.05</v>
      </c>
      <c r="G6" s="72">
        <v>0.13077499999999997</v>
      </c>
      <c r="H6" s="75">
        <v>7.8829999999999997E-2</v>
      </c>
      <c r="I6" s="72">
        <v>6.4</v>
      </c>
      <c r="J6" s="75">
        <v>20</v>
      </c>
      <c r="K6" s="72">
        <v>0.46</v>
      </c>
      <c r="L6" s="75">
        <v>1.68</v>
      </c>
      <c r="M6" s="36">
        <v>703</v>
      </c>
      <c r="N6" s="246">
        <v>1389</v>
      </c>
      <c r="O6" s="36">
        <v>1193</v>
      </c>
      <c r="P6" s="246">
        <v>2190</v>
      </c>
      <c r="Q6" s="36">
        <v>35661</v>
      </c>
      <c r="R6" s="246">
        <v>73194</v>
      </c>
      <c r="S6" s="36">
        <v>149</v>
      </c>
      <c r="T6" s="246">
        <v>999</v>
      </c>
      <c r="U6" s="36">
        <v>29</v>
      </c>
      <c r="V6" s="246">
        <v>726</v>
      </c>
      <c r="W6" s="36">
        <v>5774</v>
      </c>
      <c r="X6" s="246">
        <v>3793</v>
      </c>
      <c r="Y6" s="36">
        <v>932</v>
      </c>
      <c r="Z6" s="246">
        <v>9795</v>
      </c>
      <c r="AA6" s="36">
        <v>1001.2</v>
      </c>
      <c r="AB6" s="246">
        <v>10730</v>
      </c>
      <c r="AC6" s="36">
        <v>32.700000000000003</v>
      </c>
      <c r="AD6" s="246">
        <v>255.8</v>
      </c>
      <c r="AE6" s="36">
        <v>80.2</v>
      </c>
      <c r="AF6" s="246">
        <v>175</v>
      </c>
      <c r="AG6" s="36">
        <v>219.9</v>
      </c>
      <c r="AH6" s="246">
        <v>2561</v>
      </c>
      <c r="AI6" s="36">
        <v>16395</v>
      </c>
      <c r="AJ6" s="246">
        <v>90852</v>
      </c>
      <c r="AK6" s="72">
        <v>7.8890000000000002</v>
      </c>
      <c r="AL6" s="75">
        <v>40.78</v>
      </c>
      <c r="AM6" s="72">
        <v>16.37</v>
      </c>
      <c r="AN6" s="75">
        <v>91.4</v>
      </c>
      <c r="AO6" s="72">
        <v>18.23</v>
      </c>
      <c r="AP6" s="75">
        <v>93.2</v>
      </c>
      <c r="AQ6" s="72">
        <v>41</v>
      </c>
      <c r="AR6" s="75">
        <v>151.80000000000001</v>
      </c>
      <c r="AS6" s="72">
        <v>7.74</v>
      </c>
      <c r="AT6" s="75">
        <v>20.18</v>
      </c>
      <c r="AU6" s="130">
        <v>35.5</v>
      </c>
      <c r="AV6" s="75">
        <v>2</v>
      </c>
      <c r="AW6" s="72">
        <v>7.0000000000000007E-2</v>
      </c>
      <c r="AX6" s="75">
        <v>1.18</v>
      </c>
      <c r="AY6" s="130">
        <v>31.54</v>
      </c>
      <c r="AZ6" s="75">
        <v>40.799999999999997</v>
      </c>
      <c r="BA6" s="72">
        <v>21.32</v>
      </c>
      <c r="BB6" s="75">
        <v>49.1</v>
      </c>
      <c r="BC6" s="72">
        <v>8.3360000000000003</v>
      </c>
      <c r="BD6" s="75">
        <v>51.558999999999997</v>
      </c>
      <c r="BE6" s="72">
        <v>57.63</v>
      </c>
      <c r="BF6" s="75">
        <v>206.4</v>
      </c>
      <c r="BG6" s="72">
        <v>5.375</v>
      </c>
      <c r="BH6" s="75">
        <v>44.98</v>
      </c>
      <c r="BI6" s="72">
        <v>0.75</v>
      </c>
      <c r="BJ6" s="75">
        <v>1.65</v>
      </c>
      <c r="BK6" s="72">
        <v>0.129</v>
      </c>
      <c r="BL6" s="75">
        <v>7.0999999999999994E-2</v>
      </c>
      <c r="BM6" s="72">
        <v>8.7999999999999995E-2</v>
      </c>
      <c r="BN6" s="75">
        <v>0.33400000000000002</v>
      </c>
      <c r="BO6" s="72">
        <v>0.79</v>
      </c>
      <c r="BP6" s="75">
        <v>2.2400000000000002</v>
      </c>
      <c r="BQ6" s="72">
        <v>0.39600000000000002</v>
      </c>
      <c r="BR6" s="75">
        <v>0.29599999999999999</v>
      </c>
      <c r="BS6" s="72">
        <v>1.294</v>
      </c>
      <c r="BT6" s="75">
        <v>2.3319999999999999</v>
      </c>
      <c r="BU6" s="72">
        <v>194.77</v>
      </c>
      <c r="BV6" s="75">
        <v>251.6</v>
      </c>
      <c r="BW6" s="72">
        <v>20.184000000000001</v>
      </c>
      <c r="BX6" s="75">
        <v>52.01</v>
      </c>
      <c r="BY6" s="72">
        <v>43.017000000000003</v>
      </c>
      <c r="BZ6" s="75">
        <v>55.24</v>
      </c>
      <c r="CA6" s="72">
        <v>4.6369999999999996</v>
      </c>
      <c r="CB6" s="75">
        <v>9.7349999999999994</v>
      </c>
      <c r="CC6" s="72">
        <v>16.57</v>
      </c>
      <c r="CD6" s="75">
        <v>37.29</v>
      </c>
      <c r="CE6" s="72">
        <v>2.7229999999999999</v>
      </c>
      <c r="CF6" s="75">
        <v>7.625</v>
      </c>
      <c r="CG6" s="72">
        <v>0.59599999999999997</v>
      </c>
      <c r="CH6" s="75">
        <v>1.794</v>
      </c>
      <c r="CI6" s="72">
        <v>2.0179999999999998</v>
      </c>
      <c r="CJ6" s="75">
        <v>8.8699999999999992</v>
      </c>
      <c r="CK6" s="72">
        <v>0.29499999999999998</v>
      </c>
      <c r="CL6" s="75">
        <v>1.3360000000000001</v>
      </c>
      <c r="CM6" s="72">
        <v>1.5640000000000001</v>
      </c>
      <c r="CN6" s="75">
        <v>8.9369999999999994</v>
      </c>
      <c r="CO6" s="72">
        <v>0.316</v>
      </c>
      <c r="CP6" s="75">
        <v>1.718</v>
      </c>
      <c r="CQ6" s="72">
        <v>0.88600000000000001</v>
      </c>
      <c r="CR6" s="75">
        <v>4.7910000000000004</v>
      </c>
      <c r="CS6" s="72">
        <v>0.13500000000000001</v>
      </c>
      <c r="CT6" s="75">
        <v>0.70799999999999996</v>
      </c>
      <c r="CU6" s="72">
        <v>0.82399999999999995</v>
      </c>
      <c r="CV6" s="75">
        <v>4.1079999999999997</v>
      </c>
      <c r="CW6" s="72">
        <v>0.122</v>
      </c>
      <c r="CX6" s="75">
        <v>0.61799999999999999</v>
      </c>
      <c r="CY6" s="72">
        <v>1.806</v>
      </c>
      <c r="CZ6" s="75">
        <v>5.21</v>
      </c>
      <c r="DA6" s="72">
        <v>0.34</v>
      </c>
      <c r="DB6" s="75">
        <v>2.4660000000000002</v>
      </c>
      <c r="DC6" s="72">
        <v>1.7110000000000001</v>
      </c>
      <c r="DD6" s="75">
        <v>0.95899999999999996</v>
      </c>
      <c r="DE6" s="72">
        <v>0.25900000000000001</v>
      </c>
      <c r="DF6" s="75">
        <v>0.21099999999999999</v>
      </c>
      <c r="DG6" s="72">
        <v>18.600000000000001</v>
      </c>
      <c r="DH6" s="75">
        <v>8.51</v>
      </c>
      <c r="DI6" s="72">
        <v>0.21</v>
      </c>
      <c r="DJ6" s="75">
        <v>0.16</v>
      </c>
      <c r="DK6" s="72">
        <v>3.53</v>
      </c>
      <c r="DL6" s="75">
        <v>6.06</v>
      </c>
      <c r="DM6" s="72">
        <v>1.1339999999999999</v>
      </c>
      <c r="DN6" s="75">
        <v>1.2150000000000001</v>
      </c>
      <c r="DO6" s="130"/>
      <c r="DP6" s="72"/>
      <c r="DQ6" s="72"/>
      <c r="DR6" s="72"/>
      <c r="DS6" s="72"/>
      <c r="DT6" s="130"/>
      <c r="DU6" s="130"/>
      <c r="DV6" s="130"/>
      <c r="DW6" s="130"/>
      <c r="DX6" s="130"/>
      <c r="DY6" s="130"/>
      <c r="DZ6" s="36"/>
      <c r="EA6" s="36"/>
      <c r="EB6" s="36"/>
      <c r="EC6" s="36"/>
      <c r="ED6" s="36"/>
      <c r="EE6" s="36"/>
      <c r="EF6" s="130"/>
      <c r="EG6" s="130"/>
      <c r="EH6" s="130"/>
      <c r="EI6" s="130"/>
      <c r="EJ6" s="130"/>
      <c r="EK6" s="130"/>
      <c r="EL6" s="130"/>
      <c r="EM6" s="130"/>
      <c r="EN6" s="130"/>
      <c r="EO6" s="130"/>
      <c r="EP6" s="130"/>
      <c r="EQ6" s="130"/>
      <c r="ER6" s="130"/>
      <c r="ES6" s="130"/>
      <c r="ET6" s="130"/>
      <c r="EU6" s="130"/>
      <c r="EV6" s="130"/>
      <c r="EW6" s="130"/>
      <c r="EX6" s="130"/>
      <c r="EY6" s="130"/>
      <c r="EZ6" s="130"/>
      <c r="FA6" s="130"/>
      <c r="FB6" s="130"/>
      <c r="FC6" s="130"/>
      <c r="FD6" s="130"/>
      <c r="FE6" s="130"/>
      <c r="FF6" s="130"/>
      <c r="FG6" s="130"/>
      <c r="FH6" s="130"/>
      <c r="FI6" s="130"/>
      <c r="FJ6" s="72"/>
      <c r="FK6" s="72"/>
      <c r="FL6" s="130"/>
      <c r="FM6" s="130"/>
      <c r="FN6" s="72"/>
      <c r="FO6" s="72"/>
      <c r="FP6" s="72"/>
      <c r="FQ6" s="72"/>
      <c r="FR6" s="72"/>
      <c r="FS6" s="72"/>
    </row>
    <row r="7" spans="1:175">
      <c r="B7" s="47" t="s">
        <v>698</v>
      </c>
      <c r="C7" s="72">
        <v>7.330106876386469</v>
      </c>
      <c r="D7" s="74">
        <v>21.625089094796625</v>
      </c>
      <c r="E7" s="72">
        <v>7.59</v>
      </c>
      <c r="F7" s="75">
        <v>6.05</v>
      </c>
      <c r="G7" s="72">
        <v>88.313275000000004</v>
      </c>
      <c r="H7" s="75">
        <v>7.8829999999999997E-2</v>
      </c>
      <c r="I7" s="72">
        <v>50</v>
      </c>
      <c r="J7" s="75">
        <v>20</v>
      </c>
      <c r="K7" s="72">
        <v>3.44</v>
      </c>
      <c r="L7" s="75">
        <v>1.68</v>
      </c>
      <c r="M7" s="36">
        <v>17337</v>
      </c>
      <c r="N7" s="246">
        <v>1389</v>
      </c>
      <c r="O7" s="36">
        <v>21131</v>
      </c>
      <c r="P7" s="246">
        <v>2190</v>
      </c>
      <c r="Q7" s="36">
        <v>107760</v>
      </c>
      <c r="R7" s="246">
        <v>73194</v>
      </c>
      <c r="S7" s="36">
        <v>1124</v>
      </c>
      <c r="T7" s="246">
        <v>999</v>
      </c>
      <c r="U7" s="36">
        <v>4266</v>
      </c>
      <c r="V7" s="246">
        <v>726</v>
      </c>
      <c r="W7" s="36">
        <v>25557</v>
      </c>
      <c r="X7" s="246">
        <v>3793</v>
      </c>
      <c r="Y7" s="36">
        <v>25786</v>
      </c>
      <c r="Z7" s="246">
        <v>9795</v>
      </c>
      <c r="AA7" s="36">
        <v>6825</v>
      </c>
      <c r="AB7" s="246">
        <v>10730</v>
      </c>
      <c r="AC7" s="36">
        <v>240.1</v>
      </c>
      <c r="AD7" s="246">
        <v>255.8</v>
      </c>
      <c r="AE7" s="36">
        <v>1005</v>
      </c>
      <c r="AF7" s="246">
        <v>175</v>
      </c>
      <c r="AG7" s="36">
        <v>3150</v>
      </c>
      <c r="AH7" s="246">
        <v>2561</v>
      </c>
      <c r="AI7" s="36">
        <v>97639</v>
      </c>
      <c r="AJ7" s="246">
        <v>90852</v>
      </c>
      <c r="AK7" s="72">
        <v>68.807000000000002</v>
      </c>
      <c r="AL7" s="75">
        <v>40.78</v>
      </c>
      <c r="AM7" s="72">
        <v>357.86</v>
      </c>
      <c r="AN7" s="75">
        <v>91.4</v>
      </c>
      <c r="AO7" s="72">
        <v>102.35</v>
      </c>
      <c r="AP7" s="75">
        <v>93.2</v>
      </c>
      <c r="AQ7" s="72">
        <v>266</v>
      </c>
      <c r="AR7" s="75">
        <v>151.80000000000001</v>
      </c>
      <c r="AS7" s="72">
        <v>23.49</v>
      </c>
      <c r="AT7" s="75">
        <v>20.18</v>
      </c>
      <c r="AU7" s="130">
        <v>5348.2</v>
      </c>
      <c r="AV7" s="75">
        <v>2</v>
      </c>
      <c r="AW7" s="72">
        <v>0.9</v>
      </c>
      <c r="AX7" s="75">
        <v>1.18</v>
      </c>
      <c r="AY7" s="130">
        <v>106.81</v>
      </c>
      <c r="AZ7" s="75">
        <v>40.799999999999997</v>
      </c>
      <c r="BA7" s="72">
        <v>303.77</v>
      </c>
      <c r="BB7" s="75">
        <v>49.1</v>
      </c>
      <c r="BC7" s="72">
        <v>58.497999999999998</v>
      </c>
      <c r="BD7" s="75">
        <v>51.558999999999997</v>
      </c>
      <c r="BE7" s="72">
        <v>227.97</v>
      </c>
      <c r="BF7" s="75">
        <v>206.4</v>
      </c>
      <c r="BG7" s="72">
        <v>39.200000000000003</v>
      </c>
      <c r="BH7" s="75">
        <v>44.98</v>
      </c>
      <c r="BI7" s="72">
        <v>4.2699999999999996</v>
      </c>
      <c r="BJ7" s="75">
        <v>1.65</v>
      </c>
      <c r="BK7" s="72">
        <v>2.4689999999999999</v>
      </c>
      <c r="BL7" s="75">
        <v>7.0999999999999994E-2</v>
      </c>
      <c r="BM7" s="72">
        <v>1.1439999999999999</v>
      </c>
      <c r="BN7" s="75">
        <v>0.33400000000000002</v>
      </c>
      <c r="BO7" s="72">
        <v>2.57</v>
      </c>
      <c r="BP7" s="75">
        <v>2.2400000000000002</v>
      </c>
      <c r="BQ7" s="72">
        <v>5.7030000000000003</v>
      </c>
      <c r="BR7" s="75">
        <v>0.29599999999999999</v>
      </c>
      <c r="BS7" s="72">
        <v>7.4119999999999999</v>
      </c>
      <c r="BT7" s="75">
        <v>2.3319999999999999</v>
      </c>
      <c r="BU7" s="72">
        <v>728.73</v>
      </c>
      <c r="BV7" s="75">
        <v>251.6</v>
      </c>
      <c r="BW7" s="72">
        <v>109.23399999999999</v>
      </c>
      <c r="BX7" s="75">
        <v>52.01</v>
      </c>
      <c r="BY7" s="72">
        <v>123.864</v>
      </c>
      <c r="BZ7" s="75">
        <v>55.24</v>
      </c>
      <c r="CA7" s="72">
        <v>22.356000000000002</v>
      </c>
      <c r="CB7" s="75">
        <v>9.7349999999999994</v>
      </c>
      <c r="CC7" s="72">
        <v>83.91</v>
      </c>
      <c r="CD7" s="75">
        <v>37.29</v>
      </c>
      <c r="CE7" s="72">
        <v>15.31</v>
      </c>
      <c r="CF7" s="75">
        <v>7.625</v>
      </c>
      <c r="CG7" s="72">
        <v>3.08</v>
      </c>
      <c r="CH7" s="75">
        <v>1.794</v>
      </c>
      <c r="CI7" s="72">
        <v>12.465</v>
      </c>
      <c r="CJ7" s="75">
        <v>8.8699999999999992</v>
      </c>
      <c r="CK7" s="72">
        <v>1.83</v>
      </c>
      <c r="CL7" s="75">
        <v>1.3360000000000001</v>
      </c>
      <c r="CM7" s="72">
        <v>9.3919999999999995</v>
      </c>
      <c r="CN7" s="75">
        <v>8.9369999999999994</v>
      </c>
      <c r="CO7" s="72">
        <v>1.978</v>
      </c>
      <c r="CP7" s="75">
        <v>1.718</v>
      </c>
      <c r="CQ7" s="72">
        <v>5.4189999999999996</v>
      </c>
      <c r="CR7" s="75">
        <v>4.7910000000000004</v>
      </c>
      <c r="CS7" s="72">
        <v>0.76100000000000001</v>
      </c>
      <c r="CT7" s="75">
        <v>0.70799999999999996</v>
      </c>
      <c r="CU7" s="72">
        <v>4.4290000000000003</v>
      </c>
      <c r="CV7" s="75">
        <v>4.1079999999999997</v>
      </c>
      <c r="CW7" s="72">
        <v>0.69</v>
      </c>
      <c r="CX7" s="75">
        <v>0.61799999999999999</v>
      </c>
      <c r="CY7" s="72">
        <v>5.7370000000000001</v>
      </c>
      <c r="CZ7" s="75">
        <v>5.21</v>
      </c>
      <c r="DA7" s="72">
        <v>2.1819999999999999</v>
      </c>
      <c r="DB7" s="75">
        <v>2.4660000000000002</v>
      </c>
      <c r="DC7" s="72">
        <v>19.396999999999998</v>
      </c>
      <c r="DD7" s="75">
        <v>0.95899999999999996</v>
      </c>
      <c r="DE7" s="72">
        <v>0.96499999999999997</v>
      </c>
      <c r="DF7" s="75">
        <v>0.21099999999999999</v>
      </c>
      <c r="DG7" s="72">
        <v>197.6</v>
      </c>
      <c r="DH7" s="75">
        <v>8.51</v>
      </c>
      <c r="DI7" s="72">
        <v>12.01</v>
      </c>
      <c r="DJ7" s="75">
        <v>0.16</v>
      </c>
      <c r="DK7" s="72">
        <v>13.542</v>
      </c>
      <c r="DL7" s="75">
        <v>6.06</v>
      </c>
      <c r="DM7" s="72">
        <v>5.4470000000000001</v>
      </c>
      <c r="DN7" s="75">
        <v>1.2150000000000001</v>
      </c>
      <c r="DO7" s="130"/>
      <c r="DP7" s="72"/>
      <c r="DQ7" s="72"/>
      <c r="DR7" s="72"/>
      <c r="DS7" s="72"/>
      <c r="DT7" s="130"/>
      <c r="DU7" s="130"/>
      <c r="DV7" s="130"/>
      <c r="DW7" s="130"/>
      <c r="DX7" s="130"/>
      <c r="DY7" s="130"/>
      <c r="DZ7" s="36"/>
      <c r="EA7" s="36"/>
      <c r="EB7" s="36"/>
      <c r="EC7" s="36"/>
      <c r="ED7" s="36"/>
      <c r="EE7" s="36"/>
      <c r="EF7" s="130"/>
      <c r="EG7" s="130"/>
      <c r="EH7" s="130"/>
      <c r="EI7" s="130"/>
      <c r="EJ7" s="130"/>
      <c r="EK7" s="130"/>
      <c r="EL7" s="130"/>
      <c r="EM7" s="130"/>
      <c r="EN7" s="130"/>
      <c r="EO7" s="130"/>
      <c r="EP7" s="130"/>
      <c r="EQ7" s="130"/>
      <c r="ER7" s="130"/>
      <c r="ES7" s="130"/>
      <c r="ET7" s="130"/>
      <c r="EU7" s="130"/>
      <c r="EV7" s="130"/>
      <c r="EW7" s="130"/>
      <c r="EX7" s="130"/>
      <c r="EY7" s="130"/>
      <c r="EZ7" s="130"/>
      <c r="FA7" s="130"/>
      <c r="FB7" s="130"/>
      <c r="FC7" s="130"/>
      <c r="FD7" s="130"/>
      <c r="FE7" s="130"/>
      <c r="FF7" s="130"/>
      <c r="FG7" s="130"/>
      <c r="FH7" s="130"/>
      <c r="FI7" s="130"/>
      <c r="FJ7" s="72"/>
      <c r="FK7" s="72"/>
      <c r="FL7" s="130"/>
      <c r="FM7" s="130"/>
      <c r="FN7" s="72"/>
      <c r="FO7" s="72"/>
      <c r="FP7" s="72"/>
      <c r="FQ7" s="72"/>
      <c r="FR7" s="72"/>
      <c r="FS7" s="72"/>
    </row>
    <row r="8" spans="1:175">
      <c r="B8" s="47" t="s">
        <v>699</v>
      </c>
      <c r="C8" s="72">
        <v>2.1358647285674781</v>
      </c>
      <c r="D8" s="74">
        <v>21.625089094796625</v>
      </c>
      <c r="E8" s="72">
        <v>5.53</v>
      </c>
      <c r="F8" s="75">
        <v>6.05</v>
      </c>
      <c r="G8" s="72">
        <v>0.31709999999999999</v>
      </c>
      <c r="H8" s="75">
        <v>7.8829999999999997E-2</v>
      </c>
      <c r="I8" s="72">
        <v>12.7</v>
      </c>
      <c r="J8" s="75">
        <v>20</v>
      </c>
      <c r="K8" s="72">
        <v>1.0975000000000001</v>
      </c>
      <c r="L8" s="75">
        <v>1.68</v>
      </c>
      <c r="M8" s="36">
        <v>1887.75</v>
      </c>
      <c r="N8" s="246">
        <v>1389</v>
      </c>
      <c r="O8" s="36">
        <v>1987</v>
      </c>
      <c r="P8" s="246">
        <v>2190</v>
      </c>
      <c r="Q8" s="36">
        <v>48581.5</v>
      </c>
      <c r="R8" s="246">
        <v>73194</v>
      </c>
      <c r="S8" s="36">
        <v>351.75</v>
      </c>
      <c r="T8" s="246">
        <v>999</v>
      </c>
      <c r="U8" s="36">
        <v>142.5</v>
      </c>
      <c r="V8" s="246">
        <v>726</v>
      </c>
      <c r="W8" s="36">
        <v>11305.25</v>
      </c>
      <c r="X8" s="246">
        <v>3793</v>
      </c>
      <c r="Y8" s="36">
        <v>1677.75</v>
      </c>
      <c r="Z8" s="246">
        <v>9795</v>
      </c>
      <c r="AA8" s="36">
        <v>1852.15</v>
      </c>
      <c r="AB8" s="246">
        <v>10730</v>
      </c>
      <c r="AC8" s="36">
        <v>65.375</v>
      </c>
      <c r="AD8" s="246">
        <v>255.8</v>
      </c>
      <c r="AE8" s="36">
        <v>124.35000000000001</v>
      </c>
      <c r="AF8" s="246">
        <v>175</v>
      </c>
      <c r="AG8" s="36">
        <v>921.47499999999991</v>
      </c>
      <c r="AH8" s="246">
        <v>2561</v>
      </c>
      <c r="AI8" s="36">
        <v>25991.5</v>
      </c>
      <c r="AJ8" s="246">
        <v>90852</v>
      </c>
      <c r="AK8" s="72">
        <v>24.555</v>
      </c>
      <c r="AL8" s="75">
        <v>40.78</v>
      </c>
      <c r="AM8" s="72">
        <v>42.019999999999996</v>
      </c>
      <c r="AN8" s="75">
        <v>91.4</v>
      </c>
      <c r="AO8" s="72">
        <v>36.287500000000001</v>
      </c>
      <c r="AP8" s="75">
        <v>93.2</v>
      </c>
      <c r="AQ8" s="72">
        <v>70.25</v>
      </c>
      <c r="AR8" s="75">
        <v>151.80000000000001</v>
      </c>
      <c r="AS8" s="72">
        <v>10.9925</v>
      </c>
      <c r="AT8" s="75">
        <v>20.18</v>
      </c>
      <c r="AU8" s="130">
        <v>100.625</v>
      </c>
      <c r="AV8" s="75">
        <v>2</v>
      </c>
      <c r="AW8" s="72">
        <v>0.26</v>
      </c>
      <c r="AX8" s="75">
        <v>1.18</v>
      </c>
      <c r="AY8" s="130">
        <v>53.765000000000001</v>
      </c>
      <c r="AZ8" s="75">
        <v>40.799999999999997</v>
      </c>
      <c r="BA8" s="72">
        <v>33.7575</v>
      </c>
      <c r="BB8" s="75">
        <v>49.1</v>
      </c>
      <c r="BC8" s="72">
        <v>11.3285</v>
      </c>
      <c r="BD8" s="75">
        <v>51.558999999999997</v>
      </c>
      <c r="BE8" s="72">
        <v>101.17</v>
      </c>
      <c r="BF8" s="75">
        <v>206.4</v>
      </c>
      <c r="BG8" s="72">
        <v>8.984</v>
      </c>
      <c r="BH8" s="75">
        <v>44.98</v>
      </c>
      <c r="BI8" s="72">
        <v>1.8175000000000001</v>
      </c>
      <c r="BJ8" s="75">
        <v>1.65</v>
      </c>
      <c r="BK8" s="72">
        <v>0.35375000000000001</v>
      </c>
      <c r="BL8" s="75">
        <v>7.0999999999999994E-2</v>
      </c>
      <c r="BM8" s="72">
        <v>0.11975</v>
      </c>
      <c r="BN8" s="75">
        <v>0.33400000000000002</v>
      </c>
      <c r="BO8" s="72">
        <v>1.165</v>
      </c>
      <c r="BP8" s="75">
        <v>2.2400000000000002</v>
      </c>
      <c r="BQ8" s="72">
        <v>0.82374999999999998</v>
      </c>
      <c r="BR8" s="75">
        <v>0.29599999999999999</v>
      </c>
      <c r="BS8" s="72">
        <v>2.0407500000000001</v>
      </c>
      <c r="BT8" s="75">
        <v>2.3319999999999999</v>
      </c>
      <c r="BU8" s="72">
        <v>401.07749999999999</v>
      </c>
      <c r="BV8" s="75">
        <v>251.6</v>
      </c>
      <c r="BW8" s="72">
        <v>24.561999999999998</v>
      </c>
      <c r="BX8" s="75">
        <v>52.01</v>
      </c>
      <c r="BY8" s="72">
        <v>72.577500000000001</v>
      </c>
      <c r="BZ8" s="75">
        <v>55.24</v>
      </c>
      <c r="CA8" s="72">
        <v>4.85175</v>
      </c>
      <c r="CB8" s="75">
        <v>9.7349999999999994</v>
      </c>
      <c r="CC8" s="72">
        <v>18.315000000000001</v>
      </c>
      <c r="CD8" s="75">
        <v>37.29</v>
      </c>
      <c r="CE8" s="72">
        <v>3.26925</v>
      </c>
      <c r="CF8" s="75">
        <v>7.625</v>
      </c>
      <c r="CG8" s="72">
        <v>0.64224999999999999</v>
      </c>
      <c r="CH8" s="75">
        <v>1.794</v>
      </c>
      <c r="CI8" s="72">
        <v>2.4969999999999999</v>
      </c>
      <c r="CJ8" s="75">
        <v>8.8699999999999992</v>
      </c>
      <c r="CK8" s="72">
        <v>0.39200000000000002</v>
      </c>
      <c r="CL8" s="75">
        <v>1.3360000000000001</v>
      </c>
      <c r="CM8" s="72">
        <v>2.1512500000000001</v>
      </c>
      <c r="CN8" s="75">
        <v>8.9369999999999994</v>
      </c>
      <c r="CO8" s="72">
        <v>0.44400000000000001</v>
      </c>
      <c r="CP8" s="75">
        <v>1.718</v>
      </c>
      <c r="CQ8" s="72">
        <v>1.2649999999999999</v>
      </c>
      <c r="CR8" s="75">
        <v>4.7910000000000004</v>
      </c>
      <c r="CS8" s="72">
        <v>0.18525</v>
      </c>
      <c r="CT8" s="75">
        <v>0.70799999999999996</v>
      </c>
      <c r="CU8" s="72">
        <v>1.1575</v>
      </c>
      <c r="CV8" s="75">
        <v>4.1079999999999997</v>
      </c>
      <c r="CW8" s="72">
        <v>0.17649999999999999</v>
      </c>
      <c r="CX8" s="75">
        <v>0.61799999999999999</v>
      </c>
      <c r="CY8" s="72">
        <v>2.8737499999999998</v>
      </c>
      <c r="CZ8" s="75">
        <v>5.21</v>
      </c>
      <c r="DA8" s="72">
        <v>0.57299999999999995</v>
      </c>
      <c r="DB8" s="75">
        <v>2.4660000000000002</v>
      </c>
      <c r="DC8" s="72">
        <v>2.7487499999999998</v>
      </c>
      <c r="DD8" s="75">
        <v>0.95899999999999996</v>
      </c>
      <c r="DE8" s="72">
        <v>0.33100000000000002</v>
      </c>
      <c r="DF8" s="75">
        <v>0.21099999999999999</v>
      </c>
      <c r="DG8" s="72">
        <v>28.475000000000001</v>
      </c>
      <c r="DH8" s="75">
        <v>8.51</v>
      </c>
      <c r="DI8" s="72">
        <v>0.53</v>
      </c>
      <c r="DJ8" s="75">
        <v>0.16</v>
      </c>
      <c r="DK8" s="72">
        <v>6.1527500000000002</v>
      </c>
      <c r="DL8" s="75">
        <v>6.06</v>
      </c>
      <c r="DM8" s="72">
        <v>1.8120000000000001</v>
      </c>
      <c r="DN8" s="75">
        <v>1.2150000000000001</v>
      </c>
      <c r="DO8" s="130"/>
      <c r="DP8" s="72"/>
      <c r="DQ8" s="72"/>
      <c r="DR8" s="72"/>
      <c r="DS8" s="72"/>
      <c r="DT8" s="130"/>
      <c r="DU8" s="130"/>
      <c r="DV8" s="130"/>
      <c r="DW8" s="130"/>
      <c r="DX8" s="130"/>
      <c r="DY8" s="130"/>
      <c r="DZ8" s="36"/>
      <c r="EA8" s="36"/>
      <c r="EB8" s="36"/>
      <c r="EC8" s="36"/>
      <c r="ED8" s="36"/>
      <c r="EE8" s="36"/>
      <c r="EF8" s="130"/>
      <c r="EG8" s="130"/>
      <c r="EH8" s="130"/>
      <c r="EI8" s="130"/>
      <c r="EJ8" s="130"/>
      <c r="EK8" s="130"/>
      <c r="EL8" s="130"/>
      <c r="EM8" s="130"/>
      <c r="EN8" s="130"/>
      <c r="EO8" s="130"/>
      <c r="EP8" s="130"/>
      <c r="EQ8" s="130"/>
      <c r="ER8" s="130"/>
      <c r="ES8" s="130"/>
      <c r="ET8" s="130"/>
      <c r="EU8" s="130"/>
      <c r="EV8" s="130"/>
      <c r="EW8" s="130"/>
      <c r="EX8" s="130"/>
      <c r="EY8" s="130"/>
      <c r="EZ8" s="130"/>
      <c r="FA8" s="130"/>
      <c r="FB8" s="130"/>
      <c r="FC8" s="130"/>
      <c r="FD8" s="130"/>
      <c r="FE8" s="130"/>
      <c r="FF8" s="130"/>
      <c r="FG8" s="130"/>
      <c r="FH8" s="130"/>
      <c r="FI8" s="130"/>
      <c r="FJ8" s="72"/>
      <c r="FK8" s="72"/>
      <c r="FL8" s="130"/>
      <c r="FM8" s="130"/>
      <c r="FN8" s="72"/>
      <c r="FO8" s="72"/>
      <c r="FP8" s="72"/>
      <c r="FQ8" s="72"/>
      <c r="FR8" s="72"/>
      <c r="FS8" s="72"/>
    </row>
    <row r="9" spans="1:175">
      <c r="B9" s="47" t="s">
        <v>700</v>
      </c>
      <c r="C9" s="72">
        <v>3.0004559963521675</v>
      </c>
      <c r="D9" s="74">
        <v>21.625089094796625</v>
      </c>
      <c r="E9" s="72">
        <v>6.25</v>
      </c>
      <c r="F9" s="75">
        <v>6.05</v>
      </c>
      <c r="G9" s="72">
        <v>1.5039950000000002</v>
      </c>
      <c r="H9" s="75">
        <v>7.8829999999999997E-2</v>
      </c>
      <c r="I9" s="72">
        <v>15</v>
      </c>
      <c r="J9" s="75">
        <v>20</v>
      </c>
      <c r="K9" s="72">
        <v>1.645</v>
      </c>
      <c r="L9" s="75">
        <v>1.68</v>
      </c>
      <c r="M9" s="36">
        <v>4789.5</v>
      </c>
      <c r="N9" s="246">
        <v>1389</v>
      </c>
      <c r="O9" s="36">
        <v>5620</v>
      </c>
      <c r="P9" s="246">
        <v>2190</v>
      </c>
      <c r="Q9" s="36">
        <v>71452</v>
      </c>
      <c r="R9" s="246">
        <v>73194</v>
      </c>
      <c r="S9" s="36">
        <v>463.5</v>
      </c>
      <c r="T9" s="246">
        <v>999</v>
      </c>
      <c r="U9" s="36">
        <v>335.5</v>
      </c>
      <c r="V9" s="246">
        <v>726</v>
      </c>
      <c r="W9" s="36">
        <v>14497</v>
      </c>
      <c r="X9" s="246">
        <v>3793</v>
      </c>
      <c r="Y9" s="36">
        <v>3883.5</v>
      </c>
      <c r="Z9" s="246">
        <v>9795</v>
      </c>
      <c r="AA9" s="36">
        <v>2660.05</v>
      </c>
      <c r="AB9" s="246">
        <v>10730</v>
      </c>
      <c r="AC9" s="36">
        <v>126.65</v>
      </c>
      <c r="AD9" s="246">
        <v>255.8</v>
      </c>
      <c r="AE9" s="36">
        <v>215.85</v>
      </c>
      <c r="AF9" s="246">
        <v>175</v>
      </c>
      <c r="AG9" s="36">
        <v>1191.5</v>
      </c>
      <c r="AH9" s="246">
        <v>2561</v>
      </c>
      <c r="AI9" s="36">
        <v>46818.5</v>
      </c>
      <c r="AJ9" s="246">
        <v>90852</v>
      </c>
      <c r="AK9" s="72">
        <v>38.209000000000003</v>
      </c>
      <c r="AL9" s="75">
        <v>40.78</v>
      </c>
      <c r="AM9" s="72">
        <v>74.240000000000009</v>
      </c>
      <c r="AN9" s="75">
        <v>91.4</v>
      </c>
      <c r="AO9" s="72">
        <v>56.424999999999997</v>
      </c>
      <c r="AP9" s="75">
        <v>93.2</v>
      </c>
      <c r="AQ9" s="72">
        <v>104.5</v>
      </c>
      <c r="AR9" s="75">
        <v>151.80000000000001</v>
      </c>
      <c r="AS9" s="72">
        <v>16.065000000000001</v>
      </c>
      <c r="AT9" s="75">
        <v>20.18</v>
      </c>
      <c r="AU9" s="130">
        <v>221.05</v>
      </c>
      <c r="AV9" s="75">
        <v>2</v>
      </c>
      <c r="AW9" s="72">
        <v>0.47000000000000003</v>
      </c>
      <c r="AX9" s="75">
        <v>1.18</v>
      </c>
      <c r="AY9" s="130">
        <v>67.349999999999994</v>
      </c>
      <c r="AZ9" s="75">
        <v>40.799999999999997</v>
      </c>
      <c r="BA9" s="72">
        <v>95.830000000000013</v>
      </c>
      <c r="BB9" s="75">
        <v>49.1</v>
      </c>
      <c r="BC9" s="72">
        <v>14.73</v>
      </c>
      <c r="BD9" s="75">
        <v>51.558999999999997</v>
      </c>
      <c r="BE9" s="72">
        <v>132.72999999999999</v>
      </c>
      <c r="BF9" s="75">
        <v>206.4</v>
      </c>
      <c r="BG9" s="72">
        <v>15.429</v>
      </c>
      <c r="BH9" s="75">
        <v>44.98</v>
      </c>
      <c r="BI9" s="72">
        <v>2.13</v>
      </c>
      <c r="BJ9" s="75">
        <v>1.65</v>
      </c>
      <c r="BK9" s="72">
        <v>0.80950000000000011</v>
      </c>
      <c r="BL9" s="75">
        <v>7.0999999999999994E-2</v>
      </c>
      <c r="BM9" s="72">
        <v>0.185</v>
      </c>
      <c r="BN9" s="75">
        <v>0.33400000000000002</v>
      </c>
      <c r="BO9" s="72">
        <v>1.5350000000000001</v>
      </c>
      <c r="BP9" s="75">
        <v>2.2400000000000002</v>
      </c>
      <c r="BQ9" s="72">
        <v>1.0960000000000001</v>
      </c>
      <c r="BR9" s="75">
        <v>0.29599999999999999</v>
      </c>
      <c r="BS9" s="72">
        <v>2.4335</v>
      </c>
      <c r="BT9" s="75">
        <v>2.3319999999999999</v>
      </c>
      <c r="BU9" s="72">
        <v>448.67</v>
      </c>
      <c r="BV9" s="75">
        <v>251.6</v>
      </c>
      <c r="BW9" s="72">
        <v>28.445</v>
      </c>
      <c r="BX9" s="75">
        <v>52.01</v>
      </c>
      <c r="BY9" s="72">
        <v>84.316499999999991</v>
      </c>
      <c r="BZ9" s="75">
        <v>55.24</v>
      </c>
      <c r="CA9" s="72">
        <v>5.9154999999999998</v>
      </c>
      <c r="CB9" s="75">
        <v>9.7349999999999994</v>
      </c>
      <c r="CC9" s="72">
        <v>22.074999999999999</v>
      </c>
      <c r="CD9" s="75">
        <v>37.29</v>
      </c>
      <c r="CE9" s="72">
        <v>4.157</v>
      </c>
      <c r="CF9" s="75">
        <v>7.625</v>
      </c>
      <c r="CG9" s="72">
        <v>0.95250000000000001</v>
      </c>
      <c r="CH9" s="75">
        <v>1.794</v>
      </c>
      <c r="CI9" s="72">
        <v>3.2709999999999999</v>
      </c>
      <c r="CJ9" s="75">
        <v>8.8699999999999992</v>
      </c>
      <c r="CK9" s="72">
        <v>0.4995</v>
      </c>
      <c r="CL9" s="75">
        <v>1.3360000000000001</v>
      </c>
      <c r="CM9" s="72">
        <v>2.7605</v>
      </c>
      <c r="CN9" s="75">
        <v>8.9369999999999994</v>
      </c>
      <c r="CO9" s="72">
        <v>0.55099999999999993</v>
      </c>
      <c r="CP9" s="75">
        <v>1.718</v>
      </c>
      <c r="CQ9" s="72">
        <v>1.5874999999999999</v>
      </c>
      <c r="CR9" s="75">
        <v>4.7910000000000004</v>
      </c>
      <c r="CS9" s="72">
        <v>0.23549999999999999</v>
      </c>
      <c r="CT9" s="75">
        <v>0.70799999999999996</v>
      </c>
      <c r="CU9" s="72">
        <v>1.4419999999999999</v>
      </c>
      <c r="CV9" s="75">
        <v>4.1079999999999997</v>
      </c>
      <c r="CW9" s="72">
        <v>0.221</v>
      </c>
      <c r="CX9" s="75">
        <v>0.61799999999999999</v>
      </c>
      <c r="CY9" s="72">
        <v>3.8574999999999999</v>
      </c>
      <c r="CZ9" s="75">
        <v>5.21</v>
      </c>
      <c r="DA9" s="72">
        <v>0.90100000000000002</v>
      </c>
      <c r="DB9" s="75">
        <v>2.4660000000000002</v>
      </c>
      <c r="DC9" s="72">
        <v>4.1550000000000002</v>
      </c>
      <c r="DD9" s="75">
        <v>0.95899999999999996</v>
      </c>
      <c r="DE9" s="72">
        <v>0.40849999999999997</v>
      </c>
      <c r="DF9" s="75">
        <v>0.21099999999999999</v>
      </c>
      <c r="DG9" s="72">
        <v>36.349999999999994</v>
      </c>
      <c r="DH9" s="75">
        <v>8.51</v>
      </c>
      <c r="DI9" s="72">
        <v>1.28</v>
      </c>
      <c r="DJ9" s="75">
        <v>0.16</v>
      </c>
      <c r="DK9" s="72">
        <v>7.306</v>
      </c>
      <c r="DL9" s="75">
        <v>6.06</v>
      </c>
      <c r="DM9" s="72">
        <v>2.0145</v>
      </c>
      <c r="DN9" s="75">
        <v>1.2150000000000001</v>
      </c>
      <c r="DO9" s="130"/>
      <c r="DP9" s="72"/>
      <c r="DQ9" s="72"/>
      <c r="DR9" s="72"/>
      <c r="DS9" s="72"/>
      <c r="DT9" s="130"/>
      <c r="DU9" s="130"/>
      <c r="DV9" s="130"/>
      <c r="DW9" s="130"/>
      <c r="DX9" s="130"/>
      <c r="DY9" s="130"/>
      <c r="DZ9" s="36"/>
      <c r="EA9" s="36"/>
      <c r="EB9" s="36"/>
      <c r="EC9" s="36"/>
      <c r="ED9" s="36"/>
      <c r="EE9" s="36"/>
      <c r="EF9" s="130"/>
      <c r="EG9" s="130"/>
      <c r="EH9" s="130"/>
      <c r="EI9" s="130"/>
      <c r="EJ9" s="130"/>
      <c r="EK9" s="130"/>
      <c r="EL9" s="130"/>
      <c r="EM9" s="130"/>
      <c r="EN9" s="130"/>
      <c r="EO9" s="130"/>
      <c r="EP9" s="130"/>
      <c r="EQ9" s="130"/>
      <c r="ER9" s="130"/>
      <c r="ES9" s="130"/>
      <c r="ET9" s="130"/>
      <c r="EU9" s="130"/>
      <c r="EV9" s="130"/>
      <c r="EW9" s="130"/>
      <c r="EX9" s="130"/>
      <c r="EY9" s="130"/>
      <c r="EZ9" s="130"/>
      <c r="FA9" s="130"/>
      <c r="FB9" s="130"/>
      <c r="FC9" s="130"/>
      <c r="FD9" s="130"/>
      <c r="FE9" s="130"/>
      <c r="FF9" s="130"/>
      <c r="FG9" s="130"/>
      <c r="FH9" s="130"/>
      <c r="FI9" s="130"/>
      <c r="FJ9" s="72"/>
      <c r="FK9" s="72"/>
      <c r="FL9" s="130"/>
      <c r="FM9" s="130"/>
      <c r="FN9" s="72"/>
      <c r="FO9" s="72"/>
      <c r="FP9" s="72"/>
      <c r="FQ9" s="72"/>
      <c r="FR9" s="72"/>
      <c r="FS9" s="72"/>
    </row>
    <row r="10" spans="1:175">
      <c r="B10" s="47" t="s">
        <v>701</v>
      </c>
      <c r="C10" s="72">
        <v>6.8431744142795941</v>
      </c>
      <c r="D10" s="74">
        <v>21.625089094796625</v>
      </c>
      <c r="E10" s="72">
        <v>7.51</v>
      </c>
      <c r="F10" s="75">
        <v>6.05</v>
      </c>
      <c r="G10" s="72">
        <v>26.497118999999945</v>
      </c>
      <c r="H10" s="75">
        <v>7.8829999999999997E-2</v>
      </c>
      <c r="I10" s="72">
        <v>43.065000000000005</v>
      </c>
      <c r="J10" s="75">
        <v>20</v>
      </c>
      <c r="K10" s="72">
        <v>3.2785000000000002</v>
      </c>
      <c r="L10" s="75">
        <v>1.68</v>
      </c>
      <c r="M10" s="36">
        <v>11773.800000000005</v>
      </c>
      <c r="N10" s="246">
        <v>1389</v>
      </c>
      <c r="O10" s="36">
        <v>13755.200000000006</v>
      </c>
      <c r="P10" s="246">
        <v>2190</v>
      </c>
      <c r="Q10" s="36">
        <v>105199.75</v>
      </c>
      <c r="R10" s="246">
        <v>73194</v>
      </c>
      <c r="S10" s="36">
        <v>916.9000000000002</v>
      </c>
      <c r="T10" s="246">
        <v>999</v>
      </c>
      <c r="U10" s="36">
        <v>3946.8</v>
      </c>
      <c r="V10" s="246">
        <v>726</v>
      </c>
      <c r="W10" s="36">
        <v>25065.850000000002</v>
      </c>
      <c r="X10" s="246">
        <v>3793</v>
      </c>
      <c r="Y10" s="36">
        <v>11954.95000000001</v>
      </c>
      <c r="Z10" s="246">
        <v>9795</v>
      </c>
      <c r="AA10" s="36">
        <v>5923.1650000000009</v>
      </c>
      <c r="AB10" s="246">
        <v>10730</v>
      </c>
      <c r="AC10" s="36">
        <v>229.46</v>
      </c>
      <c r="AD10" s="246">
        <v>255.8</v>
      </c>
      <c r="AE10" s="36">
        <v>988.09</v>
      </c>
      <c r="AF10" s="246">
        <v>175</v>
      </c>
      <c r="AG10" s="36">
        <v>2356.1800000000007</v>
      </c>
      <c r="AH10" s="246">
        <v>2561</v>
      </c>
      <c r="AI10" s="36">
        <v>95865.35</v>
      </c>
      <c r="AJ10" s="246">
        <v>90852</v>
      </c>
      <c r="AK10" s="72">
        <v>68.668300000000002</v>
      </c>
      <c r="AL10" s="75">
        <v>40.78</v>
      </c>
      <c r="AM10" s="72">
        <v>246.58650000000009</v>
      </c>
      <c r="AN10" s="75">
        <v>91.4</v>
      </c>
      <c r="AO10" s="72">
        <v>98.835000000000008</v>
      </c>
      <c r="AP10" s="75">
        <v>93.2</v>
      </c>
      <c r="AQ10" s="72">
        <v>229.90000000000003</v>
      </c>
      <c r="AR10" s="75">
        <v>151.80000000000001</v>
      </c>
      <c r="AS10" s="72">
        <v>23.148</v>
      </c>
      <c r="AT10" s="75">
        <v>20.18</v>
      </c>
      <c r="AU10" s="130">
        <v>3502.2550000000015</v>
      </c>
      <c r="AV10" s="75">
        <v>2</v>
      </c>
      <c r="AW10" s="72">
        <v>0.89050000000000007</v>
      </c>
      <c r="AX10" s="75">
        <v>1.18</v>
      </c>
      <c r="AY10" s="130">
        <v>100.54950000000001</v>
      </c>
      <c r="AZ10" s="75">
        <v>40.799999999999997</v>
      </c>
      <c r="BA10" s="72">
        <v>234.85700000000003</v>
      </c>
      <c r="BB10" s="75">
        <v>49.1</v>
      </c>
      <c r="BC10" s="72">
        <v>31.02970000000002</v>
      </c>
      <c r="BD10" s="75">
        <v>51.558999999999997</v>
      </c>
      <c r="BE10" s="72">
        <v>220.44600000000003</v>
      </c>
      <c r="BF10" s="75">
        <v>206.4</v>
      </c>
      <c r="BG10" s="72">
        <v>38.118899999999996</v>
      </c>
      <c r="BH10" s="75">
        <v>44.98</v>
      </c>
      <c r="BI10" s="72">
        <v>3.9280000000000004</v>
      </c>
      <c r="BJ10" s="75">
        <v>1.65</v>
      </c>
      <c r="BK10" s="72">
        <v>1.8116000000000003</v>
      </c>
      <c r="BL10" s="75">
        <v>7.0999999999999994E-2</v>
      </c>
      <c r="BM10" s="72">
        <v>0.96825000000000006</v>
      </c>
      <c r="BN10" s="75">
        <v>0.33400000000000002</v>
      </c>
      <c r="BO10" s="72">
        <v>2.4560000000000004</v>
      </c>
      <c r="BP10" s="75">
        <v>2.2400000000000002</v>
      </c>
      <c r="BQ10" s="72">
        <v>5.2232500000000011</v>
      </c>
      <c r="BR10" s="75">
        <v>0.29599999999999999</v>
      </c>
      <c r="BS10" s="72">
        <v>6.584550000000001</v>
      </c>
      <c r="BT10" s="75">
        <v>2.3319999999999999</v>
      </c>
      <c r="BU10" s="72">
        <v>631.95350000000008</v>
      </c>
      <c r="BV10" s="75">
        <v>251.6</v>
      </c>
      <c r="BW10" s="72">
        <v>59.971750000000036</v>
      </c>
      <c r="BX10" s="75">
        <v>52.01</v>
      </c>
      <c r="BY10" s="72">
        <v>116.15570000000001</v>
      </c>
      <c r="BZ10" s="75">
        <v>55.24</v>
      </c>
      <c r="CA10" s="72">
        <v>12.743900000000007</v>
      </c>
      <c r="CB10" s="75">
        <v>9.7349999999999994</v>
      </c>
      <c r="CC10" s="72">
        <v>47.515500000000031</v>
      </c>
      <c r="CD10" s="75">
        <v>37.29</v>
      </c>
      <c r="CE10" s="72">
        <v>9.112200000000005</v>
      </c>
      <c r="CF10" s="75">
        <v>7.625</v>
      </c>
      <c r="CG10" s="72">
        <v>2.3475500000000009</v>
      </c>
      <c r="CH10" s="75">
        <v>1.794</v>
      </c>
      <c r="CI10" s="72">
        <v>6.7555000000000041</v>
      </c>
      <c r="CJ10" s="75">
        <v>8.8699999999999992</v>
      </c>
      <c r="CK10" s="72">
        <v>1.0215500000000006</v>
      </c>
      <c r="CL10" s="75">
        <v>1.3360000000000001</v>
      </c>
      <c r="CM10" s="72">
        <v>5.6632500000000023</v>
      </c>
      <c r="CN10" s="75">
        <v>8.9369999999999994</v>
      </c>
      <c r="CO10" s="72">
        <v>1.1325000000000007</v>
      </c>
      <c r="CP10" s="75">
        <v>1.718</v>
      </c>
      <c r="CQ10" s="72">
        <v>3.2321000000000017</v>
      </c>
      <c r="CR10" s="75">
        <v>4.7910000000000004</v>
      </c>
      <c r="CS10" s="72">
        <v>0.4836000000000002</v>
      </c>
      <c r="CT10" s="75">
        <v>0.70799999999999996</v>
      </c>
      <c r="CU10" s="72">
        <v>2.8795500000000014</v>
      </c>
      <c r="CV10" s="75">
        <v>4.1079999999999997</v>
      </c>
      <c r="CW10" s="72">
        <v>0.44205000000000017</v>
      </c>
      <c r="CX10" s="75">
        <v>0.61799999999999999</v>
      </c>
      <c r="CY10" s="72">
        <v>5.6249000000000002</v>
      </c>
      <c r="CZ10" s="75">
        <v>5.21</v>
      </c>
      <c r="DA10" s="72">
        <v>2.0965000000000003</v>
      </c>
      <c r="DB10" s="75">
        <v>2.4660000000000002</v>
      </c>
      <c r="DC10" s="72">
        <v>14.057050000000004</v>
      </c>
      <c r="DD10" s="75">
        <v>0.95899999999999996</v>
      </c>
      <c r="DE10" s="72">
        <v>0.81110000000000015</v>
      </c>
      <c r="DF10" s="75">
        <v>0.21099999999999999</v>
      </c>
      <c r="DG10" s="72">
        <v>196.935</v>
      </c>
      <c r="DH10" s="75">
        <v>8.51</v>
      </c>
      <c r="DI10" s="72">
        <v>11.933999999999999</v>
      </c>
      <c r="DJ10" s="75">
        <v>0.16</v>
      </c>
      <c r="DK10" s="72">
        <v>13.20665</v>
      </c>
      <c r="DL10" s="75">
        <v>6.06</v>
      </c>
      <c r="DM10" s="72">
        <v>5.1620000000000008</v>
      </c>
      <c r="DN10" s="75">
        <v>1.2150000000000001</v>
      </c>
      <c r="DO10" s="130"/>
      <c r="DP10" s="72"/>
      <c r="DQ10" s="72"/>
      <c r="DR10" s="72"/>
      <c r="DS10" s="72"/>
      <c r="DT10" s="130"/>
      <c r="DU10" s="130"/>
      <c r="DV10" s="130"/>
      <c r="DW10" s="130"/>
      <c r="DX10" s="130"/>
      <c r="DY10" s="130"/>
      <c r="DZ10" s="36"/>
      <c r="EA10" s="36"/>
      <c r="EB10" s="36"/>
      <c r="EC10" s="36"/>
      <c r="ED10" s="36"/>
      <c r="EE10" s="36"/>
      <c r="EF10" s="130"/>
      <c r="EG10" s="130"/>
      <c r="EH10" s="130"/>
      <c r="EI10" s="130"/>
      <c r="EJ10" s="130"/>
      <c r="EK10" s="130"/>
      <c r="EL10" s="130"/>
      <c r="EM10" s="130"/>
      <c r="EN10" s="130"/>
      <c r="EO10" s="130"/>
      <c r="EP10" s="130"/>
      <c r="EQ10" s="130"/>
      <c r="ER10" s="130"/>
      <c r="ES10" s="130"/>
      <c r="ET10" s="130"/>
      <c r="EU10" s="130"/>
      <c r="EV10" s="130"/>
      <c r="EW10" s="130"/>
      <c r="EX10" s="130"/>
      <c r="EY10" s="130"/>
      <c r="EZ10" s="130"/>
      <c r="FA10" s="130"/>
      <c r="FB10" s="130"/>
      <c r="FC10" s="130"/>
      <c r="FD10" s="130"/>
      <c r="FE10" s="130"/>
      <c r="FF10" s="130"/>
      <c r="FG10" s="130"/>
      <c r="FH10" s="130"/>
      <c r="FI10" s="130"/>
      <c r="FJ10" s="72"/>
      <c r="FK10" s="72"/>
      <c r="FL10" s="130"/>
      <c r="FM10" s="130"/>
      <c r="FN10" s="72"/>
      <c r="FO10" s="72"/>
      <c r="FP10" s="72"/>
      <c r="FQ10" s="72"/>
      <c r="FR10" s="72"/>
      <c r="FS10" s="72"/>
    </row>
    <row r="11" spans="1:175">
      <c r="B11" s="47" t="s">
        <v>702</v>
      </c>
      <c r="C11" s="72">
        <v>3.0715980493468722</v>
      </c>
      <c r="D11" s="74">
        <v>21.625089094796625</v>
      </c>
      <c r="E11" s="72">
        <v>5.9741382177515767</v>
      </c>
      <c r="F11" s="75">
        <v>6.05</v>
      </c>
      <c r="G11" s="72">
        <v>1.5158916149871471</v>
      </c>
      <c r="H11" s="75">
        <v>7.8829999999999997E-2</v>
      </c>
      <c r="I11" s="72">
        <v>15.963512964066696</v>
      </c>
      <c r="J11" s="75">
        <v>20</v>
      </c>
      <c r="K11" s="72">
        <v>1.5594910977887639</v>
      </c>
      <c r="L11" s="75">
        <v>1.68</v>
      </c>
      <c r="M11" s="36">
        <v>3834.6596233209557</v>
      </c>
      <c r="N11" s="246">
        <v>1389</v>
      </c>
      <c r="O11" s="36">
        <v>4779.422309717258</v>
      </c>
      <c r="P11" s="246">
        <v>2190</v>
      </c>
      <c r="Q11" s="36">
        <v>65912.441868922964</v>
      </c>
      <c r="R11" s="246">
        <v>73194</v>
      </c>
      <c r="S11" s="36">
        <v>463.27136089068523</v>
      </c>
      <c r="T11" s="246">
        <v>999</v>
      </c>
      <c r="U11" s="36">
        <v>348.50579878433643</v>
      </c>
      <c r="V11" s="246">
        <v>726</v>
      </c>
      <c r="W11" s="36">
        <v>13885.533078021625</v>
      </c>
      <c r="X11" s="246">
        <v>3793</v>
      </c>
      <c r="Y11" s="36">
        <v>3466.2206472021794</v>
      </c>
      <c r="Z11" s="246">
        <v>9795</v>
      </c>
      <c r="AA11" s="36">
        <v>2637.086893795059</v>
      </c>
      <c r="AB11" s="246">
        <v>10730</v>
      </c>
      <c r="AC11" s="36">
        <v>109.08756753960181</v>
      </c>
      <c r="AD11" s="246">
        <v>255.8</v>
      </c>
      <c r="AE11" s="36">
        <v>220.83811573585695</v>
      </c>
      <c r="AF11" s="246">
        <v>175</v>
      </c>
      <c r="AG11" s="36">
        <v>1054.3236233620714</v>
      </c>
      <c r="AH11" s="246">
        <v>2561</v>
      </c>
      <c r="AI11" s="36">
        <v>43048.876452773577</v>
      </c>
      <c r="AJ11" s="246">
        <v>90852</v>
      </c>
      <c r="AK11" s="72">
        <v>33.177043280514667</v>
      </c>
      <c r="AL11" s="75">
        <v>40.78</v>
      </c>
      <c r="AM11" s="72">
        <v>67.265741513765548</v>
      </c>
      <c r="AN11" s="75">
        <v>91.4</v>
      </c>
      <c r="AO11" s="72">
        <v>49.368311988119459</v>
      </c>
      <c r="AP11" s="75">
        <v>93.2</v>
      </c>
      <c r="AQ11" s="72">
        <v>103.071804198203</v>
      </c>
      <c r="AR11" s="75">
        <v>151.80000000000001</v>
      </c>
      <c r="AS11" s="72">
        <v>14.663312085844911</v>
      </c>
      <c r="AT11" s="75">
        <v>20.18</v>
      </c>
      <c r="AU11" s="130">
        <v>269.47925199667623</v>
      </c>
      <c r="AV11" s="75">
        <v>2</v>
      </c>
      <c r="AW11" s="72">
        <v>0.40192188494989628</v>
      </c>
      <c r="AX11" s="75">
        <v>1.18</v>
      </c>
      <c r="AY11" s="130">
        <v>64.868380724659971</v>
      </c>
      <c r="AZ11" s="75">
        <v>40.799999999999997</v>
      </c>
      <c r="BA11" s="72">
        <v>76.795398584176439</v>
      </c>
      <c r="BB11" s="75">
        <v>49.1</v>
      </c>
      <c r="BC11" s="72">
        <v>15.317055683940213</v>
      </c>
      <c r="BD11" s="75">
        <v>51.558999999999997</v>
      </c>
      <c r="BE11" s="72">
        <v>131.30870680630466</v>
      </c>
      <c r="BF11" s="75">
        <v>206.4</v>
      </c>
      <c r="BG11" s="72">
        <v>16.150148181445818</v>
      </c>
      <c r="BH11" s="75">
        <v>44.98</v>
      </c>
      <c r="BI11" s="72">
        <v>2.1217717088660302</v>
      </c>
      <c r="BJ11" s="75">
        <v>1.65</v>
      </c>
      <c r="BK11" s="72">
        <v>0.6043544441211719</v>
      </c>
      <c r="BL11" s="75">
        <v>7.0999999999999994E-2</v>
      </c>
      <c r="BM11" s="72">
        <v>0.24066711003262398</v>
      </c>
      <c r="BN11" s="75">
        <v>0.33400000000000002</v>
      </c>
      <c r="BO11" s="72">
        <v>1.5721669850872215</v>
      </c>
      <c r="BP11" s="75">
        <v>2.2400000000000002</v>
      </c>
      <c r="BQ11" s="72">
        <v>1.3363673693486566</v>
      </c>
      <c r="BR11" s="75">
        <v>0.29599999999999999</v>
      </c>
      <c r="BS11" s="72">
        <v>2.6091921510921297</v>
      </c>
      <c r="BT11" s="75">
        <v>2.3319999999999999</v>
      </c>
      <c r="BU11" s="72">
        <v>435.75067298837035</v>
      </c>
      <c r="BV11" s="75">
        <v>251.6</v>
      </c>
      <c r="BW11" s="72">
        <v>31.526704997162579</v>
      </c>
      <c r="BX11" s="75">
        <v>52.01</v>
      </c>
      <c r="BY11" s="72">
        <v>82.203495667809875</v>
      </c>
      <c r="BZ11" s="75">
        <v>55.24</v>
      </c>
      <c r="CA11" s="72">
        <v>6.7107529257651244</v>
      </c>
      <c r="CB11" s="75">
        <v>9.7349999999999994</v>
      </c>
      <c r="CC11" s="72">
        <v>25.306880382400649</v>
      </c>
      <c r="CD11" s="75">
        <v>37.29</v>
      </c>
      <c r="CE11" s="72">
        <v>4.5923144106586289</v>
      </c>
      <c r="CF11" s="75">
        <v>7.625</v>
      </c>
      <c r="CG11" s="72">
        <v>1.0249207161601372</v>
      </c>
      <c r="CH11" s="75">
        <v>1.794</v>
      </c>
      <c r="CI11" s="72">
        <v>3.5118962517531083</v>
      </c>
      <c r="CJ11" s="75">
        <v>8.8699999999999992</v>
      </c>
      <c r="CK11" s="72">
        <v>0.52145247058707211</v>
      </c>
      <c r="CL11" s="75">
        <v>1.3360000000000001</v>
      </c>
      <c r="CM11" s="72">
        <v>2.8806765515195272</v>
      </c>
      <c r="CN11" s="75">
        <v>8.9369999999999994</v>
      </c>
      <c r="CO11" s="72">
        <v>0.57489841664963559</v>
      </c>
      <c r="CP11" s="75">
        <v>1.718</v>
      </c>
      <c r="CQ11" s="72">
        <v>1.6197017064739643</v>
      </c>
      <c r="CR11" s="75">
        <v>4.7910000000000004</v>
      </c>
      <c r="CS11" s="72">
        <v>0.24234824769326588</v>
      </c>
      <c r="CT11" s="75">
        <v>0.70799999999999996</v>
      </c>
      <c r="CU11" s="72">
        <v>1.5073437588518375</v>
      </c>
      <c r="CV11" s="75">
        <v>4.1079999999999997</v>
      </c>
      <c r="CW11" s="72">
        <v>0.23004466129067985</v>
      </c>
      <c r="CX11" s="75">
        <v>0.61799999999999999</v>
      </c>
      <c r="CY11" s="72">
        <v>3.6686625253181533</v>
      </c>
      <c r="CZ11" s="75">
        <v>5.21</v>
      </c>
      <c r="DA11" s="72">
        <v>0.94933100539282445</v>
      </c>
      <c r="DB11" s="75">
        <v>2.4660000000000002</v>
      </c>
      <c r="DC11" s="72">
        <v>4.6547908607944688</v>
      </c>
      <c r="DD11" s="75">
        <v>0.95899999999999996</v>
      </c>
      <c r="DE11" s="72">
        <v>0.42949231567700963</v>
      </c>
      <c r="DF11" s="75">
        <v>0.21099999999999999</v>
      </c>
      <c r="DG11" s="72">
        <v>48.973236492531747</v>
      </c>
      <c r="DH11" s="75">
        <v>8.51</v>
      </c>
      <c r="DI11" s="72">
        <v>1.3384138749274237</v>
      </c>
      <c r="DJ11" s="75">
        <v>0.16</v>
      </c>
      <c r="DK11" s="72">
        <v>7.616388868738408</v>
      </c>
      <c r="DL11" s="75">
        <v>6.06</v>
      </c>
      <c r="DM11" s="72">
        <v>2.2289755717940354</v>
      </c>
      <c r="DN11" s="75">
        <v>1.2150000000000001</v>
      </c>
      <c r="DO11" s="130"/>
      <c r="DP11" s="72"/>
      <c r="DQ11" s="72"/>
      <c r="DR11" s="72"/>
      <c r="DS11" s="72"/>
      <c r="DT11" s="130"/>
      <c r="DU11" s="130"/>
      <c r="DV11" s="130"/>
      <c r="DW11" s="130"/>
      <c r="DX11" s="130"/>
      <c r="DY11" s="130"/>
      <c r="DZ11" s="36"/>
      <c r="EA11" s="36"/>
      <c r="EB11" s="36"/>
      <c r="EC11" s="36"/>
      <c r="ED11" s="36"/>
      <c r="EE11" s="36"/>
      <c r="EF11" s="130"/>
      <c r="EG11" s="130"/>
      <c r="EH11" s="130"/>
      <c r="EI11" s="130"/>
      <c r="EJ11" s="130"/>
      <c r="EK11" s="130"/>
      <c r="EL11" s="130"/>
      <c r="EM11" s="130"/>
      <c r="EN11" s="130"/>
      <c r="EO11" s="130"/>
      <c r="EP11" s="130"/>
      <c r="EQ11" s="130"/>
      <c r="ER11" s="130"/>
      <c r="ES11" s="130"/>
      <c r="ET11" s="130"/>
      <c r="EU11" s="130"/>
      <c r="EV11" s="130"/>
      <c r="EW11" s="130"/>
      <c r="EX11" s="130"/>
      <c r="EY11" s="130"/>
      <c r="EZ11" s="130"/>
      <c r="FA11" s="130"/>
      <c r="FB11" s="130"/>
      <c r="FC11" s="130"/>
      <c r="FD11" s="130"/>
      <c r="FE11" s="130"/>
      <c r="FF11" s="130"/>
      <c r="FG11" s="130"/>
      <c r="FH11" s="130"/>
      <c r="FI11" s="130"/>
      <c r="FJ11" s="72"/>
      <c r="FK11" s="72"/>
      <c r="FL11" s="130"/>
      <c r="FM11" s="130"/>
      <c r="FN11" s="72"/>
      <c r="FO11" s="72"/>
      <c r="FP11" s="72"/>
      <c r="FQ11" s="72"/>
      <c r="FR11" s="72"/>
      <c r="FS11" s="72"/>
    </row>
    <row r="12" spans="1:175">
      <c r="B12" s="47" t="s">
        <v>703</v>
      </c>
      <c r="C12" s="72">
        <v>3.5144753043334762</v>
      </c>
      <c r="D12" s="74">
        <v>21.625089094796625</v>
      </c>
      <c r="E12" s="72">
        <v>6.0570588235294114</v>
      </c>
      <c r="F12" s="75">
        <v>6.05</v>
      </c>
      <c r="G12" s="72">
        <v>7.8359032352941185</v>
      </c>
      <c r="H12" s="75">
        <v>7.8829999999999997E-2</v>
      </c>
      <c r="I12" s="72">
        <v>18.559999999999999</v>
      </c>
      <c r="J12" s="75">
        <v>20</v>
      </c>
      <c r="K12" s="72">
        <v>1.7429999999999999</v>
      </c>
      <c r="L12" s="75">
        <v>1.68</v>
      </c>
      <c r="M12" s="36">
        <v>5406.25</v>
      </c>
      <c r="N12" s="246">
        <v>1389</v>
      </c>
      <c r="O12" s="36">
        <v>6365.8</v>
      </c>
      <c r="P12" s="246">
        <v>2190</v>
      </c>
      <c r="Q12" s="36">
        <v>69925.3</v>
      </c>
      <c r="R12" s="246">
        <v>73194</v>
      </c>
      <c r="S12" s="36">
        <v>520.1</v>
      </c>
      <c r="T12" s="246">
        <v>999</v>
      </c>
      <c r="U12" s="36">
        <v>911.4</v>
      </c>
      <c r="V12" s="246">
        <v>726</v>
      </c>
      <c r="W12" s="36">
        <v>14909.5</v>
      </c>
      <c r="X12" s="246">
        <v>3793</v>
      </c>
      <c r="Y12" s="36">
        <v>5057.25</v>
      </c>
      <c r="Z12" s="246">
        <v>9795</v>
      </c>
      <c r="AA12" s="36">
        <v>3061.8900000000003</v>
      </c>
      <c r="AB12" s="246">
        <v>10730</v>
      </c>
      <c r="AC12" s="36">
        <v>126.035</v>
      </c>
      <c r="AD12" s="246">
        <v>255.8</v>
      </c>
      <c r="AE12" s="36">
        <v>294.255</v>
      </c>
      <c r="AF12" s="246">
        <v>175</v>
      </c>
      <c r="AG12" s="36">
        <v>1272.7200000000003</v>
      </c>
      <c r="AH12" s="246">
        <v>2561</v>
      </c>
      <c r="AI12" s="36">
        <v>48823.3</v>
      </c>
      <c r="AJ12" s="246">
        <v>90852</v>
      </c>
      <c r="AK12" s="72">
        <v>38.540049999999994</v>
      </c>
      <c r="AL12" s="75">
        <v>40.78</v>
      </c>
      <c r="AM12" s="72">
        <v>96.309499999999986</v>
      </c>
      <c r="AN12" s="75">
        <v>91.4</v>
      </c>
      <c r="AO12" s="72">
        <v>55.590499999999984</v>
      </c>
      <c r="AP12" s="75">
        <v>93.2</v>
      </c>
      <c r="AQ12" s="72">
        <v>119.55</v>
      </c>
      <c r="AR12" s="75">
        <v>151.80000000000001</v>
      </c>
      <c r="AS12" s="72">
        <v>15.412000000000001</v>
      </c>
      <c r="AT12" s="75">
        <v>20.18</v>
      </c>
      <c r="AU12" s="130">
        <v>779.45</v>
      </c>
      <c r="AV12" s="75">
        <v>2</v>
      </c>
      <c r="AW12" s="72">
        <v>0.48450000000000004</v>
      </c>
      <c r="AX12" s="75">
        <v>1.18</v>
      </c>
      <c r="AY12" s="130">
        <v>68.157499999999999</v>
      </c>
      <c r="AZ12" s="75">
        <v>40.799999999999997</v>
      </c>
      <c r="BA12" s="72">
        <v>101.33250000000001</v>
      </c>
      <c r="BB12" s="75">
        <v>49.1</v>
      </c>
      <c r="BC12" s="72">
        <v>17.292950000000001</v>
      </c>
      <c r="BD12" s="75">
        <v>51.558999999999997</v>
      </c>
      <c r="BE12" s="72">
        <v>140.37700000000001</v>
      </c>
      <c r="BF12" s="75">
        <v>206.4</v>
      </c>
      <c r="BG12" s="72">
        <v>19.404299999999999</v>
      </c>
      <c r="BH12" s="75">
        <v>44.98</v>
      </c>
      <c r="BI12" s="72">
        <v>2.2749999999999995</v>
      </c>
      <c r="BJ12" s="75">
        <v>1.65</v>
      </c>
      <c r="BK12" s="72">
        <v>0.7891999999999999</v>
      </c>
      <c r="BL12" s="75">
        <v>7.0999999999999994E-2</v>
      </c>
      <c r="BM12" s="72">
        <v>0.35244999999999999</v>
      </c>
      <c r="BN12" s="75">
        <v>0.33400000000000002</v>
      </c>
      <c r="BO12" s="72">
        <v>1.6595</v>
      </c>
      <c r="BP12" s="75">
        <v>2.2400000000000002</v>
      </c>
      <c r="BQ12" s="72">
        <v>1.8189500000000003</v>
      </c>
      <c r="BR12" s="75">
        <v>0.29599999999999999</v>
      </c>
      <c r="BS12" s="72">
        <v>2.9422000000000001</v>
      </c>
      <c r="BT12" s="75">
        <v>2.3319999999999999</v>
      </c>
      <c r="BU12" s="72">
        <v>456.75900000000013</v>
      </c>
      <c r="BV12" s="75">
        <v>251.6</v>
      </c>
      <c r="BW12" s="72">
        <v>34.545400000000001</v>
      </c>
      <c r="BX12" s="75">
        <v>52.01</v>
      </c>
      <c r="BY12" s="72">
        <v>85.256149999999991</v>
      </c>
      <c r="BZ12" s="75">
        <v>55.24</v>
      </c>
      <c r="CA12" s="72">
        <v>7.3971999999999998</v>
      </c>
      <c r="CB12" s="75">
        <v>9.7349999999999994</v>
      </c>
      <c r="CC12" s="72">
        <v>28.104000000000003</v>
      </c>
      <c r="CD12" s="75">
        <v>37.29</v>
      </c>
      <c r="CE12" s="72">
        <v>5.1406999999999998</v>
      </c>
      <c r="CF12" s="75">
        <v>7.625</v>
      </c>
      <c r="CG12" s="72">
        <v>1.1516000000000002</v>
      </c>
      <c r="CH12" s="75">
        <v>1.794</v>
      </c>
      <c r="CI12" s="72">
        <v>3.9549999999999996</v>
      </c>
      <c r="CJ12" s="75">
        <v>8.8699999999999992</v>
      </c>
      <c r="CK12" s="72">
        <v>0.58419999999999994</v>
      </c>
      <c r="CL12" s="75">
        <v>1.3360000000000001</v>
      </c>
      <c r="CM12" s="72">
        <v>3.1971000000000007</v>
      </c>
      <c r="CN12" s="75">
        <v>8.9369999999999994</v>
      </c>
      <c r="CO12" s="72">
        <v>0.63919999999999999</v>
      </c>
      <c r="CP12" s="75">
        <v>1.718</v>
      </c>
      <c r="CQ12" s="72">
        <v>1.7950500000000003</v>
      </c>
      <c r="CR12" s="75">
        <v>4.7910000000000004</v>
      </c>
      <c r="CS12" s="72">
        <v>0.26605000000000001</v>
      </c>
      <c r="CT12" s="75">
        <v>0.70799999999999996</v>
      </c>
      <c r="CU12" s="72">
        <v>1.64425</v>
      </c>
      <c r="CV12" s="75">
        <v>4.1079999999999997</v>
      </c>
      <c r="CW12" s="72">
        <v>0.25119999999999998</v>
      </c>
      <c r="CX12" s="75">
        <v>0.61799999999999999</v>
      </c>
      <c r="CY12" s="72">
        <v>3.8662499999999995</v>
      </c>
      <c r="CZ12" s="75">
        <v>5.21</v>
      </c>
      <c r="DA12" s="72">
        <v>1.1173499999999996</v>
      </c>
      <c r="DB12" s="75">
        <v>2.4660000000000002</v>
      </c>
      <c r="DC12" s="72">
        <v>5.8256500000000013</v>
      </c>
      <c r="DD12" s="75">
        <v>0.95899999999999996</v>
      </c>
      <c r="DE12" s="72">
        <v>0.45925000000000005</v>
      </c>
      <c r="DF12" s="75">
        <v>0.21099999999999999</v>
      </c>
      <c r="DG12" s="72">
        <v>67.42</v>
      </c>
      <c r="DH12" s="75">
        <v>8.51</v>
      </c>
      <c r="DI12" s="72">
        <v>2.7480000000000002</v>
      </c>
      <c r="DJ12" s="75">
        <v>0.16</v>
      </c>
      <c r="DK12" s="72">
        <v>8.0922000000000018</v>
      </c>
      <c r="DL12" s="75">
        <v>6.06</v>
      </c>
      <c r="DM12" s="72">
        <v>2.4499</v>
      </c>
      <c r="DN12" s="75">
        <v>1.2150000000000001</v>
      </c>
      <c r="DO12" s="130"/>
      <c r="DP12" s="72"/>
      <c r="DQ12" s="72"/>
      <c r="DR12" s="72"/>
      <c r="DS12" s="72"/>
      <c r="DT12" s="130"/>
      <c r="DU12" s="130"/>
      <c r="DV12" s="130"/>
      <c r="DW12" s="130"/>
      <c r="DX12" s="130"/>
      <c r="DY12" s="130"/>
      <c r="DZ12" s="36"/>
      <c r="EA12" s="36"/>
      <c r="EB12" s="36"/>
      <c r="EC12" s="36"/>
      <c r="ED12" s="36"/>
      <c r="EE12" s="36"/>
      <c r="EF12" s="130"/>
      <c r="EG12" s="130"/>
      <c r="EH12" s="130"/>
      <c r="EI12" s="130"/>
      <c r="EJ12" s="130"/>
      <c r="EK12" s="130"/>
      <c r="EL12" s="130"/>
      <c r="EM12" s="130"/>
      <c r="EN12" s="130"/>
      <c r="EO12" s="130"/>
      <c r="EP12" s="130"/>
      <c r="EQ12" s="130"/>
      <c r="ER12" s="130"/>
      <c r="ES12" s="130"/>
      <c r="ET12" s="130"/>
      <c r="EU12" s="130"/>
      <c r="EV12" s="130"/>
      <c r="EW12" s="130"/>
      <c r="EX12" s="130"/>
      <c r="EY12" s="130"/>
      <c r="EZ12" s="130"/>
      <c r="FA12" s="130"/>
      <c r="FB12" s="130"/>
      <c r="FC12" s="130"/>
      <c r="FD12" s="130"/>
      <c r="FE12" s="130"/>
      <c r="FF12" s="130"/>
      <c r="FG12" s="130"/>
      <c r="FH12" s="130"/>
      <c r="FI12" s="130"/>
      <c r="FJ12" s="72"/>
      <c r="FK12" s="72"/>
      <c r="FL12" s="130"/>
      <c r="FM12" s="130"/>
      <c r="FN12" s="72"/>
      <c r="FO12" s="72"/>
      <c r="FP12" s="72"/>
      <c r="FQ12" s="72"/>
      <c r="FR12" s="72"/>
      <c r="FS12" s="72"/>
    </row>
    <row r="13" spans="1:175">
      <c r="C13" s="72"/>
      <c r="D13" s="74"/>
      <c r="E13" s="72"/>
      <c r="F13" s="75"/>
      <c r="G13" s="72"/>
      <c r="H13" s="75"/>
      <c r="I13" s="72"/>
      <c r="J13" s="75"/>
      <c r="K13" s="72"/>
      <c r="L13" s="75"/>
      <c r="M13" s="36"/>
      <c r="N13" s="246"/>
      <c r="O13" s="36"/>
      <c r="P13" s="246"/>
      <c r="Q13" s="36"/>
      <c r="R13" s="246"/>
      <c r="S13" s="36"/>
      <c r="T13" s="246"/>
      <c r="U13" s="36"/>
      <c r="V13" s="246"/>
      <c r="W13" s="36"/>
      <c r="X13" s="246"/>
      <c r="Y13" s="36"/>
      <c r="Z13" s="246"/>
      <c r="AA13" s="36"/>
      <c r="AB13" s="246"/>
      <c r="AC13" s="36"/>
      <c r="AD13" s="246"/>
      <c r="AE13" s="36"/>
      <c r="AF13" s="246"/>
      <c r="AG13" s="36"/>
      <c r="AH13" s="246"/>
      <c r="AI13" s="36"/>
      <c r="AJ13" s="246"/>
      <c r="AK13" s="72"/>
      <c r="AL13" s="75"/>
      <c r="AM13" s="72"/>
      <c r="AN13" s="75"/>
      <c r="AO13" s="72"/>
      <c r="AP13" s="75"/>
      <c r="AQ13" s="72"/>
      <c r="AR13" s="75"/>
      <c r="AS13" s="72"/>
      <c r="AT13" s="75"/>
      <c r="AU13" s="130"/>
      <c r="AV13" s="75"/>
      <c r="AW13" s="72"/>
      <c r="AX13" s="75"/>
      <c r="AY13" s="130"/>
      <c r="AZ13" s="75"/>
      <c r="BA13" s="72"/>
      <c r="BB13" s="75"/>
      <c r="BC13" s="72"/>
      <c r="BD13" s="75"/>
      <c r="BE13" s="72"/>
      <c r="BF13" s="75"/>
      <c r="BG13" s="72"/>
      <c r="BH13" s="75"/>
      <c r="BI13" s="72"/>
      <c r="BJ13" s="75"/>
      <c r="BK13" s="72"/>
      <c r="BL13" s="75"/>
      <c r="BM13" s="72"/>
      <c r="BN13" s="75"/>
      <c r="BO13" s="72"/>
      <c r="BP13" s="75"/>
      <c r="BQ13" s="72"/>
      <c r="BR13" s="75"/>
      <c r="BS13" s="72"/>
      <c r="BT13" s="75"/>
      <c r="BU13" s="72"/>
      <c r="BV13" s="75"/>
      <c r="BW13" s="72"/>
      <c r="BX13" s="75"/>
      <c r="BY13" s="72"/>
      <c r="BZ13" s="75"/>
      <c r="CA13" s="72"/>
      <c r="CB13" s="75"/>
      <c r="CC13" s="72"/>
      <c r="CD13" s="75"/>
      <c r="CE13" s="72"/>
      <c r="CF13" s="75"/>
      <c r="CG13" s="72"/>
      <c r="CH13" s="75"/>
      <c r="CI13" s="72"/>
      <c r="CJ13" s="75"/>
      <c r="CK13" s="72"/>
      <c r="CL13" s="75"/>
      <c r="CM13" s="72"/>
      <c r="CN13" s="75"/>
      <c r="CO13" s="72"/>
      <c r="CP13" s="75"/>
      <c r="CQ13" s="72"/>
      <c r="CR13" s="75"/>
      <c r="CS13" s="72"/>
      <c r="CT13" s="75"/>
      <c r="CU13" s="72"/>
      <c r="CV13" s="75"/>
      <c r="CW13" s="72"/>
      <c r="CX13" s="75"/>
      <c r="CY13" s="72"/>
      <c r="CZ13" s="75"/>
      <c r="DA13" s="72"/>
      <c r="DB13" s="75"/>
      <c r="DC13" s="72"/>
      <c r="DD13" s="75"/>
      <c r="DE13" s="72"/>
      <c r="DF13" s="75"/>
      <c r="DG13" s="72"/>
      <c r="DH13" s="75"/>
      <c r="DI13" s="72"/>
      <c r="DJ13" s="75"/>
      <c r="DK13" s="72"/>
      <c r="DL13" s="75"/>
      <c r="DM13" s="72"/>
      <c r="DN13" s="75"/>
    </row>
    <row r="14" spans="1:175">
      <c r="A14" s="25" t="s">
        <v>713</v>
      </c>
      <c r="B14" s="47" t="s">
        <v>697</v>
      </c>
      <c r="C14" s="72">
        <v>1.8706675529389669</v>
      </c>
      <c r="D14" s="72">
        <v>4.9907377138498248</v>
      </c>
      <c r="E14" s="72">
        <v>3.48</v>
      </c>
      <c r="F14" s="72">
        <v>4.45</v>
      </c>
      <c r="G14" s="72">
        <v>2.2800000000000001E-2</v>
      </c>
      <c r="H14" s="72">
        <v>4.7700000000000006E-2</v>
      </c>
      <c r="I14" s="72">
        <v>4.3</v>
      </c>
      <c r="J14" s="72">
        <v>12</v>
      </c>
      <c r="K14" s="72">
        <v>1</v>
      </c>
      <c r="L14" s="72">
        <v>1.21</v>
      </c>
      <c r="M14" s="36">
        <v>1086</v>
      </c>
      <c r="N14" s="36">
        <v>709</v>
      </c>
      <c r="O14" s="36">
        <v>969</v>
      </c>
      <c r="P14" s="36">
        <v>1619</v>
      </c>
      <c r="Q14" s="36">
        <v>36607</v>
      </c>
      <c r="R14" s="36">
        <v>90581</v>
      </c>
      <c r="S14" s="36">
        <v>331</v>
      </c>
      <c r="T14" s="36">
        <v>572</v>
      </c>
      <c r="U14" s="36">
        <v>54</v>
      </c>
      <c r="V14" s="36">
        <v>302</v>
      </c>
      <c r="W14" s="36">
        <v>5651</v>
      </c>
      <c r="X14" s="36">
        <v>2499</v>
      </c>
      <c r="Y14" s="36">
        <v>1263</v>
      </c>
      <c r="Z14" s="36">
        <v>1362</v>
      </c>
      <c r="AA14" s="36">
        <v>1836.4</v>
      </c>
      <c r="AB14" s="36">
        <v>2979</v>
      </c>
      <c r="AC14" s="36">
        <v>50.9</v>
      </c>
      <c r="AD14" s="36">
        <v>101</v>
      </c>
      <c r="AE14" s="36">
        <v>72.599999999999994</v>
      </c>
      <c r="AF14" s="36">
        <v>108.1</v>
      </c>
      <c r="AG14" s="36">
        <v>663.5</v>
      </c>
      <c r="AH14" s="36">
        <v>1793</v>
      </c>
      <c r="AI14" s="36">
        <v>23588</v>
      </c>
      <c r="AJ14" s="36">
        <v>50888</v>
      </c>
      <c r="AK14" s="72">
        <v>11.095000000000001</v>
      </c>
      <c r="AL14" s="72">
        <v>26.35</v>
      </c>
      <c r="AM14" s="72">
        <v>12.14</v>
      </c>
      <c r="AN14" s="72">
        <v>37.700000000000003</v>
      </c>
      <c r="AO14" s="72">
        <v>22.04</v>
      </c>
      <c r="AP14" s="72">
        <v>35.9</v>
      </c>
      <c r="AQ14" s="72">
        <v>61</v>
      </c>
      <c r="AR14" s="72">
        <v>109.9</v>
      </c>
      <c r="AS14" s="72">
        <v>7.99</v>
      </c>
      <c r="AT14" s="72">
        <v>23.72</v>
      </c>
      <c r="AU14" s="130">
        <v>2.8</v>
      </c>
      <c r="AV14" s="72">
        <v>3.6</v>
      </c>
      <c r="AW14" s="72">
        <v>0.16</v>
      </c>
      <c r="AX14" s="72">
        <v>0.55000000000000004</v>
      </c>
      <c r="AY14" s="130">
        <v>45.62</v>
      </c>
      <c r="AZ14" s="72">
        <v>32</v>
      </c>
      <c r="BA14" s="72">
        <v>29.38</v>
      </c>
      <c r="BB14" s="72">
        <v>17</v>
      </c>
      <c r="BC14" s="72">
        <v>7.8479999999999999</v>
      </c>
      <c r="BD14" s="72">
        <v>17.657</v>
      </c>
      <c r="BE14" s="72">
        <v>68.53</v>
      </c>
      <c r="BF14" s="72">
        <v>239.5</v>
      </c>
      <c r="BG14" s="72">
        <v>6.032</v>
      </c>
      <c r="BH14" s="72">
        <v>42.68</v>
      </c>
      <c r="BI14" s="72">
        <v>0.38</v>
      </c>
      <c r="BJ14" s="72">
        <v>2.9</v>
      </c>
      <c r="BK14" s="72">
        <v>0.05</v>
      </c>
      <c r="BL14" s="72">
        <v>7.3999999999999996E-2</v>
      </c>
      <c r="BM14" s="72">
        <v>6.2E-2</v>
      </c>
      <c r="BN14" s="72">
        <v>8.2000000000000003E-2</v>
      </c>
      <c r="BO14" s="72">
        <v>1.1100000000000001</v>
      </c>
      <c r="BP14" s="72">
        <v>2.36</v>
      </c>
      <c r="BQ14" s="72">
        <v>0.34</v>
      </c>
      <c r="BR14" s="72">
        <v>0.36</v>
      </c>
      <c r="BS14" s="72">
        <v>1.3420000000000001</v>
      </c>
      <c r="BT14" s="72">
        <v>2.8119999999999998</v>
      </c>
      <c r="BU14" s="72">
        <v>218.84</v>
      </c>
      <c r="BV14" s="72">
        <v>130.9</v>
      </c>
      <c r="BW14" s="72">
        <v>16.731999999999999</v>
      </c>
      <c r="BX14" s="72">
        <v>32.17</v>
      </c>
      <c r="BY14" s="72">
        <v>41.058</v>
      </c>
      <c r="BZ14" s="72">
        <v>78.239999999999995</v>
      </c>
      <c r="CA14" s="72">
        <v>3.319</v>
      </c>
      <c r="CB14" s="72">
        <v>6.97</v>
      </c>
      <c r="CC14" s="72">
        <v>12.02</v>
      </c>
      <c r="CD14" s="72">
        <v>25.96</v>
      </c>
      <c r="CE14" s="72">
        <v>2.1720000000000002</v>
      </c>
      <c r="CF14" s="72">
        <v>4.8140000000000001</v>
      </c>
      <c r="CG14" s="72">
        <v>0.46100000000000002</v>
      </c>
      <c r="CH14" s="72">
        <v>0.99099999999999999</v>
      </c>
      <c r="CI14" s="72">
        <v>1.669</v>
      </c>
      <c r="CJ14" s="72">
        <v>4.0350000000000001</v>
      </c>
      <c r="CK14" s="72">
        <v>0.247</v>
      </c>
      <c r="CL14" s="72">
        <v>0.57899999999999996</v>
      </c>
      <c r="CM14" s="72">
        <v>1.371</v>
      </c>
      <c r="CN14" s="72">
        <v>3.6640000000000001</v>
      </c>
      <c r="CO14" s="72">
        <v>0.28199999999999997</v>
      </c>
      <c r="CP14" s="72">
        <v>0.7</v>
      </c>
      <c r="CQ14" s="72">
        <v>0.83499999999999996</v>
      </c>
      <c r="CR14" s="72">
        <v>2.0299999999999998</v>
      </c>
      <c r="CS14" s="72">
        <v>0.127</v>
      </c>
      <c r="CT14" s="72">
        <v>0.29799999999999999</v>
      </c>
      <c r="CU14" s="72">
        <v>0.82699999999999996</v>
      </c>
      <c r="CV14" s="72">
        <v>1.974</v>
      </c>
      <c r="CW14" s="72">
        <v>0.13300000000000001</v>
      </c>
      <c r="CX14" s="72">
        <v>0.27500000000000002</v>
      </c>
      <c r="CY14" s="72">
        <v>1.915</v>
      </c>
      <c r="CZ14" s="72">
        <v>6.0170000000000003</v>
      </c>
      <c r="DA14" s="72">
        <v>0.39500000000000002</v>
      </c>
      <c r="DB14" s="72">
        <v>2.2770000000000001</v>
      </c>
      <c r="DC14" s="72">
        <v>1.2330000000000001</v>
      </c>
      <c r="DD14" s="72">
        <v>0.98799999999999999</v>
      </c>
      <c r="DE14" s="72">
        <v>0.19600000000000001</v>
      </c>
      <c r="DF14" s="72">
        <v>0.24299999999999999</v>
      </c>
      <c r="DG14" s="72">
        <v>8.5</v>
      </c>
      <c r="DH14" s="72">
        <v>11.14</v>
      </c>
      <c r="DI14" s="72">
        <v>0.09</v>
      </c>
      <c r="DJ14" s="72">
        <v>0.2</v>
      </c>
      <c r="DK14" s="72">
        <v>3.0419999999999998</v>
      </c>
      <c r="DL14" s="72">
        <v>8.9909999999999997</v>
      </c>
      <c r="DM14" s="72">
        <v>1.018</v>
      </c>
      <c r="DN14" s="72">
        <v>2.2610000000000001</v>
      </c>
    </row>
    <row r="15" spans="1:175">
      <c r="B15" s="47" t="s">
        <v>698</v>
      </c>
      <c r="C15" s="72">
        <v>8.2427536231884986</v>
      </c>
      <c r="D15" s="72">
        <v>10.388658029821652</v>
      </c>
      <c r="E15" s="72">
        <v>7.63</v>
      </c>
      <c r="F15" s="72">
        <v>5.82</v>
      </c>
      <c r="G15" s="72">
        <v>6.8764050000000001</v>
      </c>
      <c r="H15" s="72">
        <v>4.9710000000000004E-2</v>
      </c>
      <c r="I15" s="72">
        <v>31.6</v>
      </c>
      <c r="J15" s="72">
        <v>23</v>
      </c>
      <c r="K15" s="72">
        <v>3.29</v>
      </c>
      <c r="L15" s="72">
        <v>2.08</v>
      </c>
      <c r="M15" s="36">
        <v>21548</v>
      </c>
      <c r="N15" s="36">
        <v>1632</v>
      </c>
      <c r="O15" s="36">
        <v>22095</v>
      </c>
      <c r="P15" s="36">
        <v>1669</v>
      </c>
      <c r="Q15" s="36">
        <v>98864</v>
      </c>
      <c r="R15" s="36">
        <v>95108</v>
      </c>
      <c r="S15" s="36">
        <v>1112</v>
      </c>
      <c r="T15" s="36">
        <v>667</v>
      </c>
      <c r="U15" s="36">
        <v>6879</v>
      </c>
      <c r="V15" s="36">
        <v>309</v>
      </c>
      <c r="W15" s="36">
        <v>26111</v>
      </c>
      <c r="X15" s="36">
        <v>15030</v>
      </c>
      <c r="Y15" s="36">
        <v>25654</v>
      </c>
      <c r="Z15" s="36">
        <v>1526</v>
      </c>
      <c r="AA15" s="36">
        <v>7149</v>
      </c>
      <c r="AB15" s="36">
        <v>9340</v>
      </c>
      <c r="AC15" s="36">
        <v>311.39999999999998</v>
      </c>
      <c r="AD15" s="36">
        <v>219.3</v>
      </c>
      <c r="AE15" s="36">
        <v>1413</v>
      </c>
      <c r="AF15" s="36">
        <v>221</v>
      </c>
      <c r="AG15" s="36">
        <v>2871.9</v>
      </c>
      <c r="AH15" s="36">
        <v>1972</v>
      </c>
      <c r="AI15" s="36">
        <v>124124</v>
      </c>
      <c r="AJ15" s="36">
        <v>96420</v>
      </c>
      <c r="AK15" s="72">
        <v>76.626999999999995</v>
      </c>
      <c r="AL15" s="72">
        <v>37.08</v>
      </c>
      <c r="AM15" s="72">
        <v>375.29</v>
      </c>
      <c r="AN15" s="72">
        <v>91.2</v>
      </c>
      <c r="AO15" s="72">
        <v>244.75</v>
      </c>
      <c r="AP15" s="72">
        <v>92.6</v>
      </c>
      <c r="AQ15" s="72">
        <v>204</v>
      </c>
      <c r="AR15" s="72">
        <v>121.9</v>
      </c>
      <c r="AS15" s="72">
        <v>23.77</v>
      </c>
      <c r="AT15" s="72">
        <v>26.17</v>
      </c>
      <c r="AU15" s="130">
        <v>8567.4</v>
      </c>
      <c r="AV15" s="72">
        <v>14.2</v>
      </c>
      <c r="AW15" s="72">
        <v>1.26</v>
      </c>
      <c r="AX15" s="72">
        <v>0.93</v>
      </c>
      <c r="AY15" s="130">
        <v>102.51</v>
      </c>
      <c r="AZ15" s="72">
        <v>81.599999999999994</v>
      </c>
      <c r="BA15" s="72">
        <v>537.72</v>
      </c>
      <c r="BB15" s="72">
        <v>74.3</v>
      </c>
      <c r="BC15" s="72">
        <v>29.013999999999999</v>
      </c>
      <c r="BD15" s="72">
        <v>66.81</v>
      </c>
      <c r="BE15" s="72">
        <v>300.72000000000003</v>
      </c>
      <c r="BF15" s="72">
        <v>378.6</v>
      </c>
      <c r="BG15" s="72">
        <v>54.555999999999997</v>
      </c>
      <c r="BH15" s="72">
        <v>86.78</v>
      </c>
      <c r="BI15" s="72">
        <v>3.93</v>
      </c>
      <c r="BJ15" s="72">
        <v>3.25</v>
      </c>
      <c r="BK15" s="72">
        <v>11.06</v>
      </c>
      <c r="BL15" s="72">
        <v>0.1</v>
      </c>
      <c r="BM15" s="72">
        <v>1.0309999999999999</v>
      </c>
      <c r="BN15" s="72">
        <v>0.152</v>
      </c>
      <c r="BO15" s="72">
        <v>3.16</v>
      </c>
      <c r="BP15" s="72">
        <v>3.72</v>
      </c>
      <c r="BQ15" s="72">
        <v>7.0140000000000002</v>
      </c>
      <c r="BR15" s="72">
        <v>0.66900000000000004</v>
      </c>
      <c r="BS15" s="72">
        <v>4.5579999999999998</v>
      </c>
      <c r="BT15" s="72">
        <v>3.081</v>
      </c>
      <c r="BU15" s="72">
        <v>1043.9100000000001</v>
      </c>
      <c r="BV15" s="72">
        <v>425.9</v>
      </c>
      <c r="BW15" s="72">
        <v>57.765000000000001</v>
      </c>
      <c r="BX15" s="72">
        <v>77.959999999999994</v>
      </c>
      <c r="BY15" s="72">
        <v>119.488</v>
      </c>
      <c r="BZ15" s="72">
        <v>115.55</v>
      </c>
      <c r="CA15" s="72">
        <v>11.849</v>
      </c>
      <c r="CB15" s="72">
        <v>16.074999999999999</v>
      </c>
      <c r="CC15" s="72">
        <v>43.96</v>
      </c>
      <c r="CD15" s="72">
        <v>59.91</v>
      </c>
      <c r="CE15" s="72">
        <v>8.0269999999999992</v>
      </c>
      <c r="CF15" s="72">
        <v>11.824999999999999</v>
      </c>
      <c r="CG15" s="72">
        <v>1.603</v>
      </c>
      <c r="CH15" s="72">
        <v>2.3149999999999999</v>
      </c>
      <c r="CI15" s="72">
        <v>6.4269999999999996</v>
      </c>
      <c r="CJ15" s="72">
        <v>12.308999999999999</v>
      </c>
      <c r="CK15" s="72">
        <v>0.98099999999999998</v>
      </c>
      <c r="CL15" s="72">
        <v>1.8580000000000001</v>
      </c>
      <c r="CM15" s="72">
        <v>5.1420000000000003</v>
      </c>
      <c r="CN15" s="72">
        <v>12.254</v>
      </c>
      <c r="CO15" s="72">
        <v>1.0609999999999999</v>
      </c>
      <c r="CP15" s="72">
        <v>2.4729999999999999</v>
      </c>
      <c r="CQ15" s="72">
        <v>2.9409999999999998</v>
      </c>
      <c r="CR15" s="72">
        <v>6.9020000000000001</v>
      </c>
      <c r="CS15" s="72">
        <v>0.42799999999999999</v>
      </c>
      <c r="CT15" s="72">
        <v>0.99399999999999999</v>
      </c>
      <c r="CU15" s="72">
        <v>2.7930000000000001</v>
      </c>
      <c r="CV15" s="72">
        <v>6.532</v>
      </c>
      <c r="CW15" s="72">
        <v>0.41499999999999998</v>
      </c>
      <c r="CX15" s="72">
        <v>0.93600000000000005</v>
      </c>
      <c r="CY15" s="72">
        <v>7.1710000000000003</v>
      </c>
      <c r="CZ15" s="72">
        <v>8.5429999999999993</v>
      </c>
      <c r="DA15" s="72">
        <v>3.008</v>
      </c>
      <c r="DB15" s="72">
        <v>4.7770000000000001</v>
      </c>
      <c r="DC15" s="72">
        <v>18.423999999999999</v>
      </c>
      <c r="DD15" s="72">
        <v>1.6779999999999999</v>
      </c>
      <c r="DE15" s="72">
        <v>0.69699999999999995</v>
      </c>
      <c r="DF15" s="72">
        <v>0.47299999999999998</v>
      </c>
      <c r="DG15" s="72">
        <v>181.4</v>
      </c>
      <c r="DH15" s="72">
        <v>15.75</v>
      </c>
      <c r="DI15" s="72">
        <v>29.66</v>
      </c>
      <c r="DJ15" s="72">
        <v>0.23</v>
      </c>
      <c r="DK15" s="72">
        <v>12.948</v>
      </c>
      <c r="DL15" s="72">
        <v>11.439</v>
      </c>
      <c r="DM15" s="72">
        <v>3.6720000000000002</v>
      </c>
      <c r="DN15" s="72">
        <v>2.496</v>
      </c>
    </row>
    <row r="16" spans="1:175">
      <c r="B16" s="47" t="s">
        <v>699</v>
      </c>
      <c r="C16" s="72">
        <v>2.9908378275725802</v>
      </c>
      <c r="D16" s="72">
        <v>6.3402177928427816</v>
      </c>
      <c r="E16" s="72">
        <v>5.8025000000000002</v>
      </c>
      <c r="F16" s="72">
        <v>4.7925000000000004</v>
      </c>
      <c r="G16" s="72">
        <v>0.37861</v>
      </c>
      <c r="H16" s="72">
        <v>4.8202500000000009E-2</v>
      </c>
      <c r="I16" s="72">
        <v>13.05</v>
      </c>
      <c r="J16" s="72">
        <v>13.5</v>
      </c>
      <c r="K16" s="72">
        <v>1.44</v>
      </c>
      <c r="L16" s="72">
        <v>1.3049999999999999</v>
      </c>
      <c r="M16" s="36">
        <v>2080.5</v>
      </c>
      <c r="N16" s="36">
        <v>1153</v>
      </c>
      <c r="O16" s="36">
        <v>2608.5</v>
      </c>
      <c r="P16" s="36">
        <v>1636.5</v>
      </c>
      <c r="Q16" s="36">
        <v>59272.5</v>
      </c>
      <c r="R16" s="36">
        <v>92035</v>
      </c>
      <c r="S16" s="36">
        <v>471.5</v>
      </c>
      <c r="T16" s="36">
        <v>614</v>
      </c>
      <c r="U16" s="36">
        <v>223.5</v>
      </c>
      <c r="V16" s="36">
        <v>304.5</v>
      </c>
      <c r="W16" s="36">
        <v>10848.5</v>
      </c>
      <c r="X16" s="36">
        <v>8556</v>
      </c>
      <c r="Y16" s="36">
        <v>2853</v>
      </c>
      <c r="Z16" s="36">
        <v>1386</v>
      </c>
      <c r="AA16" s="36">
        <v>2409.1000000000004</v>
      </c>
      <c r="AB16" s="36">
        <v>3019</v>
      </c>
      <c r="AC16" s="36">
        <v>85.1</v>
      </c>
      <c r="AD16" s="36">
        <v>103.2</v>
      </c>
      <c r="AE16" s="36">
        <v>158.75</v>
      </c>
      <c r="AF16" s="36">
        <v>110.65</v>
      </c>
      <c r="AG16" s="36">
        <v>1159.25</v>
      </c>
      <c r="AH16" s="36">
        <v>1833.5</v>
      </c>
      <c r="AI16" s="36">
        <v>39186</v>
      </c>
      <c r="AJ16" s="36">
        <v>51911.5</v>
      </c>
      <c r="AK16" s="72">
        <v>32.447000000000003</v>
      </c>
      <c r="AL16" s="72">
        <v>31.18</v>
      </c>
      <c r="AM16" s="72">
        <v>61.914999999999999</v>
      </c>
      <c r="AN16" s="72">
        <v>38.150000000000006</v>
      </c>
      <c r="AO16" s="72">
        <v>42.86</v>
      </c>
      <c r="AP16" s="72">
        <v>36.299999999999997</v>
      </c>
      <c r="AQ16" s="72">
        <v>79</v>
      </c>
      <c r="AR16" s="72">
        <v>109.95</v>
      </c>
      <c r="AS16" s="72">
        <v>13.64</v>
      </c>
      <c r="AT16" s="72">
        <v>24.015000000000001</v>
      </c>
      <c r="AU16" s="130">
        <v>10.050000000000001</v>
      </c>
      <c r="AV16" s="72">
        <v>8.7000000000000011</v>
      </c>
      <c r="AW16" s="72">
        <v>0.57000000000000006</v>
      </c>
      <c r="AX16" s="72">
        <v>0.56000000000000005</v>
      </c>
      <c r="AY16" s="130">
        <v>55.6</v>
      </c>
      <c r="AZ16" s="72">
        <v>55.75</v>
      </c>
      <c r="BA16" s="72">
        <v>67.174999999999997</v>
      </c>
      <c r="BB16" s="72">
        <v>44.35</v>
      </c>
      <c r="BC16" s="72">
        <v>13.941500000000001</v>
      </c>
      <c r="BD16" s="72">
        <v>17.668500000000002</v>
      </c>
      <c r="BE16" s="72">
        <v>134.69499999999999</v>
      </c>
      <c r="BF16" s="72">
        <v>241.4</v>
      </c>
      <c r="BG16" s="72">
        <v>20.612000000000002</v>
      </c>
      <c r="BH16" s="72">
        <v>43.164999999999999</v>
      </c>
      <c r="BI16" s="72">
        <v>1.9350000000000001</v>
      </c>
      <c r="BJ16" s="72">
        <v>2.9350000000000001</v>
      </c>
      <c r="BK16" s="72">
        <v>0.08</v>
      </c>
      <c r="BL16" s="72">
        <v>7.4999999999999997E-2</v>
      </c>
      <c r="BM16" s="72">
        <v>9.1999999999999998E-2</v>
      </c>
      <c r="BN16" s="72">
        <v>9.6500000000000002E-2</v>
      </c>
      <c r="BO16" s="72">
        <v>1.615</v>
      </c>
      <c r="BP16" s="72">
        <v>2.395</v>
      </c>
      <c r="BQ16" s="72">
        <v>0.748</v>
      </c>
      <c r="BR16" s="72">
        <v>0.44950000000000001</v>
      </c>
      <c r="BS16" s="72">
        <v>2.2190000000000003</v>
      </c>
      <c r="BT16" s="72">
        <v>2.8855</v>
      </c>
      <c r="BU16" s="72">
        <v>396.12</v>
      </c>
      <c r="BV16" s="72">
        <v>271.95000000000005</v>
      </c>
      <c r="BW16" s="72">
        <v>22.577500000000001</v>
      </c>
      <c r="BX16" s="72">
        <v>32.61</v>
      </c>
      <c r="BY16" s="72">
        <v>81.081500000000005</v>
      </c>
      <c r="BZ16" s="72">
        <v>95.275000000000006</v>
      </c>
      <c r="CA16" s="72">
        <v>4.7160000000000002</v>
      </c>
      <c r="CB16" s="72">
        <v>7.0815000000000001</v>
      </c>
      <c r="CC16" s="72">
        <v>18.27</v>
      </c>
      <c r="CD16" s="72">
        <v>26.630000000000003</v>
      </c>
      <c r="CE16" s="72">
        <v>3.63</v>
      </c>
      <c r="CF16" s="72">
        <v>4.8550000000000004</v>
      </c>
      <c r="CG16" s="72">
        <v>0.79350000000000009</v>
      </c>
      <c r="CH16" s="72">
        <v>1.026</v>
      </c>
      <c r="CI16" s="72">
        <v>2.8919999999999999</v>
      </c>
      <c r="CJ16" s="72">
        <v>4.1385000000000005</v>
      </c>
      <c r="CK16" s="72">
        <v>0.45800000000000002</v>
      </c>
      <c r="CL16" s="72">
        <v>0.59</v>
      </c>
      <c r="CM16" s="72">
        <v>2.7090000000000001</v>
      </c>
      <c r="CN16" s="72">
        <v>3.7160000000000002</v>
      </c>
      <c r="CO16" s="72">
        <v>0.54</v>
      </c>
      <c r="CP16" s="72">
        <v>0.70499999999999996</v>
      </c>
      <c r="CQ16" s="72">
        <v>1.5085</v>
      </c>
      <c r="CR16" s="72">
        <v>2.2069999999999999</v>
      </c>
      <c r="CS16" s="72">
        <v>0.23449999999999999</v>
      </c>
      <c r="CT16" s="72">
        <v>0.30149999999999999</v>
      </c>
      <c r="CU16" s="72">
        <v>1.5270000000000001</v>
      </c>
      <c r="CV16" s="72">
        <v>1.9965000000000002</v>
      </c>
      <c r="CW16" s="72">
        <v>0.22799999999999998</v>
      </c>
      <c r="CX16" s="72">
        <v>0.28200000000000003</v>
      </c>
      <c r="CY16" s="72">
        <v>3.7255000000000003</v>
      </c>
      <c r="CZ16" s="72">
        <v>6.0385</v>
      </c>
      <c r="DA16" s="72">
        <v>1.2069999999999999</v>
      </c>
      <c r="DB16" s="72">
        <v>2.2984999999999998</v>
      </c>
      <c r="DC16" s="72">
        <v>2.0030000000000001</v>
      </c>
      <c r="DD16" s="72">
        <v>0.99150000000000005</v>
      </c>
      <c r="DE16" s="72">
        <v>0.41399999999999998</v>
      </c>
      <c r="DF16" s="72">
        <v>0.35299999999999998</v>
      </c>
      <c r="DG16" s="72">
        <v>19.100000000000001</v>
      </c>
      <c r="DH16" s="72">
        <v>13.245000000000001</v>
      </c>
      <c r="DI16" s="72">
        <v>0.39</v>
      </c>
      <c r="DJ16" s="72">
        <v>0.20500000000000002</v>
      </c>
      <c r="DK16" s="72">
        <v>6.95</v>
      </c>
      <c r="DL16" s="72">
        <v>9.0779999999999994</v>
      </c>
      <c r="DM16" s="72">
        <v>1.9304999999999999</v>
      </c>
      <c r="DN16" s="72">
        <v>2.2765</v>
      </c>
    </row>
    <row r="17" spans="1:118">
      <c r="B17" s="47" t="s">
        <v>700</v>
      </c>
      <c r="C17" s="72">
        <v>4.3590388462372189</v>
      </c>
      <c r="D17" s="72">
        <v>7.6896978718357385</v>
      </c>
      <c r="E17" s="72">
        <v>6.1899999999999995</v>
      </c>
      <c r="F17" s="72">
        <v>5.1349999999999998</v>
      </c>
      <c r="G17" s="72">
        <v>1.0736699999999999</v>
      </c>
      <c r="H17" s="72">
        <v>4.8705000000000005E-2</v>
      </c>
      <c r="I17" s="72">
        <v>14.9</v>
      </c>
      <c r="J17" s="72">
        <v>15</v>
      </c>
      <c r="K17" s="72">
        <v>1.68</v>
      </c>
      <c r="L17" s="72">
        <v>1.4</v>
      </c>
      <c r="M17" s="36">
        <v>3337</v>
      </c>
      <c r="N17" s="36">
        <v>1597</v>
      </c>
      <c r="O17" s="36">
        <v>4278</v>
      </c>
      <c r="P17" s="36">
        <v>1654</v>
      </c>
      <c r="Q17" s="36">
        <v>73227</v>
      </c>
      <c r="R17" s="36">
        <v>93489</v>
      </c>
      <c r="S17" s="36">
        <v>761</v>
      </c>
      <c r="T17" s="36">
        <v>656</v>
      </c>
      <c r="U17" s="36">
        <v>318</v>
      </c>
      <c r="V17" s="36">
        <v>307</v>
      </c>
      <c r="W17" s="36">
        <v>13918</v>
      </c>
      <c r="X17" s="36">
        <v>14613</v>
      </c>
      <c r="Y17" s="36">
        <v>3363</v>
      </c>
      <c r="Z17" s="36">
        <v>1410</v>
      </c>
      <c r="AA17" s="36">
        <v>3708.6</v>
      </c>
      <c r="AB17" s="36">
        <v>3059</v>
      </c>
      <c r="AC17" s="36">
        <v>131.1</v>
      </c>
      <c r="AD17" s="36">
        <v>105.4</v>
      </c>
      <c r="AE17" s="36">
        <v>264.2</v>
      </c>
      <c r="AF17" s="36">
        <v>113.2</v>
      </c>
      <c r="AG17" s="36">
        <v>1885.1</v>
      </c>
      <c r="AH17" s="36">
        <v>1874</v>
      </c>
      <c r="AI17" s="36">
        <v>56823</v>
      </c>
      <c r="AJ17" s="36">
        <v>52935</v>
      </c>
      <c r="AK17" s="72">
        <v>46.469000000000001</v>
      </c>
      <c r="AL17" s="72">
        <v>36.01</v>
      </c>
      <c r="AM17" s="72">
        <v>83.97</v>
      </c>
      <c r="AN17" s="72">
        <v>38.6</v>
      </c>
      <c r="AO17" s="72">
        <v>60.33</v>
      </c>
      <c r="AP17" s="72">
        <v>36.700000000000003</v>
      </c>
      <c r="AQ17" s="72">
        <v>96</v>
      </c>
      <c r="AR17" s="72">
        <v>110</v>
      </c>
      <c r="AS17" s="72">
        <v>16.18</v>
      </c>
      <c r="AT17" s="72">
        <v>24.31</v>
      </c>
      <c r="AU17" s="130">
        <v>34.4</v>
      </c>
      <c r="AV17" s="72">
        <v>13.8</v>
      </c>
      <c r="AW17" s="72">
        <v>0.84000000000000008</v>
      </c>
      <c r="AX17" s="72">
        <v>0.56999999999999995</v>
      </c>
      <c r="AY17" s="130">
        <v>71.760000000000005</v>
      </c>
      <c r="AZ17" s="72">
        <v>79.5</v>
      </c>
      <c r="BA17" s="72">
        <v>81.739999999999995</v>
      </c>
      <c r="BB17" s="72">
        <v>71.7</v>
      </c>
      <c r="BC17" s="72">
        <v>15.271000000000001</v>
      </c>
      <c r="BD17" s="72">
        <v>17.68</v>
      </c>
      <c r="BE17" s="72">
        <v>161.72</v>
      </c>
      <c r="BF17" s="72">
        <v>243.3</v>
      </c>
      <c r="BG17" s="72">
        <v>29.593</v>
      </c>
      <c r="BH17" s="72">
        <v>43.65</v>
      </c>
      <c r="BI17" s="72">
        <v>2.5499999999999998</v>
      </c>
      <c r="BJ17" s="72">
        <v>2.97</v>
      </c>
      <c r="BK17" s="72">
        <v>0.115</v>
      </c>
      <c r="BL17" s="72">
        <v>7.5999999999999998E-2</v>
      </c>
      <c r="BM17" s="72">
        <v>0.128</v>
      </c>
      <c r="BN17" s="72">
        <v>0.111</v>
      </c>
      <c r="BO17" s="72">
        <v>1.96</v>
      </c>
      <c r="BP17" s="72">
        <v>2.4300000000000002</v>
      </c>
      <c r="BQ17" s="72">
        <v>0.874</v>
      </c>
      <c r="BR17" s="72">
        <v>0.53900000000000003</v>
      </c>
      <c r="BS17" s="72">
        <v>2.4319999999999999</v>
      </c>
      <c r="BT17" s="72">
        <v>2.9590000000000001</v>
      </c>
      <c r="BU17" s="72">
        <v>483.83</v>
      </c>
      <c r="BV17" s="72">
        <v>413</v>
      </c>
      <c r="BW17" s="72">
        <v>30.867000000000001</v>
      </c>
      <c r="BX17" s="72">
        <v>33.049999999999997</v>
      </c>
      <c r="BY17" s="72">
        <v>96.028999999999996</v>
      </c>
      <c r="BZ17" s="72">
        <v>112.31</v>
      </c>
      <c r="CA17" s="72">
        <v>7.0369999999999999</v>
      </c>
      <c r="CB17" s="72">
        <v>7.1929999999999996</v>
      </c>
      <c r="CC17" s="72">
        <v>27.64</v>
      </c>
      <c r="CD17" s="72">
        <v>27.3</v>
      </c>
      <c r="CE17" s="72">
        <v>4.9119999999999999</v>
      </c>
      <c r="CF17" s="72">
        <v>4.8959999999999999</v>
      </c>
      <c r="CG17" s="72">
        <v>1.01</v>
      </c>
      <c r="CH17" s="72">
        <v>1.0609999999999999</v>
      </c>
      <c r="CI17" s="72">
        <v>3.7170000000000001</v>
      </c>
      <c r="CJ17" s="72">
        <v>4.242</v>
      </c>
      <c r="CK17" s="72">
        <v>0.52500000000000002</v>
      </c>
      <c r="CL17" s="72">
        <v>0.60099999999999998</v>
      </c>
      <c r="CM17" s="72">
        <v>2.8980000000000001</v>
      </c>
      <c r="CN17" s="72">
        <v>3.7679999999999998</v>
      </c>
      <c r="CO17" s="72">
        <v>0.58599999999999997</v>
      </c>
      <c r="CP17" s="72">
        <v>0.71</v>
      </c>
      <c r="CQ17" s="72">
        <v>1.712</v>
      </c>
      <c r="CR17" s="72">
        <v>2.3839999999999999</v>
      </c>
      <c r="CS17" s="72">
        <v>0.27100000000000002</v>
      </c>
      <c r="CT17" s="72">
        <v>0.30499999999999999</v>
      </c>
      <c r="CU17" s="72">
        <v>1.7470000000000001</v>
      </c>
      <c r="CV17" s="72">
        <v>2.0190000000000001</v>
      </c>
      <c r="CW17" s="72">
        <v>0.25600000000000001</v>
      </c>
      <c r="CX17" s="72">
        <v>0.28899999999999998</v>
      </c>
      <c r="CY17" s="72">
        <v>4.57</v>
      </c>
      <c r="CZ17" s="72">
        <v>6.06</v>
      </c>
      <c r="DA17" s="72">
        <v>1.64</v>
      </c>
      <c r="DB17" s="72">
        <v>2.3199999999999998</v>
      </c>
      <c r="DC17" s="72">
        <v>2.9390000000000001</v>
      </c>
      <c r="DD17" s="72">
        <v>0.995</v>
      </c>
      <c r="DE17" s="72">
        <v>0.45</v>
      </c>
      <c r="DF17" s="72">
        <v>0.46300000000000002</v>
      </c>
      <c r="DG17" s="72">
        <v>24.9</v>
      </c>
      <c r="DH17" s="72">
        <v>15.35</v>
      </c>
      <c r="DI17" s="72">
        <v>1.21</v>
      </c>
      <c r="DJ17" s="72">
        <v>0.21</v>
      </c>
      <c r="DK17" s="72">
        <v>8.7330000000000005</v>
      </c>
      <c r="DL17" s="72">
        <v>9.1649999999999991</v>
      </c>
      <c r="DM17" s="72">
        <v>2.0139999999999998</v>
      </c>
      <c r="DN17" s="72">
        <v>2.2919999999999998</v>
      </c>
    </row>
    <row r="18" spans="1:118">
      <c r="B18" s="47" t="s">
        <v>701</v>
      </c>
      <c r="C18" s="72">
        <v>7.8422942731901166</v>
      </c>
      <c r="D18" s="72">
        <v>10.11876201402306</v>
      </c>
      <c r="E18" s="72">
        <v>7.63</v>
      </c>
      <c r="F18" s="72">
        <v>5.7515000000000001</v>
      </c>
      <c r="G18" s="72">
        <v>6.3366507499999987</v>
      </c>
      <c r="H18" s="72">
        <v>4.9609500000000001E-2</v>
      </c>
      <c r="I18" s="72">
        <v>28.809999999999995</v>
      </c>
      <c r="J18" s="72">
        <v>22.2</v>
      </c>
      <c r="K18" s="72">
        <v>3.2090000000000001</v>
      </c>
      <c r="L18" s="72">
        <v>2.012</v>
      </c>
      <c r="M18" s="36">
        <v>18071.299999999992</v>
      </c>
      <c r="N18" s="36">
        <v>1628.5</v>
      </c>
      <c r="O18" s="36">
        <v>17795.69999999999</v>
      </c>
      <c r="P18" s="36">
        <v>1667.5</v>
      </c>
      <c r="Q18" s="36">
        <v>95767.099999999991</v>
      </c>
      <c r="R18" s="36">
        <v>94946.1</v>
      </c>
      <c r="S18" s="36">
        <v>945.49999999999966</v>
      </c>
      <c r="T18" s="36">
        <v>665.9</v>
      </c>
      <c r="U18" s="36">
        <v>5671.1999999999971</v>
      </c>
      <c r="V18" s="36">
        <v>308.8</v>
      </c>
      <c r="W18" s="36">
        <v>18856.999999999982</v>
      </c>
      <c r="X18" s="36">
        <v>14988.3</v>
      </c>
      <c r="Y18" s="36">
        <v>21796.599999999991</v>
      </c>
      <c r="Z18" s="36">
        <v>1514.4</v>
      </c>
      <c r="AA18" s="36">
        <v>6767.0399999999991</v>
      </c>
      <c r="AB18" s="36">
        <v>8711.9</v>
      </c>
      <c r="AC18" s="36">
        <v>287.36999999999995</v>
      </c>
      <c r="AD18" s="36">
        <v>207.91</v>
      </c>
      <c r="AE18" s="36">
        <v>1350.8999999999999</v>
      </c>
      <c r="AF18" s="36">
        <v>210.21999999999997</v>
      </c>
      <c r="AG18" s="36">
        <v>2422.5299999999988</v>
      </c>
      <c r="AH18" s="36">
        <v>1962.2</v>
      </c>
      <c r="AI18" s="36">
        <v>120971.29999999999</v>
      </c>
      <c r="AJ18" s="36">
        <v>92071.5</v>
      </c>
      <c r="AK18" s="72">
        <v>63.585099999999969</v>
      </c>
      <c r="AL18" s="72">
        <v>36.972999999999999</v>
      </c>
      <c r="AM18" s="72">
        <v>290.77099999999979</v>
      </c>
      <c r="AN18" s="72">
        <v>85.94</v>
      </c>
      <c r="AO18" s="72">
        <v>176.21499999999983</v>
      </c>
      <c r="AP18" s="72">
        <v>87.009999999999991</v>
      </c>
      <c r="AQ18" s="72">
        <v>144.59999999999985</v>
      </c>
      <c r="AR18" s="72">
        <v>120.71000000000001</v>
      </c>
      <c r="AS18" s="72">
        <v>21.717999999999993</v>
      </c>
      <c r="AT18" s="72">
        <v>25.984000000000002</v>
      </c>
      <c r="AU18" s="130">
        <v>2069.4899999999843</v>
      </c>
      <c r="AV18" s="72">
        <v>14.16</v>
      </c>
      <c r="AW18" s="72">
        <v>1.1154999999999999</v>
      </c>
      <c r="AX18" s="72">
        <v>0.89400000000000002</v>
      </c>
      <c r="AY18" s="130">
        <v>94.409999999999982</v>
      </c>
      <c r="AZ18" s="72">
        <v>81.39</v>
      </c>
      <c r="BA18" s="72">
        <v>359.65499999999957</v>
      </c>
      <c r="BB18" s="72">
        <v>74.039999999999992</v>
      </c>
      <c r="BC18" s="72">
        <v>23.97849999999999</v>
      </c>
      <c r="BD18" s="72">
        <v>61.896999999999998</v>
      </c>
      <c r="BE18" s="72">
        <v>292.94399999999996</v>
      </c>
      <c r="BF18" s="72">
        <v>365.07</v>
      </c>
      <c r="BG18" s="72">
        <v>52.578699999999998</v>
      </c>
      <c r="BH18" s="72">
        <v>82.466999999999999</v>
      </c>
      <c r="BI18" s="72">
        <v>3.5429999999999993</v>
      </c>
      <c r="BJ18" s="72">
        <v>3.222</v>
      </c>
      <c r="BK18" s="72">
        <v>3.8113999999999826</v>
      </c>
      <c r="BL18" s="72">
        <v>9.7600000000000006E-2</v>
      </c>
      <c r="BM18" s="72">
        <v>0.71239999999999926</v>
      </c>
      <c r="BN18" s="72">
        <v>0.14789999999999998</v>
      </c>
      <c r="BO18" s="72">
        <v>3.0609999999999995</v>
      </c>
      <c r="BP18" s="72">
        <v>3.5910000000000002</v>
      </c>
      <c r="BQ18" s="72">
        <v>5.096999999999996</v>
      </c>
      <c r="BR18" s="72">
        <v>0.65600000000000003</v>
      </c>
      <c r="BS18" s="72">
        <v>3.578799999999998</v>
      </c>
      <c r="BT18" s="72">
        <v>3.0688</v>
      </c>
      <c r="BU18" s="72">
        <v>719.66699999999923</v>
      </c>
      <c r="BV18" s="72">
        <v>424.60999999999996</v>
      </c>
      <c r="BW18" s="72">
        <v>46.569899999999976</v>
      </c>
      <c r="BX18" s="72">
        <v>73.468999999999994</v>
      </c>
      <c r="BY18" s="72">
        <v>113.53269999999998</v>
      </c>
      <c r="BZ18" s="72">
        <v>115.226</v>
      </c>
      <c r="CA18" s="72">
        <v>9.2533999999999939</v>
      </c>
      <c r="CB18" s="72">
        <v>15.186799999999998</v>
      </c>
      <c r="CC18" s="72">
        <v>34.707999999999977</v>
      </c>
      <c r="CD18" s="72">
        <v>56.649000000000001</v>
      </c>
      <c r="CE18" s="72">
        <v>6.4276999999999962</v>
      </c>
      <c r="CF18" s="72">
        <v>11.132099999999998</v>
      </c>
      <c r="CG18" s="72">
        <v>1.5012999999999999</v>
      </c>
      <c r="CH18" s="72">
        <v>2.1895999999999995</v>
      </c>
      <c r="CI18" s="72">
        <v>5.0463999999999967</v>
      </c>
      <c r="CJ18" s="72">
        <v>11.502299999999998</v>
      </c>
      <c r="CK18" s="72">
        <v>0.79919999999999958</v>
      </c>
      <c r="CL18" s="72">
        <v>1.7323</v>
      </c>
      <c r="CM18" s="72">
        <v>4.7369999999999992</v>
      </c>
      <c r="CN18" s="72">
        <v>11.4054</v>
      </c>
      <c r="CO18" s="72">
        <v>0.94669999999999976</v>
      </c>
      <c r="CP18" s="72">
        <v>2.2966999999999995</v>
      </c>
      <c r="CQ18" s="72">
        <v>2.7195999999999994</v>
      </c>
      <c r="CR18" s="72">
        <v>6.4502000000000006</v>
      </c>
      <c r="CS18" s="72">
        <v>0.4244</v>
      </c>
      <c r="CT18" s="72">
        <v>0.92510000000000003</v>
      </c>
      <c r="CU18" s="72">
        <v>2.6039999999999996</v>
      </c>
      <c r="CV18" s="72">
        <v>6.0806999999999993</v>
      </c>
      <c r="CW18" s="72">
        <v>0.40149999999999997</v>
      </c>
      <c r="CX18" s="72">
        <v>0.87129999999999996</v>
      </c>
      <c r="CY18" s="72">
        <v>6.9775</v>
      </c>
      <c r="CZ18" s="72">
        <v>8.2946999999999989</v>
      </c>
      <c r="DA18" s="72">
        <v>2.9738000000000002</v>
      </c>
      <c r="DB18" s="72">
        <v>4.5312999999999999</v>
      </c>
      <c r="DC18" s="72">
        <v>14.112099999999989</v>
      </c>
      <c r="DD18" s="72">
        <v>1.6096999999999999</v>
      </c>
      <c r="DE18" s="72">
        <v>0.61869999999999981</v>
      </c>
      <c r="DF18" s="72">
        <v>0.47199999999999998</v>
      </c>
      <c r="DG18" s="72">
        <v>152.14999999999995</v>
      </c>
      <c r="DH18" s="72">
        <v>15.709999999999999</v>
      </c>
      <c r="DI18" s="72">
        <v>18.886999999999976</v>
      </c>
      <c r="DJ18" s="72">
        <v>0.22800000000000001</v>
      </c>
      <c r="DK18" s="72">
        <v>11.079599999999996</v>
      </c>
      <c r="DL18" s="72">
        <v>11.211600000000001</v>
      </c>
      <c r="DM18" s="72">
        <v>2.8772999999999982</v>
      </c>
      <c r="DN18" s="72">
        <v>2.4756</v>
      </c>
    </row>
    <row r="19" spans="1:118">
      <c r="B19" s="47" t="s">
        <v>702</v>
      </c>
      <c r="C19" s="72">
        <v>4.4590702531778392</v>
      </c>
      <c r="D19" s="72">
        <v>7.2004907767262463</v>
      </c>
      <c r="E19" s="72">
        <v>6.155806866020872</v>
      </c>
      <c r="F19" s="72">
        <v>5.0891060118649527</v>
      </c>
      <c r="G19" s="72">
        <v>0.88942958706179176</v>
      </c>
      <c r="H19" s="72">
        <v>4.8694630094087379E-2</v>
      </c>
      <c r="I19" s="72">
        <v>14.799624485123056</v>
      </c>
      <c r="J19" s="72">
        <v>16.057087736312408</v>
      </c>
      <c r="K19" s="72">
        <v>1.8034356785994727</v>
      </c>
      <c r="L19" s="72">
        <v>1.5216878757063863</v>
      </c>
      <c r="M19" s="36">
        <v>3885.5266958670213</v>
      </c>
      <c r="N19" s="36">
        <v>1227.1296091855186</v>
      </c>
      <c r="O19" s="36">
        <v>4568.7446526546901</v>
      </c>
      <c r="P19" s="36">
        <v>1647.1996078469522</v>
      </c>
      <c r="Q19" s="36">
        <v>68662.147678714857</v>
      </c>
      <c r="R19" s="36">
        <v>93040.397706706004</v>
      </c>
      <c r="S19" s="36">
        <v>665.12243946493038</v>
      </c>
      <c r="T19" s="36">
        <v>630.19540759598181</v>
      </c>
      <c r="U19" s="36">
        <v>377.45270625319438</v>
      </c>
      <c r="V19" s="36">
        <v>305.98579540197306</v>
      </c>
      <c r="W19" s="36">
        <v>13146.134235463516</v>
      </c>
      <c r="X19" s="36">
        <v>8187.567127475585</v>
      </c>
      <c r="Y19" s="36">
        <v>4498.2340186082492</v>
      </c>
      <c r="Z19" s="36">
        <v>1431.0349851611086</v>
      </c>
      <c r="AA19" s="36">
        <v>3582.0710763100492</v>
      </c>
      <c r="AB19" s="36">
        <v>4398.7804426513121</v>
      </c>
      <c r="AC19" s="36">
        <v>137.3205841638472</v>
      </c>
      <c r="AD19" s="36">
        <v>132.65802851371299</v>
      </c>
      <c r="AE19" s="36">
        <v>308.86248976815352</v>
      </c>
      <c r="AF19" s="36">
        <v>139.32256608620006</v>
      </c>
      <c r="AG19" s="36">
        <v>1530.9632736193118</v>
      </c>
      <c r="AH19" s="36">
        <v>1878.2450901471398</v>
      </c>
      <c r="AI19" s="36">
        <v>57800.595554547202</v>
      </c>
      <c r="AJ19" s="36">
        <v>63803.104224047856</v>
      </c>
      <c r="AK19" s="72">
        <v>41.13951596023292</v>
      </c>
      <c r="AL19" s="72">
        <v>32.767840585101951</v>
      </c>
      <c r="AM19" s="72">
        <v>91.053107527360766</v>
      </c>
      <c r="AN19" s="72">
        <v>51.008336968492742</v>
      </c>
      <c r="AO19" s="72">
        <v>58.480548541864451</v>
      </c>
      <c r="AP19" s="72">
        <v>49.597200837090185</v>
      </c>
      <c r="AQ19" s="72">
        <v>99.185871113571523</v>
      </c>
      <c r="AR19" s="72">
        <v>113.79714360321708</v>
      </c>
      <c r="AS19" s="72">
        <v>15.96784795332168</v>
      </c>
      <c r="AT19" s="72">
        <v>24.711614595895316</v>
      </c>
      <c r="AU19" s="130">
        <v>42.45677540781724</v>
      </c>
      <c r="AV19" s="72">
        <v>8.9020489328007582</v>
      </c>
      <c r="AW19" s="72">
        <v>0.71464052559010938</v>
      </c>
      <c r="AX19" s="72">
        <v>0.66309155659765218</v>
      </c>
      <c r="AY19" s="130">
        <v>69.256876296613925</v>
      </c>
      <c r="AZ19" s="72">
        <v>59.21100355482789</v>
      </c>
      <c r="BA19" s="72">
        <v>98.426088270699125</v>
      </c>
      <c r="BB19" s="72">
        <v>44.90750879293342</v>
      </c>
      <c r="BC19" s="72">
        <v>16.307333293220477</v>
      </c>
      <c r="BD19" s="72">
        <v>27.526239429488488</v>
      </c>
      <c r="BE19" s="72">
        <v>169.46380278516395</v>
      </c>
      <c r="BF19" s="72">
        <v>280.46332520209961</v>
      </c>
      <c r="BG19" s="72">
        <v>24.887602493697699</v>
      </c>
      <c r="BH19" s="72">
        <v>54.47652979927625</v>
      </c>
      <c r="BI19" s="72">
        <v>2.1262149910028709</v>
      </c>
      <c r="BJ19" s="72">
        <v>3.0363087845409304</v>
      </c>
      <c r="BK19" s="72">
        <v>0.2186599733742699</v>
      </c>
      <c r="BL19" s="72">
        <v>8.2543289188383467E-2</v>
      </c>
      <c r="BM19" s="72">
        <v>0.16617391422475394</v>
      </c>
      <c r="BN19" s="72">
        <v>0.11142777871137001</v>
      </c>
      <c r="BO19" s="72">
        <v>1.9945806696779804</v>
      </c>
      <c r="BP19" s="72">
        <v>2.7734504131621205</v>
      </c>
      <c r="BQ19" s="72">
        <v>1.075374827978085</v>
      </c>
      <c r="BR19" s="72">
        <v>0.50633637483690963</v>
      </c>
      <c r="BS19" s="72">
        <v>2.439759234126778</v>
      </c>
      <c r="BT19" s="72">
        <v>2.948609949261805</v>
      </c>
      <c r="BU19" s="72">
        <v>466.53571128143324</v>
      </c>
      <c r="BV19" s="72">
        <v>284.48919699158142</v>
      </c>
      <c r="BW19" s="72">
        <v>30.155887749670448</v>
      </c>
      <c r="BX19" s="72">
        <v>43.601167494618906</v>
      </c>
      <c r="BY19" s="72">
        <v>87.56307938201212</v>
      </c>
      <c r="BZ19" s="72">
        <v>100.5091822644179</v>
      </c>
      <c r="CA19" s="72">
        <v>6.3455221651624809</v>
      </c>
      <c r="CB19" s="72">
        <v>9.3060333946842348</v>
      </c>
      <c r="CC19" s="72">
        <v>23.968996059262039</v>
      </c>
      <c r="CD19" s="72">
        <v>34.886351447227625</v>
      </c>
      <c r="CE19" s="72">
        <v>4.4605215865444725</v>
      </c>
      <c r="CF19" s="72">
        <v>6.5320507181814254</v>
      </c>
      <c r="CG19" s="72">
        <v>0.96862433180577157</v>
      </c>
      <c r="CH19" s="72">
        <v>1.3451787907870976</v>
      </c>
      <c r="CI19" s="72">
        <v>3.5339709754222191</v>
      </c>
      <c r="CJ19" s="72">
        <v>5.9503931122703122</v>
      </c>
      <c r="CK19" s="72">
        <v>0.54209325191292601</v>
      </c>
      <c r="CL19" s="72">
        <v>0.86470157190578734</v>
      </c>
      <c r="CM19" s="72">
        <v>3.0587185244173583</v>
      </c>
      <c r="CN19" s="72">
        <v>5.5307166813977924</v>
      </c>
      <c r="CO19" s="72">
        <v>0.62281100128699918</v>
      </c>
      <c r="CP19" s="72">
        <v>1.0711743591600507</v>
      </c>
      <c r="CQ19" s="72">
        <v>1.7690767590727261</v>
      </c>
      <c r="CR19" s="72">
        <v>3.2205181270841878</v>
      </c>
      <c r="CS19" s="72">
        <v>0.26961306000069174</v>
      </c>
      <c r="CT19" s="72">
        <v>0.44871180557548296</v>
      </c>
      <c r="CU19" s="72">
        <v>1.7155435069728715</v>
      </c>
      <c r="CV19" s="72">
        <v>2.9637612427676507</v>
      </c>
      <c r="CW19" s="72">
        <v>0.25649878648165086</v>
      </c>
      <c r="CX19" s="72">
        <v>0.42056726071187261</v>
      </c>
      <c r="CY19" s="72">
        <v>4.4817756049499859</v>
      </c>
      <c r="CZ19" s="72">
        <v>6.7788238276994042</v>
      </c>
      <c r="DA19" s="72">
        <v>1.4251446965968779</v>
      </c>
      <c r="DB19" s="72">
        <v>2.9331577382261149</v>
      </c>
      <c r="DC19" s="72">
        <v>3.652159221644744</v>
      </c>
      <c r="DD19" s="72">
        <v>1.1815642092014418</v>
      </c>
      <c r="DE19" s="72">
        <v>0.42870269285974183</v>
      </c>
      <c r="DF19" s="72">
        <v>0.37613995516122078</v>
      </c>
      <c r="DG19" s="72">
        <v>28.523238308873655</v>
      </c>
      <c r="DH19" s="72">
        <v>13.913125724116107</v>
      </c>
      <c r="DI19" s="72">
        <v>1.1529361981082886</v>
      </c>
      <c r="DJ19" s="72">
        <v>0.21297356898332881</v>
      </c>
      <c r="DK19" s="72">
        <v>7.8918035263271955</v>
      </c>
      <c r="DL19" s="72">
        <v>9.8048926322195253</v>
      </c>
      <c r="DM19" s="72">
        <v>2.0563733200965619</v>
      </c>
      <c r="DN19" s="72">
        <v>2.3473972180226728</v>
      </c>
    </row>
    <row r="20" spans="1:118">
      <c r="B20" s="47" t="s">
        <v>703</v>
      </c>
      <c r="C20" s="72">
        <v>5.0170165709782131</v>
      </c>
      <c r="D20" s="72">
        <v>7.6896978718357385</v>
      </c>
      <c r="E20" s="72">
        <v>6.2511111111111113</v>
      </c>
      <c r="F20" s="72">
        <v>5.1349999999999998</v>
      </c>
      <c r="G20" s="72">
        <v>2.1772186111111109</v>
      </c>
      <c r="H20" s="72">
        <v>4.8705000000000005E-2</v>
      </c>
      <c r="I20" s="72">
        <v>16.105263157894736</v>
      </c>
      <c r="J20" s="72">
        <v>16.666666666666668</v>
      </c>
      <c r="K20" s="72">
        <v>1.9178947368421055</v>
      </c>
      <c r="L20" s="72">
        <v>1.5633333333333332</v>
      </c>
      <c r="M20" s="36">
        <v>5699.105263157895</v>
      </c>
      <c r="N20" s="36">
        <v>1312.6666666666667</v>
      </c>
      <c r="O20" s="36">
        <v>6371.9473684210525</v>
      </c>
      <c r="P20" s="36">
        <v>1647.3333333333333</v>
      </c>
      <c r="Q20" s="36">
        <v>70566.052631578947</v>
      </c>
      <c r="R20" s="36">
        <v>93059.333333333328</v>
      </c>
      <c r="S20" s="36">
        <v>703.9473684210526</v>
      </c>
      <c r="T20" s="36">
        <v>631.66666666666663</v>
      </c>
      <c r="U20" s="36">
        <v>957.31578947368416</v>
      </c>
      <c r="V20" s="36">
        <v>306</v>
      </c>
      <c r="W20" s="36">
        <v>13846.21052631579</v>
      </c>
      <c r="X20" s="36">
        <v>10714</v>
      </c>
      <c r="Y20" s="36">
        <v>6597.5263157894733</v>
      </c>
      <c r="Z20" s="36">
        <v>1432.6666666666667</v>
      </c>
      <c r="AA20" s="36">
        <v>3929.8894736842103</v>
      </c>
      <c r="AB20" s="36">
        <v>5126</v>
      </c>
      <c r="AC20" s="36">
        <v>157.4</v>
      </c>
      <c r="AD20" s="36">
        <v>141.9</v>
      </c>
      <c r="AE20" s="36">
        <v>485.67894736842112</v>
      </c>
      <c r="AF20" s="36">
        <v>147.43333333333334</v>
      </c>
      <c r="AG20" s="36">
        <v>1662.7947368421053</v>
      </c>
      <c r="AH20" s="36">
        <v>1879.6666666666667</v>
      </c>
      <c r="AI20" s="36">
        <v>65339.947368421053</v>
      </c>
      <c r="AJ20" s="36">
        <v>66747.666666666672</v>
      </c>
      <c r="AK20" s="72">
        <v>44.642052631578949</v>
      </c>
      <c r="AL20" s="72">
        <v>33.146666666666668</v>
      </c>
      <c r="AM20" s="72">
        <v>129.7547368421053</v>
      </c>
      <c r="AN20" s="72">
        <v>55.833333333333336</v>
      </c>
      <c r="AO20" s="72">
        <v>70.557368421052644</v>
      </c>
      <c r="AP20" s="72">
        <v>55.066666666666663</v>
      </c>
      <c r="AQ20" s="72">
        <v>103.89473684210526</v>
      </c>
      <c r="AR20" s="72">
        <v>113.93333333333334</v>
      </c>
      <c r="AS20" s="72">
        <v>16.44526315789474</v>
      </c>
      <c r="AT20" s="72">
        <v>24.733333333333334</v>
      </c>
      <c r="AU20" s="130">
        <v>603.11052631578934</v>
      </c>
      <c r="AV20" s="72">
        <v>10.533333333333333</v>
      </c>
      <c r="AW20" s="72">
        <v>0.78722222222222216</v>
      </c>
      <c r="AX20" s="72">
        <v>0.68333333333333324</v>
      </c>
      <c r="AY20" s="130">
        <v>71.187368421052639</v>
      </c>
      <c r="AZ20" s="72">
        <v>64.36666666666666</v>
      </c>
      <c r="BA20" s="72">
        <v>132.26105263157893</v>
      </c>
      <c r="BB20" s="72">
        <v>54.333333333333336</v>
      </c>
      <c r="BC20" s="72">
        <v>17.03805263157895</v>
      </c>
      <c r="BD20" s="72">
        <v>34.048999999999999</v>
      </c>
      <c r="BE20" s="72">
        <v>183.38684210526313</v>
      </c>
      <c r="BF20" s="72">
        <v>287.13333333333338</v>
      </c>
      <c r="BG20" s="72">
        <v>29.773157894736851</v>
      </c>
      <c r="BH20" s="72">
        <v>57.70333333333334</v>
      </c>
      <c r="BI20" s="72">
        <v>2.3994736842105264</v>
      </c>
      <c r="BJ20" s="72">
        <v>3.0400000000000005</v>
      </c>
      <c r="BK20" s="72">
        <v>0.97736842105263155</v>
      </c>
      <c r="BL20" s="72">
        <v>8.3333333333333329E-2</v>
      </c>
      <c r="BM20" s="72">
        <v>0.23336842105263159</v>
      </c>
      <c r="BN20" s="72">
        <v>0.11499999999999999</v>
      </c>
      <c r="BO20" s="72">
        <v>2.0905263157894738</v>
      </c>
      <c r="BP20" s="72">
        <v>2.8366666666666664</v>
      </c>
      <c r="BQ20" s="72">
        <v>1.5768947368421056</v>
      </c>
      <c r="BR20" s="72">
        <v>0.52266666666666672</v>
      </c>
      <c r="BS20" s="72">
        <v>2.5242105263157892</v>
      </c>
      <c r="BT20" s="72">
        <v>2.9506666666666668</v>
      </c>
      <c r="BU20" s="72">
        <v>494.83368421052631</v>
      </c>
      <c r="BV20" s="72">
        <v>323.26666666666665</v>
      </c>
      <c r="BW20" s="72">
        <v>31.789052631578951</v>
      </c>
      <c r="BX20" s="72">
        <v>47.726666666666667</v>
      </c>
      <c r="BY20" s="72">
        <v>90.320999999999998</v>
      </c>
      <c r="BZ20" s="72">
        <v>102.03333333333335</v>
      </c>
      <c r="CA20" s="72">
        <v>6.6642631578947364</v>
      </c>
      <c r="CB20" s="72">
        <v>10.079333333333333</v>
      </c>
      <c r="CC20" s="72">
        <v>25.136315789473681</v>
      </c>
      <c r="CD20" s="72">
        <v>37.723333333333336</v>
      </c>
      <c r="CE20" s="72">
        <v>4.6522105263157885</v>
      </c>
      <c r="CF20" s="72">
        <v>7.1783333333333337</v>
      </c>
      <c r="CG20" s="72">
        <v>1.0103157894736843</v>
      </c>
      <c r="CH20" s="72">
        <v>1.4556666666666667</v>
      </c>
      <c r="CI20" s="72">
        <v>3.6884736842105266</v>
      </c>
      <c r="CJ20" s="72">
        <v>6.862000000000001</v>
      </c>
      <c r="CK20" s="72">
        <v>0.56689473684210523</v>
      </c>
      <c r="CL20" s="72">
        <v>1.0126666666666668</v>
      </c>
      <c r="CM20" s="72">
        <v>3.1928947368421059</v>
      </c>
      <c r="CN20" s="72">
        <v>6.5620000000000003</v>
      </c>
      <c r="CO20" s="72">
        <v>0.64984210526315778</v>
      </c>
      <c r="CP20" s="72">
        <v>1.2943333333333333</v>
      </c>
      <c r="CQ20" s="72">
        <v>1.8409473684210527</v>
      </c>
      <c r="CR20" s="72">
        <v>3.7719999999999998</v>
      </c>
      <c r="CS20" s="72">
        <v>0.28031578947368418</v>
      </c>
      <c r="CT20" s="72">
        <v>0.53233333333333333</v>
      </c>
      <c r="CU20" s="72">
        <v>1.779105263157895</v>
      </c>
      <c r="CV20" s="72">
        <v>3.5083333333333333</v>
      </c>
      <c r="CW20" s="72">
        <v>0.26552631578947367</v>
      </c>
      <c r="CX20" s="72">
        <v>0.5</v>
      </c>
      <c r="CY20" s="72">
        <v>4.7526315789473683</v>
      </c>
      <c r="CZ20" s="72">
        <v>6.8733333333333322</v>
      </c>
      <c r="DA20" s="72">
        <v>1.668052631578947</v>
      </c>
      <c r="DB20" s="72">
        <v>3.1246666666666667</v>
      </c>
      <c r="DC20" s="72">
        <v>5.1858421052631583</v>
      </c>
      <c r="DD20" s="72">
        <v>1.2203333333333333</v>
      </c>
      <c r="DE20" s="72">
        <v>0.44836842105263158</v>
      </c>
      <c r="DF20" s="72">
        <v>0.39300000000000002</v>
      </c>
      <c r="DG20" s="72">
        <v>40.263157894736842</v>
      </c>
      <c r="DH20" s="72">
        <v>14.08</v>
      </c>
      <c r="DI20" s="72">
        <v>3.7326315789473679</v>
      </c>
      <c r="DJ20" s="72">
        <v>0.21333333333333335</v>
      </c>
      <c r="DK20" s="72">
        <v>8.2372631578947377</v>
      </c>
      <c r="DL20" s="72">
        <v>9.8650000000000002</v>
      </c>
      <c r="DM20" s="72">
        <v>2.131842105263158</v>
      </c>
      <c r="DN20" s="72">
        <v>2.3496666666666668</v>
      </c>
    </row>
    <row r="21" spans="1:118">
      <c r="C21" s="72"/>
      <c r="D21" s="72"/>
      <c r="E21" s="72"/>
      <c r="F21" s="72"/>
      <c r="G21" s="72"/>
      <c r="H21" s="72"/>
      <c r="I21" s="72"/>
      <c r="J21" s="72"/>
      <c r="K21" s="72"/>
      <c r="L21" s="72"/>
      <c r="M21" s="36"/>
      <c r="N21" s="36"/>
      <c r="O21" s="36"/>
      <c r="P21" s="36"/>
      <c r="Q21" s="36"/>
      <c r="R21" s="36"/>
      <c r="S21" s="36"/>
      <c r="T21" s="36"/>
      <c r="U21" s="36"/>
      <c r="V21" s="36"/>
      <c r="W21" s="36"/>
      <c r="X21" s="36"/>
      <c r="Y21" s="36"/>
      <c r="Z21" s="36"/>
      <c r="AA21" s="36"/>
      <c r="AB21" s="36"/>
      <c r="AC21" s="36"/>
      <c r="AD21" s="36"/>
      <c r="AE21" s="36"/>
      <c r="AF21" s="36"/>
      <c r="AG21" s="36"/>
      <c r="AH21" s="36"/>
      <c r="AI21" s="36"/>
      <c r="AJ21" s="36"/>
      <c r="AK21" s="72"/>
      <c r="AL21" s="72"/>
      <c r="AM21" s="72"/>
      <c r="AN21" s="72"/>
      <c r="AO21" s="72"/>
      <c r="AP21" s="72"/>
      <c r="AQ21" s="72"/>
      <c r="AR21" s="72"/>
      <c r="AS21" s="72"/>
      <c r="AT21" s="72"/>
      <c r="AU21" s="130"/>
      <c r="AV21" s="72"/>
      <c r="AW21" s="72"/>
      <c r="AX21" s="72"/>
      <c r="AY21" s="130"/>
      <c r="AZ21" s="72"/>
      <c r="BA21" s="72"/>
      <c r="BB21" s="72"/>
      <c r="BC21" s="72"/>
      <c r="BD21" s="72"/>
      <c r="BE21" s="72"/>
      <c r="BF21" s="72"/>
      <c r="BG21" s="72"/>
      <c r="BH21" s="72"/>
      <c r="BI21" s="72"/>
      <c r="BJ21" s="72"/>
      <c r="BK21" s="72"/>
      <c r="BL21" s="72"/>
      <c r="BM21" s="72"/>
      <c r="BN21" s="72"/>
      <c r="BO21" s="72"/>
      <c r="BP21" s="72"/>
      <c r="BQ21" s="72"/>
      <c r="BR21" s="72"/>
      <c r="BS21" s="72"/>
      <c r="BT21" s="72"/>
      <c r="BU21" s="72"/>
      <c r="BV21" s="72"/>
      <c r="BW21" s="72"/>
      <c r="BX21" s="72"/>
      <c r="BY21" s="72"/>
      <c r="BZ21" s="72"/>
      <c r="CA21" s="72"/>
      <c r="CB21" s="72"/>
      <c r="CC21" s="72"/>
      <c r="CD21" s="72"/>
      <c r="CE21" s="72"/>
      <c r="CF21" s="72"/>
      <c r="CG21" s="72"/>
      <c r="CH21" s="72"/>
      <c r="CI21" s="72"/>
      <c r="CJ21" s="72"/>
      <c r="CK21" s="72"/>
      <c r="CL21" s="72"/>
      <c r="CM21" s="72"/>
      <c r="CN21" s="72"/>
      <c r="CO21" s="72"/>
      <c r="CP21" s="72"/>
      <c r="CQ21" s="72"/>
      <c r="CR21" s="72"/>
      <c r="CS21" s="72"/>
      <c r="CT21" s="72"/>
      <c r="CU21" s="72"/>
      <c r="CV21" s="72"/>
      <c r="CW21" s="72"/>
      <c r="CX21" s="72"/>
      <c r="CY21" s="72"/>
      <c r="CZ21" s="72"/>
      <c r="DA21" s="72"/>
      <c r="DB21" s="72"/>
      <c r="DC21" s="72"/>
      <c r="DD21" s="72"/>
      <c r="DE21" s="72"/>
      <c r="DF21" s="72"/>
      <c r="DG21" s="72"/>
      <c r="DH21" s="72"/>
      <c r="DI21" s="72"/>
      <c r="DJ21" s="72"/>
      <c r="DK21" s="72"/>
      <c r="DL21" s="72"/>
      <c r="DM21" s="72"/>
      <c r="DN21" s="72"/>
    </row>
    <row r="22" spans="1:118">
      <c r="A22" s="17" t="s">
        <v>715</v>
      </c>
      <c r="B22" s="47" t="s">
        <v>697</v>
      </c>
      <c r="C22" s="72">
        <v>4.4860234445449922</v>
      </c>
      <c r="D22" s="72">
        <v>4.1774231401082087</v>
      </c>
      <c r="E22" s="72">
        <v>5.04</v>
      </c>
      <c r="F22" s="72">
        <v>5.07</v>
      </c>
      <c r="G22" s="72">
        <v>6.5500000000000003E-2</v>
      </c>
      <c r="H22" s="72">
        <v>2.2689999999999998E-2</v>
      </c>
      <c r="I22" s="72">
        <v>10.8</v>
      </c>
      <c r="J22" s="72">
        <v>10</v>
      </c>
      <c r="K22" s="72">
        <v>1.48</v>
      </c>
      <c r="L22" s="72">
        <v>1.05</v>
      </c>
      <c r="M22" s="36">
        <v>1277</v>
      </c>
      <c r="N22" s="36">
        <v>1966</v>
      </c>
      <c r="O22" s="36">
        <v>2236</v>
      </c>
      <c r="P22" s="36">
        <v>1266</v>
      </c>
      <c r="Q22" s="36">
        <v>59918</v>
      </c>
      <c r="R22" s="36">
        <v>63304</v>
      </c>
      <c r="S22" s="36">
        <v>477</v>
      </c>
      <c r="T22" s="36">
        <v>351</v>
      </c>
      <c r="U22" s="36">
        <v>251</v>
      </c>
      <c r="V22" s="36">
        <v>138</v>
      </c>
      <c r="W22" s="36">
        <v>9636</v>
      </c>
      <c r="X22" s="36">
        <v>7632</v>
      </c>
      <c r="Y22" s="36">
        <v>2645</v>
      </c>
      <c r="Z22" s="36">
        <v>1942</v>
      </c>
      <c r="AA22" s="36">
        <v>2307</v>
      </c>
      <c r="AB22" s="36">
        <v>2949</v>
      </c>
      <c r="AC22" s="36">
        <v>89.4</v>
      </c>
      <c r="AD22" s="36">
        <v>68</v>
      </c>
      <c r="AE22" s="36">
        <v>148.19999999999999</v>
      </c>
      <c r="AF22" s="36">
        <v>69.400000000000006</v>
      </c>
      <c r="AG22" s="36">
        <v>1529.2</v>
      </c>
      <c r="AH22" s="36">
        <v>447</v>
      </c>
      <c r="AI22" s="36">
        <v>35489</v>
      </c>
      <c r="AJ22" s="36">
        <v>44021</v>
      </c>
      <c r="AK22" s="72">
        <v>28.847999999999999</v>
      </c>
      <c r="AL22" s="72">
        <v>13.5</v>
      </c>
      <c r="AM22" s="72">
        <v>52.75</v>
      </c>
      <c r="AN22" s="72">
        <v>27.9</v>
      </c>
      <c r="AO22" s="72">
        <v>40.869999999999997</v>
      </c>
      <c r="AP22" s="72">
        <v>18.2</v>
      </c>
      <c r="AQ22" s="72">
        <v>76</v>
      </c>
      <c r="AR22" s="72">
        <v>42.1</v>
      </c>
      <c r="AS22" s="72">
        <v>13.9</v>
      </c>
      <c r="AT22" s="72">
        <v>16.559999999999999</v>
      </c>
      <c r="AU22" s="130">
        <v>4.8</v>
      </c>
      <c r="AV22" s="72">
        <v>2.9</v>
      </c>
      <c r="AW22" s="72">
        <v>0.57999999999999996</v>
      </c>
      <c r="AX22" s="72">
        <v>0.28999999999999998</v>
      </c>
      <c r="AY22" s="130">
        <v>61.2</v>
      </c>
      <c r="AZ22" s="72">
        <v>36.4</v>
      </c>
      <c r="BA22" s="72">
        <v>65.08</v>
      </c>
      <c r="BB22" s="72">
        <v>65.5</v>
      </c>
      <c r="BC22" s="72">
        <v>13.728999999999999</v>
      </c>
      <c r="BD22" s="72">
        <v>15.4</v>
      </c>
      <c r="BE22" s="72">
        <v>125.15</v>
      </c>
      <c r="BF22" s="72">
        <v>182.6</v>
      </c>
      <c r="BG22" s="72">
        <v>25.829000000000001</v>
      </c>
      <c r="BH22" s="72">
        <v>32.19</v>
      </c>
      <c r="BI22" s="72">
        <v>1.96</v>
      </c>
      <c r="BJ22" s="72">
        <v>2.33</v>
      </c>
      <c r="BK22" s="72">
        <v>6.4000000000000001E-2</v>
      </c>
      <c r="BL22" s="72">
        <v>5.7000000000000002E-2</v>
      </c>
      <c r="BM22" s="72">
        <v>0.14099999999999999</v>
      </c>
      <c r="BN22" s="72">
        <v>4.9000000000000002E-2</v>
      </c>
      <c r="BO22" s="72">
        <v>1.75</v>
      </c>
      <c r="BP22" s="72">
        <v>1.78</v>
      </c>
      <c r="BQ22" s="72">
        <v>0.55300000000000005</v>
      </c>
      <c r="BR22" s="72">
        <v>0.56100000000000005</v>
      </c>
      <c r="BS22" s="72">
        <v>2.15</v>
      </c>
      <c r="BT22" s="72">
        <v>1.7669999999999999</v>
      </c>
      <c r="BU22" s="72">
        <v>306.10000000000002</v>
      </c>
      <c r="BV22" s="72">
        <v>392.3</v>
      </c>
      <c r="BW22" s="72">
        <v>23.119</v>
      </c>
      <c r="BX22" s="72">
        <v>29.9</v>
      </c>
      <c r="BY22" s="72">
        <v>75.658000000000001</v>
      </c>
      <c r="BZ22" s="72">
        <v>76.08</v>
      </c>
      <c r="CA22" s="72">
        <v>4.6139999999999999</v>
      </c>
      <c r="CB22" s="72">
        <v>6.444</v>
      </c>
      <c r="CC22" s="72">
        <v>17.920000000000002</v>
      </c>
      <c r="CD22" s="72">
        <v>23.94</v>
      </c>
      <c r="CE22" s="72">
        <v>3.3290000000000002</v>
      </c>
      <c r="CF22" s="72">
        <v>4.2530000000000001</v>
      </c>
      <c r="CG22" s="72">
        <v>0.751</v>
      </c>
      <c r="CH22" s="72">
        <v>0.88500000000000001</v>
      </c>
      <c r="CI22" s="72">
        <v>2.8580000000000001</v>
      </c>
      <c r="CJ22" s="72">
        <v>3.569</v>
      </c>
      <c r="CK22" s="72">
        <v>0.433</v>
      </c>
      <c r="CL22" s="72">
        <v>0.51300000000000001</v>
      </c>
      <c r="CM22" s="72">
        <v>2.593</v>
      </c>
      <c r="CN22" s="72">
        <v>3.1469999999999998</v>
      </c>
      <c r="CO22" s="72">
        <v>0.51400000000000001</v>
      </c>
      <c r="CP22" s="72">
        <v>0.61799999999999999</v>
      </c>
      <c r="CQ22" s="72">
        <v>1.456</v>
      </c>
      <c r="CR22" s="72">
        <v>1.7769999999999999</v>
      </c>
      <c r="CS22" s="72">
        <v>0.223</v>
      </c>
      <c r="CT22" s="72">
        <v>0.251</v>
      </c>
      <c r="CU22" s="72">
        <v>1.4</v>
      </c>
      <c r="CV22" s="72">
        <v>1.7430000000000001</v>
      </c>
      <c r="CW22" s="72">
        <v>0.21099999999999999</v>
      </c>
      <c r="CX22" s="72">
        <v>0.25</v>
      </c>
      <c r="CY22" s="72">
        <v>3.35</v>
      </c>
      <c r="CZ22" s="72">
        <v>4.3929999999999998</v>
      </c>
      <c r="DA22" s="72">
        <v>1.496</v>
      </c>
      <c r="DB22" s="72">
        <v>1.6160000000000001</v>
      </c>
      <c r="DC22" s="72">
        <v>1.504</v>
      </c>
      <c r="DD22" s="72">
        <v>0.82199999999999995</v>
      </c>
      <c r="DE22" s="72">
        <v>0.42199999999999999</v>
      </c>
      <c r="DF22" s="72">
        <v>0.246</v>
      </c>
      <c r="DG22" s="72">
        <v>17.5</v>
      </c>
      <c r="DH22" s="72">
        <v>16.62</v>
      </c>
      <c r="DI22" s="72">
        <v>0.19</v>
      </c>
      <c r="DJ22" s="72">
        <v>0.12</v>
      </c>
      <c r="DK22" s="72">
        <v>6.2409999999999997</v>
      </c>
      <c r="DL22" s="72">
        <v>7.1459999999999999</v>
      </c>
      <c r="DM22" s="72">
        <v>1.649</v>
      </c>
      <c r="DN22" s="72">
        <v>1.81</v>
      </c>
    </row>
    <row r="23" spans="1:118">
      <c r="B23" s="47" t="s">
        <v>698</v>
      </c>
      <c r="C23" s="72">
        <v>13.157069704253136</v>
      </c>
      <c r="D23" s="72">
        <v>11.635575654795559</v>
      </c>
      <c r="E23" s="72">
        <v>7.07</v>
      </c>
      <c r="F23" s="72">
        <v>7</v>
      </c>
      <c r="G23" s="72">
        <v>3.7010000000000001</v>
      </c>
      <c r="H23" s="72">
        <v>4.1730000000000003E-2</v>
      </c>
      <c r="I23" s="72">
        <v>25.5</v>
      </c>
      <c r="J23" s="72">
        <v>26</v>
      </c>
      <c r="K23" s="72">
        <v>3.52</v>
      </c>
      <c r="L23" s="72">
        <v>5.46</v>
      </c>
      <c r="M23" s="36">
        <v>7678</v>
      </c>
      <c r="N23" s="36">
        <v>6001</v>
      </c>
      <c r="O23" s="36">
        <v>4987</v>
      </c>
      <c r="P23" s="36">
        <v>2341</v>
      </c>
      <c r="Q23" s="36">
        <v>87451</v>
      </c>
      <c r="R23" s="36">
        <v>104512</v>
      </c>
      <c r="S23" s="36">
        <v>951</v>
      </c>
      <c r="T23" s="36">
        <v>1317</v>
      </c>
      <c r="U23" s="36">
        <v>1497</v>
      </c>
      <c r="V23" s="36">
        <v>368</v>
      </c>
      <c r="W23" s="36">
        <v>21312</v>
      </c>
      <c r="X23" s="36">
        <v>13429</v>
      </c>
      <c r="Y23" s="36">
        <v>7198</v>
      </c>
      <c r="Z23" s="36">
        <v>8543</v>
      </c>
      <c r="AA23" s="36">
        <v>7015.8</v>
      </c>
      <c r="AB23" s="36">
        <v>5097</v>
      </c>
      <c r="AC23" s="36">
        <v>213.6</v>
      </c>
      <c r="AD23" s="36">
        <v>90.8</v>
      </c>
      <c r="AE23" s="36">
        <v>1682.3</v>
      </c>
      <c r="AF23" s="36">
        <v>139.6</v>
      </c>
      <c r="AG23" s="36">
        <v>2617.1</v>
      </c>
      <c r="AH23" s="36">
        <v>3951</v>
      </c>
      <c r="AI23" s="36">
        <v>115982</v>
      </c>
      <c r="AJ23" s="36">
        <v>78334</v>
      </c>
      <c r="AK23" s="72">
        <v>78.509</v>
      </c>
      <c r="AL23" s="72">
        <v>35.26</v>
      </c>
      <c r="AM23" s="72">
        <v>444.96</v>
      </c>
      <c r="AN23" s="72">
        <v>35</v>
      </c>
      <c r="AO23" s="72">
        <v>87.69</v>
      </c>
      <c r="AP23" s="72">
        <v>29.5</v>
      </c>
      <c r="AQ23" s="72">
        <v>586</v>
      </c>
      <c r="AR23" s="72">
        <v>181.8</v>
      </c>
      <c r="AS23" s="72">
        <v>21.9</v>
      </c>
      <c r="AT23" s="72">
        <v>30.41</v>
      </c>
      <c r="AU23" s="130">
        <v>1615.5</v>
      </c>
      <c r="AV23" s="72">
        <v>11.6</v>
      </c>
      <c r="AW23" s="72">
        <v>1.28</v>
      </c>
      <c r="AX23" s="72">
        <v>0.76</v>
      </c>
      <c r="AY23" s="130">
        <v>93.52</v>
      </c>
      <c r="AZ23" s="72">
        <v>82.3</v>
      </c>
      <c r="BA23" s="72">
        <v>166</v>
      </c>
      <c r="BB23" s="72">
        <v>87.1</v>
      </c>
      <c r="BC23" s="72">
        <v>28.934999999999999</v>
      </c>
      <c r="BD23" s="72">
        <v>47.054000000000002</v>
      </c>
      <c r="BE23" s="72">
        <v>327.49</v>
      </c>
      <c r="BF23" s="72">
        <v>726.6</v>
      </c>
      <c r="BG23" s="72">
        <v>57.622</v>
      </c>
      <c r="BH23" s="72">
        <v>226.95</v>
      </c>
      <c r="BI23" s="72">
        <v>3.75</v>
      </c>
      <c r="BJ23" s="72">
        <v>7.39</v>
      </c>
      <c r="BK23" s="72">
        <v>0.73299999999999998</v>
      </c>
      <c r="BL23" s="72">
        <v>0.126</v>
      </c>
      <c r="BM23" s="72">
        <v>1.401</v>
      </c>
      <c r="BN23" s="72">
        <v>0.16900000000000001</v>
      </c>
      <c r="BO23" s="72">
        <v>18.11</v>
      </c>
      <c r="BP23" s="72">
        <v>5</v>
      </c>
      <c r="BQ23" s="72">
        <v>4.5599999999999996</v>
      </c>
      <c r="BR23" s="72">
        <v>0.83599999999999997</v>
      </c>
      <c r="BS23" s="72">
        <v>3.9220000000000002</v>
      </c>
      <c r="BT23" s="72">
        <v>1.9970000000000001</v>
      </c>
      <c r="BU23" s="72">
        <v>709.69</v>
      </c>
      <c r="BV23" s="72">
        <v>673.3</v>
      </c>
      <c r="BW23" s="72">
        <v>52.77</v>
      </c>
      <c r="BX23" s="72">
        <v>102.91</v>
      </c>
      <c r="BY23" s="72">
        <v>122.55</v>
      </c>
      <c r="BZ23" s="72">
        <v>295.14999999999998</v>
      </c>
      <c r="CA23" s="72">
        <v>10.324999999999999</v>
      </c>
      <c r="CB23" s="72">
        <v>19.213000000000001</v>
      </c>
      <c r="CC23" s="72">
        <v>37.39</v>
      </c>
      <c r="CD23" s="72">
        <v>64.45</v>
      </c>
      <c r="CE23" s="72">
        <v>6.819</v>
      </c>
      <c r="CF23" s="72">
        <v>11.03</v>
      </c>
      <c r="CG23" s="72">
        <v>1.4970000000000001</v>
      </c>
      <c r="CH23" s="72">
        <v>1.7749999999999999</v>
      </c>
      <c r="CI23" s="72">
        <v>5.694</v>
      </c>
      <c r="CJ23" s="72">
        <v>9.4130000000000003</v>
      </c>
      <c r="CK23" s="72">
        <v>0.91</v>
      </c>
      <c r="CL23" s="72">
        <v>1.4590000000000001</v>
      </c>
      <c r="CM23" s="72">
        <v>5.2759999999999998</v>
      </c>
      <c r="CN23" s="72">
        <v>10.036</v>
      </c>
      <c r="CO23" s="72">
        <v>1.0629999999999999</v>
      </c>
      <c r="CP23" s="72">
        <v>1.966</v>
      </c>
      <c r="CQ23" s="72">
        <v>2.97</v>
      </c>
      <c r="CR23" s="72">
        <v>5.8579999999999997</v>
      </c>
      <c r="CS23" s="72">
        <v>0.45100000000000001</v>
      </c>
      <c r="CT23" s="72">
        <v>0.90200000000000002</v>
      </c>
      <c r="CU23" s="72">
        <v>2.8159999999999998</v>
      </c>
      <c r="CV23" s="72">
        <v>6.2469999999999999</v>
      </c>
      <c r="CW23" s="72">
        <v>0.42499999999999999</v>
      </c>
      <c r="CX23" s="72">
        <v>0.88200000000000001</v>
      </c>
      <c r="CY23" s="72">
        <v>7.8609999999999998</v>
      </c>
      <c r="CZ23" s="72">
        <v>14.627000000000001</v>
      </c>
      <c r="DA23" s="72">
        <v>3.222</v>
      </c>
      <c r="DB23" s="72">
        <v>12.201000000000001</v>
      </c>
      <c r="DC23" s="72">
        <v>10.147</v>
      </c>
      <c r="DD23" s="72">
        <v>2.7330000000000001</v>
      </c>
      <c r="DE23" s="72">
        <v>0.57399999999999995</v>
      </c>
      <c r="DF23" s="72">
        <v>0.59499999999999997</v>
      </c>
      <c r="DG23" s="72">
        <v>242.5</v>
      </c>
      <c r="DH23" s="72">
        <v>36.299999999999997</v>
      </c>
      <c r="DI23" s="72">
        <v>1.33</v>
      </c>
      <c r="DJ23" s="72">
        <v>0.17</v>
      </c>
      <c r="DK23" s="72">
        <v>11.731999999999999</v>
      </c>
      <c r="DL23" s="72">
        <v>22.681000000000001</v>
      </c>
      <c r="DM23" s="72">
        <v>3.3759999999999999</v>
      </c>
      <c r="DN23" s="72">
        <v>4.117</v>
      </c>
    </row>
    <row r="24" spans="1:118">
      <c r="B24" s="47" t="s">
        <v>699</v>
      </c>
      <c r="C24" s="72">
        <v>5.9535614839908497</v>
      </c>
      <c r="D24" s="72">
        <v>4.4079389178746702</v>
      </c>
      <c r="E24" s="72">
        <v>5.2375000000000007</v>
      </c>
      <c r="F24" s="72">
        <v>5.59</v>
      </c>
      <c r="G24" s="72">
        <v>8.6675000000000002E-2</v>
      </c>
      <c r="H24" s="72">
        <v>2.7449999999999999E-2</v>
      </c>
      <c r="I24" s="72">
        <v>12.525</v>
      </c>
      <c r="J24" s="72">
        <v>12.5</v>
      </c>
      <c r="K24" s="72">
        <v>1.5975000000000001</v>
      </c>
      <c r="L24" s="72">
        <v>1.2000000000000002</v>
      </c>
      <c r="M24" s="36">
        <v>2821.75</v>
      </c>
      <c r="N24" s="36">
        <v>2236.5</v>
      </c>
      <c r="O24" s="36">
        <v>3324.5</v>
      </c>
      <c r="P24" s="36">
        <v>1441</v>
      </c>
      <c r="Q24" s="36">
        <v>62554.25</v>
      </c>
      <c r="R24" s="36">
        <v>64081</v>
      </c>
      <c r="S24" s="36">
        <v>537.5</v>
      </c>
      <c r="T24" s="36">
        <v>351.5</v>
      </c>
      <c r="U24" s="36">
        <v>292</v>
      </c>
      <c r="V24" s="36">
        <v>141</v>
      </c>
      <c r="W24" s="36">
        <v>11935.75</v>
      </c>
      <c r="X24" s="36">
        <v>10108.5</v>
      </c>
      <c r="Y24" s="36">
        <v>3171.25</v>
      </c>
      <c r="Z24" s="36">
        <v>2049.5</v>
      </c>
      <c r="AA24" s="36">
        <v>3723.75</v>
      </c>
      <c r="AB24" s="36">
        <v>3436</v>
      </c>
      <c r="AC24" s="36">
        <v>121.325</v>
      </c>
      <c r="AD24" s="36">
        <v>75.849999999999994</v>
      </c>
      <c r="AE24" s="36">
        <v>233.35</v>
      </c>
      <c r="AF24" s="36">
        <v>85.6</v>
      </c>
      <c r="AG24" s="36">
        <v>1719.875</v>
      </c>
      <c r="AH24" s="36">
        <v>1314.5</v>
      </c>
      <c r="AI24" s="36">
        <v>58371</v>
      </c>
      <c r="AJ24" s="36">
        <v>44816</v>
      </c>
      <c r="AK24" s="72">
        <v>35.203749999999999</v>
      </c>
      <c r="AL24" s="72">
        <v>14.35</v>
      </c>
      <c r="AM24" s="72">
        <v>56.1</v>
      </c>
      <c r="AN24" s="72">
        <v>28.2</v>
      </c>
      <c r="AO24" s="72">
        <v>53.8</v>
      </c>
      <c r="AP24" s="72">
        <v>20.85</v>
      </c>
      <c r="AQ24" s="72">
        <v>106.5</v>
      </c>
      <c r="AR24" s="72">
        <v>79.75</v>
      </c>
      <c r="AS24" s="72">
        <v>14.780000000000001</v>
      </c>
      <c r="AT24" s="72">
        <v>17.369999999999997</v>
      </c>
      <c r="AU24" s="130">
        <v>5.75</v>
      </c>
      <c r="AV24" s="72">
        <v>6.85</v>
      </c>
      <c r="AW24" s="72">
        <v>0.61749999999999994</v>
      </c>
      <c r="AX24" s="72">
        <v>0.37</v>
      </c>
      <c r="AY24" s="130">
        <v>74.569999999999993</v>
      </c>
      <c r="AZ24" s="72">
        <v>46.45</v>
      </c>
      <c r="BA24" s="72">
        <v>92.009999999999991</v>
      </c>
      <c r="BB24" s="72">
        <v>68.7</v>
      </c>
      <c r="BC24" s="72">
        <v>14.4595</v>
      </c>
      <c r="BD24" s="72">
        <v>19.96</v>
      </c>
      <c r="BE24" s="72">
        <v>137.05250000000001</v>
      </c>
      <c r="BF24" s="72">
        <v>182.85</v>
      </c>
      <c r="BG24" s="72">
        <v>26.745999999999999</v>
      </c>
      <c r="BH24" s="72">
        <v>34.754999999999995</v>
      </c>
      <c r="BI24" s="72">
        <v>2.7625000000000002</v>
      </c>
      <c r="BJ24" s="72">
        <v>2.4500000000000002</v>
      </c>
      <c r="BK24" s="72">
        <v>7.4999999999999997E-2</v>
      </c>
      <c r="BL24" s="72">
        <v>6.1499999999999999E-2</v>
      </c>
      <c r="BM24" s="72">
        <v>0.1515</v>
      </c>
      <c r="BN24" s="72">
        <v>0.08</v>
      </c>
      <c r="BO24" s="72">
        <v>2.6324999999999998</v>
      </c>
      <c r="BP24" s="72">
        <v>2.2549999999999999</v>
      </c>
      <c r="BQ24" s="72">
        <v>0.84775</v>
      </c>
      <c r="BR24" s="72">
        <v>0.58150000000000002</v>
      </c>
      <c r="BS24" s="72">
        <v>2.4684999999999997</v>
      </c>
      <c r="BT24" s="72">
        <v>1.823</v>
      </c>
      <c r="BU24" s="72">
        <v>449.31</v>
      </c>
      <c r="BV24" s="72">
        <v>421.35</v>
      </c>
      <c r="BW24" s="72">
        <v>26.784749999999999</v>
      </c>
      <c r="BX24" s="72">
        <v>41.22</v>
      </c>
      <c r="BY24" s="72">
        <v>83.661500000000004</v>
      </c>
      <c r="BZ24" s="72">
        <v>89.254999999999995</v>
      </c>
      <c r="CA24" s="72">
        <v>5.4742499999999996</v>
      </c>
      <c r="CB24" s="72">
        <v>8.8204999999999991</v>
      </c>
      <c r="CC24" s="72">
        <v>20.310000000000002</v>
      </c>
      <c r="CD24" s="72">
        <v>32.4</v>
      </c>
      <c r="CE24" s="72">
        <v>3.7857499999999997</v>
      </c>
      <c r="CF24" s="72">
        <v>5.7080000000000002</v>
      </c>
      <c r="CG24" s="72">
        <v>0.86699999999999999</v>
      </c>
      <c r="CH24" s="72">
        <v>1.1225000000000001</v>
      </c>
      <c r="CI24" s="72">
        <v>3.048</v>
      </c>
      <c r="CJ24" s="72">
        <v>4.6619999999999999</v>
      </c>
      <c r="CK24" s="72">
        <v>0.47549999999999998</v>
      </c>
      <c r="CL24" s="72">
        <v>0.66500000000000004</v>
      </c>
      <c r="CM24" s="72">
        <v>2.68275</v>
      </c>
      <c r="CN24" s="72">
        <v>4.1124999999999998</v>
      </c>
      <c r="CO24" s="72">
        <v>0.54049999999999998</v>
      </c>
      <c r="CP24" s="72">
        <v>0.80099999999999993</v>
      </c>
      <c r="CQ24" s="72">
        <v>1.54525</v>
      </c>
      <c r="CR24" s="72">
        <v>2.302</v>
      </c>
      <c r="CS24" s="72">
        <v>0.23925000000000002</v>
      </c>
      <c r="CT24" s="72">
        <v>0.32999999999999996</v>
      </c>
      <c r="CU24" s="72">
        <v>1.4924999999999999</v>
      </c>
      <c r="CV24" s="72">
        <v>2.2709999999999999</v>
      </c>
      <c r="CW24" s="72">
        <v>0.23350000000000001</v>
      </c>
      <c r="CX24" s="72">
        <v>0.32200000000000001</v>
      </c>
      <c r="CY24" s="72">
        <v>3.6537500000000001</v>
      </c>
      <c r="CZ24" s="72">
        <v>4.4535</v>
      </c>
      <c r="DA24" s="72">
        <v>1.54975</v>
      </c>
      <c r="DB24" s="72">
        <v>1.9200000000000002</v>
      </c>
      <c r="DC24" s="72">
        <v>1.81</v>
      </c>
      <c r="DD24" s="72">
        <v>0.96649999999999991</v>
      </c>
      <c r="DE24" s="72">
        <v>0.45974999999999999</v>
      </c>
      <c r="DF24" s="72">
        <v>0.3</v>
      </c>
      <c r="DG24" s="72">
        <v>24.824999999999999</v>
      </c>
      <c r="DH24" s="72">
        <v>17.685000000000002</v>
      </c>
      <c r="DI24" s="72">
        <v>0.32999999999999996</v>
      </c>
      <c r="DJ24" s="72">
        <v>0.13</v>
      </c>
      <c r="DK24" s="72">
        <v>9.0462499999999988</v>
      </c>
      <c r="DL24" s="72">
        <v>8.3714999999999993</v>
      </c>
      <c r="DM24" s="72">
        <v>1.97925</v>
      </c>
      <c r="DN24" s="72">
        <v>2.282</v>
      </c>
    </row>
    <row r="25" spans="1:118">
      <c r="B25" s="47" t="s">
        <v>700</v>
      </c>
      <c r="C25" s="72">
        <v>8.3526786166686016</v>
      </c>
      <c r="D25" s="72">
        <v>4.6384546956411326</v>
      </c>
      <c r="E25" s="72">
        <v>5.835</v>
      </c>
      <c r="F25" s="72">
        <v>6.11</v>
      </c>
      <c r="G25" s="72">
        <v>0.2092</v>
      </c>
      <c r="H25" s="72">
        <v>3.2210000000000003E-2</v>
      </c>
      <c r="I25" s="72">
        <v>16.399999999999999</v>
      </c>
      <c r="J25" s="72">
        <v>15</v>
      </c>
      <c r="K25" s="72">
        <v>2.13</v>
      </c>
      <c r="L25" s="72">
        <v>1.35</v>
      </c>
      <c r="M25" s="36">
        <v>3569.5</v>
      </c>
      <c r="N25" s="36">
        <v>2507</v>
      </c>
      <c r="O25" s="36">
        <v>3902</v>
      </c>
      <c r="P25" s="36">
        <v>1616</v>
      </c>
      <c r="Q25" s="36">
        <v>68461.5</v>
      </c>
      <c r="R25" s="36">
        <v>64858</v>
      </c>
      <c r="S25" s="36">
        <v>745</v>
      </c>
      <c r="T25" s="36">
        <v>352</v>
      </c>
      <c r="U25" s="36">
        <v>326.5</v>
      </c>
      <c r="V25" s="36">
        <v>144</v>
      </c>
      <c r="W25" s="36">
        <v>14194.5</v>
      </c>
      <c r="X25" s="36">
        <v>12585</v>
      </c>
      <c r="Y25" s="36">
        <v>4093.5</v>
      </c>
      <c r="Z25" s="36">
        <v>2157</v>
      </c>
      <c r="AA25" s="36">
        <v>4737</v>
      </c>
      <c r="AB25" s="36">
        <v>3923</v>
      </c>
      <c r="AC25" s="36">
        <v>140.35</v>
      </c>
      <c r="AD25" s="36">
        <v>83.7</v>
      </c>
      <c r="AE25" s="36">
        <v>680.15000000000009</v>
      </c>
      <c r="AF25" s="36">
        <v>101.8</v>
      </c>
      <c r="AG25" s="36">
        <v>2014.1</v>
      </c>
      <c r="AH25" s="36">
        <v>2182</v>
      </c>
      <c r="AI25" s="36">
        <v>73760.5</v>
      </c>
      <c r="AJ25" s="36">
        <v>45611</v>
      </c>
      <c r="AK25" s="72">
        <v>47.907499999999999</v>
      </c>
      <c r="AL25" s="72">
        <v>15.2</v>
      </c>
      <c r="AM25" s="72">
        <v>115.91999999999999</v>
      </c>
      <c r="AN25" s="72">
        <v>28.5</v>
      </c>
      <c r="AO25" s="72">
        <v>56.11</v>
      </c>
      <c r="AP25" s="72">
        <v>23.5</v>
      </c>
      <c r="AQ25" s="72">
        <v>123.5</v>
      </c>
      <c r="AR25" s="72">
        <v>117.4</v>
      </c>
      <c r="AS25" s="72">
        <v>16.32</v>
      </c>
      <c r="AT25" s="72">
        <v>18.18</v>
      </c>
      <c r="AU25" s="130">
        <v>10.25</v>
      </c>
      <c r="AV25" s="72">
        <v>10.8</v>
      </c>
      <c r="AW25" s="72">
        <v>0.78499999999999992</v>
      </c>
      <c r="AX25" s="72">
        <v>0.45</v>
      </c>
      <c r="AY25" s="130">
        <v>85.47999999999999</v>
      </c>
      <c r="AZ25" s="72">
        <v>56.5</v>
      </c>
      <c r="BA25" s="72">
        <v>113.405</v>
      </c>
      <c r="BB25" s="72">
        <v>71.900000000000006</v>
      </c>
      <c r="BC25" s="72">
        <v>20.4665</v>
      </c>
      <c r="BD25" s="72">
        <v>24.52</v>
      </c>
      <c r="BE25" s="72">
        <v>222.685</v>
      </c>
      <c r="BF25" s="72">
        <v>183.1</v>
      </c>
      <c r="BG25" s="72">
        <v>37.746000000000002</v>
      </c>
      <c r="BH25" s="72">
        <v>37.32</v>
      </c>
      <c r="BI25" s="72">
        <v>3.17</v>
      </c>
      <c r="BJ25" s="72">
        <v>2.57</v>
      </c>
      <c r="BK25" s="72">
        <v>8.5499999999999993E-2</v>
      </c>
      <c r="BL25" s="72">
        <v>6.6000000000000003E-2</v>
      </c>
      <c r="BM25" s="72">
        <v>0.17249999999999999</v>
      </c>
      <c r="BN25" s="72">
        <v>0.111</v>
      </c>
      <c r="BO25" s="72">
        <v>2.855</v>
      </c>
      <c r="BP25" s="72">
        <v>2.73</v>
      </c>
      <c r="BQ25" s="72">
        <v>2.5205000000000002</v>
      </c>
      <c r="BR25" s="72">
        <v>0.60199999999999998</v>
      </c>
      <c r="BS25" s="72">
        <v>2.8140000000000001</v>
      </c>
      <c r="BT25" s="72">
        <v>1.879</v>
      </c>
      <c r="BU25" s="72">
        <v>601.01499999999999</v>
      </c>
      <c r="BV25" s="72">
        <v>450.4</v>
      </c>
      <c r="BW25" s="72">
        <v>34.219000000000001</v>
      </c>
      <c r="BX25" s="72">
        <v>52.54</v>
      </c>
      <c r="BY25" s="72">
        <v>100.473</v>
      </c>
      <c r="BZ25" s="72">
        <v>102.43</v>
      </c>
      <c r="CA25" s="72">
        <v>6.8895</v>
      </c>
      <c r="CB25" s="72">
        <v>11.196999999999999</v>
      </c>
      <c r="CC25" s="72">
        <v>26.055</v>
      </c>
      <c r="CD25" s="72">
        <v>40.86</v>
      </c>
      <c r="CE25" s="72">
        <v>5.0440000000000005</v>
      </c>
      <c r="CF25" s="72">
        <v>7.1630000000000003</v>
      </c>
      <c r="CG25" s="72">
        <v>1.0780000000000001</v>
      </c>
      <c r="CH25" s="72">
        <v>1.36</v>
      </c>
      <c r="CI25" s="72">
        <v>4.1790000000000003</v>
      </c>
      <c r="CJ25" s="72">
        <v>5.7549999999999999</v>
      </c>
      <c r="CK25" s="72">
        <v>0.65100000000000002</v>
      </c>
      <c r="CL25" s="72">
        <v>0.81699999999999995</v>
      </c>
      <c r="CM25" s="72">
        <v>3.7130000000000001</v>
      </c>
      <c r="CN25" s="72">
        <v>5.0780000000000003</v>
      </c>
      <c r="CO25" s="72">
        <v>0.75950000000000006</v>
      </c>
      <c r="CP25" s="72">
        <v>0.98399999999999999</v>
      </c>
      <c r="CQ25" s="72">
        <v>2.2305000000000001</v>
      </c>
      <c r="CR25" s="72">
        <v>2.827</v>
      </c>
      <c r="CS25" s="72">
        <v>0.33500000000000002</v>
      </c>
      <c r="CT25" s="72">
        <v>0.40899999999999997</v>
      </c>
      <c r="CU25" s="72">
        <v>2.1</v>
      </c>
      <c r="CV25" s="72">
        <v>2.7989999999999999</v>
      </c>
      <c r="CW25" s="72">
        <v>0.32050000000000001</v>
      </c>
      <c r="CX25" s="72">
        <v>0.39400000000000002</v>
      </c>
      <c r="CY25" s="72">
        <v>5.6485000000000003</v>
      </c>
      <c r="CZ25" s="72">
        <v>4.5140000000000002</v>
      </c>
      <c r="DA25" s="72">
        <v>2.0434999999999999</v>
      </c>
      <c r="DB25" s="72">
        <v>2.2240000000000002</v>
      </c>
      <c r="DC25" s="72">
        <v>2.2854999999999999</v>
      </c>
      <c r="DD25" s="72">
        <v>1.111</v>
      </c>
      <c r="DE25" s="72">
        <v>0.50249999999999995</v>
      </c>
      <c r="DF25" s="72">
        <v>0.35399999999999998</v>
      </c>
      <c r="DG25" s="72">
        <v>34.75</v>
      </c>
      <c r="DH25" s="72">
        <v>18.75</v>
      </c>
      <c r="DI25" s="72">
        <v>0.85</v>
      </c>
      <c r="DJ25" s="72">
        <v>0.14000000000000001</v>
      </c>
      <c r="DK25" s="72">
        <v>9.2519999999999989</v>
      </c>
      <c r="DL25" s="72">
        <v>9.5969999999999995</v>
      </c>
      <c r="DM25" s="72">
        <v>2.2555000000000001</v>
      </c>
      <c r="DN25" s="72">
        <v>2.754</v>
      </c>
    </row>
    <row r="26" spans="1:118">
      <c r="B26" s="47" t="s">
        <v>701</v>
      </c>
      <c r="C26" s="72">
        <v>12.467157809876255</v>
      </c>
      <c r="D26" s="72">
        <v>10.935863558880115</v>
      </c>
      <c r="E26" s="72">
        <v>6.8500000000000005</v>
      </c>
      <c r="F26" s="72">
        <v>6.9109999999999996</v>
      </c>
      <c r="G26" s="72">
        <v>3.3535475000000003</v>
      </c>
      <c r="H26" s="72">
        <v>4.0778000000000002E-2</v>
      </c>
      <c r="I26" s="72">
        <v>25</v>
      </c>
      <c r="J26" s="72">
        <v>24.9</v>
      </c>
      <c r="K26" s="72">
        <v>3.4249999999999998</v>
      </c>
      <c r="L26" s="72">
        <v>5.0489999999999995</v>
      </c>
      <c r="M26" s="36">
        <v>7023</v>
      </c>
      <c r="N26" s="36">
        <v>5651.6</v>
      </c>
      <c r="O26" s="36">
        <v>4802</v>
      </c>
      <c r="P26" s="36">
        <v>2268.5</v>
      </c>
      <c r="Q26" s="36">
        <v>85316</v>
      </c>
      <c r="R26" s="36">
        <v>100546.6</v>
      </c>
      <c r="S26" s="36">
        <v>949</v>
      </c>
      <c r="T26" s="36">
        <v>1220.5</v>
      </c>
      <c r="U26" s="36">
        <v>1286</v>
      </c>
      <c r="V26" s="36">
        <v>345.59999999999997</v>
      </c>
      <c r="W26" s="36">
        <v>20258.75</v>
      </c>
      <c r="X26" s="36">
        <v>13344.6</v>
      </c>
      <c r="Y26" s="36">
        <v>6844.25</v>
      </c>
      <c r="Z26" s="36">
        <v>7904.4</v>
      </c>
      <c r="AA26" s="36">
        <v>6801.3</v>
      </c>
      <c r="AB26" s="36">
        <v>4979.6000000000004</v>
      </c>
      <c r="AC26" s="36">
        <v>210.17500000000001</v>
      </c>
      <c r="AD26" s="36">
        <v>90.09</v>
      </c>
      <c r="AE26" s="36">
        <v>1560.7</v>
      </c>
      <c r="AF26" s="36">
        <v>135.82</v>
      </c>
      <c r="AG26" s="36">
        <v>2528.35</v>
      </c>
      <c r="AH26" s="36">
        <v>3774.1</v>
      </c>
      <c r="AI26" s="36">
        <v>108503</v>
      </c>
      <c r="AJ26" s="36">
        <v>75061.7</v>
      </c>
      <c r="AK26" s="72">
        <v>75.234750000000005</v>
      </c>
      <c r="AL26" s="72">
        <v>33.253999999999998</v>
      </c>
      <c r="AM26" s="72">
        <v>426.13249999999999</v>
      </c>
      <c r="AN26" s="72">
        <v>34.35</v>
      </c>
      <c r="AO26" s="72">
        <v>81.56</v>
      </c>
      <c r="AP26" s="72">
        <v>28.9</v>
      </c>
      <c r="AQ26" s="72">
        <v>574.75</v>
      </c>
      <c r="AR26" s="72">
        <v>175.36</v>
      </c>
      <c r="AS26" s="72">
        <v>21.177499999999998</v>
      </c>
      <c r="AT26" s="72">
        <v>29.186999999999998</v>
      </c>
      <c r="AU26" s="130">
        <v>1218</v>
      </c>
      <c r="AV26" s="72">
        <v>11.52</v>
      </c>
      <c r="AW26" s="72">
        <v>1.2025000000000001</v>
      </c>
      <c r="AX26" s="72">
        <v>0.72899999999999998</v>
      </c>
      <c r="AY26" s="130">
        <v>93.324999999999989</v>
      </c>
      <c r="AZ26" s="72">
        <v>79.72</v>
      </c>
      <c r="BA26" s="72">
        <v>160.13</v>
      </c>
      <c r="BB26" s="72">
        <v>85.58</v>
      </c>
      <c r="BC26" s="72">
        <v>28.439499999999999</v>
      </c>
      <c r="BD26" s="72">
        <v>44.800600000000003</v>
      </c>
      <c r="BE26" s="72">
        <v>320.85000000000002</v>
      </c>
      <c r="BF26" s="72">
        <v>672.25</v>
      </c>
      <c r="BG26" s="72">
        <v>55.818249999999999</v>
      </c>
      <c r="BH26" s="72">
        <v>207.98699999999997</v>
      </c>
      <c r="BI26" s="72">
        <v>3.7199999999999998</v>
      </c>
      <c r="BJ26" s="72">
        <v>6.9079999999999995</v>
      </c>
      <c r="BK26" s="72">
        <v>0.57425000000000004</v>
      </c>
      <c r="BL26" s="72">
        <v>0.12</v>
      </c>
      <c r="BM26" s="72">
        <v>1.1837500000000001</v>
      </c>
      <c r="BN26" s="72">
        <v>0.16320000000000001</v>
      </c>
      <c r="BO26" s="72">
        <v>16.897500000000001</v>
      </c>
      <c r="BP26" s="72">
        <v>4.7729999999999997</v>
      </c>
      <c r="BQ26" s="72">
        <v>4.3567499999999999</v>
      </c>
      <c r="BR26" s="72">
        <v>0.81259999999999999</v>
      </c>
      <c r="BS26" s="72">
        <v>3.7295000000000003</v>
      </c>
      <c r="BT26" s="72">
        <v>1.9852000000000001</v>
      </c>
      <c r="BU26" s="72">
        <v>697.87750000000005</v>
      </c>
      <c r="BV26" s="72">
        <v>651.01</v>
      </c>
      <c r="BW26" s="72">
        <v>50.528000000000006</v>
      </c>
      <c r="BX26" s="72">
        <v>97.87299999999999</v>
      </c>
      <c r="BY26" s="72">
        <v>121.54975</v>
      </c>
      <c r="BZ26" s="72">
        <v>275.87799999999993</v>
      </c>
      <c r="CA26" s="72">
        <v>9.9979999999999993</v>
      </c>
      <c r="CB26" s="72">
        <v>18.4114</v>
      </c>
      <c r="CC26" s="72">
        <v>36.615000000000002</v>
      </c>
      <c r="CD26" s="72">
        <v>62.091000000000001</v>
      </c>
      <c r="CE26" s="72">
        <v>6.7854999999999999</v>
      </c>
      <c r="CF26" s="72">
        <v>10.6433</v>
      </c>
      <c r="CG26" s="72">
        <v>1.4525000000000001</v>
      </c>
      <c r="CH26" s="72">
        <v>1.7334999999999998</v>
      </c>
      <c r="CI26" s="72">
        <v>5.6440000000000001</v>
      </c>
      <c r="CJ26" s="72">
        <v>9.0472000000000001</v>
      </c>
      <c r="CK26" s="72">
        <v>0.90325</v>
      </c>
      <c r="CL26" s="72">
        <v>1.3948</v>
      </c>
      <c r="CM26" s="72">
        <v>5.1637500000000003</v>
      </c>
      <c r="CN26" s="72">
        <v>9.5401999999999987</v>
      </c>
      <c r="CO26" s="72">
        <v>1.04725</v>
      </c>
      <c r="CP26" s="72">
        <v>1.8677999999999999</v>
      </c>
      <c r="CQ26" s="72">
        <v>2.9375</v>
      </c>
      <c r="CR26" s="72">
        <v>5.5548999999999999</v>
      </c>
      <c r="CS26" s="72">
        <v>0.44125000000000003</v>
      </c>
      <c r="CT26" s="72">
        <v>0.85270000000000001</v>
      </c>
      <c r="CU26" s="72">
        <v>2.75325</v>
      </c>
      <c r="CV26" s="72">
        <v>5.9021999999999997</v>
      </c>
      <c r="CW26" s="72">
        <v>0.41975000000000001</v>
      </c>
      <c r="CX26" s="72">
        <v>0.83319999999999994</v>
      </c>
      <c r="CY26" s="72">
        <v>7.8587499999999997</v>
      </c>
      <c r="CZ26" s="72">
        <v>13.6157</v>
      </c>
      <c r="DA26" s="72">
        <v>3.1342499999999998</v>
      </c>
      <c r="DB26" s="72">
        <v>11.2033</v>
      </c>
      <c r="DC26" s="72">
        <v>8.2929999999999993</v>
      </c>
      <c r="DD26" s="72">
        <v>2.5708000000000002</v>
      </c>
      <c r="DE26" s="72">
        <v>0.56374999999999997</v>
      </c>
      <c r="DF26" s="72">
        <v>0.57089999999999996</v>
      </c>
      <c r="DG26" s="72">
        <v>206.67500000000001</v>
      </c>
      <c r="DH26" s="72">
        <v>34.544999999999995</v>
      </c>
      <c r="DI26" s="72">
        <v>1.2925</v>
      </c>
      <c r="DJ26" s="72">
        <v>0.16700000000000001</v>
      </c>
      <c r="DK26" s="72">
        <v>11.35975</v>
      </c>
      <c r="DL26" s="72">
        <v>21.372599999999998</v>
      </c>
      <c r="DM26" s="72">
        <v>3.1189999999999998</v>
      </c>
      <c r="DN26" s="72">
        <v>3.9806999999999997</v>
      </c>
    </row>
    <row r="27" spans="1:118">
      <c r="B27" s="47" t="s">
        <v>702</v>
      </c>
      <c r="C27" s="72">
        <v>7.8322115099434386</v>
      </c>
      <c r="D27" s="72">
        <v>6.0863448243796494</v>
      </c>
      <c r="E27" s="72">
        <v>5.79988243936572</v>
      </c>
      <c r="F27" s="72">
        <v>6.0078037347758322</v>
      </c>
      <c r="G27" s="72">
        <v>0.3367011567884643</v>
      </c>
      <c r="H27" s="72">
        <v>3.0770987959439975E-2</v>
      </c>
      <c r="I27" s="72">
        <v>16.557040521653839</v>
      </c>
      <c r="J27" s="72">
        <v>15.740609166314433</v>
      </c>
      <c r="K27" s="72">
        <v>2.193238836910103</v>
      </c>
      <c r="L27" s="72">
        <v>1.9780559430980931</v>
      </c>
      <c r="M27" s="36">
        <v>3429.3099731893399</v>
      </c>
      <c r="N27" s="36">
        <v>3092.576784692425</v>
      </c>
      <c r="O27" s="36">
        <v>3630.1930154609263</v>
      </c>
      <c r="P27" s="36">
        <v>1685.6166997748649</v>
      </c>
      <c r="Q27" s="36">
        <v>70120.633628175157</v>
      </c>
      <c r="R27" s="36">
        <v>75425.862999616089</v>
      </c>
      <c r="S27" s="36">
        <v>695.84008247607358</v>
      </c>
      <c r="T27" s="36">
        <v>545.94033885000988</v>
      </c>
      <c r="U27" s="36">
        <v>442.82737014655333</v>
      </c>
      <c r="V27" s="36">
        <v>194.10190557816154</v>
      </c>
      <c r="W27" s="36">
        <v>14167.137283880533</v>
      </c>
      <c r="X27" s="36">
        <v>10885.417361660911</v>
      </c>
      <c r="Y27" s="36">
        <v>4204.2314090179634</v>
      </c>
      <c r="Z27" s="36">
        <v>3295.3629835531569</v>
      </c>
      <c r="AA27" s="36">
        <v>4467.2175591312434</v>
      </c>
      <c r="AB27" s="36">
        <v>3892.2665273790703</v>
      </c>
      <c r="AC27" s="36">
        <v>143.83599722262304</v>
      </c>
      <c r="AD27" s="36">
        <v>80.249082005395522</v>
      </c>
      <c r="AE27" s="36">
        <v>520.20247830030269</v>
      </c>
      <c r="AF27" s="36">
        <v>99.539981474487192</v>
      </c>
      <c r="AG27" s="36">
        <v>1977.6374767026082</v>
      </c>
      <c r="AH27" s="36">
        <v>1567.7967735514578</v>
      </c>
      <c r="AI27" s="36">
        <v>68934.106821739697</v>
      </c>
      <c r="AJ27" s="36">
        <v>53979.219483549343</v>
      </c>
      <c r="AK27" s="72">
        <v>47.050629626072016</v>
      </c>
      <c r="AL27" s="72">
        <v>19.341339793902797</v>
      </c>
      <c r="AM27" s="72">
        <v>130.21665702675051</v>
      </c>
      <c r="AN27" s="72">
        <v>30.304400890028475</v>
      </c>
      <c r="AO27" s="72">
        <v>58.047041085812225</v>
      </c>
      <c r="AP27" s="72">
        <v>23.280220462557953</v>
      </c>
      <c r="AQ27" s="72">
        <v>182.91483741485641</v>
      </c>
      <c r="AR27" s="72">
        <v>96.497195261533761</v>
      </c>
      <c r="AS27" s="72">
        <v>16.787966090261804</v>
      </c>
      <c r="AT27" s="72">
        <v>20.919768638670085</v>
      </c>
      <c r="AU27" s="130">
        <v>21.476016578186918</v>
      </c>
      <c r="AV27" s="72">
        <v>7.1355356598930531</v>
      </c>
      <c r="AW27" s="72">
        <v>0.79690516114615118</v>
      </c>
      <c r="AX27" s="72">
        <v>0.46288669874627336</v>
      </c>
      <c r="AY27" s="130">
        <v>80.965356262680814</v>
      </c>
      <c r="AZ27" s="72">
        <v>55.315888034460755</v>
      </c>
      <c r="BA27" s="72">
        <v>109.62903121157136</v>
      </c>
      <c r="BB27" s="72">
        <v>74.301249143475417</v>
      </c>
      <c r="BC27" s="72">
        <v>19.751842443527579</v>
      </c>
      <c r="BD27" s="72">
        <v>26.094315655070396</v>
      </c>
      <c r="BE27" s="72">
        <v>204.37357243209081</v>
      </c>
      <c r="BF27" s="72">
        <v>289.61974734788907</v>
      </c>
      <c r="BG27" s="72">
        <v>37.151363516264297</v>
      </c>
      <c r="BH27" s="72">
        <v>64.843174202962942</v>
      </c>
      <c r="BI27" s="72">
        <v>2.9833942786676677</v>
      </c>
      <c r="BJ27" s="72">
        <v>3.5370768371780961</v>
      </c>
      <c r="BK27" s="72">
        <v>0.11624828358450437</v>
      </c>
      <c r="BL27" s="72">
        <v>7.7970402972038985E-2</v>
      </c>
      <c r="BM27" s="72">
        <v>0.27771997066887733</v>
      </c>
      <c r="BN27" s="72">
        <v>9.7230366132613502E-2</v>
      </c>
      <c r="BO27" s="72">
        <v>4.5439130908155176</v>
      </c>
      <c r="BP27" s="72">
        <v>2.8963489526910369</v>
      </c>
      <c r="BQ27" s="72">
        <v>1.7820387291586</v>
      </c>
      <c r="BR27" s="72">
        <v>0.65602724579481131</v>
      </c>
      <c r="BS27" s="72">
        <v>2.8265560446304803</v>
      </c>
      <c r="BT27" s="72">
        <v>1.8786554273249578</v>
      </c>
      <c r="BU27" s="72">
        <v>526.36455773612761</v>
      </c>
      <c r="BV27" s="72">
        <v>491.82254729209313</v>
      </c>
      <c r="BW27" s="72">
        <v>34.183195435164976</v>
      </c>
      <c r="BX27" s="72">
        <v>54.476133854631279</v>
      </c>
      <c r="BY27" s="72">
        <v>98.180923017309865</v>
      </c>
      <c r="BZ27" s="72">
        <v>132.0018916005327</v>
      </c>
      <c r="CA27" s="72">
        <v>6.8887927117227266</v>
      </c>
      <c r="CB27" s="72">
        <v>11.150237832497229</v>
      </c>
      <c r="CC27" s="72">
        <v>25.894117737480197</v>
      </c>
      <c r="CD27" s="72">
        <v>39.799884341810142</v>
      </c>
      <c r="CE27" s="72">
        <v>4.892781208642039</v>
      </c>
      <c r="CF27" s="72">
        <v>6.9521950602838656</v>
      </c>
      <c r="CG27" s="72">
        <v>1.0622057188601639</v>
      </c>
      <c r="CH27" s="72">
        <v>1.287933715066746</v>
      </c>
      <c r="CI27" s="72">
        <v>4.0512991011445854</v>
      </c>
      <c r="CJ27" s="72">
        <v>5.7823802145878131</v>
      </c>
      <c r="CK27" s="72">
        <v>0.6343345755059806</v>
      </c>
      <c r="CL27" s="72">
        <v>0.84878605904252569</v>
      </c>
      <c r="CM27" s="72">
        <v>3.6215052334604487</v>
      </c>
      <c r="CN27" s="72">
        <v>5.4331291750237707</v>
      </c>
      <c r="CO27" s="72">
        <v>0.73414702271976739</v>
      </c>
      <c r="CP27" s="72">
        <v>1.0613428430388427</v>
      </c>
      <c r="CQ27" s="72">
        <v>2.1013331869365643</v>
      </c>
      <c r="CR27" s="72">
        <v>3.0873618584884857</v>
      </c>
      <c r="CS27" s="72">
        <v>0.31755610083389091</v>
      </c>
      <c r="CT27" s="72">
        <v>0.45241242345328447</v>
      </c>
      <c r="CU27" s="72">
        <v>1.9854733563388114</v>
      </c>
      <c r="CV27" s="72">
        <v>3.1236133036109504</v>
      </c>
      <c r="CW27" s="72">
        <v>0.30468167630190607</v>
      </c>
      <c r="CX27" s="72">
        <v>0.44289584419719302</v>
      </c>
      <c r="CY27" s="72">
        <v>5.2653496035802547</v>
      </c>
      <c r="CZ27" s="72">
        <v>6.619512497864366</v>
      </c>
      <c r="DA27" s="72">
        <v>2.0944414117077694</v>
      </c>
      <c r="DB27" s="72">
        <v>3.5263373369826683</v>
      </c>
      <c r="DC27" s="72">
        <v>2.6874409522355274</v>
      </c>
      <c r="DD27" s="72">
        <v>1.3564647198502831</v>
      </c>
      <c r="DE27" s="72">
        <v>0.49403658638303299</v>
      </c>
      <c r="DF27" s="72">
        <v>0.37280790421144466</v>
      </c>
      <c r="DG27" s="72">
        <v>47.275865829912014</v>
      </c>
      <c r="DH27" s="72">
        <v>22.448102610298509</v>
      </c>
      <c r="DI27" s="72">
        <v>0.59335257952681197</v>
      </c>
      <c r="DJ27" s="72">
        <v>0.14187941889501421</v>
      </c>
      <c r="DK27" s="72">
        <v>9.1254022577001574</v>
      </c>
      <c r="DL27" s="72">
        <v>11.586534747995003</v>
      </c>
      <c r="DM27" s="72">
        <v>2.2411755112237732</v>
      </c>
      <c r="DN27" s="72">
        <v>2.7378382873367531</v>
      </c>
    </row>
    <row r="28" spans="1:118">
      <c r="B28" s="47" t="s">
        <v>703</v>
      </c>
      <c r="C28" s="72">
        <v>8.3669016465519981</v>
      </c>
      <c r="D28" s="72">
        <v>6.8171511635149669</v>
      </c>
      <c r="E28" s="72">
        <v>5.84</v>
      </c>
      <c r="F28" s="72">
        <v>6.06</v>
      </c>
      <c r="G28" s="72">
        <v>1.0965150000000001</v>
      </c>
      <c r="H28" s="72">
        <v>3.2210000000000003E-2</v>
      </c>
      <c r="I28" s="72">
        <v>17.5</v>
      </c>
      <c r="J28" s="72">
        <v>17</v>
      </c>
      <c r="K28" s="72">
        <v>2.33</v>
      </c>
      <c r="L28" s="72">
        <v>2.62</v>
      </c>
      <c r="M28" s="36">
        <v>3954.3333333333335</v>
      </c>
      <c r="N28" s="36">
        <v>3491.3333333333335</v>
      </c>
      <c r="O28" s="36">
        <v>3742</v>
      </c>
      <c r="P28" s="36">
        <v>1741</v>
      </c>
      <c r="Q28" s="36">
        <v>70770.333333333328</v>
      </c>
      <c r="R28" s="36">
        <v>77558</v>
      </c>
      <c r="S28" s="36">
        <v>723.33333333333337</v>
      </c>
      <c r="T28" s="36">
        <v>673.33333333333337</v>
      </c>
      <c r="U28" s="36">
        <v>557.5</v>
      </c>
      <c r="V28" s="36">
        <v>216.66666666666666</v>
      </c>
      <c r="W28" s="36">
        <v>14651</v>
      </c>
      <c r="X28" s="36">
        <v>11215.333333333334</v>
      </c>
      <c r="Y28" s="36">
        <v>4477.166666666667</v>
      </c>
      <c r="Z28" s="36">
        <v>4214</v>
      </c>
      <c r="AA28" s="36">
        <v>4779.0166666666664</v>
      </c>
      <c r="AB28" s="36">
        <v>3989.6666666666665</v>
      </c>
      <c r="AC28" s="36">
        <v>150.33333333333334</v>
      </c>
      <c r="AD28" s="36">
        <v>80.833333333333329</v>
      </c>
      <c r="AE28" s="36">
        <v>766.94999999999993</v>
      </c>
      <c r="AF28" s="36">
        <v>103.59999999999998</v>
      </c>
      <c r="AG28" s="36">
        <v>2010.9666666666665</v>
      </c>
      <c r="AH28" s="36">
        <v>2193.3333333333335</v>
      </c>
      <c r="AI28" s="36">
        <v>73679.333333333328</v>
      </c>
      <c r="AJ28" s="36">
        <v>55988.666666666664</v>
      </c>
      <c r="AK28" s="72">
        <v>50.106666666666662</v>
      </c>
      <c r="AL28" s="72">
        <v>21.319999999999997</v>
      </c>
      <c r="AM28" s="72">
        <v>192.39500000000001</v>
      </c>
      <c r="AN28" s="72">
        <v>30.466666666666669</v>
      </c>
      <c r="AO28" s="72">
        <v>59.616666666666674</v>
      </c>
      <c r="AP28" s="72">
        <v>23.733333333333334</v>
      </c>
      <c r="AQ28" s="72">
        <v>258.66666666666669</v>
      </c>
      <c r="AR28" s="72">
        <v>113.76666666666667</v>
      </c>
      <c r="AS28" s="72">
        <v>17.003333333333334</v>
      </c>
      <c r="AT28" s="72">
        <v>21.716666666666665</v>
      </c>
      <c r="AU28" s="130">
        <v>278.53333333333336</v>
      </c>
      <c r="AV28" s="72">
        <v>8.4333333333333336</v>
      </c>
      <c r="AW28" s="72">
        <v>0.83</v>
      </c>
      <c r="AX28" s="72">
        <v>0.5</v>
      </c>
      <c r="AY28" s="130">
        <v>81.908333333333317</v>
      </c>
      <c r="AZ28" s="72">
        <v>58.4</v>
      </c>
      <c r="BA28" s="72">
        <v>114.81333333333333</v>
      </c>
      <c r="BB28" s="72">
        <v>74.833333333333329</v>
      </c>
      <c r="BC28" s="72">
        <v>20.820166666666669</v>
      </c>
      <c r="BD28" s="72">
        <v>28.991333333333333</v>
      </c>
      <c r="BE28" s="72">
        <v>221.04666666666671</v>
      </c>
      <c r="BF28" s="72">
        <v>364.09999999999997</v>
      </c>
      <c r="BG28" s="72">
        <v>39.222833333333334</v>
      </c>
      <c r="BH28" s="72">
        <v>98.82</v>
      </c>
      <c r="BI28" s="72">
        <v>3.0516666666666663</v>
      </c>
      <c r="BJ28" s="72">
        <v>4.0966666666666667</v>
      </c>
      <c r="BK28" s="72">
        <v>0.19000000000000003</v>
      </c>
      <c r="BL28" s="72">
        <v>8.3000000000000004E-2</v>
      </c>
      <c r="BM28" s="72">
        <v>0.42766666666666669</v>
      </c>
      <c r="BN28" s="72">
        <v>0.10966666666666668</v>
      </c>
      <c r="BO28" s="72">
        <v>6.8999999999999995</v>
      </c>
      <c r="BP28" s="72">
        <v>3.17</v>
      </c>
      <c r="BQ28" s="72">
        <v>2.4298333333333333</v>
      </c>
      <c r="BR28" s="72">
        <v>0.66633333333333333</v>
      </c>
      <c r="BS28" s="72">
        <v>2.8833333333333333</v>
      </c>
      <c r="BT28" s="72">
        <v>1.881</v>
      </c>
      <c r="BU28" s="72">
        <v>548.47166666666669</v>
      </c>
      <c r="BV28" s="72">
        <v>505.33333333333331</v>
      </c>
      <c r="BW28" s="72">
        <v>35.738500000000002</v>
      </c>
      <c r="BX28" s="72">
        <v>61.783333333333331</v>
      </c>
      <c r="BY28" s="72">
        <v>99.896666666666661</v>
      </c>
      <c r="BZ28" s="72">
        <v>157.88666666666666</v>
      </c>
      <c r="CA28" s="72">
        <v>7.1935000000000002</v>
      </c>
      <c r="CB28" s="72">
        <v>12.284666666666666</v>
      </c>
      <c r="CC28" s="72">
        <v>26.975000000000005</v>
      </c>
      <c r="CD28" s="72">
        <v>43.083333333333336</v>
      </c>
      <c r="CE28" s="72">
        <v>5.1141666666666659</v>
      </c>
      <c r="CF28" s="72">
        <v>7.4819999999999993</v>
      </c>
      <c r="CG28" s="72">
        <v>1.0974999999999999</v>
      </c>
      <c r="CH28" s="72">
        <v>1.3399999999999999</v>
      </c>
      <c r="CI28" s="72">
        <v>4.2356666666666669</v>
      </c>
      <c r="CJ28" s="72">
        <v>6.2456666666666676</v>
      </c>
      <c r="CK28" s="72">
        <v>0.66649999999999998</v>
      </c>
      <c r="CL28" s="72">
        <v>0.92966666666666675</v>
      </c>
      <c r="CM28" s="72">
        <v>3.799666666666667</v>
      </c>
      <c r="CN28" s="72">
        <v>6.0869999999999997</v>
      </c>
      <c r="CO28" s="72">
        <v>0.77199999999999991</v>
      </c>
      <c r="CP28" s="72">
        <v>1.1893333333333331</v>
      </c>
      <c r="CQ28" s="72">
        <v>2.2041666666666671</v>
      </c>
      <c r="CR28" s="72">
        <v>3.4873333333333334</v>
      </c>
      <c r="CS28" s="72">
        <v>0.33100000000000002</v>
      </c>
      <c r="CT28" s="72">
        <v>0.52066666666666661</v>
      </c>
      <c r="CU28" s="72">
        <v>2.069833333333333</v>
      </c>
      <c r="CV28" s="72">
        <v>3.5963333333333334</v>
      </c>
      <c r="CW28" s="72">
        <v>0.31666666666666665</v>
      </c>
      <c r="CX28" s="72">
        <v>0.50866666666666671</v>
      </c>
      <c r="CY28" s="72">
        <v>5.6203333333333338</v>
      </c>
      <c r="CZ28" s="72">
        <v>7.844666666666666</v>
      </c>
      <c r="DA28" s="72">
        <v>2.2018333333333331</v>
      </c>
      <c r="DB28" s="72">
        <v>5.3470000000000004</v>
      </c>
      <c r="DC28" s="72">
        <v>3.456666666666667</v>
      </c>
      <c r="DD28" s="72">
        <v>1.5553333333333335</v>
      </c>
      <c r="DE28" s="72">
        <v>0.49666666666666659</v>
      </c>
      <c r="DF28" s="72">
        <v>0.39833333333333326</v>
      </c>
      <c r="DG28" s="72">
        <v>75.11666666666666</v>
      </c>
      <c r="DH28" s="72">
        <v>23.89</v>
      </c>
      <c r="DI28" s="72">
        <v>0.76833333333333342</v>
      </c>
      <c r="DJ28" s="72">
        <v>0.14333333333333334</v>
      </c>
      <c r="DK28" s="72">
        <v>9.2858333333333345</v>
      </c>
      <c r="DL28" s="72">
        <v>13.141333333333334</v>
      </c>
      <c r="DM28" s="72">
        <v>2.2984999999999998</v>
      </c>
      <c r="DN28" s="72">
        <v>2.8936666666666668</v>
      </c>
    </row>
    <row r="29" spans="1:118">
      <c r="C29" s="72"/>
      <c r="D29" s="72"/>
      <c r="E29" s="72"/>
      <c r="F29" s="72"/>
      <c r="G29" s="72"/>
      <c r="H29" s="72"/>
      <c r="I29" s="72"/>
      <c r="J29" s="72"/>
      <c r="K29" s="72"/>
      <c r="L29" s="72"/>
      <c r="M29" s="36"/>
      <c r="N29" s="36"/>
      <c r="O29" s="36"/>
      <c r="P29" s="36"/>
      <c r="Q29" s="36"/>
      <c r="R29" s="36"/>
      <c r="S29" s="36"/>
      <c r="T29" s="36"/>
      <c r="U29" s="36"/>
      <c r="V29" s="36"/>
      <c r="W29" s="36"/>
      <c r="X29" s="36"/>
      <c r="Y29" s="36"/>
      <c r="Z29" s="36"/>
      <c r="AA29" s="36"/>
      <c r="AB29" s="36"/>
      <c r="AC29" s="36"/>
      <c r="AD29" s="36"/>
      <c r="AE29" s="36"/>
      <c r="AF29" s="36"/>
      <c r="AG29" s="36"/>
      <c r="AH29" s="36"/>
      <c r="AI29" s="36"/>
      <c r="AJ29" s="36"/>
      <c r="AK29" s="72"/>
      <c r="AL29" s="72"/>
      <c r="AM29" s="72"/>
      <c r="AN29" s="72"/>
      <c r="AO29" s="72"/>
      <c r="AP29" s="72"/>
      <c r="AQ29" s="72"/>
      <c r="AR29" s="72"/>
      <c r="AS29" s="72"/>
      <c r="AT29" s="72"/>
      <c r="AU29" s="130"/>
      <c r="AV29" s="72"/>
      <c r="AW29" s="72"/>
      <c r="AX29" s="72"/>
      <c r="AY29" s="130"/>
      <c r="AZ29" s="72"/>
      <c r="BA29" s="72"/>
      <c r="BB29" s="72"/>
      <c r="BC29" s="72"/>
      <c r="BD29" s="72"/>
      <c r="BE29" s="72"/>
      <c r="BF29" s="72"/>
      <c r="BG29" s="72"/>
      <c r="BH29" s="72"/>
      <c r="BI29" s="72"/>
      <c r="BJ29" s="72"/>
      <c r="BK29" s="72"/>
      <c r="BL29" s="72"/>
      <c r="BM29" s="72"/>
      <c r="BN29" s="72"/>
      <c r="BO29" s="72"/>
      <c r="BP29" s="72"/>
      <c r="BQ29" s="72"/>
      <c r="BR29" s="72"/>
      <c r="BS29" s="72"/>
      <c r="BT29" s="72"/>
      <c r="BU29" s="72"/>
      <c r="BV29" s="72"/>
      <c r="BW29" s="72"/>
      <c r="BX29" s="72"/>
      <c r="BY29" s="72"/>
      <c r="BZ29" s="72"/>
      <c r="CA29" s="72"/>
      <c r="CB29" s="72"/>
      <c r="CC29" s="72"/>
      <c r="CD29" s="72"/>
      <c r="CE29" s="72"/>
      <c r="CF29" s="72"/>
      <c r="CG29" s="72"/>
      <c r="CH29" s="72"/>
      <c r="CI29" s="72"/>
      <c r="CJ29" s="72"/>
      <c r="CK29" s="72"/>
      <c r="CL29" s="72"/>
      <c r="CM29" s="72"/>
      <c r="CN29" s="72"/>
      <c r="CO29" s="72"/>
      <c r="CP29" s="72"/>
      <c r="CQ29" s="72"/>
      <c r="CR29" s="72"/>
      <c r="CS29" s="72"/>
      <c r="CT29" s="72"/>
      <c r="CU29" s="72"/>
      <c r="CV29" s="72"/>
      <c r="CW29" s="72"/>
      <c r="CX29" s="72"/>
      <c r="CY29" s="72"/>
      <c r="CZ29" s="72"/>
      <c r="DA29" s="72"/>
      <c r="DB29" s="72"/>
      <c r="DC29" s="72"/>
      <c r="DD29" s="72"/>
      <c r="DE29" s="72"/>
      <c r="DF29" s="72"/>
      <c r="DG29" s="72"/>
      <c r="DH29" s="72"/>
      <c r="DI29" s="72"/>
      <c r="DJ29" s="72"/>
      <c r="DK29" s="72"/>
      <c r="DL29" s="72"/>
      <c r="DM29" s="72"/>
      <c r="DN29" s="72"/>
    </row>
    <row r="30" spans="1:118">
      <c r="A30" s="25" t="s">
        <v>712</v>
      </c>
      <c r="B30" s="47" t="s">
        <v>697</v>
      </c>
      <c r="C30" s="72">
        <v>2.214963764417591</v>
      </c>
      <c r="D30" s="72">
        <v>4.0511557709112651</v>
      </c>
      <c r="E30" s="72">
        <v>4.05</v>
      </c>
      <c r="F30" s="72">
        <v>4.8499999999999996</v>
      </c>
      <c r="G30" s="72">
        <v>5.6399999999999999E-2</v>
      </c>
      <c r="H30" s="72">
        <v>3.8360000000000005E-2</v>
      </c>
      <c r="I30" s="72">
        <v>6.7</v>
      </c>
      <c r="J30" s="72">
        <v>8</v>
      </c>
      <c r="K30" s="72">
        <v>0.84</v>
      </c>
      <c r="L30" s="72">
        <v>0.74</v>
      </c>
      <c r="M30" s="36">
        <v>886</v>
      </c>
      <c r="N30" s="36">
        <v>768</v>
      </c>
      <c r="O30" s="36">
        <v>1140</v>
      </c>
      <c r="P30" s="36">
        <v>1070</v>
      </c>
      <c r="Q30" s="36">
        <v>52200</v>
      </c>
      <c r="R30" s="36">
        <v>57588</v>
      </c>
      <c r="S30" s="36">
        <v>478</v>
      </c>
      <c r="T30" s="36">
        <v>472</v>
      </c>
      <c r="U30" s="36">
        <v>43</v>
      </c>
      <c r="V30" s="36">
        <v>136</v>
      </c>
      <c r="W30" s="36">
        <v>5925</v>
      </c>
      <c r="X30" s="36">
        <v>2714</v>
      </c>
      <c r="Y30" s="36">
        <v>577</v>
      </c>
      <c r="Z30" s="36">
        <v>1522</v>
      </c>
      <c r="AA30" s="36">
        <v>2673.4</v>
      </c>
      <c r="AB30" s="36">
        <v>2649</v>
      </c>
      <c r="AC30" s="36">
        <v>59.9</v>
      </c>
      <c r="AD30" s="36">
        <v>85.9</v>
      </c>
      <c r="AE30" s="36">
        <v>47.3</v>
      </c>
      <c r="AF30" s="36">
        <v>130.80000000000001</v>
      </c>
      <c r="AG30" s="36">
        <v>624.5</v>
      </c>
      <c r="AH30" s="36">
        <v>2018</v>
      </c>
      <c r="AI30" s="36">
        <v>24261</v>
      </c>
      <c r="AJ30" s="36">
        <v>43224</v>
      </c>
      <c r="AK30" s="72">
        <v>12.891999999999999</v>
      </c>
      <c r="AL30" s="72">
        <v>31.56</v>
      </c>
      <c r="AM30" s="72">
        <v>15.18</v>
      </c>
      <c r="AN30" s="72">
        <v>26.9</v>
      </c>
      <c r="AO30" s="72">
        <v>9.36</v>
      </c>
      <c r="AP30" s="72">
        <v>30.5</v>
      </c>
      <c r="AQ30" s="72">
        <v>41</v>
      </c>
      <c r="AR30" s="72">
        <v>110.8</v>
      </c>
      <c r="AS30" s="72">
        <v>11.72</v>
      </c>
      <c r="AT30" s="72">
        <v>16.73</v>
      </c>
      <c r="AU30" s="130">
        <v>1.4</v>
      </c>
      <c r="AV30" s="72">
        <v>3.3</v>
      </c>
      <c r="AW30" s="72">
        <v>0.14000000000000001</v>
      </c>
      <c r="AX30" s="72">
        <v>0.79</v>
      </c>
      <c r="AY30" s="130">
        <v>47.95</v>
      </c>
      <c r="AZ30" s="72">
        <v>30.8</v>
      </c>
      <c r="BA30" s="72">
        <v>22</v>
      </c>
      <c r="BB30" s="72">
        <v>18.899999999999999</v>
      </c>
      <c r="BC30" s="72">
        <v>9.2850000000000001</v>
      </c>
      <c r="BD30" s="72">
        <v>15.491</v>
      </c>
      <c r="BE30" s="72">
        <v>62.31</v>
      </c>
      <c r="BF30" s="72">
        <v>179.1</v>
      </c>
      <c r="BG30" s="72">
        <v>5.8360000000000003</v>
      </c>
      <c r="BH30" s="72">
        <v>29.72</v>
      </c>
      <c r="BI30" s="72">
        <v>0.59</v>
      </c>
      <c r="BJ30" s="72">
        <v>2.5</v>
      </c>
      <c r="BK30" s="72">
        <v>3.5000000000000003E-2</v>
      </c>
      <c r="BL30" s="72">
        <v>7.1999999999999995E-2</v>
      </c>
      <c r="BM30" s="72">
        <v>3.1E-2</v>
      </c>
      <c r="BN30" s="72">
        <v>0.18</v>
      </c>
      <c r="BO30" s="72">
        <v>1.06</v>
      </c>
      <c r="BP30" s="72">
        <v>1.62</v>
      </c>
      <c r="BQ30" s="72">
        <v>8.7999999999999995E-2</v>
      </c>
      <c r="BR30" s="72">
        <v>0.41099999999999998</v>
      </c>
      <c r="BS30" s="72">
        <v>1.4159999999999999</v>
      </c>
      <c r="BT30" s="72">
        <v>1.792</v>
      </c>
      <c r="BU30" s="72">
        <v>246.6</v>
      </c>
      <c r="BV30" s="72">
        <v>143.69999999999999</v>
      </c>
      <c r="BW30" s="72">
        <v>27.146000000000001</v>
      </c>
      <c r="BX30" s="72">
        <v>31.58</v>
      </c>
      <c r="BY30" s="72">
        <v>69.070999999999998</v>
      </c>
      <c r="BZ30" s="72">
        <v>76.75</v>
      </c>
      <c r="CA30" s="72">
        <v>5.0110000000000001</v>
      </c>
      <c r="CB30" s="72">
        <v>6.702</v>
      </c>
      <c r="CC30" s="72">
        <v>18.239999999999998</v>
      </c>
      <c r="CD30" s="72">
        <v>25.03</v>
      </c>
      <c r="CE30" s="72">
        <v>3.1280000000000001</v>
      </c>
      <c r="CF30" s="72">
        <v>4.3529999999999998</v>
      </c>
      <c r="CG30" s="72">
        <v>0.65900000000000003</v>
      </c>
      <c r="CH30" s="72">
        <v>0.90900000000000003</v>
      </c>
      <c r="CI30" s="72">
        <v>2.3929999999999998</v>
      </c>
      <c r="CJ30" s="72">
        <v>3.7770000000000001</v>
      </c>
      <c r="CK30" s="72">
        <v>0.35499999999999998</v>
      </c>
      <c r="CL30" s="72">
        <v>0.53100000000000003</v>
      </c>
      <c r="CM30" s="72">
        <v>1.7250000000000001</v>
      </c>
      <c r="CN30" s="72">
        <v>3.355</v>
      </c>
      <c r="CO30" s="72">
        <v>0.34100000000000003</v>
      </c>
      <c r="CP30" s="72">
        <v>0.628</v>
      </c>
      <c r="CQ30" s="72">
        <v>0.92600000000000005</v>
      </c>
      <c r="CR30" s="72">
        <v>1.7629999999999999</v>
      </c>
      <c r="CS30" s="72">
        <v>0.13800000000000001</v>
      </c>
      <c r="CT30" s="72">
        <v>0.26400000000000001</v>
      </c>
      <c r="CU30" s="72">
        <v>0.83799999999999997</v>
      </c>
      <c r="CV30" s="72">
        <v>1.7290000000000001</v>
      </c>
      <c r="CW30" s="72">
        <v>0.121</v>
      </c>
      <c r="CX30" s="72">
        <v>0.251</v>
      </c>
      <c r="CY30" s="72">
        <v>1.8440000000000001</v>
      </c>
      <c r="CZ30" s="72">
        <v>4.3449999999999998</v>
      </c>
      <c r="DA30" s="72">
        <v>0.38</v>
      </c>
      <c r="DB30" s="72">
        <v>1.456</v>
      </c>
      <c r="DC30" s="72">
        <v>0.68100000000000005</v>
      </c>
      <c r="DD30" s="72">
        <v>0.78</v>
      </c>
      <c r="DE30" s="72">
        <v>0.23699999999999999</v>
      </c>
      <c r="DF30" s="72">
        <v>0.249</v>
      </c>
      <c r="DG30" s="72">
        <v>8.6</v>
      </c>
      <c r="DH30" s="72">
        <v>11.27</v>
      </c>
      <c r="DI30" s="72">
        <v>0.13</v>
      </c>
      <c r="DJ30" s="72">
        <v>0.17</v>
      </c>
      <c r="DK30" s="72">
        <v>4.83</v>
      </c>
      <c r="DL30" s="72">
        <v>6.7249999999999996</v>
      </c>
      <c r="DM30" s="72">
        <v>1.25</v>
      </c>
      <c r="DN30" s="72">
        <v>1.6950000000000001</v>
      </c>
    </row>
    <row r="31" spans="1:118">
      <c r="B31" s="47" t="s">
        <v>698</v>
      </c>
      <c r="C31" s="72">
        <v>9.8862888826238109</v>
      </c>
      <c r="D31" s="72">
        <v>10.975967174677779</v>
      </c>
      <c r="E31" s="72">
        <v>7.15</v>
      </c>
      <c r="F31" s="72">
        <v>5.43</v>
      </c>
      <c r="G31" s="72">
        <v>21.142099999999999</v>
      </c>
      <c r="H31" s="72">
        <v>4.2450000000000002E-2</v>
      </c>
      <c r="I31" s="72">
        <v>32.1</v>
      </c>
      <c r="J31" s="72">
        <v>24</v>
      </c>
      <c r="K31" s="72">
        <v>3.04</v>
      </c>
      <c r="L31" s="72">
        <v>2.0699999999999998</v>
      </c>
      <c r="M31" s="36">
        <v>25275</v>
      </c>
      <c r="N31" s="36">
        <v>1570</v>
      </c>
      <c r="O31" s="36">
        <v>30155</v>
      </c>
      <c r="P31" s="36">
        <v>1747</v>
      </c>
      <c r="Q31" s="36">
        <v>98107</v>
      </c>
      <c r="R31" s="36">
        <v>94249</v>
      </c>
      <c r="S31" s="36">
        <v>2356</v>
      </c>
      <c r="T31" s="36">
        <v>722</v>
      </c>
      <c r="U31" s="36">
        <v>557</v>
      </c>
      <c r="V31" s="36">
        <v>271</v>
      </c>
      <c r="W31" s="36">
        <v>23163</v>
      </c>
      <c r="X31" s="36">
        <v>9672</v>
      </c>
      <c r="Y31" s="36">
        <v>22248</v>
      </c>
      <c r="Z31" s="36">
        <v>1928</v>
      </c>
      <c r="AA31" s="36">
        <v>7715.8</v>
      </c>
      <c r="AB31" s="36">
        <v>10421</v>
      </c>
      <c r="AC31" s="36">
        <v>252.8</v>
      </c>
      <c r="AD31" s="36">
        <v>217.1</v>
      </c>
      <c r="AE31" s="36">
        <v>748.3</v>
      </c>
      <c r="AF31" s="36">
        <v>214.7</v>
      </c>
      <c r="AG31" s="36">
        <v>5680</v>
      </c>
      <c r="AH31" s="36">
        <v>2842</v>
      </c>
      <c r="AI31" s="36">
        <v>98434</v>
      </c>
      <c r="AJ31" s="36">
        <v>94275</v>
      </c>
      <c r="AK31" s="72">
        <v>73.376999999999995</v>
      </c>
      <c r="AL31" s="72">
        <v>43.5</v>
      </c>
      <c r="AM31" s="72">
        <v>459.85</v>
      </c>
      <c r="AN31" s="72">
        <v>91.1</v>
      </c>
      <c r="AO31" s="72">
        <v>120.84</v>
      </c>
      <c r="AP31" s="72">
        <v>95.8</v>
      </c>
      <c r="AQ31" s="72">
        <v>289</v>
      </c>
      <c r="AR31" s="72">
        <v>123.9</v>
      </c>
      <c r="AS31" s="72">
        <v>28.02</v>
      </c>
      <c r="AT31" s="72">
        <v>26.12</v>
      </c>
      <c r="AU31" s="130">
        <v>668.9</v>
      </c>
      <c r="AV31" s="72">
        <v>11.1</v>
      </c>
      <c r="AW31" s="72">
        <v>1.1100000000000001</v>
      </c>
      <c r="AX31" s="72">
        <v>0.83</v>
      </c>
      <c r="AY31" s="130">
        <v>105.62</v>
      </c>
      <c r="AZ31" s="72">
        <v>52.6</v>
      </c>
      <c r="BA31" s="72">
        <v>504.26</v>
      </c>
      <c r="BB31" s="72">
        <v>61.9</v>
      </c>
      <c r="BC31" s="72">
        <v>61.015000000000001</v>
      </c>
      <c r="BD31" s="72">
        <v>63.286999999999999</v>
      </c>
      <c r="BE31" s="72">
        <v>481.9</v>
      </c>
      <c r="BF31" s="72">
        <v>360.5</v>
      </c>
      <c r="BG31" s="72">
        <v>110.87</v>
      </c>
      <c r="BH31" s="72">
        <v>83.64</v>
      </c>
      <c r="BI31" s="72">
        <v>6.11</v>
      </c>
      <c r="BJ31" s="72">
        <v>3.03</v>
      </c>
      <c r="BK31" s="72">
        <v>0.84699999999999998</v>
      </c>
      <c r="BL31" s="72">
        <v>8.5000000000000006E-2</v>
      </c>
      <c r="BM31" s="72">
        <v>1.0369999999999999</v>
      </c>
      <c r="BN31" s="72">
        <v>0.188</v>
      </c>
      <c r="BO31" s="72">
        <v>4.49</v>
      </c>
      <c r="BP31" s="72">
        <v>3.6</v>
      </c>
      <c r="BQ31" s="72">
        <v>2.6040000000000001</v>
      </c>
      <c r="BR31" s="72">
        <v>0.61699999999999999</v>
      </c>
      <c r="BS31" s="72">
        <v>5.4340000000000002</v>
      </c>
      <c r="BT31" s="72">
        <v>3.07</v>
      </c>
      <c r="BU31" s="72">
        <v>1113.94</v>
      </c>
      <c r="BV31" s="72">
        <v>362.6</v>
      </c>
      <c r="BW31" s="72">
        <v>115.48</v>
      </c>
      <c r="BX31" s="72">
        <v>74.22</v>
      </c>
      <c r="BY31" s="72">
        <v>243.87</v>
      </c>
      <c r="BZ31" s="72">
        <v>77.48</v>
      </c>
      <c r="CA31" s="72">
        <v>22.515999999999998</v>
      </c>
      <c r="CB31" s="72">
        <v>14.943</v>
      </c>
      <c r="CC31" s="72">
        <v>82.46</v>
      </c>
      <c r="CD31" s="72">
        <v>55.84</v>
      </c>
      <c r="CE31" s="72">
        <v>14.621</v>
      </c>
      <c r="CF31" s="72">
        <v>10.901</v>
      </c>
      <c r="CG31" s="72">
        <v>2.36</v>
      </c>
      <c r="CH31" s="72">
        <v>2.16</v>
      </c>
      <c r="CI31" s="72">
        <v>13.17</v>
      </c>
      <c r="CJ31" s="72">
        <v>11.629</v>
      </c>
      <c r="CK31" s="72">
        <v>1.9279999999999999</v>
      </c>
      <c r="CL31" s="72">
        <v>1.748</v>
      </c>
      <c r="CM31" s="72">
        <v>12.260999999999999</v>
      </c>
      <c r="CN31" s="72">
        <v>11.688000000000001</v>
      </c>
      <c r="CO31" s="72">
        <v>2.3889999999999998</v>
      </c>
      <c r="CP31" s="72">
        <v>2.343</v>
      </c>
      <c r="CQ31" s="72">
        <v>6.7590000000000003</v>
      </c>
      <c r="CR31" s="72">
        <v>6.5439999999999996</v>
      </c>
      <c r="CS31" s="72">
        <v>0.96099999999999997</v>
      </c>
      <c r="CT31" s="72">
        <v>0.91400000000000003</v>
      </c>
      <c r="CU31" s="72">
        <v>6.44</v>
      </c>
      <c r="CV31" s="72">
        <v>6.0979999999999999</v>
      </c>
      <c r="CW31" s="72">
        <v>0.91100000000000003</v>
      </c>
      <c r="CX31" s="72">
        <v>0.86099999999999999</v>
      </c>
      <c r="CY31" s="72">
        <v>10.996</v>
      </c>
      <c r="CZ31" s="72">
        <v>8.1359999999999992</v>
      </c>
      <c r="DA31" s="72">
        <v>6.032</v>
      </c>
      <c r="DB31" s="72">
        <v>4.556</v>
      </c>
      <c r="DC31" s="72">
        <v>5.3259999999999996</v>
      </c>
      <c r="DD31" s="72">
        <v>1.591</v>
      </c>
      <c r="DE31" s="72">
        <v>0.85599999999999998</v>
      </c>
      <c r="DF31" s="72">
        <v>0.33700000000000002</v>
      </c>
      <c r="DG31" s="72">
        <v>153.9</v>
      </c>
      <c r="DH31" s="72">
        <v>24.11</v>
      </c>
      <c r="DI31" s="72">
        <v>20.49</v>
      </c>
      <c r="DJ31" s="72">
        <v>0.2</v>
      </c>
      <c r="DK31" s="72">
        <v>15.56</v>
      </c>
      <c r="DL31" s="72">
        <v>11.13</v>
      </c>
      <c r="DM31" s="72">
        <v>4.1349999999999998</v>
      </c>
      <c r="DN31" s="72">
        <v>2.5209999999999999</v>
      </c>
    </row>
    <row r="32" spans="1:118">
      <c r="B32" s="47" t="s">
        <v>699</v>
      </c>
      <c r="C32" s="72">
        <v>3.9822235961105883</v>
      </c>
      <c r="D32" s="72">
        <v>5.7823586218528931</v>
      </c>
      <c r="E32" s="72">
        <v>4.6899999999999995</v>
      </c>
      <c r="F32" s="72">
        <v>4.9949999999999992</v>
      </c>
      <c r="G32" s="72">
        <v>0.25166374999999996</v>
      </c>
      <c r="H32" s="72">
        <v>3.9382500000000001E-2</v>
      </c>
      <c r="I32" s="72">
        <v>12.850000000000001</v>
      </c>
      <c r="J32" s="72">
        <v>12</v>
      </c>
      <c r="K32" s="72">
        <v>1.49</v>
      </c>
      <c r="L32" s="72">
        <v>1.0725</v>
      </c>
      <c r="M32" s="36">
        <v>1589.5</v>
      </c>
      <c r="N32" s="36">
        <v>968.5</v>
      </c>
      <c r="O32" s="36">
        <v>2300.5</v>
      </c>
      <c r="P32" s="36">
        <v>1239.25</v>
      </c>
      <c r="Q32" s="36">
        <v>72947</v>
      </c>
      <c r="R32" s="36">
        <v>66753.25</v>
      </c>
      <c r="S32" s="36">
        <v>526</v>
      </c>
      <c r="T32" s="36">
        <v>534.5</v>
      </c>
      <c r="U32" s="36">
        <v>170</v>
      </c>
      <c r="V32" s="36">
        <v>169.75</v>
      </c>
      <c r="W32" s="36">
        <v>8620.5</v>
      </c>
      <c r="X32" s="36">
        <v>4453.5</v>
      </c>
      <c r="Y32" s="36">
        <v>1697</v>
      </c>
      <c r="Z32" s="36">
        <v>1623.5</v>
      </c>
      <c r="AA32" s="36">
        <v>2964.5</v>
      </c>
      <c r="AB32" s="36">
        <v>4592</v>
      </c>
      <c r="AC32" s="36">
        <v>110.69999999999999</v>
      </c>
      <c r="AD32" s="36">
        <v>118.7</v>
      </c>
      <c r="AE32" s="36">
        <v>125.14999999999999</v>
      </c>
      <c r="AF32" s="36">
        <v>151.77500000000001</v>
      </c>
      <c r="AG32" s="36">
        <v>1297.5500000000002</v>
      </c>
      <c r="AH32" s="36">
        <v>2224</v>
      </c>
      <c r="AI32" s="36">
        <v>41007</v>
      </c>
      <c r="AJ32" s="36">
        <v>55986.75</v>
      </c>
      <c r="AK32" s="72">
        <v>32.958500000000001</v>
      </c>
      <c r="AL32" s="72">
        <v>34.545000000000002</v>
      </c>
      <c r="AM32" s="72">
        <v>42.44</v>
      </c>
      <c r="AN32" s="72">
        <v>42.949999999999996</v>
      </c>
      <c r="AO32" s="72">
        <v>37.745000000000005</v>
      </c>
      <c r="AP32" s="72">
        <v>46.825000000000003</v>
      </c>
      <c r="AQ32" s="72">
        <v>62.5</v>
      </c>
      <c r="AR32" s="72">
        <v>114.075</v>
      </c>
      <c r="AS32" s="72">
        <v>16.48</v>
      </c>
      <c r="AT32" s="72">
        <v>19.077500000000001</v>
      </c>
      <c r="AU32" s="130">
        <v>9.3000000000000007</v>
      </c>
      <c r="AV32" s="72">
        <v>5.25</v>
      </c>
      <c r="AW32" s="72">
        <v>0.66500000000000004</v>
      </c>
      <c r="AX32" s="72">
        <v>0.8</v>
      </c>
      <c r="AY32" s="130">
        <v>57.95</v>
      </c>
      <c r="AZ32" s="72">
        <v>36.25</v>
      </c>
      <c r="BA32" s="72">
        <v>44.935000000000002</v>
      </c>
      <c r="BB32" s="72">
        <v>29.65</v>
      </c>
      <c r="BC32" s="72">
        <v>15.265499999999999</v>
      </c>
      <c r="BD32" s="72">
        <v>27.439999999999998</v>
      </c>
      <c r="BE32" s="72">
        <v>144.83499999999998</v>
      </c>
      <c r="BF32" s="72">
        <v>224.45</v>
      </c>
      <c r="BG32" s="72">
        <v>21.0015</v>
      </c>
      <c r="BH32" s="72">
        <v>43.2</v>
      </c>
      <c r="BI32" s="72">
        <v>1.73</v>
      </c>
      <c r="BJ32" s="72">
        <v>2.6324999999999998</v>
      </c>
      <c r="BK32" s="72">
        <v>7.6499999999999999E-2</v>
      </c>
      <c r="BL32" s="72">
        <v>7.5249999999999997E-2</v>
      </c>
      <c r="BM32" s="72">
        <v>6.9000000000000006E-2</v>
      </c>
      <c r="BN32" s="72">
        <v>0.182</v>
      </c>
      <c r="BO32" s="72">
        <v>1.6749999999999998</v>
      </c>
      <c r="BP32" s="72">
        <v>2.1150000000000002</v>
      </c>
      <c r="BQ32" s="72">
        <v>0.54849999999999999</v>
      </c>
      <c r="BR32" s="72">
        <v>0.46249999999999997</v>
      </c>
      <c r="BS32" s="72">
        <v>1.6749999999999998</v>
      </c>
      <c r="BT32" s="72">
        <v>2.1114999999999999</v>
      </c>
      <c r="BU32" s="72">
        <v>366.03</v>
      </c>
      <c r="BV32" s="72">
        <v>198.42500000000001</v>
      </c>
      <c r="BW32" s="72">
        <v>29.758499999999998</v>
      </c>
      <c r="BX32" s="72">
        <v>42.239999999999995</v>
      </c>
      <c r="BY32" s="72">
        <v>79.207999999999998</v>
      </c>
      <c r="BZ32" s="72">
        <v>76.932500000000005</v>
      </c>
      <c r="CA32" s="72">
        <v>6.3140000000000001</v>
      </c>
      <c r="CB32" s="72">
        <v>8.7622499999999999</v>
      </c>
      <c r="CC32" s="72">
        <v>24.03</v>
      </c>
      <c r="CD32" s="72">
        <v>32.732500000000002</v>
      </c>
      <c r="CE32" s="72">
        <v>4.49</v>
      </c>
      <c r="CF32" s="72">
        <v>5.99</v>
      </c>
      <c r="CG32" s="72">
        <v>0.98899999999999999</v>
      </c>
      <c r="CH32" s="72">
        <v>1.2217500000000001</v>
      </c>
      <c r="CI32" s="72">
        <v>3.4874999999999998</v>
      </c>
      <c r="CJ32" s="72">
        <v>5.74</v>
      </c>
      <c r="CK32" s="72">
        <v>0.51449999999999996</v>
      </c>
      <c r="CL32" s="72">
        <v>0.83525000000000005</v>
      </c>
      <c r="CM32" s="72">
        <v>2.8250000000000002</v>
      </c>
      <c r="CN32" s="72">
        <v>5.43825</v>
      </c>
      <c r="CO32" s="72">
        <v>0.57200000000000006</v>
      </c>
      <c r="CP32" s="72">
        <v>1.0567500000000001</v>
      </c>
      <c r="CQ32" s="72">
        <v>1.6225000000000001</v>
      </c>
      <c r="CR32" s="72">
        <v>2.9582499999999996</v>
      </c>
      <c r="CS32" s="72">
        <v>0.25</v>
      </c>
      <c r="CT32" s="72">
        <v>0.42649999999999999</v>
      </c>
      <c r="CU32" s="72">
        <v>1.5465</v>
      </c>
      <c r="CV32" s="72">
        <v>2.82125</v>
      </c>
      <c r="CW32" s="72">
        <v>0.24099999999999999</v>
      </c>
      <c r="CX32" s="72">
        <v>0.40349999999999997</v>
      </c>
      <c r="CY32" s="72">
        <v>4.0570000000000004</v>
      </c>
      <c r="CZ32" s="72">
        <v>5.2927499999999998</v>
      </c>
      <c r="DA32" s="72">
        <v>1.2055</v>
      </c>
      <c r="DB32" s="72">
        <v>2.2309999999999999</v>
      </c>
      <c r="DC32" s="72">
        <v>1.6535000000000002</v>
      </c>
      <c r="DD32" s="72">
        <v>0.98275000000000001</v>
      </c>
      <c r="DE32" s="72">
        <v>0.37</v>
      </c>
      <c r="DF32" s="72">
        <v>0.27100000000000002</v>
      </c>
      <c r="DG32" s="72">
        <v>17</v>
      </c>
      <c r="DH32" s="72">
        <v>14.48</v>
      </c>
      <c r="DI32" s="72">
        <v>0.27500000000000002</v>
      </c>
      <c r="DJ32" s="72">
        <v>0.17750000000000002</v>
      </c>
      <c r="DK32" s="72">
        <v>7.1534999999999993</v>
      </c>
      <c r="DL32" s="72">
        <v>7.8262499999999999</v>
      </c>
      <c r="DM32" s="72">
        <v>2.2240000000000002</v>
      </c>
      <c r="DN32" s="72">
        <v>1.9015</v>
      </c>
    </row>
    <row r="33" spans="1:118">
      <c r="B33" s="47" t="s">
        <v>700</v>
      </c>
      <c r="C33" s="72">
        <v>5.9136882041521686</v>
      </c>
      <c r="D33" s="72">
        <v>7.5135614727945219</v>
      </c>
      <c r="E33" s="72">
        <v>5.0649999999999995</v>
      </c>
      <c r="F33" s="72">
        <v>5.14</v>
      </c>
      <c r="G33" s="72">
        <v>0.4918225</v>
      </c>
      <c r="H33" s="72">
        <v>4.0405000000000003E-2</v>
      </c>
      <c r="I33" s="72">
        <v>14.1</v>
      </c>
      <c r="J33" s="72">
        <v>16</v>
      </c>
      <c r="K33" s="72">
        <v>1.83</v>
      </c>
      <c r="L33" s="72">
        <v>1.4049999999999998</v>
      </c>
      <c r="M33" s="36">
        <v>1906</v>
      </c>
      <c r="N33" s="36">
        <v>1169</v>
      </c>
      <c r="O33" s="36">
        <v>3062</v>
      </c>
      <c r="P33" s="36">
        <v>1408.5</v>
      </c>
      <c r="Q33" s="36">
        <v>76593</v>
      </c>
      <c r="R33" s="36">
        <v>75918.5</v>
      </c>
      <c r="S33" s="36">
        <v>689</v>
      </c>
      <c r="T33" s="36">
        <v>597</v>
      </c>
      <c r="U33" s="36">
        <v>215</v>
      </c>
      <c r="V33" s="36">
        <v>203.5</v>
      </c>
      <c r="W33" s="36">
        <v>11896</v>
      </c>
      <c r="X33" s="36">
        <v>6193</v>
      </c>
      <c r="Y33" s="36">
        <v>2597</v>
      </c>
      <c r="Z33" s="36">
        <v>1725</v>
      </c>
      <c r="AA33" s="36">
        <v>3640.2</v>
      </c>
      <c r="AB33" s="36">
        <v>6535</v>
      </c>
      <c r="AC33" s="36">
        <v>134.1</v>
      </c>
      <c r="AD33" s="36">
        <v>151.5</v>
      </c>
      <c r="AE33" s="36">
        <v>196.5</v>
      </c>
      <c r="AF33" s="36">
        <v>172.75</v>
      </c>
      <c r="AG33" s="36">
        <v>1966.6</v>
      </c>
      <c r="AH33" s="36">
        <v>2430</v>
      </c>
      <c r="AI33" s="36">
        <v>51924</v>
      </c>
      <c r="AJ33" s="36">
        <v>68749.5</v>
      </c>
      <c r="AK33" s="72">
        <v>48.146999999999998</v>
      </c>
      <c r="AL33" s="72">
        <v>37.53</v>
      </c>
      <c r="AM33" s="72">
        <v>66.92</v>
      </c>
      <c r="AN33" s="72">
        <v>58.999999999999993</v>
      </c>
      <c r="AO33" s="72">
        <v>51.51</v>
      </c>
      <c r="AP33" s="72">
        <v>63.15</v>
      </c>
      <c r="AQ33" s="72">
        <v>93</v>
      </c>
      <c r="AR33" s="72">
        <v>117.35</v>
      </c>
      <c r="AS33" s="72">
        <v>17.53</v>
      </c>
      <c r="AT33" s="72">
        <v>21.425000000000001</v>
      </c>
      <c r="AU33" s="130">
        <v>24.4</v>
      </c>
      <c r="AV33" s="72">
        <v>7.1999999999999993</v>
      </c>
      <c r="AW33" s="72">
        <v>0.81</v>
      </c>
      <c r="AX33" s="72">
        <v>0.81</v>
      </c>
      <c r="AY33" s="130">
        <v>68.19</v>
      </c>
      <c r="AZ33" s="72">
        <v>41.7</v>
      </c>
      <c r="BA33" s="72">
        <v>54.92</v>
      </c>
      <c r="BB33" s="72">
        <v>40.4</v>
      </c>
      <c r="BC33" s="72">
        <v>21.332000000000001</v>
      </c>
      <c r="BD33" s="72">
        <v>39.388999999999996</v>
      </c>
      <c r="BE33" s="72">
        <v>204.6</v>
      </c>
      <c r="BF33" s="72">
        <v>269.8</v>
      </c>
      <c r="BG33" s="72">
        <v>33.438000000000002</v>
      </c>
      <c r="BH33" s="72">
        <v>56.68</v>
      </c>
      <c r="BI33" s="72">
        <v>2.2599999999999998</v>
      </c>
      <c r="BJ33" s="72">
        <v>2.7649999999999997</v>
      </c>
      <c r="BK33" s="72">
        <v>0.10100000000000001</v>
      </c>
      <c r="BL33" s="72">
        <v>7.85E-2</v>
      </c>
      <c r="BM33" s="72">
        <v>0.17399999999999999</v>
      </c>
      <c r="BN33" s="72">
        <v>0.184</v>
      </c>
      <c r="BO33" s="72">
        <v>2.0699999999999998</v>
      </c>
      <c r="BP33" s="72">
        <v>2.6100000000000003</v>
      </c>
      <c r="BQ33" s="72">
        <v>0.70299999999999996</v>
      </c>
      <c r="BR33" s="72">
        <v>0.51400000000000001</v>
      </c>
      <c r="BS33" s="72">
        <v>2.84</v>
      </c>
      <c r="BT33" s="72">
        <v>2.431</v>
      </c>
      <c r="BU33" s="72">
        <v>442.92</v>
      </c>
      <c r="BV33" s="72">
        <v>253.15</v>
      </c>
      <c r="BW33" s="72">
        <v>39.765999999999998</v>
      </c>
      <c r="BX33" s="72">
        <v>52.9</v>
      </c>
      <c r="BY33" s="72">
        <v>100.02500000000001</v>
      </c>
      <c r="BZ33" s="72">
        <v>77.115000000000009</v>
      </c>
      <c r="CA33" s="72">
        <v>8.2240000000000002</v>
      </c>
      <c r="CB33" s="72">
        <v>10.8225</v>
      </c>
      <c r="CC33" s="72">
        <v>30.35</v>
      </c>
      <c r="CD33" s="72">
        <v>40.435000000000002</v>
      </c>
      <c r="CE33" s="72">
        <v>5.5730000000000004</v>
      </c>
      <c r="CF33" s="72">
        <v>7.6269999999999998</v>
      </c>
      <c r="CG33" s="72">
        <v>1.1839999999999999</v>
      </c>
      <c r="CH33" s="72">
        <v>1.5345</v>
      </c>
      <c r="CI33" s="72">
        <v>4.5380000000000003</v>
      </c>
      <c r="CJ33" s="72">
        <v>7.7029999999999994</v>
      </c>
      <c r="CK33" s="72">
        <v>0.71699999999999997</v>
      </c>
      <c r="CL33" s="72">
        <v>1.1395</v>
      </c>
      <c r="CM33" s="72">
        <v>3.8570000000000002</v>
      </c>
      <c r="CN33" s="72">
        <v>7.5214999999999996</v>
      </c>
      <c r="CO33" s="72">
        <v>0.79700000000000004</v>
      </c>
      <c r="CP33" s="72">
        <v>1.4855</v>
      </c>
      <c r="CQ33" s="72">
        <v>2.1989999999999998</v>
      </c>
      <c r="CR33" s="72">
        <v>4.1534999999999993</v>
      </c>
      <c r="CS33" s="72">
        <v>0.33300000000000002</v>
      </c>
      <c r="CT33" s="72">
        <v>0.58899999999999997</v>
      </c>
      <c r="CU33" s="72">
        <v>1.974</v>
      </c>
      <c r="CV33" s="72">
        <v>3.9135</v>
      </c>
      <c r="CW33" s="72">
        <v>0.313</v>
      </c>
      <c r="CX33" s="72">
        <v>0.55600000000000005</v>
      </c>
      <c r="CY33" s="72">
        <v>5.2439999999999998</v>
      </c>
      <c r="CZ33" s="72">
        <v>6.240499999999999</v>
      </c>
      <c r="DA33" s="72">
        <v>1.851</v>
      </c>
      <c r="DB33" s="72">
        <v>3.0060000000000002</v>
      </c>
      <c r="DC33" s="72">
        <v>2.21</v>
      </c>
      <c r="DD33" s="72">
        <v>1.1855</v>
      </c>
      <c r="DE33" s="72">
        <v>0.48499999999999999</v>
      </c>
      <c r="DF33" s="72">
        <v>0.29300000000000004</v>
      </c>
      <c r="DG33" s="72">
        <v>21</v>
      </c>
      <c r="DH33" s="72">
        <v>17.689999999999998</v>
      </c>
      <c r="DI33" s="72">
        <v>0.36</v>
      </c>
      <c r="DJ33" s="72">
        <v>0.185</v>
      </c>
      <c r="DK33" s="72">
        <v>8.6989999999999998</v>
      </c>
      <c r="DL33" s="72">
        <v>8.9275000000000002</v>
      </c>
      <c r="DM33" s="72">
        <v>2.3170000000000002</v>
      </c>
      <c r="DN33" s="72">
        <v>2.1080000000000001</v>
      </c>
    </row>
    <row r="34" spans="1:118">
      <c r="B34" s="47" t="s">
        <v>701</v>
      </c>
      <c r="C34" s="72">
        <v>9.0122643200477324</v>
      </c>
      <c r="D34" s="72">
        <v>10.629726604489452</v>
      </c>
      <c r="E34" s="72">
        <v>6.7419999999999991</v>
      </c>
      <c r="F34" s="72">
        <v>5.4009999999999998</v>
      </c>
      <c r="G34" s="72">
        <v>17.424178749999992</v>
      </c>
      <c r="H34" s="72">
        <v>4.2245500000000005E-2</v>
      </c>
      <c r="I34" s="72">
        <v>27.77999999999999</v>
      </c>
      <c r="J34" s="72">
        <v>23.2</v>
      </c>
      <c r="K34" s="72">
        <v>2.7699999999999996</v>
      </c>
      <c r="L34" s="72">
        <v>2.0034999999999998</v>
      </c>
      <c r="M34" s="36">
        <v>24351.599999999999</v>
      </c>
      <c r="N34" s="36">
        <v>1529.9</v>
      </c>
      <c r="O34" s="36">
        <v>16784.599999999969</v>
      </c>
      <c r="P34" s="36">
        <v>1713.15</v>
      </c>
      <c r="Q34" s="36">
        <v>94353.999999999985</v>
      </c>
      <c r="R34" s="36">
        <v>92415.95</v>
      </c>
      <c r="S34" s="36">
        <v>1475.7999999999979</v>
      </c>
      <c r="T34" s="36">
        <v>709.5</v>
      </c>
      <c r="U34" s="36">
        <v>410.29999999999967</v>
      </c>
      <c r="V34" s="36">
        <v>264.25</v>
      </c>
      <c r="W34" s="36">
        <v>23136.9</v>
      </c>
      <c r="X34" s="36">
        <v>9324.0999999999985</v>
      </c>
      <c r="Y34" s="36">
        <v>12105.799999999983</v>
      </c>
      <c r="Z34" s="36">
        <v>1907.7</v>
      </c>
      <c r="AA34" s="36">
        <v>7683.58</v>
      </c>
      <c r="AB34" s="36">
        <v>10032.4</v>
      </c>
      <c r="AC34" s="36">
        <v>205.45999999999987</v>
      </c>
      <c r="AD34" s="36">
        <v>210.54</v>
      </c>
      <c r="AE34" s="36">
        <v>625.53999999999974</v>
      </c>
      <c r="AF34" s="36">
        <v>210.505</v>
      </c>
      <c r="AG34" s="36">
        <v>3785.4999999999955</v>
      </c>
      <c r="AH34" s="36">
        <v>2800.8</v>
      </c>
      <c r="AI34" s="36">
        <v>97102.9</v>
      </c>
      <c r="AJ34" s="36">
        <v>91722.45</v>
      </c>
      <c r="AK34" s="72">
        <v>63.979199999999977</v>
      </c>
      <c r="AL34" s="72">
        <v>42.902999999999999</v>
      </c>
      <c r="AM34" s="72">
        <v>183.19899999999936</v>
      </c>
      <c r="AN34" s="72">
        <v>87.889999999999986</v>
      </c>
      <c r="AO34" s="72">
        <v>118.374</v>
      </c>
      <c r="AP34" s="72">
        <v>92.534999999999997</v>
      </c>
      <c r="AQ34" s="72">
        <v>172.89999999999972</v>
      </c>
      <c r="AR34" s="72">
        <v>123.245</v>
      </c>
      <c r="AS34" s="72">
        <v>23.843999999999991</v>
      </c>
      <c r="AT34" s="72">
        <v>25.650500000000001</v>
      </c>
      <c r="AU34" s="130">
        <v>458.65999999999951</v>
      </c>
      <c r="AV34" s="72">
        <v>10.709999999999999</v>
      </c>
      <c r="AW34" s="72">
        <v>1.083</v>
      </c>
      <c r="AX34" s="72">
        <v>0.82799999999999996</v>
      </c>
      <c r="AY34" s="130">
        <v>99.013999999999982</v>
      </c>
      <c r="AZ34" s="72">
        <v>51.510000000000005</v>
      </c>
      <c r="BA34" s="72">
        <v>502.19</v>
      </c>
      <c r="BB34" s="72">
        <v>59.75</v>
      </c>
      <c r="BC34" s="72">
        <v>38.07039999999995</v>
      </c>
      <c r="BD34" s="72">
        <v>60.897199999999998</v>
      </c>
      <c r="BE34" s="72">
        <v>348.43899999999968</v>
      </c>
      <c r="BF34" s="72">
        <v>351.42999999999995</v>
      </c>
      <c r="BG34" s="72">
        <v>73.124899999999911</v>
      </c>
      <c r="BH34" s="72">
        <v>80.943999999999988</v>
      </c>
      <c r="BI34" s="72">
        <v>4.4179999999999966</v>
      </c>
      <c r="BJ34" s="72">
        <v>3.0034999999999998</v>
      </c>
      <c r="BK34" s="72">
        <v>0.46809999999999907</v>
      </c>
      <c r="BL34" s="72">
        <v>8.4350000000000008E-2</v>
      </c>
      <c r="BM34" s="72">
        <v>0.39979999999999849</v>
      </c>
      <c r="BN34" s="72">
        <v>0.18759999999999999</v>
      </c>
      <c r="BO34" s="72">
        <v>3.4549999999999974</v>
      </c>
      <c r="BP34" s="72">
        <v>3.5010000000000003</v>
      </c>
      <c r="BQ34" s="72">
        <v>2.3474999999999993</v>
      </c>
      <c r="BR34" s="72">
        <v>0.60670000000000002</v>
      </c>
      <c r="BS34" s="72">
        <v>4.4925999999999977</v>
      </c>
      <c r="BT34" s="72">
        <v>3.0061</v>
      </c>
      <c r="BU34" s="72">
        <v>1111.2040000000002</v>
      </c>
      <c r="BV34" s="72">
        <v>351.65499999999997</v>
      </c>
      <c r="BW34" s="72">
        <v>75.595599999999905</v>
      </c>
      <c r="BX34" s="72">
        <v>72.087999999999994</v>
      </c>
      <c r="BY34" s="72">
        <v>159.60209999999981</v>
      </c>
      <c r="BZ34" s="72">
        <v>77.4435</v>
      </c>
      <c r="CA34" s="72">
        <v>14.703999999999981</v>
      </c>
      <c r="CB34" s="72">
        <v>14.530949999999999</v>
      </c>
      <c r="CC34" s="72">
        <v>53.713999999999935</v>
      </c>
      <c r="CD34" s="72">
        <v>54.299500000000002</v>
      </c>
      <c r="CE34" s="72">
        <v>9.633199999999988</v>
      </c>
      <c r="CF34" s="72">
        <v>10.573599999999999</v>
      </c>
      <c r="CG34" s="72">
        <v>1.8514999999999988</v>
      </c>
      <c r="CH34" s="72">
        <v>2.0974500000000003</v>
      </c>
      <c r="CI34" s="72">
        <v>7.7834999999999868</v>
      </c>
      <c r="CJ34" s="72">
        <v>11.2364</v>
      </c>
      <c r="CK34" s="72">
        <v>1.2322999999999984</v>
      </c>
      <c r="CL34" s="72">
        <v>1.6871499999999999</v>
      </c>
      <c r="CM34" s="72">
        <v>7.1066999999999876</v>
      </c>
      <c r="CN34" s="72">
        <v>11.27135</v>
      </c>
      <c r="CO34" s="72">
        <v>1.4412999999999978</v>
      </c>
      <c r="CP34" s="72">
        <v>2.25725</v>
      </c>
      <c r="CQ34" s="72">
        <v>4.0202999999999935</v>
      </c>
      <c r="CR34" s="72">
        <v>6.3049499999999998</v>
      </c>
      <c r="CS34" s="72">
        <v>0.58569999999999911</v>
      </c>
      <c r="CT34" s="72">
        <v>0.88149999999999995</v>
      </c>
      <c r="CU34" s="72">
        <v>3.6877999999999935</v>
      </c>
      <c r="CV34" s="72">
        <v>5.8795500000000001</v>
      </c>
      <c r="CW34" s="72">
        <v>0.56539999999999924</v>
      </c>
      <c r="CX34" s="72">
        <v>0.83050000000000002</v>
      </c>
      <c r="CY34" s="72">
        <v>8.0178999999999938</v>
      </c>
      <c r="CZ34" s="72">
        <v>7.9464499999999987</v>
      </c>
      <c r="DA34" s="72">
        <v>3.9880999999999953</v>
      </c>
      <c r="DB34" s="72">
        <v>4.4009999999999998</v>
      </c>
      <c r="DC34" s="72">
        <v>4.6824999999999983</v>
      </c>
      <c r="DD34" s="72">
        <v>1.5504499999999999</v>
      </c>
      <c r="DE34" s="72">
        <v>0.81279999999999997</v>
      </c>
      <c r="DF34" s="72">
        <v>0.33260000000000001</v>
      </c>
      <c r="DG34" s="72">
        <v>62.189999999999785</v>
      </c>
      <c r="DH34" s="72">
        <v>23.467999999999996</v>
      </c>
      <c r="DI34" s="72">
        <v>19.931999999999999</v>
      </c>
      <c r="DJ34" s="72">
        <v>0.19850000000000001</v>
      </c>
      <c r="DK34" s="72">
        <v>14.018299999999996</v>
      </c>
      <c r="DL34" s="72">
        <v>10.909750000000001</v>
      </c>
      <c r="DM34" s="72">
        <v>4.0720000000000001</v>
      </c>
      <c r="DN34" s="72">
        <v>2.4796999999999998</v>
      </c>
    </row>
    <row r="35" spans="1:118">
      <c r="B35" s="47" t="s">
        <v>702</v>
      </c>
      <c r="C35" s="72">
        <v>5.2177204116225333</v>
      </c>
      <c r="D35" s="72">
        <v>6.6682346060279327</v>
      </c>
      <c r="E35" s="72">
        <v>5.1560336690290383</v>
      </c>
      <c r="F35" s="72">
        <v>5.1318125452904058</v>
      </c>
      <c r="G35" s="72">
        <v>0.73690616149827459</v>
      </c>
      <c r="H35" s="72">
        <v>4.0353215485262141E-2</v>
      </c>
      <c r="I35" s="72">
        <v>15.383405661152908</v>
      </c>
      <c r="J35" s="72">
        <v>13.856406460551019</v>
      </c>
      <c r="K35" s="72">
        <v>1.7690308062325977</v>
      </c>
      <c r="L35" s="72">
        <v>1.2376590806841761</v>
      </c>
      <c r="M35" s="36">
        <v>2906.5732959256561</v>
      </c>
      <c r="N35" s="36">
        <v>1098.0710359535033</v>
      </c>
      <c r="O35" s="36">
        <v>3443.9783798884173</v>
      </c>
      <c r="P35" s="36">
        <v>1367.2198067611514</v>
      </c>
      <c r="Q35" s="36">
        <v>76014.423459569342</v>
      </c>
      <c r="R35" s="36">
        <v>73672.324600218766</v>
      </c>
      <c r="S35" s="36">
        <v>702.11051884909011</v>
      </c>
      <c r="T35" s="36">
        <v>583.76707683801419</v>
      </c>
      <c r="U35" s="36">
        <v>215.69263547238728</v>
      </c>
      <c r="V35" s="36">
        <v>191.97916553626334</v>
      </c>
      <c r="W35" s="36">
        <v>11374.431641175917</v>
      </c>
      <c r="X35" s="36">
        <v>5123.456645664136</v>
      </c>
      <c r="Y35" s="36">
        <v>3063.7981151930903</v>
      </c>
      <c r="Z35" s="36">
        <v>1713.0137185673675</v>
      </c>
      <c r="AA35" s="36">
        <v>4120.55772981063</v>
      </c>
      <c r="AB35" s="36">
        <v>5254.0678526261918</v>
      </c>
      <c r="AC35" s="36">
        <v>128.05534629174048</v>
      </c>
      <c r="AD35" s="36">
        <v>136.56093877826117</v>
      </c>
      <c r="AE35" s="36">
        <v>186.51147857800294</v>
      </c>
      <c r="AF35" s="36">
        <v>167.57911564392504</v>
      </c>
      <c r="AG35" s="36">
        <v>1795.1335155093752</v>
      </c>
      <c r="AH35" s="36">
        <v>2394.8185735040556</v>
      </c>
      <c r="AI35" s="36">
        <v>52412.729950347741</v>
      </c>
      <c r="AJ35" s="36">
        <v>63835.277080936998</v>
      </c>
      <c r="AK35" s="72">
        <v>39.494544332623754</v>
      </c>
      <c r="AL35" s="72">
        <v>37.052125445107734</v>
      </c>
      <c r="AM35" s="72">
        <v>64.217351252159006</v>
      </c>
      <c r="AN35" s="72">
        <v>49.503434224304073</v>
      </c>
      <c r="AO35" s="72">
        <v>48.507983807997839</v>
      </c>
      <c r="AP35" s="72">
        <v>54.054602024249519</v>
      </c>
      <c r="AQ35" s="72">
        <v>91.192799677021881</v>
      </c>
      <c r="AR35" s="72">
        <v>117.1670602174519</v>
      </c>
      <c r="AS35" s="72">
        <v>17.609815558720701</v>
      </c>
      <c r="AT35" s="72">
        <v>20.904248372041508</v>
      </c>
      <c r="AU35" s="130">
        <v>26.370901567149783</v>
      </c>
      <c r="AV35" s="72">
        <v>6.0522723005496042</v>
      </c>
      <c r="AW35" s="72">
        <v>0.63006025238149044</v>
      </c>
      <c r="AX35" s="72">
        <v>0.8097530487747483</v>
      </c>
      <c r="AY35" s="130">
        <v>67.419525803218292</v>
      </c>
      <c r="AZ35" s="72">
        <v>40.250217390717289</v>
      </c>
      <c r="BA35" s="72">
        <v>75.794190712312144</v>
      </c>
      <c r="BB35" s="72">
        <v>34.203947140644452</v>
      </c>
      <c r="BC35" s="72">
        <v>20.783626132588179</v>
      </c>
      <c r="BD35" s="72">
        <v>31.311003129890295</v>
      </c>
      <c r="BE35" s="72">
        <v>184.93159556588046</v>
      </c>
      <c r="BF35" s="72">
        <v>254.09752064906101</v>
      </c>
      <c r="BG35" s="72">
        <v>31.0263279961409</v>
      </c>
      <c r="BH35" s="72">
        <v>49.857605237315603</v>
      </c>
      <c r="BI35" s="72">
        <v>2.1610998752736887</v>
      </c>
      <c r="BJ35" s="72">
        <v>2.7522717889045767</v>
      </c>
      <c r="BK35" s="72">
        <v>0.12042428807641245</v>
      </c>
      <c r="BL35" s="72">
        <v>7.8230428862431783E-2</v>
      </c>
      <c r="BM35" s="72">
        <v>0.14963521850622552</v>
      </c>
      <c r="BN35" s="72">
        <v>0.18395651660107071</v>
      </c>
      <c r="BO35" s="72">
        <v>2.1304074306019292</v>
      </c>
      <c r="BP35" s="72">
        <v>2.414953415699773</v>
      </c>
      <c r="BQ35" s="72">
        <v>0.71591454969048318</v>
      </c>
      <c r="BR35" s="72">
        <v>0.50357422491624804</v>
      </c>
      <c r="BS35" s="72">
        <v>2.5324040515356852</v>
      </c>
      <c r="BT35" s="72">
        <v>2.3455148688507603</v>
      </c>
      <c r="BU35" s="72">
        <v>455.30444414198161</v>
      </c>
      <c r="BV35" s="72">
        <v>228.26655471181056</v>
      </c>
      <c r="BW35" s="72">
        <v>40.773909644793079</v>
      </c>
      <c r="BX35" s="72">
        <v>48.41350637993493</v>
      </c>
      <c r="BY35" s="72">
        <v>102.46026678366363</v>
      </c>
      <c r="BZ35" s="72">
        <v>77.114136187861178</v>
      </c>
      <c r="CA35" s="72">
        <v>8.3396804466227721</v>
      </c>
      <c r="CB35" s="72">
        <v>10.007396564541649</v>
      </c>
      <c r="CC35" s="72">
        <v>31.293165983175001</v>
      </c>
      <c r="CD35" s="72">
        <v>37.385494513246712</v>
      </c>
      <c r="CE35" s="72">
        <v>5.6829103076408396</v>
      </c>
      <c r="CF35" s="72">
        <v>6.8885450568316671</v>
      </c>
      <c r="CG35" s="72">
        <v>1.1873576934601744</v>
      </c>
      <c r="CH35" s="72">
        <v>1.4012280328340567</v>
      </c>
      <c r="CI35" s="72">
        <v>4.5077855358033485</v>
      </c>
      <c r="CJ35" s="72">
        <v>6.6274228022663531</v>
      </c>
      <c r="CK35" s="72">
        <v>0.68545433800558531</v>
      </c>
      <c r="CL35" s="72">
        <v>0.96342513980070088</v>
      </c>
      <c r="CM35" s="72">
        <v>3.8609720457261365</v>
      </c>
      <c r="CN35" s="72">
        <v>6.262047588449005</v>
      </c>
      <c r="CO35" s="72">
        <v>0.78058410789533705</v>
      </c>
      <c r="CP35" s="72">
        <v>1.2130144269546013</v>
      </c>
      <c r="CQ35" s="72">
        <v>2.1953019980664319</v>
      </c>
      <c r="CR35" s="72">
        <v>3.3966265617521154</v>
      </c>
      <c r="CS35" s="72">
        <v>0.33040675627189064</v>
      </c>
      <c r="CT35" s="72">
        <v>0.49121889214483599</v>
      </c>
      <c r="CU35" s="72">
        <v>2.0703550593563835</v>
      </c>
      <c r="CV35" s="72">
        <v>3.2470666762479641</v>
      </c>
      <c r="CW35" s="72">
        <v>0.31166536165461389</v>
      </c>
      <c r="CX35" s="72">
        <v>0.46487740319357318</v>
      </c>
      <c r="CY35" s="72">
        <v>4.8846376725956411</v>
      </c>
      <c r="CZ35" s="72">
        <v>5.9456639662866921</v>
      </c>
      <c r="DA35" s="72">
        <v>1.7721038231374526</v>
      </c>
      <c r="DB35" s="72">
        <v>2.5755651806933564</v>
      </c>
      <c r="DC35" s="72">
        <v>2.1720130729017058</v>
      </c>
      <c r="DD35" s="72">
        <v>1.113992818648307</v>
      </c>
      <c r="DE35" s="72">
        <v>0.47733173817042102</v>
      </c>
      <c r="DF35" s="72">
        <v>0.28967740678209614</v>
      </c>
      <c r="DG35" s="72">
        <v>24.775787073917822</v>
      </c>
      <c r="DH35" s="72">
        <v>16.48392247009188</v>
      </c>
      <c r="DI35" s="72">
        <v>0.53793325241099388</v>
      </c>
      <c r="DJ35" s="72">
        <v>0.18439088914585774</v>
      </c>
      <c r="DK35" s="72">
        <v>8.7831687716332389</v>
      </c>
      <c r="DL35" s="72">
        <v>8.6515461045988769</v>
      </c>
      <c r="DM35" s="72">
        <v>2.4781952233926585</v>
      </c>
      <c r="DN35" s="72">
        <v>2.0671465840621948</v>
      </c>
    </row>
    <row r="36" spans="1:118">
      <c r="B36" s="47" t="s">
        <v>703</v>
      </c>
      <c r="C36" s="72">
        <v>5.6726552442295377</v>
      </c>
      <c r="D36" s="72">
        <v>7.5135614727945219</v>
      </c>
      <c r="E36" s="72">
        <v>5.2088888888888896</v>
      </c>
      <c r="F36" s="72">
        <v>5.14</v>
      </c>
      <c r="G36" s="72">
        <v>3.0650747222222221</v>
      </c>
      <c r="H36" s="72">
        <v>4.0405000000000003E-2</v>
      </c>
      <c r="I36" s="72">
        <v>16.426315789473684</v>
      </c>
      <c r="J36" s="72">
        <v>16</v>
      </c>
      <c r="K36" s="72">
        <v>1.851578947368421</v>
      </c>
      <c r="L36" s="72">
        <v>1.4049999999999998</v>
      </c>
      <c r="M36" s="36">
        <v>5837.6842105263158</v>
      </c>
      <c r="N36" s="36">
        <v>1169</v>
      </c>
      <c r="O36" s="36">
        <v>5114.894736842105</v>
      </c>
      <c r="P36" s="36">
        <v>1408.5</v>
      </c>
      <c r="Q36" s="36">
        <v>77097.368421052626</v>
      </c>
      <c r="R36" s="36">
        <v>75918.5</v>
      </c>
      <c r="S36" s="36">
        <v>769.89473684210532</v>
      </c>
      <c r="T36" s="36">
        <v>597</v>
      </c>
      <c r="U36" s="36">
        <v>246</v>
      </c>
      <c r="V36" s="36">
        <v>203.5</v>
      </c>
      <c r="W36" s="36">
        <v>12361.526315789473</v>
      </c>
      <c r="X36" s="36">
        <v>6193</v>
      </c>
      <c r="Y36" s="36">
        <v>4585.5</v>
      </c>
      <c r="Z36" s="36">
        <v>1725</v>
      </c>
      <c r="AA36" s="36">
        <v>4417.1263157894737</v>
      </c>
      <c r="AB36" s="36">
        <v>6535</v>
      </c>
      <c r="AC36" s="36">
        <v>137.96315789473684</v>
      </c>
      <c r="AD36" s="36">
        <v>151.5</v>
      </c>
      <c r="AE36" s="36">
        <v>244.68421052631578</v>
      </c>
      <c r="AF36" s="36">
        <v>172.75</v>
      </c>
      <c r="AG36" s="36">
        <v>2074.4210526315787</v>
      </c>
      <c r="AH36" s="36">
        <v>2430</v>
      </c>
      <c r="AI36" s="36">
        <v>57203.894736842107</v>
      </c>
      <c r="AJ36" s="36">
        <v>68749.5</v>
      </c>
      <c r="AK36" s="72">
        <v>44.04768421052632</v>
      </c>
      <c r="AL36" s="72"/>
      <c r="AM36" s="72">
        <v>89.955263157894748</v>
      </c>
      <c r="AN36" s="72">
        <v>59</v>
      </c>
      <c r="AO36" s="72">
        <v>59.135789473684206</v>
      </c>
      <c r="AP36" s="72">
        <v>63.15</v>
      </c>
      <c r="AQ36" s="72">
        <v>102.3578947368421</v>
      </c>
      <c r="AR36" s="72">
        <v>117.35</v>
      </c>
      <c r="AS36" s="72">
        <v>18.023684210526316</v>
      </c>
      <c r="AT36" s="72">
        <v>21.425000000000001</v>
      </c>
      <c r="AU36" s="130">
        <v>92.384210526315798</v>
      </c>
      <c r="AV36" s="72">
        <v>7.1999999999999993</v>
      </c>
      <c r="AW36" s="72">
        <v>0.7305263157894738</v>
      </c>
      <c r="AX36" s="72">
        <v>0.81</v>
      </c>
      <c r="AY36" s="130">
        <v>69.10052631578948</v>
      </c>
      <c r="AZ36" s="72">
        <v>41.7</v>
      </c>
      <c r="BA36" s="72">
        <v>125.44473684210526</v>
      </c>
      <c r="BB36" s="72">
        <v>40.4</v>
      </c>
      <c r="BC36" s="72">
        <v>23.251736842105267</v>
      </c>
      <c r="BD36" s="72">
        <v>39.388999999999996</v>
      </c>
      <c r="BE36" s="72">
        <v>209.22947368421055</v>
      </c>
      <c r="BF36" s="72">
        <v>269.8</v>
      </c>
      <c r="BG36" s="72">
        <v>38.664315789473683</v>
      </c>
      <c r="BH36" s="72">
        <v>56.68</v>
      </c>
      <c r="BI36" s="72">
        <v>2.581578947368421</v>
      </c>
      <c r="BJ36" s="72">
        <v>2.7649999999999997</v>
      </c>
      <c r="BK36" s="72">
        <v>0.1676842105263158</v>
      </c>
      <c r="BL36" s="72">
        <v>7.85E-2</v>
      </c>
      <c r="BM36" s="72">
        <v>0.21736842105263163</v>
      </c>
      <c r="BN36" s="72">
        <v>0.184</v>
      </c>
      <c r="BO36" s="72">
        <v>2.2821052631578951</v>
      </c>
      <c r="BP36" s="72">
        <v>2.6100000000000003</v>
      </c>
      <c r="BQ36" s="72">
        <v>0.98726315789473684</v>
      </c>
      <c r="BR36" s="72">
        <v>0.51400000000000001</v>
      </c>
      <c r="BS36" s="72">
        <v>2.7349473684210523</v>
      </c>
      <c r="BT36" s="72">
        <v>2.431</v>
      </c>
      <c r="BU36" s="72">
        <v>495.77473684210526</v>
      </c>
      <c r="BV36" s="72">
        <v>253.15</v>
      </c>
      <c r="BW36" s="72">
        <v>44.213684210526324</v>
      </c>
      <c r="BX36" s="72">
        <v>52.9</v>
      </c>
      <c r="BY36" s="72">
        <v>108.1548947368421</v>
      </c>
      <c r="BZ36" s="72">
        <v>77.115000000000009</v>
      </c>
      <c r="CA36" s="72">
        <v>8.9516315789473673</v>
      </c>
      <c r="CB36" s="72">
        <v>10.8225</v>
      </c>
      <c r="CC36" s="72">
        <v>33.461578947368423</v>
      </c>
      <c r="CD36" s="72">
        <v>40.435000000000002</v>
      </c>
      <c r="CE36" s="72">
        <v>6.0743684210526325</v>
      </c>
      <c r="CF36" s="72">
        <v>7.6269999999999998</v>
      </c>
      <c r="CG36" s="72">
        <v>1.2395789473684211</v>
      </c>
      <c r="CH36" s="72">
        <v>1.5345</v>
      </c>
      <c r="CI36" s="72">
        <v>4.9315789473684211</v>
      </c>
      <c r="CJ36" s="72">
        <v>7.7029999999999994</v>
      </c>
      <c r="CK36" s="72">
        <v>0.75373684210526304</v>
      </c>
      <c r="CL36" s="72">
        <v>1.1395</v>
      </c>
      <c r="CM36" s="72">
        <v>4.3392631578947372</v>
      </c>
      <c r="CN36" s="72">
        <v>7.5215000000000005</v>
      </c>
      <c r="CO36" s="72">
        <v>0.87742105263157888</v>
      </c>
      <c r="CP36" s="72">
        <v>1.4855</v>
      </c>
      <c r="CQ36" s="72">
        <v>2.4704736842105266</v>
      </c>
      <c r="CR36" s="72">
        <v>4.1534999999999993</v>
      </c>
      <c r="CS36" s="72">
        <v>0.36989473684210528</v>
      </c>
      <c r="CT36" s="72">
        <v>0.58899999999999997</v>
      </c>
      <c r="CU36" s="72">
        <v>2.3301052631578947</v>
      </c>
      <c r="CV36" s="72">
        <v>3.9135</v>
      </c>
      <c r="CW36" s="72">
        <v>0.34863157894736846</v>
      </c>
      <c r="CX36" s="72">
        <v>0.55600000000000005</v>
      </c>
      <c r="CY36" s="72">
        <v>5.3624210526315776</v>
      </c>
      <c r="CZ36" s="72">
        <v>6.240499999999999</v>
      </c>
      <c r="DA36" s="72">
        <v>2.1592631578947366</v>
      </c>
      <c r="DB36" s="72">
        <v>3.0060000000000002</v>
      </c>
      <c r="DC36" s="72">
        <v>2.5513157894736844</v>
      </c>
      <c r="DD36" s="72">
        <v>1.1855</v>
      </c>
      <c r="DE36" s="72">
        <v>0.50599999999999989</v>
      </c>
      <c r="DF36" s="72">
        <v>0.29300000000000004</v>
      </c>
      <c r="DG36" s="72">
        <v>31.267894736842102</v>
      </c>
      <c r="DH36" s="72">
        <v>17.689999999999998</v>
      </c>
      <c r="DI36" s="72">
        <v>2.5005263157894735</v>
      </c>
      <c r="DJ36" s="72">
        <v>0.185</v>
      </c>
      <c r="DK36" s="72">
        <v>9.3359999999999985</v>
      </c>
      <c r="DL36" s="72"/>
      <c r="DM36" s="72">
        <v>2.6022631578947366</v>
      </c>
      <c r="DN36" s="72">
        <v>2.1080000000000001</v>
      </c>
    </row>
    <row r="37" spans="1:118">
      <c r="C37" s="72"/>
      <c r="D37" s="72"/>
      <c r="E37" s="72"/>
      <c r="F37" s="72"/>
      <c r="G37" s="72"/>
      <c r="H37" s="72"/>
      <c r="I37" s="72"/>
      <c r="J37" s="72"/>
      <c r="K37" s="72"/>
      <c r="L37" s="72"/>
      <c r="M37" s="36"/>
      <c r="N37" s="36"/>
      <c r="O37" s="36"/>
      <c r="P37" s="36"/>
      <c r="Q37" s="36"/>
      <c r="R37" s="36"/>
      <c r="S37" s="36"/>
      <c r="T37" s="36"/>
      <c r="U37" s="36"/>
      <c r="V37" s="36"/>
      <c r="W37" s="36"/>
      <c r="X37" s="36"/>
      <c r="Y37" s="36"/>
      <c r="Z37" s="36"/>
      <c r="AA37" s="36"/>
      <c r="AB37" s="36"/>
      <c r="AC37" s="36"/>
      <c r="AD37" s="36"/>
      <c r="AE37" s="36"/>
      <c r="AF37" s="36"/>
      <c r="AG37" s="36"/>
      <c r="AH37" s="36"/>
      <c r="AI37" s="36"/>
      <c r="AJ37" s="36"/>
      <c r="AK37" s="72"/>
      <c r="AL37" s="72"/>
      <c r="AM37" s="72"/>
      <c r="AN37" s="72"/>
      <c r="AO37" s="72"/>
      <c r="AP37" s="72"/>
      <c r="AQ37" s="72"/>
      <c r="AR37" s="72"/>
      <c r="AS37" s="72"/>
      <c r="AT37" s="72"/>
      <c r="AU37" s="130"/>
      <c r="AV37" s="72"/>
      <c r="AW37" s="72"/>
      <c r="AX37" s="72"/>
      <c r="AY37" s="130"/>
      <c r="AZ37" s="72"/>
      <c r="BA37" s="72"/>
      <c r="BB37" s="72"/>
      <c r="BC37" s="72"/>
      <c r="BD37" s="72"/>
      <c r="BE37" s="72"/>
      <c r="BF37" s="72"/>
      <c r="BG37" s="72"/>
      <c r="BH37" s="72"/>
      <c r="BI37" s="72"/>
      <c r="BJ37" s="72"/>
      <c r="BK37" s="72"/>
      <c r="BL37" s="72"/>
      <c r="BM37" s="72"/>
      <c r="BN37" s="72"/>
      <c r="BO37" s="72"/>
      <c r="BP37" s="72"/>
      <c r="BQ37" s="72"/>
      <c r="BR37" s="72"/>
      <c r="BS37" s="72"/>
      <c r="BT37" s="72"/>
      <c r="BU37" s="72"/>
      <c r="BV37" s="72"/>
      <c r="BW37" s="72"/>
      <c r="BX37" s="72"/>
      <c r="BY37" s="72"/>
      <c r="BZ37" s="72"/>
      <c r="CA37" s="72"/>
      <c r="CB37" s="72"/>
      <c r="CC37" s="72"/>
      <c r="CD37" s="72"/>
      <c r="CE37" s="72"/>
      <c r="CF37" s="72"/>
      <c r="CG37" s="72"/>
      <c r="CH37" s="72"/>
      <c r="CI37" s="72"/>
      <c r="CJ37" s="72"/>
      <c r="CK37" s="72"/>
      <c r="CL37" s="72"/>
      <c r="CM37" s="72"/>
      <c r="CN37" s="72"/>
      <c r="CO37" s="72"/>
      <c r="CP37" s="72"/>
      <c r="CQ37" s="72"/>
      <c r="CR37" s="72"/>
      <c r="CS37" s="72"/>
      <c r="CT37" s="72"/>
      <c r="CU37" s="72"/>
      <c r="CV37" s="72"/>
      <c r="CW37" s="72"/>
      <c r="CX37" s="72"/>
      <c r="CY37" s="72"/>
      <c r="CZ37" s="72"/>
      <c r="DA37" s="72"/>
      <c r="DB37" s="72"/>
      <c r="DC37" s="72"/>
      <c r="DD37" s="72"/>
      <c r="DE37" s="72"/>
      <c r="DF37" s="72"/>
      <c r="DG37" s="72"/>
      <c r="DH37" s="72"/>
      <c r="DI37" s="72"/>
      <c r="DJ37" s="72"/>
      <c r="DK37" s="72"/>
      <c r="DL37" s="72"/>
      <c r="DM37" s="72"/>
      <c r="DN37" s="72"/>
    </row>
    <row r="38" spans="1:118">
      <c r="A38" s="25" t="s">
        <v>709</v>
      </c>
      <c r="B38" s="47" t="s">
        <v>697</v>
      </c>
      <c r="C38" s="72">
        <v>0.79406001856242359</v>
      </c>
      <c r="D38" s="72" t="s">
        <v>288</v>
      </c>
      <c r="E38" s="72">
        <v>5.93</v>
      </c>
      <c r="F38" s="72" t="s">
        <v>288</v>
      </c>
      <c r="G38" s="72">
        <v>0.27227999999999997</v>
      </c>
      <c r="H38" s="72" t="s">
        <v>288</v>
      </c>
      <c r="I38" s="72">
        <v>10.4</v>
      </c>
      <c r="J38" s="72" t="s">
        <v>288</v>
      </c>
      <c r="K38" s="72">
        <v>0.73</v>
      </c>
      <c r="L38" s="72" t="s">
        <v>288</v>
      </c>
      <c r="M38" s="36">
        <v>1590</v>
      </c>
      <c r="N38" s="36" t="s">
        <v>288</v>
      </c>
      <c r="O38" s="36">
        <v>1449</v>
      </c>
      <c r="P38" s="36" t="s">
        <v>288</v>
      </c>
      <c r="Q38" s="36">
        <v>53281</v>
      </c>
      <c r="R38" s="36" t="s">
        <v>288</v>
      </c>
      <c r="S38" s="36">
        <v>449</v>
      </c>
      <c r="T38" s="36" t="s">
        <v>288</v>
      </c>
      <c r="U38" s="36">
        <v>370</v>
      </c>
      <c r="V38" s="36" t="s">
        <v>288</v>
      </c>
      <c r="W38" s="36">
        <v>11893</v>
      </c>
      <c r="X38" s="36" t="s">
        <v>288</v>
      </c>
      <c r="Y38" s="36">
        <v>10479</v>
      </c>
      <c r="Z38" s="36" t="s">
        <v>288</v>
      </c>
      <c r="AA38" s="36">
        <v>1675.2</v>
      </c>
      <c r="AB38" s="36" t="s">
        <v>288</v>
      </c>
      <c r="AC38" s="36">
        <v>100.1</v>
      </c>
      <c r="AD38" s="36" t="s">
        <v>288</v>
      </c>
      <c r="AE38" s="36">
        <v>128.6</v>
      </c>
      <c r="AF38" s="36" t="s">
        <v>288</v>
      </c>
      <c r="AG38" s="36">
        <v>628.1</v>
      </c>
      <c r="AH38" s="36" t="s">
        <v>288</v>
      </c>
      <c r="AI38" s="36">
        <v>39754</v>
      </c>
      <c r="AJ38" s="36" t="s">
        <v>288</v>
      </c>
      <c r="AK38" s="72">
        <v>24.777999999999999</v>
      </c>
      <c r="AL38" s="72" t="s">
        <v>288</v>
      </c>
      <c r="AM38" s="72">
        <v>49.89</v>
      </c>
      <c r="AN38" s="72" t="s">
        <v>288</v>
      </c>
      <c r="AO38" s="72">
        <v>58.8</v>
      </c>
      <c r="AP38" s="72" t="s">
        <v>288</v>
      </c>
      <c r="AQ38" s="72">
        <v>109</v>
      </c>
      <c r="AR38" s="72" t="s">
        <v>288</v>
      </c>
      <c r="AS38" s="72">
        <v>11.47</v>
      </c>
      <c r="AT38" s="72" t="s">
        <v>288</v>
      </c>
      <c r="AU38" s="130">
        <v>19.7</v>
      </c>
      <c r="AV38" s="72" t="s">
        <v>288</v>
      </c>
      <c r="AW38" s="72">
        <v>0.39</v>
      </c>
      <c r="AX38" s="72" t="s">
        <v>288</v>
      </c>
      <c r="AY38" s="130">
        <v>41.18</v>
      </c>
      <c r="AZ38" s="72" t="s">
        <v>288</v>
      </c>
      <c r="BA38" s="72">
        <v>54.5</v>
      </c>
      <c r="BB38" s="72" t="s">
        <v>288</v>
      </c>
      <c r="BC38" s="72">
        <v>9.8919999999999995</v>
      </c>
      <c r="BD38" s="72" t="s">
        <v>288</v>
      </c>
      <c r="BE38" s="72">
        <v>43.17</v>
      </c>
      <c r="BF38" s="72" t="s">
        <v>288</v>
      </c>
      <c r="BG38" s="72">
        <v>3.3119999999999998</v>
      </c>
      <c r="BH38" s="72" t="s">
        <v>288</v>
      </c>
      <c r="BI38" s="72">
        <v>2.0699999999999998</v>
      </c>
      <c r="BJ38" s="72" t="s">
        <v>288</v>
      </c>
      <c r="BK38" s="72">
        <v>7.2999999999999995E-2</v>
      </c>
      <c r="BL38" s="72" t="s">
        <v>288</v>
      </c>
      <c r="BM38" s="72">
        <v>0.14099999999999999</v>
      </c>
      <c r="BN38" s="72" t="s">
        <v>288</v>
      </c>
      <c r="BO38" s="72">
        <v>1.04</v>
      </c>
      <c r="BP38" s="72" t="s">
        <v>288</v>
      </c>
      <c r="BQ38" s="72">
        <v>0.48</v>
      </c>
      <c r="BR38" s="72" t="s">
        <v>288</v>
      </c>
      <c r="BS38" s="72">
        <v>1.84</v>
      </c>
      <c r="BT38" s="72" t="s">
        <v>288</v>
      </c>
      <c r="BU38" s="72">
        <v>424.17</v>
      </c>
      <c r="BV38" s="72" t="s">
        <v>288</v>
      </c>
      <c r="BW38" s="72">
        <v>18.213999999999999</v>
      </c>
      <c r="BX38" s="72" t="s">
        <v>288</v>
      </c>
      <c r="BY38" s="72">
        <v>36.99</v>
      </c>
      <c r="BZ38" s="72" t="s">
        <v>288</v>
      </c>
      <c r="CA38" s="72">
        <v>4.4740000000000002</v>
      </c>
      <c r="CB38" s="72" t="s">
        <v>288</v>
      </c>
      <c r="CC38" s="72">
        <v>18.18</v>
      </c>
      <c r="CD38" s="72" t="s">
        <v>288</v>
      </c>
      <c r="CE38" s="72">
        <v>3.5219999999999998</v>
      </c>
      <c r="CF38" s="72" t="s">
        <v>288</v>
      </c>
      <c r="CG38" s="72">
        <v>0.79200000000000004</v>
      </c>
      <c r="CH38" s="72" t="s">
        <v>288</v>
      </c>
      <c r="CI38" s="72">
        <v>2.5489999999999999</v>
      </c>
      <c r="CJ38" s="72" t="s">
        <v>288</v>
      </c>
      <c r="CK38" s="72">
        <v>0.34699999999999998</v>
      </c>
      <c r="CL38" s="72" t="s">
        <v>288</v>
      </c>
      <c r="CM38" s="72">
        <v>1.865</v>
      </c>
      <c r="CN38" s="72" t="s">
        <v>288</v>
      </c>
      <c r="CO38" s="72">
        <v>0.371</v>
      </c>
      <c r="CP38" s="72" t="s">
        <v>288</v>
      </c>
      <c r="CQ38" s="72">
        <v>1.0369999999999999</v>
      </c>
      <c r="CR38" s="72" t="s">
        <v>288</v>
      </c>
      <c r="CS38" s="72">
        <v>0.155</v>
      </c>
      <c r="CT38" s="72" t="s">
        <v>288</v>
      </c>
      <c r="CU38" s="72">
        <v>0.93400000000000005</v>
      </c>
      <c r="CV38" s="72" t="s">
        <v>288</v>
      </c>
      <c r="CW38" s="72">
        <v>0.14199999999999999</v>
      </c>
      <c r="CX38" s="72" t="s">
        <v>288</v>
      </c>
      <c r="CY38" s="72">
        <v>1.31</v>
      </c>
      <c r="CZ38" s="72" t="s">
        <v>288</v>
      </c>
      <c r="DA38" s="72">
        <v>0.19800000000000001</v>
      </c>
      <c r="DB38" s="72" t="s">
        <v>288</v>
      </c>
      <c r="DC38" s="72">
        <v>9.8800000000000008</v>
      </c>
      <c r="DD38" s="72" t="s">
        <v>288</v>
      </c>
      <c r="DE38" s="72">
        <v>0.20200000000000001</v>
      </c>
      <c r="DF38" s="72" t="s">
        <v>288</v>
      </c>
      <c r="DG38" s="72">
        <v>39</v>
      </c>
      <c r="DH38" s="72" t="s">
        <v>288</v>
      </c>
      <c r="DI38" s="72">
        <v>0.74</v>
      </c>
      <c r="DJ38" s="72" t="s">
        <v>288</v>
      </c>
      <c r="DK38" s="72">
        <v>2.831</v>
      </c>
      <c r="DL38" s="72" t="s">
        <v>288</v>
      </c>
      <c r="DM38" s="72">
        <v>0.82799999999999996</v>
      </c>
      <c r="DN38" s="72" t="s">
        <v>288</v>
      </c>
    </row>
    <row r="39" spans="1:118">
      <c r="B39" s="47" t="s">
        <v>698</v>
      </c>
      <c r="C39" s="72">
        <v>4.2531120331946966</v>
      </c>
      <c r="D39" s="72" t="s">
        <v>288</v>
      </c>
      <c r="E39" s="72">
        <v>8.67</v>
      </c>
      <c r="F39" s="72" t="s">
        <v>288</v>
      </c>
      <c r="G39" s="72">
        <v>7.8705299999999996</v>
      </c>
      <c r="H39" s="72" t="s">
        <v>288</v>
      </c>
      <c r="I39" s="72">
        <v>23.7</v>
      </c>
      <c r="J39" s="72" t="s">
        <v>288</v>
      </c>
      <c r="K39" s="72">
        <v>2.4700000000000002</v>
      </c>
      <c r="L39" s="72" t="s">
        <v>288</v>
      </c>
      <c r="M39" s="36">
        <v>17178</v>
      </c>
      <c r="N39" s="36" t="s">
        <v>288</v>
      </c>
      <c r="O39" s="36">
        <v>20696</v>
      </c>
      <c r="P39" s="36" t="s">
        <v>288</v>
      </c>
      <c r="Q39" s="36">
        <v>69175</v>
      </c>
      <c r="R39" s="36" t="s">
        <v>288</v>
      </c>
      <c r="S39" s="36">
        <v>779</v>
      </c>
      <c r="T39" s="36" t="s">
        <v>288</v>
      </c>
      <c r="U39" s="36">
        <v>9501</v>
      </c>
      <c r="V39" s="36" t="s">
        <v>288</v>
      </c>
      <c r="W39" s="36">
        <v>18551</v>
      </c>
      <c r="X39" s="36" t="s">
        <v>288</v>
      </c>
      <c r="Y39" s="36">
        <v>32995</v>
      </c>
      <c r="Z39" s="36" t="s">
        <v>288</v>
      </c>
      <c r="AA39" s="36">
        <v>2823</v>
      </c>
      <c r="AB39" s="36" t="s">
        <v>288</v>
      </c>
      <c r="AC39" s="36">
        <v>309.2</v>
      </c>
      <c r="AD39" s="36" t="s">
        <v>288</v>
      </c>
      <c r="AE39" s="36">
        <v>387.2</v>
      </c>
      <c r="AF39" s="36" t="s">
        <v>288</v>
      </c>
      <c r="AG39" s="36">
        <v>4042.9</v>
      </c>
      <c r="AH39" s="36" t="s">
        <v>288</v>
      </c>
      <c r="AI39" s="36">
        <v>132612</v>
      </c>
      <c r="AJ39" s="36" t="s">
        <v>288</v>
      </c>
      <c r="AK39" s="72">
        <v>68.06</v>
      </c>
      <c r="AL39" s="72" t="s">
        <v>288</v>
      </c>
      <c r="AM39" s="72">
        <v>82.46</v>
      </c>
      <c r="AN39" s="72" t="s">
        <v>288</v>
      </c>
      <c r="AO39" s="72">
        <v>499.22</v>
      </c>
      <c r="AP39" s="72" t="s">
        <v>288</v>
      </c>
      <c r="AQ39" s="72">
        <v>637.20000000000005</v>
      </c>
      <c r="AR39" s="72" t="s">
        <v>288</v>
      </c>
      <c r="AS39" s="72">
        <v>17.899999999999999</v>
      </c>
      <c r="AT39" s="72" t="s">
        <v>288</v>
      </c>
      <c r="AU39" s="130">
        <v>3694.8</v>
      </c>
      <c r="AV39" s="72" t="s">
        <v>288</v>
      </c>
      <c r="AW39" s="72">
        <v>3.5</v>
      </c>
      <c r="AX39" s="72" t="s">
        <v>288</v>
      </c>
      <c r="AY39" s="130">
        <v>70.53</v>
      </c>
      <c r="AZ39" s="72" t="s">
        <v>288</v>
      </c>
      <c r="BA39" s="72">
        <v>396.88</v>
      </c>
      <c r="BB39" s="72" t="s">
        <v>288</v>
      </c>
      <c r="BC39" s="72">
        <v>22.370999999999999</v>
      </c>
      <c r="BD39" s="72" t="s">
        <v>288</v>
      </c>
      <c r="BE39" s="72">
        <v>151.03</v>
      </c>
      <c r="BF39" s="72" t="s">
        <v>288</v>
      </c>
      <c r="BG39" s="72">
        <v>23.492999999999999</v>
      </c>
      <c r="BH39" s="72" t="s">
        <v>288</v>
      </c>
      <c r="BI39" s="72">
        <v>20.34</v>
      </c>
      <c r="BJ39" s="72" t="s">
        <v>288</v>
      </c>
      <c r="BK39" s="72">
        <v>1.042</v>
      </c>
      <c r="BL39" s="72" t="s">
        <v>288</v>
      </c>
      <c r="BM39" s="72">
        <v>5.0279999999999996</v>
      </c>
      <c r="BN39" s="72" t="s">
        <v>288</v>
      </c>
      <c r="BO39" s="72">
        <v>1.91</v>
      </c>
      <c r="BP39" s="72" t="s">
        <v>288</v>
      </c>
      <c r="BQ39" s="72">
        <v>19.510999999999999</v>
      </c>
      <c r="BR39" s="72" t="s">
        <v>288</v>
      </c>
      <c r="BS39" s="72">
        <v>4.2140000000000004</v>
      </c>
      <c r="BT39" s="72" t="s">
        <v>288</v>
      </c>
      <c r="BU39" s="72">
        <v>626.55999999999995</v>
      </c>
      <c r="BV39" s="72" t="s">
        <v>288</v>
      </c>
      <c r="BW39" s="72">
        <v>42.048999999999999</v>
      </c>
      <c r="BX39" s="72" t="s">
        <v>288</v>
      </c>
      <c r="BY39" s="72">
        <v>165.55500000000001</v>
      </c>
      <c r="BZ39" s="72" t="s">
        <v>288</v>
      </c>
      <c r="CA39" s="72">
        <v>7.5270000000000001</v>
      </c>
      <c r="CB39" s="72" t="s">
        <v>288</v>
      </c>
      <c r="CC39" s="72">
        <v>27.47</v>
      </c>
      <c r="CD39" s="72" t="s">
        <v>288</v>
      </c>
      <c r="CE39" s="72">
        <v>5.4569999999999999</v>
      </c>
      <c r="CF39" s="72" t="s">
        <v>288</v>
      </c>
      <c r="CG39" s="72">
        <v>1.2410000000000001</v>
      </c>
      <c r="CH39" s="72" t="s">
        <v>288</v>
      </c>
      <c r="CI39" s="72">
        <v>4.7469999999999999</v>
      </c>
      <c r="CJ39" s="72" t="s">
        <v>288</v>
      </c>
      <c r="CK39" s="72">
        <v>0.75900000000000001</v>
      </c>
      <c r="CL39" s="72" t="s">
        <v>288</v>
      </c>
      <c r="CM39" s="72">
        <v>4.5</v>
      </c>
      <c r="CN39" s="72" t="s">
        <v>288</v>
      </c>
      <c r="CO39" s="72">
        <v>0.88200000000000001</v>
      </c>
      <c r="CP39" s="72" t="s">
        <v>288</v>
      </c>
      <c r="CQ39" s="72">
        <v>2.4550000000000001</v>
      </c>
      <c r="CR39" s="72" t="s">
        <v>288</v>
      </c>
      <c r="CS39" s="72">
        <v>0.38600000000000001</v>
      </c>
      <c r="CT39" s="72" t="s">
        <v>288</v>
      </c>
      <c r="CU39" s="72">
        <v>2.4329999999999998</v>
      </c>
      <c r="CV39" s="72" t="s">
        <v>288</v>
      </c>
      <c r="CW39" s="72">
        <v>0.37</v>
      </c>
      <c r="CX39" s="72" t="s">
        <v>288</v>
      </c>
      <c r="CY39" s="72">
        <v>3.6429999999999998</v>
      </c>
      <c r="CZ39" s="72" t="s">
        <v>288</v>
      </c>
      <c r="DA39" s="72">
        <v>1.244</v>
      </c>
      <c r="DB39" s="72" t="s">
        <v>288</v>
      </c>
      <c r="DC39" s="72">
        <v>29.606000000000002</v>
      </c>
      <c r="DD39" s="72" t="s">
        <v>288</v>
      </c>
      <c r="DE39" s="72">
        <v>1.6180000000000001</v>
      </c>
      <c r="DF39" s="72" t="s">
        <v>288</v>
      </c>
      <c r="DG39" s="72">
        <v>204.5</v>
      </c>
      <c r="DH39" s="72" t="s">
        <v>288</v>
      </c>
      <c r="DI39" s="72">
        <v>44.1</v>
      </c>
      <c r="DJ39" s="72" t="s">
        <v>288</v>
      </c>
      <c r="DK39" s="72">
        <v>6.0430000000000001</v>
      </c>
      <c r="DL39" s="72" t="s">
        <v>288</v>
      </c>
      <c r="DM39" s="72">
        <v>2.9489999999999998</v>
      </c>
      <c r="DN39" s="72" t="s">
        <v>288</v>
      </c>
    </row>
    <row r="40" spans="1:118">
      <c r="B40" s="47" t="s">
        <v>699</v>
      </c>
      <c r="C40" s="72">
        <v>1.1382354589454247</v>
      </c>
      <c r="D40" s="72" t="s">
        <v>288</v>
      </c>
      <c r="E40" s="72">
        <v>7.76</v>
      </c>
      <c r="F40" s="72" t="s">
        <v>288</v>
      </c>
      <c r="G40" s="72">
        <v>1.9285824999999999</v>
      </c>
      <c r="H40" s="72" t="s">
        <v>288</v>
      </c>
      <c r="I40" s="72">
        <v>13.5</v>
      </c>
      <c r="J40" s="72" t="s">
        <v>288</v>
      </c>
      <c r="K40" s="72">
        <v>0.96</v>
      </c>
      <c r="L40" s="72" t="s">
        <v>288</v>
      </c>
      <c r="M40" s="36">
        <v>7606</v>
      </c>
      <c r="N40" s="36" t="s">
        <v>288</v>
      </c>
      <c r="O40" s="36">
        <v>6950.25</v>
      </c>
      <c r="P40" s="36" t="s">
        <v>288</v>
      </c>
      <c r="Q40" s="36">
        <v>55913.5</v>
      </c>
      <c r="R40" s="36" t="s">
        <v>288</v>
      </c>
      <c r="S40" s="36">
        <v>563</v>
      </c>
      <c r="T40" s="36" t="s">
        <v>288</v>
      </c>
      <c r="U40" s="36">
        <v>1506.75</v>
      </c>
      <c r="V40" s="36" t="s">
        <v>288</v>
      </c>
      <c r="W40" s="36">
        <v>12479.5</v>
      </c>
      <c r="X40" s="36" t="s">
        <v>288</v>
      </c>
      <c r="Y40" s="36">
        <v>22373</v>
      </c>
      <c r="Z40" s="36" t="s">
        <v>288</v>
      </c>
      <c r="AA40" s="36">
        <v>2137.875</v>
      </c>
      <c r="AB40" s="36" t="s">
        <v>288</v>
      </c>
      <c r="AC40" s="36">
        <v>119.8</v>
      </c>
      <c r="AD40" s="36" t="s">
        <v>288</v>
      </c>
      <c r="AE40" s="36">
        <v>150.82499999999999</v>
      </c>
      <c r="AF40" s="36" t="s">
        <v>288</v>
      </c>
      <c r="AG40" s="36">
        <v>774.59999999999991</v>
      </c>
      <c r="AH40" s="36" t="s">
        <v>288</v>
      </c>
      <c r="AI40" s="36">
        <v>42903.5</v>
      </c>
      <c r="AJ40" s="36" t="s">
        <v>288</v>
      </c>
      <c r="AK40" s="72">
        <v>31.106249999999999</v>
      </c>
      <c r="AL40" s="72" t="s">
        <v>288</v>
      </c>
      <c r="AM40" s="72">
        <v>53.25</v>
      </c>
      <c r="AN40" s="72" t="s">
        <v>288</v>
      </c>
      <c r="AO40" s="72">
        <v>71.092500000000001</v>
      </c>
      <c r="AP40" s="72" t="s">
        <v>288</v>
      </c>
      <c r="AQ40" s="72">
        <v>140.25</v>
      </c>
      <c r="AR40" s="72" t="s">
        <v>288</v>
      </c>
      <c r="AS40" s="72">
        <v>11.9175</v>
      </c>
      <c r="AT40" s="72" t="s">
        <v>288</v>
      </c>
      <c r="AU40" s="130">
        <v>129.625</v>
      </c>
      <c r="AV40" s="72" t="s">
        <v>288</v>
      </c>
      <c r="AW40" s="72">
        <v>0.57499999999999996</v>
      </c>
      <c r="AX40" s="72" t="s">
        <v>288</v>
      </c>
      <c r="AY40" s="130">
        <v>43.1325</v>
      </c>
      <c r="AZ40" s="72" t="s">
        <v>288</v>
      </c>
      <c r="BA40" s="72">
        <v>141.86750000000001</v>
      </c>
      <c r="BB40" s="72" t="s">
        <v>288</v>
      </c>
      <c r="BC40" s="72">
        <v>12.456</v>
      </c>
      <c r="BD40" s="72" t="s">
        <v>288</v>
      </c>
      <c r="BE40" s="72">
        <v>53.642499999999998</v>
      </c>
      <c r="BF40" s="72" t="s">
        <v>288</v>
      </c>
      <c r="BG40" s="72">
        <v>8.6647500000000015</v>
      </c>
      <c r="BH40" s="72" t="s">
        <v>288</v>
      </c>
      <c r="BI40" s="72">
        <v>2.9849999999999999</v>
      </c>
      <c r="BJ40" s="72" t="s">
        <v>288</v>
      </c>
      <c r="BK40" s="72">
        <v>0.14125000000000001</v>
      </c>
      <c r="BL40" s="72" t="s">
        <v>288</v>
      </c>
      <c r="BM40" s="72">
        <v>0.22225</v>
      </c>
      <c r="BN40" s="72" t="s">
        <v>288</v>
      </c>
      <c r="BO40" s="72">
        <v>1.1949999999999998</v>
      </c>
      <c r="BP40" s="72" t="s">
        <v>288</v>
      </c>
      <c r="BQ40" s="72">
        <v>0.83799999999999997</v>
      </c>
      <c r="BR40" s="72" t="s">
        <v>288</v>
      </c>
      <c r="BS40" s="72">
        <v>2.9099999999999997</v>
      </c>
      <c r="BT40" s="72" t="s">
        <v>288</v>
      </c>
      <c r="BU40" s="72">
        <v>472.46499999999997</v>
      </c>
      <c r="BV40" s="72" t="s">
        <v>288</v>
      </c>
      <c r="BW40" s="72">
        <v>25.74475</v>
      </c>
      <c r="BX40" s="72" t="s">
        <v>288</v>
      </c>
      <c r="BY40" s="72">
        <v>51.902750000000005</v>
      </c>
      <c r="BZ40" s="72" t="s">
        <v>288</v>
      </c>
      <c r="CA40" s="72">
        <v>5.9417499999999999</v>
      </c>
      <c r="CB40" s="72" t="s">
        <v>288</v>
      </c>
      <c r="CC40" s="72">
        <v>23.2575</v>
      </c>
      <c r="CD40" s="72" t="s">
        <v>288</v>
      </c>
      <c r="CE40" s="72">
        <v>4.2982499999999995</v>
      </c>
      <c r="CF40" s="72" t="s">
        <v>288</v>
      </c>
      <c r="CG40" s="72">
        <v>1.03325</v>
      </c>
      <c r="CH40" s="72" t="s">
        <v>288</v>
      </c>
      <c r="CI40" s="72">
        <v>3.2617500000000001</v>
      </c>
      <c r="CJ40" s="72" t="s">
        <v>288</v>
      </c>
      <c r="CK40" s="72">
        <v>0.43125000000000002</v>
      </c>
      <c r="CL40" s="72" t="s">
        <v>288</v>
      </c>
      <c r="CM40" s="72">
        <v>2.4187500000000002</v>
      </c>
      <c r="CN40" s="72" t="s">
        <v>288</v>
      </c>
      <c r="CO40" s="72">
        <v>0.45874999999999999</v>
      </c>
      <c r="CP40" s="72" t="s">
        <v>288</v>
      </c>
      <c r="CQ40" s="72">
        <v>1.25</v>
      </c>
      <c r="CR40" s="72" t="s">
        <v>288</v>
      </c>
      <c r="CS40" s="72">
        <v>0.1835</v>
      </c>
      <c r="CT40" s="72" t="s">
        <v>288</v>
      </c>
      <c r="CU40" s="72">
        <v>1.1054999999999999</v>
      </c>
      <c r="CV40" s="72" t="s">
        <v>288</v>
      </c>
      <c r="CW40" s="72">
        <v>0.17400000000000002</v>
      </c>
      <c r="CX40" s="72" t="s">
        <v>288</v>
      </c>
      <c r="CY40" s="72">
        <v>1.5305</v>
      </c>
      <c r="CZ40" s="72" t="s">
        <v>288</v>
      </c>
      <c r="DA40" s="72">
        <v>0.35875000000000001</v>
      </c>
      <c r="DB40" s="72" t="s">
        <v>288</v>
      </c>
      <c r="DC40" s="72">
        <v>11.8155</v>
      </c>
      <c r="DD40" s="72" t="s">
        <v>288</v>
      </c>
      <c r="DE40" s="72">
        <v>0.23275000000000001</v>
      </c>
      <c r="DF40" s="72" t="s">
        <v>288</v>
      </c>
      <c r="DG40" s="72">
        <v>93.432500000000005</v>
      </c>
      <c r="DH40" s="72" t="s">
        <v>288</v>
      </c>
      <c r="DI40" s="72">
        <v>7.4850000000000003</v>
      </c>
      <c r="DJ40" s="72" t="s">
        <v>288</v>
      </c>
      <c r="DK40" s="72">
        <v>3.7487499999999998</v>
      </c>
      <c r="DL40" s="72" t="s">
        <v>288</v>
      </c>
      <c r="DM40" s="72">
        <v>1.04575</v>
      </c>
      <c r="DN40" s="72" t="s">
        <v>288</v>
      </c>
    </row>
    <row r="41" spans="1:118">
      <c r="B41" s="47" t="s">
        <v>700</v>
      </c>
      <c r="C41" s="72">
        <v>1.9897400233077387</v>
      </c>
      <c r="D41" s="72" t="s">
        <v>288</v>
      </c>
      <c r="E41" s="72">
        <v>7.8550000000000004</v>
      </c>
      <c r="F41" s="72" t="s">
        <v>288</v>
      </c>
      <c r="G41" s="72">
        <v>2.58223</v>
      </c>
      <c r="H41" s="72" t="s">
        <v>288</v>
      </c>
      <c r="I41" s="72">
        <v>13.9</v>
      </c>
      <c r="J41" s="72" t="s">
        <v>288</v>
      </c>
      <c r="K41" s="72">
        <v>1.26</v>
      </c>
      <c r="L41" s="72" t="s">
        <v>288</v>
      </c>
      <c r="M41" s="36">
        <v>12647.5</v>
      </c>
      <c r="N41" s="36" t="s">
        <v>288</v>
      </c>
      <c r="O41" s="36">
        <v>9391</v>
      </c>
      <c r="P41" s="36" t="s">
        <v>288</v>
      </c>
      <c r="Q41" s="36">
        <v>61516.5</v>
      </c>
      <c r="R41" s="36" t="s">
        <v>288</v>
      </c>
      <c r="S41" s="36">
        <v>627</v>
      </c>
      <c r="T41" s="36" t="s">
        <v>288</v>
      </c>
      <c r="U41" s="36">
        <v>3667.5</v>
      </c>
      <c r="V41" s="36" t="s">
        <v>288</v>
      </c>
      <c r="W41" s="36">
        <v>14003.5</v>
      </c>
      <c r="X41" s="36" t="s">
        <v>288</v>
      </c>
      <c r="Y41" s="36">
        <v>23825</v>
      </c>
      <c r="Z41" s="36" t="s">
        <v>288</v>
      </c>
      <c r="AA41" s="36">
        <v>2520.9</v>
      </c>
      <c r="AB41" s="36" t="s">
        <v>288</v>
      </c>
      <c r="AC41" s="36">
        <v>120.3</v>
      </c>
      <c r="AD41" s="36" t="s">
        <v>288</v>
      </c>
      <c r="AE41" s="36">
        <v>194.6</v>
      </c>
      <c r="AF41" s="36" t="s">
        <v>288</v>
      </c>
      <c r="AG41" s="36">
        <v>925.8</v>
      </c>
      <c r="AH41" s="36" t="s">
        <v>288</v>
      </c>
      <c r="AI41" s="36">
        <v>51147.5</v>
      </c>
      <c r="AJ41" s="36" t="s">
        <v>288</v>
      </c>
      <c r="AK41" s="72">
        <v>31.823999999999998</v>
      </c>
      <c r="AL41" s="72" t="s">
        <v>288</v>
      </c>
      <c r="AM41" s="72">
        <v>57.504999999999995</v>
      </c>
      <c r="AN41" s="72" t="s">
        <v>288</v>
      </c>
      <c r="AO41" s="72">
        <v>135.005</v>
      </c>
      <c r="AP41" s="72" t="s">
        <v>288</v>
      </c>
      <c r="AQ41" s="72">
        <v>179.5</v>
      </c>
      <c r="AR41" s="72" t="s">
        <v>288</v>
      </c>
      <c r="AS41" s="72">
        <v>13.864999999999998</v>
      </c>
      <c r="AT41" s="72" t="s">
        <v>288</v>
      </c>
      <c r="AU41" s="130">
        <v>538</v>
      </c>
      <c r="AV41" s="72" t="s">
        <v>288</v>
      </c>
      <c r="AW41" s="72">
        <v>0.94499999999999995</v>
      </c>
      <c r="AX41" s="72" t="s">
        <v>288</v>
      </c>
      <c r="AY41" s="130">
        <v>50.704999999999998</v>
      </c>
      <c r="AZ41" s="72" t="s">
        <v>288</v>
      </c>
      <c r="BA41" s="72">
        <v>230.20999999999998</v>
      </c>
      <c r="BB41" s="72" t="s">
        <v>288</v>
      </c>
      <c r="BC41" s="72">
        <v>13.3225</v>
      </c>
      <c r="BD41" s="72" t="s">
        <v>288</v>
      </c>
      <c r="BE41" s="72">
        <v>82.2</v>
      </c>
      <c r="BF41" s="72" t="s">
        <v>288</v>
      </c>
      <c r="BG41" s="72">
        <v>9.2880000000000003</v>
      </c>
      <c r="BH41" s="72" t="s">
        <v>288</v>
      </c>
      <c r="BI41" s="72">
        <v>4.4849999999999994</v>
      </c>
      <c r="BJ41" s="72" t="s">
        <v>288</v>
      </c>
      <c r="BK41" s="72">
        <v>0.40800000000000003</v>
      </c>
      <c r="BL41" s="72" t="s">
        <v>288</v>
      </c>
      <c r="BM41" s="72">
        <v>0.52400000000000002</v>
      </c>
      <c r="BN41" s="72" t="s">
        <v>288</v>
      </c>
      <c r="BO41" s="72">
        <v>1.3</v>
      </c>
      <c r="BP41" s="72" t="s">
        <v>288</v>
      </c>
      <c r="BQ41" s="72">
        <v>2.5019999999999998</v>
      </c>
      <c r="BR41" s="72" t="s">
        <v>288</v>
      </c>
      <c r="BS41" s="72">
        <v>3.0339999999999998</v>
      </c>
      <c r="BT41" s="72" t="s">
        <v>288</v>
      </c>
      <c r="BU41" s="72">
        <v>546.04999999999995</v>
      </c>
      <c r="BV41" s="72" t="s">
        <v>288</v>
      </c>
      <c r="BW41" s="72">
        <v>26.179000000000002</v>
      </c>
      <c r="BX41" s="72" t="s">
        <v>288</v>
      </c>
      <c r="BY41" s="72">
        <v>55.407499999999999</v>
      </c>
      <c r="BZ41" s="72" t="s">
        <v>288</v>
      </c>
      <c r="CA41" s="72">
        <v>6.1375000000000002</v>
      </c>
      <c r="CB41" s="72" t="s">
        <v>288</v>
      </c>
      <c r="CC41" s="72">
        <v>23.975000000000001</v>
      </c>
      <c r="CD41" s="72" t="s">
        <v>288</v>
      </c>
      <c r="CE41" s="72">
        <v>4.4314999999999998</v>
      </c>
      <c r="CF41" s="72" t="s">
        <v>288</v>
      </c>
      <c r="CG41" s="72">
        <v>1.083</v>
      </c>
      <c r="CH41" s="72" t="s">
        <v>288</v>
      </c>
      <c r="CI41" s="72">
        <v>3.4024999999999999</v>
      </c>
      <c r="CJ41" s="72" t="s">
        <v>288</v>
      </c>
      <c r="CK41" s="72">
        <v>0.46650000000000003</v>
      </c>
      <c r="CL41" s="72" t="s">
        <v>288</v>
      </c>
      <c r="CM41" s="72">
        <v>2.6385000000000001</v>
      </c>
      <c r="CN41" s="72" t="s">
        <v>288</v>
      </c>
      <c r="CO41" s="72">
        <v>0.496</v>
      </c>
      <c r="CP41" s="72" t="s">
        <v>288</v>
      </c>
      <c r="CQ41" s="72">
        <v>1.3294999999999999</v>
      </c>
      <c r="CR41" s="72" t="s">
        <v>288</v>
      </c>
      <c r="CS41" s="72">
        <v>0.192</v>
      </c>
      <c r="CT41" s="72" t="s">
        <v>288</v>
      </c>
      <c r="CU41" s="72">
        <v>1.258</v>
      </c>
      <c r="CV41" s="72" t="s">
        <v>288</v>
      </c>
      <c r="CW41" s="72">
        <v>0.1905</v>
      </c>
      <c r="CX41" s="72" t="s">
        <v>288</v>
      </c>
      <c r="CY41" s="72">
        <v>2.2404999999999999</v>
      </c>
      <c r="CZ41" s="72" t="s">
        <v>288</v>
      </c>
      <c r="DA41" s="72">
        <v>0.51100000000000001</v>
      </c>
      <c r="DB41" s="72" t="s">
        <v>288</v>
      </c>
      <c r="DC41" s="72">
        <v>16.948499999999999</v>
      </c>
      <c r="DD41" s="72" t="s">
        <v>288</v>
      </c>
      <c r="DE41" s="72">
        <v>0.33650000000000002</v>
      </c>
      <c r="DF41" s="72" t="s">
        <v>288</v>
      </c>
      <c r="DG41" s="72">
        <v>104.61500000000001</v>
      </c>
      <c r="DH41" s="72" t="s">
        <v>288</v>
      </c>
      <c r="DI41" s="72">
        <v>16.414999999999999</v>
      </c>
      <c r="DJ41" s="72" t="s">
        <v>288</v>
      </c>
      <c r="DK41" s="72">
        <v>4.2840000000000007</v>
      </c>
      <c r="DL41" s="72" t="s">
        <v>288</v>
      </c>
      <c r="DM41" s="72">
        <v>1.484</v>
      </c>
      <c r="DN41" s="72" t="s">
        <v>288</v>
      </c>
    </row>
    <row r="42" spans="1:118">
      <c r="B42" s="47" t="s">
        <v>701</v>
      </c>
      <c r="C42" s="72">
        <v>3.7986089658958195</v>
      </c>
      <c r="D42" s="72" t="s">
        <v>288</v>
      </c>
      <c r="E42" s="72">
        <v>8.5625</v>
      </c>
      <c r="F42" s="72" t="s">
        <v>288</v>
      </c>
      <c r="G42" s="72">
        <v>6.9773649999999998</v>
      </c>
      <c r="H42" s="72" t="s">
        <v>288</v>
      </c>
      <c r="I42" s="72">
        <v>23.524999999999999</v>
      </c>
      <c r="J42" s="72" t="s">
        <v>288</v>
      </c>
      <c r="K42" s="72">
        <v>2.2650000000000001</v>
      </c>
      <c r="L42" s="72" t="s">
        <v>288</v>
      </c>
      <c r="M42" s="36">
        <v>16942.5</v>
      </c>
      <c r="N42" s="36" t="s">
        <v>288</v>
      </c>
      <c r="O42" s="36">
        <v>20606</v>
      </c>
      <c r="P42" s="36" t="s">
        <v>288</v>
      </c>
      <c r="Q42" s="36">
        <v>69121.25</v>
      </c>
      <c r="R42" s="36" t="s">
        <v>288</v>
      </c>
      <c r="S42" s="36">
        <v>763.5</v>
      </c>
      <c r="T42" s="36" t="s">
        <v>288</v>
      </c>
      <c r="U42" s="36">
        <v>9268.5</v>
      </c>
      <c r="V42" s="36" t="s">
        <v>288</v>
      </c>
      <c r="W42" s="36">
        <v>17804</v>
      </c>
      <c r="X42" s="36" t="s">
        <v>288</v>
      </c>
      <c r="Y42" s="36">
        <v>32774</v>
      </c>
      <c r="Z42" s="36" t="s">
        <v>288</v>
      </c>
      <c r="AA42" s="36">
        <v>2755.7249999999999</v>
      </c>
      <c r="AB42" s="36" t="s">
        <v>288</v>
      </c>
      <c r="AC42" s="36">
        <v>263.77499999999998</v>
      </c>
      <c r="AD42" s="36" t="s">
        <v>288</v>
      </c>
      <c r="AE42" s="36">
        <v>352.2</v>
      </c>
      <c r="AF42" s="36" t="s">
        <v>288</v>
      </c>
      <c r="AG42" s="36">
        <v>3305.55</v>
      </c>
      <c r="AH42" s="36" t="s">
        <v>288</v>
      </c>
      <c r="AI42" s="36">
        <v>114007.75</v>
      </c>
      <c r="AJ42" s="36" t="s">
        <v>288</v>
      </c>
      <c r="AK42" s="72">
        <v>59.717500000000001</v>
      </c>
      <c r="AL42" s="72" t="s">
        <v>288</v>
      </c>
      <c r="AM42" s="72">
        <v>76.582499999999996</v>
      </c>
      <c r="AN42" s="72" t="s">
        <v>288</v>
      </c>
      <c r="AO42" s="72">
        <v>476.51499999999999</v>
      </c>
      <c r="AP42" s="72" t="s">
        <v>288</v>
      </c>
      <c r="AQ42" s="72">
        <v>553.65000000000009</v>
      </c>
      <c r="AR42" s="72" t="s">
        <v>288</v>
      </c>
      <c r="AS42" s="72">
        <v>17.43</v>
      </c>
      <c r="AT42" s="72" t="s">
        <v>288</v>
      </c>
      <c r="AU42" s="130">
        <v>3385.2250000000004</v>
      </c>
      <c r="AV42" s="72" t="s">
        <v>288</v>
      </c>
      <c r="AW42" s="72">
        <v>2.915</v>
      </c>
      <c r="AX42" s="72" t="s">
        <v>288</v>
      </c>
      <c r="AY42" s="130">
        <v>66.977500000000006</v>
      </c>
      <c r="AZ42" s="72" t="s">
        <v>288</v>
      </c>
      <c r="BA42" s="72">
        <v>386.02499999999998</v>
      </c>
      <c r="BB42" s="72" t="s">
        <v>288</v>
      </c>
      <c r="BC42" s="72">
        <v>20.738250000000001</v>
      </c>
      <c r="BD42" s="72" t="s">
        <v>288</v>
      </c>
      <c r="BE42" s="72">
        <v>137.09</v>
      </c>
      <c r="BF42" s="72" t="s">
        <v>288</v>
      </c>
      <c r="BG42" s="72">
        <v>20.077500000000001</v>
      </c>
      <c r="BH42" s="72" t="s">
        <v>288</v>
      </c>
      <c r="BI42" s="72">
        <v>16.612500000000001</v>
      </c>
      <c r="BJ42" s="72" t="s">
        <v>288</v>
      </c>
      <c r="BK42" s="72">
        <v>0.96450000000000002</v>
      </c>
      <c r="BL42" s="72" t="s">
        <v>288</v>
      </c>
      <c r="BM42" s="72">
        <v>4.3049999999999997</v>
      </c>
      <c r="BN42" s="72" t="s">
        <v>288</v>
      </c>
      <c r="BO42" s="72">
        <v>1.8199999999999998</v>
      </c>
      <c r="BP42" s="72" t="s">
        <v>288</v>
      </c>
      <c r="BQ42" s="72">
        <v>16.052499999999998</v>
      </c>
      <c r="BR42" s="72" t="s">
        <v>288</v>
      </c>
      <c r="BS42" s="72">
        <v>4.0545</v>
      </c>
      <c r="BT42" s="72" t="s">
        <v>288</v>
      </c>
      <c r="BU42" s="72">
        <v>612.88499999999999</v>
      </c>
      <c r="BV42" s="72" t="s">
        <v>288</v>
      </c>
      <c r="BW42" s="72">
        <v>38.58625</v>
      </c>
      <c r="BX42" s="72" t="s">
        <v>288</v>
      </c>
      <c r="BY42" s="72">
        <v>140.80324999999999</v>
      </c>
      <c r="BZ42" s="72" t="s">
        <v>288</v>
      </c>
      <c r="CA42" s="72">
        <v>7.2222499999999998</v>
      </c>
      <c r="CB42" s="72" t="s">
        <v>288</v>
      </c>
      <c r="CC42" s="72">
        <v>26.844999999999999</v>
      </c>
      <c r="CD42" s="72" t="s">
        <v>288</v>
      </c>
      <c r="CE42" s="72">
        <v>5.2722499999999997</v>
      </c>
      <c r="CF42" s="72" t="s">
        <v>288</v>
      </c>
      <c r="CG42" s="72">
        <v>1.2110000000000001</v>
      </c>
      <c r="CH42" s="72" t="s">
        <v>288</v>
      </c>
      <c r="CI42" s="72">
        <v>4.4762500000000003</v>
      </c>
      <c r="CJ42" s="72" t="s">
        <v>288</v>
      </c>
      <c r="CK42" s="72">
        <v>0.70125000000000004</v>
      </c>
      <c r="CL42" s="72" t="s">
        <v>288</v>
      </c>
      <c r="CM42" s="72">
        <v>4.09</v>
      </c>
      <c r="CN42" s="72" t="s">
        <v>288</v>
      </c>
      <c r="CO42" s="72">
        <v>0.8105</v>
      </c>
      <c r="CP42" s="72" t="s">
        <v>288</v>
      </c>
      <c r="CQ42" s="72">
        <v>2.2565</v>
      </c>
      <c r="CR42" s="72" t="s">
        <v>288</v>
      </c>
      <c r="CS42" s="72">
        <v>0.35</v>
      </c>
      <c r="CT42" s="72" t="s">
        <v>288</v>
      </c>
      <c r="CU42" s="72">
        <v>2.2039999999999997</v>
      </c>
      <c r="CV42" s="72" t="s">
        <v>288</v>
      </c>
      <c r="CW42" s="72">
        <v>0.33724999999999999</v>
      </c>
      <c r="CX42" s="72" t="s">
        <v>288</v>
      </c>
      <c r="CY42" s="72">
        <v>3.4325000000000001</v>
      </c>
      <c r="CZ42" s="72" t="s">
        <v>288</v>
      </c>
      <c r="DA42" s="72">
        <v>1.07725</v>
      </c>
      <c r="DB42" s="72" t="s">
        <v>288</v>
      </c>
      <c r="DC42" s="72">
        <v>29.109500000000001</v>
      </c>
      <c r="DD42" s="72" t="s">
        <v>288</v>
      </c>
      <c r="DE42" s="72">
        <v>1.3682500000000002</v>
      </c>
      <c r="DF42" s="72" t="s">
        <v>288</v>
      </c>
      <c r="DG42" s="72">
        <v>186.22499999999999</v>
      </c>
      <c r="DH42" s="72" t="s">
        <v>288</v>
      </c>
      <c r="DI42" s="72">
        <v>43.825000000000003</v>
      </c>
      <c r="DJ42" s="72" t="s">
        <v>288</v>
      </c>
      <c r="DK42" s="72">
        <v>5.8557500000000005</v>
      </c>
      <c r="DL42" s="72" t="s">
        <v>288</v>
      </c>
      <c r="DM42" s="72">
        <v>2.8652499999999996</v>
      </c>
      <c r="DN42" s="72" t="s">
        <v>288</v>
      </c>
    </row>
    <row r="43" spans="1:118">
      <c r="B43" s="47" t="s">
        <v>702</v>
      </c>
      <c r="C43" s="72">
        <v>1.747432458547223</v>
      </c>
      <c r="D43" s="72" t="s">
        <v>288</v>
      </c>
      <c r="E43" s="72">
        <v>7.6602942084317487</v>
      </c>
      <c r="F43" s="72" t="s">
        <v>288</v>
      </c>
      <c r="G43" s="72">
        <v>2.1907432939903102</v>
      </c>
      <c r="H43" s="72" t="s">
        <v>288</v>
      </c>
      <c r="I43" s="72">
        <v>15.66458339994867</v>
      </c>
      <c r="J43" s="72" t="s">
        <v>288</v>
      </c>
      <c r="K43" s="72">
        <v>1.2693134999752698</v>
      </c>
      <c r="L43" s="72" t="s">
        <v>288</v>
      </c>
      <c r="M43" s="36">
        <v>8741.8851670276545</v>
      </c>
      <c r="N43" s="36" t="s">
        <v>288</v>
      </c>
      <c r="O43" s="36">
        <v>8391.5458933698883</v>
      </c>
      <c r="P43" s="36" t="s">
        <v>288</v>
      </c>
      <c r="Q43" s="36">
        <v>61203.564484730698</v>
      </c>
      <c r="R43" s="36" t="s">
        <v>288</v>
      </c>
      <c r="S43" s="36">
        <v>616.37465943833286</v>
      </c>
      <c r="T43" s="36" t="s">
        <v>288</v>
      </c>
      <c r="U43" s="36">
        <v>2703.1013232895698</v>
      </c>
      <c r="V43" s="36" t="s">
        <v>288</v>
      </c>
      <c r="W43" s="36">
        <v>14217.431306813634</v>
      </c>
      <c r="X43" s="36" t="s">
        <v>288</v>
      </c>
      <c r="Y43" s="36">
        <v>22585.823233955449</v>
      </c>
      <c r="Z43" s="36" t="s">
        <v>288</v>
      </c>
      <c r="AA43" s="36">
        <v>2316.614079369052</v>
      </c>
      <c r="AB43" s="36" t="s">
        <v>288</v>
      </c>
      <c r="AC43" s="36">
        <v>137.7824975952808</v>
      </c>
      <c r="AD43" s="36" t="s">
        <v>288</v>
      </c>
      <c r="AE43" s="36">
        <v>200.18729777829384</v>
      </c>
      <c r="AF43" s="36" t="s">
        <v>288</v>
      </c>
      <c r="AG43" s="36">
        <v>1097.4175402159174</v>
      </c>
      <c r="AH43" s="36" t="s">
        <v>288</v>
      </c>
      <c r="AI43" s="36">
        <v>56721.579145978751</v>
      </c>
      <c r="AJ43" s="36" t="s">
        <v>288</v>
      </c>
      <c r="AK43" s="72">
        <v>34.985198981411841</v>
      </c>
      <c r="AL43" s="72" t="s">
        <v>288</v>
      </c>
      <c r="AM43" s="72">
        <v>58.868858722994872</v>
      </c>
      <c r="AN43" s="72" t="s">
        <v>288</v>
      </c>
      <c r="AO43" s="72">
        <v>152.46557984241082</v>
      </c>
      <c r="AP43" s="72" t="s">
        <v>288</v>
      </c>
      <c r="AQ43" s="72">
        <v>211.91323886270527</v>
      </c>
      <c r="AR43" s="72" t="s">
        <v>288</v>
      </c>
      <c r="AS43" s="72">
        <v>13.911472101441612</v>
      </c>
      <c r="AT43" s="72" t="s">
        <v>288</v>
      </c>
      <c r="AU43" s="130">
        <v>320.58493092158324</v>
      </c>
      <c r="AV43" s="72" t="s">
        <v>288</v>
      </c>
      <c r="AW43" s="72">
        <v>0.94244046319724828</v>
      </c>
      <c r="AX43" s="72" t="s">
        <v>288</v>
      </c>
      <c r="AY43" s="130">
        <v>50.979234077781463</v>
      </c>
      <c r="AZ43" s="72" t="s">
        <v>288</v>
      </c>
      <c r="BA43" s="72">
        <v>190.40306670019902</v>
      </c>
      <c r="BB43" s="72" t="s">
        <v>288</v>
      </c>
      <c r="BC43" s="72">
        <v>14.025772399098523</v>
      </c>
      <c r="BD43" s="72" t="s">
        <v>288</v>
      </c>
      <c r="BE43" s="72">
        <v>76.043925357752457</v>
      </c>
      <c r="BF43" s="72" t="s">
        <v>288</v>
      </c>
      <c r="BG43" s="72">
        <v>9.075929455279141</v>
      </c>
      <c r="BH43" s="72" t="s">
        <v>288</v>
      </c>
      <c r="BI43" s="72">
        <v>4.7537139638674848</v>
      </c>
      <c r="BJ43" s="72" t="s">
        <v>288</v>
      </c>
      <c r="BK43" s="72">
        <v>0.30714591255405566</v>
      </c>
      <c r="BL43" s="72" t="s">
        <v>288</v>
      </c>
      <c r="BM43" s="72">
        <v>0.62318138326564343</v>
      </c>
      <c r="BN43" s="72" t="s">
        <v>288</v>
      </c>
      <c r="BO43" s="72">
        <v>1.3493476274129177</v>
      </c>
      <c r="BP43" s="72" t="s">
        <v>288</v>
      </c>
      <c r="BQ43" s="72">
        <v>2.3264843879686201</v>
      </c>
      <c r="BR43" s="72" t="s">
        <v>288</v>
      </c>
      <c r="BS43" s="72">
        <v>3.0048923889201626</v>
      </c>
      <c r="BT43" s="72" t="s">
        <v>288</v>
      </c>
      <c r="BU43" s="72">
        <v>522.6246390670143</v>
      </c>
      <c r="BV43" s="72" t="s">
        <v>288</v>
      </c>
      <c r="BW43" s="72">
        <v>26.917504056982118</v>
      </c>
      <c r="BX43" s="72" t="s">
        <v>288</v>
      </c>
      <c r="BY43" s="72">
        <v>63.176678977380568</v>
      </c>
      <c r="BZ43" s="72" t="s">
        <v>288</v>
      </c>
      <c r="CA43" s="72">
        <v>6.0107475847061345</v>
      </c>
      <c r="CB43" s="72" t="s">
        <v>288</v>
      </c>
      <c r="CC43" s="72">
        <v>23.452480992085082</v>
      </c>
      <c r="CD43" s="72" t="s">
        <v>288</v>
      </c>
      <c r="CE43" s="72">
        <v>4.4372997136693586</v>
      </c>
      <c r="CF43" s="72" t="s">
        <v>288</v>
      </c>
      <c r="CG43" s="72">
        <v>1.0477235337196862</v>
      </c>
      <c r="CH43" s="72" t="s">
        <v>288</v>
      </c>
      <c r="CI43" s="72">
        <v>3.442204238176668</v>
      </c>
      <c r="CJ43" s="72" t="s">
        <v>288</v>
      </c>
      <c r="CK43" s="72">
        <v>0.48344986344658913</v>
      </c>
      <c r="CL43" s="72" t="s">
        <v>288</v>
      </c>
      <c r="CM43" s="72">
        <v>2.7122627888899564</v>
      </c>
      <c r="CN43" s="72" t="s">
        <v>288</v>
      </c>
      <c r="CO43" s="72">
        <v>0.52812971285070343</v>
      </c>
      <c r="CP43" s="72" t="s">
        <v>288</v>
      </c>
      <c r="CQ43" s="72">
        <v>1.4485178284816165</v>
      </c>
      <c r="CR43" s="72" t="s">
        <v>288</v>
      </c>
      <c r="CS43" s="72">
        <v>0.21420713700143829</v>
      </c>
      <c r="CT43" s="72" t="s">
        <v>288</v>
      </c>
      <c r="CU43" s="72">
        <v>1.3410266325729432</v>
      </c>
      <c r="CV43" s="72" t="s">
        <v>288</v>
      </c>
      <c r="CW43" s="72">
        <v>0.20626376991220621</v>
      </c>
      <c r="CX43" s="72" t="s">
        <v>288</v>
      </c>
      <c r="CY43" s="72">
        <v>2.1193997888753788</v>
      </c>
      <c r="CZ43" s="72" t="s">
        <v>288</v>
      </c>
      <c r="DA43" s="72">
        <v>0.47604601848684958</v>
      </c>
      <c r="DB43" s="72" t="s">
        <v>288</v>
      </c>
      <c r="DC43" s="72">
        <v>17.06637699660682</v>
      </c>
      <c r="DD43" s="72" t="s">
        <v>288</v>
      </c>
      <c r="DE43" s="72">
        <v>0.41133722909083276</v>
      </c>
      <c r="DF43" s="72" t="s">
        <v>288</v>
      </c>
      <c r="DG43" s="72">
        <v>100.96342520664165</v>
      </c>
      <c r="DH43" s="72" t="s">
        <v>288</v>
      </c>
      <c r="DI43" s="72">
        <v>11.298707930823278</v>
      </c>
      <c r="DJ43" s="72" t="s">
        <v>288</v>
      </c>
      <c r="DK43" s="72">
        <v>4.2579990047254173</v>
      </c>
      <c r="DL43" s="72" t="s">
        <v>288</v>
      </c>
      <c r="DM43" s="72">
        <v>1.542099667381454</v>
      </c>
      <c r="DN43" s="72" t="s">
        <v>288</v>
      </c>
    </row>
    <row r="44" spans="1:118">
      <c r="B44" s="47" t="s">
        <v>703</v>
      </c>
      <c r="C44" s="72">
        <v>2.0561779914560563</v>
      </c>
      <c r="D44" s="72" t="s">
        <v>288</v>
      </c>
      <c r="E44" s="72">
        <v>7.7133333333333338</v>
      </c>
      <c r="F44" s="72" t="s">
        <v>288</v>
      </c>
      <c r="G44" s="72">
        <v>3.2416750000000003</v>
      </c>
      <c r="H44" s="72" t="s">
        <v>288</v>
      </c>
      <c r="I44" s="72">
        <v>16.399999999999999</v>
      </c>
      <c r="J44" s="72" t="s">
        <v>288</v>
      </c>
      <c r="K44" s="72">
        <v>1.3766666666666667</v>
      </c>
      <c r="L44" s="72" t="s">
        <v>288</v>
      </c>
      <c r="M44" s="36">
        <v>11109.666666666666</v>
      </c>
      <c r="N44" s="36" t="s">
        <v>288</v>
      </c>
      <c r="O44" s="36">
        <v>11356.5</v>
      </c>
      <c r="P44" s="36" t="s">
        <v>288</v>
      </c>
      <c r="Q44" s="36">
        <v>61525.166666666664</v>
      </c>
      <c r="R44" s="36" t="s">
        <v>288</v>
      </c>
      <c r="S44" s="36">
        <v>626.66666666666663</v>
      </c>
      <c r="T44" s="36" t="s">
        <v>288</v>
      </c>
      <c r="U44" s="36">
        <v>4461.166666666667</v>
      </c>
      <c r="V44" s="36" t="s">
        <v>288</v>
      </c>
      <c r="W44" s="36">
        <v>14393.166666666666</v>
      </c>
      <c r="X44" s="36" t="s">
        <v>288</v>
      </c>
      <c r="Y44" s="36">
        <v>24312.400000000001</v>
      </c>
      <c r="Z44" s="36" t="s">
        <v>288</v>
      </c>
      <c r="AA44" s="36">
        <v>2351.2999999999997</v>
      </c>
      <c r="AB44" s="36" t="s">
        <v>288</v>
      </c>
      <c r="AC44" s="36">
        <v>149.53333333333333</v>
      </c>
      <c r="AD44" s="36" t="s">
        <v>288</v>
      </c>
      <c r="AE44" s="36">
        <v>215.06666666666669</v>
      </c>
      <c r="AF44" s="36" t="s">
        <v>288</v>
      </c>
      <c r="AG44" s="36">
        <v>1391.8166666666668</v>
      </c>
      <c r="AH44" s="36" t="s">
        <v>288</v>
      </c>
      <c r="AI44" s="36">
        <v>62471</v>
      </c>
      <c r="AJ44" s="36" t="s">
        <v>288</v>
      </c>
      <c r="AK44" s="72">
        <v>37.020999999999994</v>
      </c>
      <c r="AL44" s="72" t="s">
        <v>288</v>
      </c>
      <c r="AM44" s="72">
        <v>59.701666666666661</v>
      </c>
      <c r="AN44" s="72" t="s">
        <v>288</v>
      </c>
      <c r="AO44" s="72">
        <v>217.01999999999998</v>
      </c>
      <c r="AP44" s="72" t="s">
        <v>288</v>
      </c>
      <c r="AQ44" s="72">
        <v>258.03333333333336</v>
      </c>
      <c r="AR44" s="72" t="s">
        <v>288</v>
      </c>
      <c r="AS44" s="72">
        <v>14.101666666666667</v>
      </c>
      <c r="AT44" s="72" t="s">
        <v>288</v>
      </c>
      <c r="AU44" s="130">
        <v>1211.4166666666667</v>
      </c>
      <c r="AV44" s="72" t="s">
        <v>288</v>
      </c>
      <c r="AW44" s="72">
        <v>1.2433333333333334</v>
      </c>
      <c r="AX44" s="72" t="s">
        <v>288</v>
      </c>
      <c r="AY44" s="130">
        <v>51.913333333333334</v>
      </c>
      <c r="AZ44" s="72" t="s">
        <v>288</v>
      </c>
      <c r="BA44" s="72">
        <v>230.59166666666661</v>
      </c>
      <c r="BB44" s="72" t="s">
        <v>288</v>
      </c>
      <c r="BC44" s="72">
        <v>14.497999999999999</v>
      </c>
      <c r="BD44" s="72" t="s">
        <v>288</v>
      </c>
      <c r="BE44" s="72">
        <v>83.376666666666665</v>
      </c>
      <c r="BF44" s="72" t="s">
        <v>288</v>
      </c>
      <c r="BG44" s="72">
        <v>10.613666666666665</v>
      </c>
      <c r="BH44" s="72" t="s">
        <v>288</v>
      </c>
      <c r="BI44" s="72">
        <v>6.5533333333333337</v>
      </c>
      <c r="BJ44" s="72" t="s">
        <v>288</v>
      </c>
      <c r="BK44" s="72">
        <v>0.46300000000000008</v>
      </c>
      <c r="BL44" s="72" t="s">
        <v>288</v>
      </c>
      <c r="BM44" s="72">
        <v>1.4159999999999997</v>
      </c>
      <c r="BN44" s="72" t="s">
        <v>288</v>
      </c>
      <c r="BO44" s="72">
        <v>1.3766666666666667</v>
      </c>
      <c r="BP44" s="72" t="s">
        <v>288</v>
      </c>
      <c r="BQ44" s="72">
        <v>5.1981666666666664</v>
      </c>
      <c r="BR44" s="72" t="s">
        <v>288</v>
      </c>
      <c r="BS44" s="72">
        <v>3.0971666666666668</v>
      </c>
      <c r="BT44" s="72" t="s">
        <v>288</v>
      </c>
      <c r="BU44" s="72">
        <v>527.39833333333331</v>
      </c>
      <c r="BV44" s="72" t="s">
        <v>288</v>
      </c>
      <c r="BW44" s="72">
        <v>27.753666666666664</v>
      </c>
      <c r="BX44" s="72" t="s">
        <v>288</v>
      </c>
      <c r="BY44" s="72">
        <v>71.788333333333341</v>
      </c>
      <c r="BZ44" s="72" t="s">
        <v>288</v>
      </c>
      <c r="CA44" s="72">
        <v>6.0796666666666672</v>
      </c>
      <c r="CB44" s="72" t="s">
        <v>288</v>
      </c>
      <c r="CC44" s="72">
        <v>23.633333333333336</v>
      </c>
      <c r="CD44" s="72" t="s">
        <v>288</v>
      </c>
      <c r="CE44" s="72">
        <v>4.4748333333333337</v>
      </c>
      <c r="CF44" s="72" t="s">
        <v>288</v>
      </c>
      <c r="CG44" s="72">
        <v>1.0573333333333335</v>
      </c>
      <c r="CH44" s="72" t="s">
        <v>288</v>
      </c>
      <c r="CI44" s="72">
        <v>3.5013333333333336</v>
      </c>
      <c r="CJ44" s="72" t="s">
        <v>288</v>
      </c>
      <c r="CK44" s="72">
        <v>0.49816666666666665</v>
      </c>
      <c r="CL44" s="72" t="s">
        <v>288</v>
      </c>
      <c r="CM44" s="72">
        <v>2.8149999999999999</v>
      </c>
      <c r="CN44" s="72" t="s">
        <v>288</v>
      </c>
      <c r="CO44" s="72">
        <v>0.54900000000000004</v>
      </c>
      <c r="CP44" s="72" t="s">
        <v>288</v>
      </c>
      <c r="CQ44" s="72">
        <v>1.5081666666666667</v>
      </c>
      <c r="CR44" s="72" t="s">
        <v>288</v>
      </c>
      <c r="CS44" s="72">
        <v>0.22466666666666668</v>
      </c>
      <c r="CT44" s="72" t="s">
        <v>288</v>
      </c>
      <c r="CU44" s="72">
        <v>1.4111666666666667</v>
      </c>
      <c r="CV44" s="72" t="s">
        <v>288</v>
      </c>
      <c r="CW44" s="72">
        <v>0.21683333333333332</v>
      </c>
      <c r="CX44" s="72" t="s">
        <v>288</v>
      </c>
      <c r="CY44" s="72">
        <v>2.2661666666666664</v>
      </c>
      <c r="CZ44" s="72" t="s">
        <v>288</v>
      </c>
      <c r="DA44" s="72">
        <v>0.5591666666666667</v>
      </c>
      <c r="DB44" s="72" t="s">
        <v>288</v>
      </c>
      <c r="DC44" s="72">
        <v>18.637333333333334</v>
      </c>
      <c r="DD44" s="72" t="s">
        <v>288</v>
      </c>
      <c r="DE44" s="72">
        <v>0.5551666666666667</v>
      </c>
      <c r="DF44" s="72" t="s">
        <v>288</v>
      </c>
      <c r="DG44" s="72">
        <v>112.92166666666667</v>
      </c>
      <c r="DH44" s="72" t="s">
        <v>288</v>
      </c>
      <c r="DI44" s="72">
        <v>21.088333333333335</v>
      </c>
      <c r="DJ44" s="72" t="s">
        <v>288</v>
      </c>
      <c r="DK44" s="72">
        <v>4.3869999999999996</v>
      </c>
      <c r="DL44" s="72" t="s">
        <v>288</v>
      </c>
      <c r="DM44" s="72">
        <v>1.7246666666666668</v>
      </c>
      <c r="DN44" s="72" t="s">
        <v>288</v>
      </c>
    </row>
    <row r="45" spans="1:118">
      <c r="C45" s="72"/>
      <c r="D45" s="72"/>
      <c r="E45" s="72"/>
      <c r="F45" s="72"/>
      <c r="G45" s="72"/>
      <c r="H45" s="72"/>
      <c r="I45" s="72"/>
      <c r="J45" s="72"/>
      <c r="K45" s="72"/>
      <c r="L45" s="72"/>
      <c r="M45" s="36"/>
      <c r="N45" s="36"/>
      <c r="O45" s="36"/>
      <c r="P45" s="36"/>
      <c r="Q45" s="36"/>
      <c r="R45" s="36"/>
      <c r="S45" s="36"/>
      <c r="T45" s="36"/>
      <c r="U45" s="36"/>
      <c r="V45" s="36"/>
      <c r="W45" s="36"/>
      <c r="X45" s="36"/>
      <c r="Y45" s="36"/>
      <c r="Z45" s="36"/>
      <c r="AA45" s="36"/>
      <c r="AB45" s="36"/>
      <c r="AC45" s="36"/>
      <c r="AD45" s="36"/>
      <c r="AE45" s="36"/>
      <c r="AF45" s="36"/>
      <c r="AG45" s="36"/>
      <c r="AH45" s="36"/>
      <c r="AI45" s="36"/>
      <c r="AJ45" s="36"/>
      <c r="AK45" s="72"/>
      <c r="AL45" s="72"/>
      <c r="AM45" s="72"/>
      <c r="AN45" s="72"/>
      <c r="AO45" s="72"/>
      <c r="AP45" s="72"/>
      <c r="AQ45" s="72"/>
      <c r="AR45" s="72"/>
      <c r="AS45" s="72"/>
      <c r="AT45" s="72"/>
      <c r="AU45" s="130"/>
      <c r="AV45" s="72"/>
      <c r="AW45" s="72"/>
      <c r="AX45" s="72"/>
      <c r="AY45" s="130"/>
      <c r="AZ45" s="72"/>
      <c r="BA45" s="72"/>
      <c r="BB45" s="72"/>
      <c r="BC45" s="72"/>
      <c r="BD45" s="72"/>
      <c r="BE45" s="72"/>
      <c r="BF45" s="72"/>
      <c r="BG45" s="72"/>
      <c r="BH45" s="72"/>
      <c r="BI45" s="72"/>
      <c r="BJ45" s="72"/>
      <c r="BK45" s="72"/>
      <c r="BL45" s="72"/>
      <c r="BM45" s="72"/>
      <c r="BN45" s="72"/>
      <c r="BO45" s="72"/>
      <c r="BP45" s="72"/>
      <c r="BQ45" s="72"/>
      <c r="BR45" s="72"/>
      <c r="BS45" s="72"/>
      <c r="BT45" s="72"/>
      <c r="BU45" s="72"/>
      <c r="BV45" s="72"/>
      <c r="BW45" s="72"/>
      <c r="BX45" s="72"/>
      <c r="BY45" s="72"/>
      <c r="BZ45" s="72"/>
      <c r="CA45" s="72"/>
      <c r="CB45" s="72"/>
      <c r="CC45" s="72"/>
      <c r="CD45" s="72"/>
      <c r="CE45" s="72"/>
      <c r="CF45" s="72"/>
      <c r="CG45" s="72"/>
      <c r="CH45" s="72"/>
      <c r="CI45" s="72"/>
      <c r="CJ45" s="72"/>
      <c r="CK45" s="72"/>
      <c r="CL45" s="72"/>
      <c r="CM45" s="72"/>
      <c r="CN45" s="72"/>
      <c r="CO45" s="72"/>
      <c r="CP45" s="72"/>
      <c r="CQ45" s="72"/>
      <c r="CR45" s="72"/>
      <c r="CS45" s="72"/>
      <c r="CT45" s="72"/>
      <c r="CU45" s="72"/>
      <c r="CV45" s="72"/>
      <c r="CW45" s="72"/>
      <c r="CX45" s="72"/>
      <c r="CY45" s="72"/>
      <c r="CZ45" s="72"/>
      <c r="DA45" s="72"/>
      <c r="DB45" s="72"/>
      <c r="DC45" s="72"/>
      <c r="DD45" s="72"/>
      <c r="DE45" s="72"/>
      <c r="DF45" s="72"/>
      <c r="DG45" s="72"/>
      <c r="DH45" s="72"/>
      <c r="DI45" s="72"/>
      <c r="DJ45" s="72"/>
      <c r="DK45" s="72"/>
      <c r="DL45" s="72"/>
      <c r="DM45" s="72"/>
      <c r="DN45" s="72"/>
    </row>
    <row r="46" spans="1:118">
      <c r="A46" s="17" t="s">
        <v>710</v>
      </c>
      <c r="B46" s="47" t="s">
        <v>697</v>
      </c>
      <c r="C46" s="72">
        <v>0.24499795835050109</v>
      </c>
      <c r="D46" s="72" t="s">
        <v>288</v>
      </c>
      <c r="E46" s="72">
        <v>3.3</v>
      </c>
      <c r="F46" s="72" t="s">
        <v>288</v>
      </c>
      <c r="G46" s="72">
        <v>7.3565000000000005E-2</v>
      </c>
      <c r="H46" s="72" t="s">
        <v>288</v>
      </c>
      <c r="I46" s="72">
        <v>2.7</v>
      </c>
      <c r="J46" s="72" t="s">
        <v>288</v>
      </c>
      <c r="K46" s="72">
        <v>0.28999999999999998</v>
      </c>
      <c r="L46" s="72" t="s">
        <v>288</v>
      </c>
      <c r="M46" s="36">
        <v>406</v>
      </c>
      <c r="N46" s="36" t="s">
        <v>288</v>
      </c>
      <c r="O46" s="36">
        <v>967</v>
      </c>
      <c r="P46" s="36" t="s">
        <v>288</v>
      </c>
      <c r="Q46" s="36">
        <v>5717</v>
      </c>
      <c r="R46" s="36" t="s">
        <v>288</v>
      </c>
      <c r="S46" s="36">
        <v>70</v>
      </c>
      <c r="T46" s="36" t="s">
        <v>288</v>
      </c>
      <c r="U46" s="36">
        <v>27</v>
      </c>
      <c r="V46" s="36" t="s">
        <v>288</v>
      </c>
      <c r="W46" s="36">
        <v>1070</v>
      </c>
      <c r="X46" s="36" t="s">
        <v>288</v>
      </c>
      <c r="Y46" s="36">
        <v>1190</v>
      </c>
      <c r="Z46" s="36" t="s">
        <v>288</v>
      </c>
      <c r="AA46" s="36">
        <v>152.9</v>
      </c>
      <c r="AB46" s="36" t="s">
        <v>288</v>
      </c>
      <c r="AC46" s="36">
        <v>16</v>
      </c>
      <c r="AD46" s="36" t="s">
        <v>288</v>
      </c>
      <c r="AE46" s="36">
        <v>67.099999999999994</v>
      </c>
      <c r="AF46" s="36" t="s">
        <v>288</v>
      </c>
      <c r="AG46" s="36">
        <v>102</v>
      </c>
      <c r="AH46" s="36" t="s">
        <v>288</v>
      </c>
      <c r="AI46" s="36">
        <v>7469</v>
      </c>
      <c r="AJ46" s="36" t="s">
        <v>288</v>
      </c>
      <c r="AK46" s="72">
        <v>2.9119999999999999</v>
      </c>
      <c r="AL46" s="72" t="s">
        <v>288</v>
      </c>
      <c r="AM46" s="72">
        <v>7.08</v>
      </c>
      <c r="AN46" s="72" t="s">
        <v>288</v>
      </c>
      <c r="AO46" s="72">
        <v>9.07</v>
      </c>
      <c r="AP46" s="72" t="s">
        <v>288</v>
      </c>
      <c r="AQ46" s="72">
        <v>27</v>
      </c>
      <c r="AR46" s="72" t="s">
        <v>288</v>
      </c>
      <c r="AS46" s="72">
        <v>1.51</v>
      </c>
      <c r="AT46" s="72" t="s">
        <v>288</v>
      </c>
      <c r="AU46" s="130">
        <v>19.3</v>
      </c>
      <c r="AV46" s="72" t="s">
        <v>288</v>
      </c>
      <c r="AW46" s="72">
        <v>0.04</v>
      </c>
      <c r="AX46" s="72" t="s">
        <v>288</v>
      </c>
      <c r="AY46" s="130">
        <v>5.0999999999999996</v>
      </c>
      <c r="AZ46" s="72" t="s">
        <v>288</v>
      </c>
      <c r="BA46" s="72">
        <v>8.3699999999999992</v>
      </c>
      <c r="BB46" s="72" t="s">
        <v>288</v>
      </c>
      <c r="BC46" s="72">
        <v>1.5580000000000001</v>
      </c>
      <c r="BD46" s="72" t="s">
        <v>288</v>
      </c>
      <c r="BE46" s="72">
        <v>9.5500000000000007</v>
      </c>
      <c r="BF46" s="72" t="s">
        <v>288</v>
      </c>
      <c r="BG46" s="72">
        <v>1.0960000000000001</v>
      </c>
      <c r="BH46" s="72" t="s">
        <v>288</v>
      </c>
      <c r="BI46" s="72">
        <v>0.59</v>
      </c>
      <c r="BJ46" s="72" t="s">
        <v>288</v>
      </c>
      <c r="BK46" s="72">
        <v>5.6000000000000001E-2</v>
      </c>
      <c r="BL46" s="72" t="s">
        <v>288</v>
      </c>
      <c r="BM46" s="72">
        <v>3.5000000000000003E-2</v>
      </c>
      <c r="BN46" s="72" t="s">
        <v>288</v>
      </c>
      <c r="BO46" s="72">
        <v>0.15</v>
      </c>
      <c r="BP46" s="72" t="s">
        <v>288</v>
      </c>
      <c r="BQ46" s="72">
        <v>0.129</v>
      </c>
      <c r="BR46" s="72" t="s">
        <v>288</v>
      </c>
      <c r="BS46" s="72">
        <v>0.47699999999999998</v>
      </c>
      <c r="BT46" s="72" t="s">
        <v>288</v>
      </c>
      <c r="BU46" s="72">
        <v>67.760000000000005</v>
      </c>
      <c r="BV46" s="72" t="s">
        <v>288</v>
      </c>
      <c r="BW46" s="72">
        <v>3.0739999999999998</v>
      </c>
      <c r="BX46" s="72" t="s">
        <v>288</v>
      </c>
      <c r="BY46" s="72">
        <v>9.641</v>
      </c>
      <c r="BZ46" s="72" t="s">
        <v>288</v>
      </c>
      <c r="CA46" s="72">
        <v>0.70899999999999996</v>
      </c>
      <c r="CB46" s="72" t="s">
        <v>288</v>
      </c>
      <c r="CC46" s="72">
        <v>2.58</v>
      </c>
      <c r="CD46" s="72" t="s">
        <v>288</v>
      </c>
      <c r="CE46" s="72">
        <v>0.53500000000000003</v>
      </c>
      <c r="CF46" s="72" t="s">
        <v>288</v>
      </c>
      <c r="CG46" s="72">
        <v>0.122</v>
      </c>
      <c r="CH46" s="72" t="s">
        <v>288</v>
      </c>
      <c r="CI46" s="72">
        <v>0.41099999999999998</v>
      </c>
      <c r="CJ46" s="72" t="s">
        <v>288</v>
      </c>
      <c r="CK46" s="72">
        <v>6.4000000000000001E-2</v>
      </c>
      <c r="CL46" s="72" t="s">
        <v>288</v>
      </c>
      <c r="CM46" s="72">
        <v>0.34399999999999997</v>
      </c>
      <c r="CN46" s="72" t="s">
        <v>288</v>
      </c>
      <c r="CO46" s="72">
        <v>6.6000000000000003E-2</v>
      </c>
      <c r="CP46" s="72" t="s">
        <v>288</v>
      </c>
      <c r="CQ46" s="72">
        <v>0.183</v>
      </c>
      <c r="CR46" s="72" t="s">
        <v>288</v>
      </c>
      <c r="CS46" s="72">
        <v>2.5999999999999999E-2</v>
      </c>
      <c r="CT46" s="72" t="s">
        <v>288</v>
      </c>
      <c r="CU46" s="72">
        <v>0.16800000000000001</v>
      </c>
      <c r="CV46" s="72" t="s">
        <v>288</v>
      </c>
      <c r="CW46" s="72">
        <v>2.5000000000000001E-2</v>
      </c>
      <c r="CX46" s="72" t="s">
        <v>288</v>
      </c>
      <c r="CY46" s="72">
        <v>0.26600000000000001</v>
      </c>
      <c r="CZ46" s="72" t="s">
        <v>288</v>
      </c>
      <c r="DA46" s="72">
        <v>5.8999999999999997E-2</v>
      </c>
      <c r="DB46" s="72" t="s">
        <v>288</v>
      </c>
      <c r="DC46" s="72">
        <v>0.72699999999999998</v>
      </c>
      <c r="DD46" s="72" t="s">
        <v>288</v>
      </c>
      <c r="DE46" s="72">
        <v>8.1000000000000003E-2</v>
      </c>
      <c r="DF46" s="72" t="s">
        <v>288</v>
      </c>
      <c r="DG46" s="72">
        <v>8.1999999999999993</v>
      </c>
      <c r="DH46" s="72" t="s">
        <v>288</v>
      </c>
      <c r="DI46" s="72">
        <v>0.24</v>
      </c>
      <c r="DJ46" s="72" t="s">
        <v>288</v>
      </c>
      <c r="DK46" s="72">
        <v>0.82899999999999996</v>
      </c>
      <c r="DL46" s="72" t="s">
        <v>288</v>
      </c>
      <c r="DM46" s="72">
        <v>0.36499999999999999</v>
      </c>
      <c r="DN46" s="72" t="s">
        <v>288</v>
      </c>
    </row>
    <row r="47" spans="1:118">
      <c r="B47" s="47" t="s">
        <v>698</v>
      </c>
      <c r="C47" s="72">
        <v>4.0481400437639525</v>
      </c>
      <c r="D47" s="72" t="s">
        <v>288</v>
      </c>
      <c r="E47" s="72">
        <v>8.51</v>
      </c>
      <c r="F47" s="72" t="s">
        <v>288</v>
      </c>
      <c r="G47" s="72">
        <v>144.67769999999999</v>
      </c>
      <c r="H47" s="72" t="s">
        <v>288</v>
      </c>
      <c r="I47" s="72">
        <v>35.700000000000003</v>
      </c>
      <c r="J47" s="72" t="s">
        <v>288</v>
      </c>
      <c r="K47" s="72">
        <v>2.44</v>
      </c>
      <c r="L47" s="72" t="s">
        <v>288</v>
      </c>
      <c r="M47" s="36">
        <v>18700</v>
      </c>
      <c r="N47" s="36" t="s">
        <v>288</v>
      </c>
      <c r="O47" s="36">
        <v>20546</v>
      </c>
      <c r="P47" s="36" t="s">
        <v>288</v>
      </c>
      <c r="Q47" s="36">
        <v>75922</v>
      </c>
      <c r="R47" s="36" t="s">
        <v>288</v>
      </c>
      <c r="S47" s="36">
        <v>1285</v>
      </c>
      <c r="T47" s="36" t="s">
        <v>288</v>
      </c>
      <c r="U47" s="36">
        <v>255614</v>
      </c>
      <c r="V47" s="36" t="s">
        <v>288</v>
      </c>
      <c r="W47" s="36">
        <v>22953</v>
      </c>
      <c r="X47" s="36" t="s">
        <v>288</v>
      </c>
      <c r="Y47" s="36">
        <v>43041</v>
      </c>
      <c r="Z47" s="36" t="s">
        <v>288</v>
      </c>
      <c r="AA47" s="36">
        <v>4510.8</v>
      </c>
      <c r="AB47" s="36" t="s">
        <v>288</v>
      </c>
      <c r="AC47" s="36">
        <v>297.5</v>
      </c>
      <c r="AD47" s="36" t="s">
        <v>288</v>
      </c>
      <c r="AE47" s="36">
        <v>1244.5999999999999</v>
      </c>
      <c r="AF47" s="36" t="s">
        <v>288</v>
      </c>
      <c r="AG47" s="36">
        <v>3711.9</v>
      </c>
      <c r="AH47" s="36" t="s">
        <v>288</v>
      </c>
      <c r="AI47" s="36">
        <v>353081</v>
      </c>
      <c r="AJ47" s="36" t="s">
        <v>288</v>
      </c>
      <c r="AK47" s="72">
        <v>403.96</v>
      </c>
      <c r="AL47" s="72" t="s">
        <v>288</v>
      </c>
      <c r="AM47" s="72">
        <v>641.96</v>
      </c>
      <c r="AN47" s="72" t="s">
        <v>288</v>
      </c>
      <c r="AO47" s="72">
        <v>2634.04</v>
      </c>
      <c r="AP47" s="72" t="s">
        <v>288</v>
      </c>
      <c r="AQ47" s="72">
        <v>1144</v>
      </c>
      <c r="AR47" s="72" t="s">
        <v>288</v>
      </c>
      <c r="AS47" s="72">
        <v>18.510000000000002</v>
      </c>
      <c r="AT47" s="72" t="s">
        <v>288</v>
      </c>
      <c r="AU47" s="130">
        <v>95239.4</v>
      </c>
      <c r="AV47" s="72" t="s">
        <v>288</v>
      </c>
      <c r="AW47" s="72">
        <v>23.19</v>
      </c>
      <c r="AX47" s="72" t="s">
        <v>288</v>
      </c>
      <c r="AY47" s="130">
        <v>101.71</v>
      </c>
      <c r="AZ47" s="72" t="s">
        <v>288</v>
      </c>
      <c r="BA47" s="72">
        <v>511.1</v>
      </c>
      <c r="BB47" s="72" t="s">
        <v>288</v>
      </c>
      <c r="BC47" s="72">
        <v>21.798999999999999</v>
      </c>
      <c r="BD47" s="72" t="s">
        <v>288</v>
      </c>
      <c r="BE47" s="72">
        <v>165.93</v>
      </c>
      <c r="BF47" s="72" t="s">
        <v>288</v>
      </c>
      <c r="BG47" s="72">
        <v>25.398</v>
      </c>
      <c r="BH47" s="72" t="s">
        <v>288</v>
      </c>
      <c r="BI47" s="72">
        <v>20.87</v>
      </c>
      <c r="BJ47" s="72" t="s">
        <v>288</v>
      </c>
      <c r="BK47" s="72">
        <v>55.286000000000001</v>
      </c>
      <c r="BL47" s="72" t="s">
        <v>288</v>
      </c>
      <c r="BM47" s="72">
        <v>14.455</v>
      </c>
      <c r="BN47" s="72" t="s">
        <v>288</v>
      </c>
      <c r="BO47" s="72">
        <v>16.68</v>
      </c>
      <c r="BP47" s="72" t="s">
        <v>288</v>
      </c>
      <c r="BQ47" s="72">
        <v>153.99</v>
      </c>
      <c r="BR47" s="72" t="s">
        <v>288</v>
      </c>
      <c r="BS47" s="72">
        <v>7.3</v>
      </c>
      <c r="BT47" s="72" t="s">
        <v>288</v>
      </c>
      <c r="BU47" s="72">
        <v>616.29</v>
      </c>
      <c r="BV47" s="72" t="s">
        <v>288</v>
      </c>
      <c r="BW47" s="72">
        <v>39.005000000000003</v>
      </c>
      <c r="BX47" s="72" t="s">
        <v>288</v>
      </c>
      <c r="BY47" s="72">
        <v>140.447</v>
      </c>
      <c r="BZ47" s="72" t="s">
        <v>288</v>
      </c>
      <c r="CA47" s="72">
        <v>7.6210000000000004</v>
      </c>
      <c r="CB47" s="72" t="s">
        <v>288</v>
      </c>
      <c r="CC47" s="72">
        <v>31.18</v>
      </c>
      <c r="CD47" s="72" t="s">
        <v>288</v>
      </c>
      <c r="CE47" s="72">
        <v>5.5179999999999998</v>
      </c>
      <c r="CF47" s="72" t="s">
        <v>288</v>
      </c>
      <c r="CG47" s="72">
        <v>1.5620000000000001</v>
      </c>
      <c r="CH47" s="72" t="s">
        <v>288</v>
      </c>
      <c r="CI47" s="72">
        <v>4.6509999999999998</v>
      </c>
      <c r="CJ47" s="72" t="s">
        <v>288</v>
      </c>
      <c r="CK47" s="72">
        <v>0.74199999999999999</v>
      </c>
      <c r="CL47" s="72" t="s">
        <v>288</v>
      </c>
      <c r="CM47" s="72">
        <v>4.4020000000000001</v>
      </c>
      <c r="CN47" s="72" t="s">
        <v>288</v>
      </c>
      <c r="CO47" s="72">
        <v>0.85699999999999998</v>
      </c>
      <c r="CP47" s="72" t="s">
        <v>288</v>
      </c>
      <c r="CQ47" s="72">
        <v>2.4300000000000002</v>
      </c>
      <c r="CR47" s="72" t="s">
        <v>288</v>
      </c>
      <c r="CS47" s="72">
        <v>0.36299999999999999</v>
      </c>
      <c r="CT47" s="72" t="s">
        <v>288</v>
      </c>
      <c r="CU47" s="72">
        <v>2.34</v>
      </c>
      <c r="CV47" s="72" t="s">
        <v>288</v>
      </c>
      <c r="CW47" s="72">
        <v>0.35399999999999998</v>
      </c>
      <c r="CX47" s="72" t="s">
        <v>288</v>
      </c>
      <c r="CY47" s="72">
        <v>4.1609999999999996</v>
      </c>
      <c r="CZ47" s="72" t="s">
        <v>288</v>
      </c>
      <c r="DA47" s="72">
        <v>1.3560000000000001</v>
      </c>
      <c r="DB47" s="72" t="s">
        <v>288</v>
      </c>
      <c r="DC47" s="72">
        <v>125.804</v>
      </c>
      <c r="DD47" s="72" t="s">
        <v>288</v>
      </c>
      <c r="DE47" s="72">
        <v>22</v>
      </c>
      <c r="DF47" s="72" t="s">
        <v>288</v>
      </c>
      <c r="DG47" s="72">
        <v>6453.5</v>
      </c>
      <c r="DH47" s="72" t="s">
        <v>288</v>
      </c>
      <c r="DI47" s="72">
        <v>76.03</v>
      </c>
      <c r="DJ47" s="72" t="s">
        <v>288</v>
      </c>
      <c r="DK47" s="72">
        <v>8.968</v>
      </c>
      <c r="DL47" s="72" t="s">
        <v>288</v>
      </c>
      <c r="DM47" s="72">
        <v>5.0819999999999999</v>
      </c>
      <c r="DN47" s="72" t="s">
        <v>288</v>
      </c>
    </row>
    <row r="48" spans="1:118">
      <c r="B48" s="47" t="s">
        <v>699</v>
      </c>
      <c r="C48" s="72">
        <v>0.44854820175520316</v>
      </c>
      <c r="D48" s="72" t="s">
        <v>288</v>
      </c>
      <c r="E48" s="72">
        <v>6.2524999999999995</v>
      </c>
      <c r="F48" s="72" t="s">
        <v>288</v>
      </c>
      <c r="G48" s="72">
        <v>0.604715</v>
      </c>
      <c r="H48" s="72" t="s">
        <v>288</v>
      </c>
      <c r="I48" s="72">
        <v>10.3</v>
      </c>
      <c r="J48" s="72" t="s">
        <v>288</v>
      </c>
      <c r="K48" s="72">
        <v>0.56999999999999995</v>
      </c>
      <c r="L48" s="72" t="s">
        <v>288</v>
      </c>
      <c r="M48" s="36">
        <v>2144</v>
      </c>
      <c r="N48" s="36" t="s">
        <v>288</v>
      </c>
      <c r="O48" s="36">
        <v>2805</v>
      </c>
      <c r="P48" s="36" t="s">
        <v>288</v>
      </c>
      <c r="Q48" s="36">
        <v>24631</v>
      </c>
      <c r="R48" s="36" t="s">
        <v>288</v>
      </c>
      <c r="S48" s="36">
        <v>114</v>
      </c>
      <c r="T48" s="36" t="s">
        <v>288</v>
      </c>
      <c r="U48" s="36">
        <v>429</v>
      </c>
      <c r="V48" s="36" t="s">
        <v>288</v>
      </c>
      <c r="W48" s="36">
        <v>9443</v>
      </c>
      <c r="X48" s="36" t="s">
        <v>288</v>
      </c>
      <c r="Y48" s="36">
        <v>1942</v>
      </c>
      <c r="Z48" s="36" t="s">
        <v>288</v>
      </c>
      <c r="AA48" s="36">
        <v>730.5</v>
      </c>
      <c r="AB48" s="36" t="s">
        <v>288</v>
      </c>
      <c r="AC48" s="36">
        <v>24.7</v>
      </c>
      <c r="AD48" s="36" t="s">
        <v>288</v>
      </c>
      <c r="AE48" s="36">
        <v>78.400000000000006</v>
      </c>
      <c r="AF48" s="36" t="s">
        <v>288</v>
      </c>
      <c r="AG48" s="36">
        <v>388.8</v>
      </c>
      <c r="AH48" s="36" t="s">
        <v>288</v>
      </c>
      <c r="AI48" s="36">
        <v>11244</v>
      </c>
      <c r="AJ48" s="36" t="s">
        <v>288</v>
      </c>
      <c r="AK48" s="72">
        <v>10.417</v>
      </c>
      <c r="AL48" s="72" t="s">
        <v>288</v>
      </c>
      <c r="AM48" s="72">
        <v>17.170000000000002</v>
      </c>
      <c r="AN48" s="72" t="s">
        <v>288</v>
      </c>
      <c r="AO48" s="72">
        <v>15.07</v>
      </c>
      <c r="AP48" s="72" t="s">
        <v>288</v>
      </c>
      <c r="AQ48" s="72">
        <v>40</v>
      </c>
      <c r="AR48" s="72" t="s">
        <v>288</v>
      </c>
      <c r="AS48" s="72">
        <v>5.73</v>
      </c>
      <c r="AT48" s="72" t="s">
        <v>288</v>
      </c>
      <c r="AU48" s="130">
        <v>51.4</v>
      </c>
      <c r="AV48" s="72" t="s">
        <v>288</v>
      </c>
      <c r="AW48" s="72">
        <v>0.16</v>
      </c>
      <c r="AX48" s="72" t="s">
        <v>288</v>
      </c>
      <c r="AY48" s="130">
        <v>36.72</v>
      </c>
      <c r="AZ48" s="72" t="s">
        <v>288</v>
      </c>
      <c r="BA48" s="72">
        <v>34.630000000000003</v>
      </c>
      <c r="BB48" s="72" t="s">
        <v>288</v>
      </c>
      <c r="BC48" s="72">
        <v>5.2009999999999996</v>
      </c>
      <c r="BD48" s="72" t="s">
        <v>288</v>
      </c>
      <c r="BE48" s="72">
        <v>33.880000000000003</v>
      </c>
      <c r="BF48" s="72" t="s">
        <v>288</v>
      </c>
      <c r="BG48" s="72">
        <v>2.2679999999999998</v>
      </c>
      <c r="BH48" s="72" t="s">
        <v>288</v>
      </c>
      <c r="BI48" s="72">
        <v>0.99</v>
      </c>
      <c r="BJ48" s="72" t="s">
        <v>288</v>
      </c>
      <c r="BK48" s="72">
        <v>0.27100000000000002</v>
      </c>
      <c r="BL48" s="72" t="s">
        <v>288</v>
      </c>
      <c r="BM48" s="72">
        <v>0.127</v>
      </c>
      <c r="BN48" s="72" t="s">
        <v>288</v>
      </c>
      <c r="BO48" s="72">
        <v>0.56999999999999995</v>
      </c>
      <c r="BP48" s="72" t="s">
        <v>288</v>
      </c>
      <c r="BQ48" s="72">
        <v>0.877</v>
      </c>
      <c r="BR48" s="72" t="s">
        <v>288</v>
      </c>
      <c r="BS48" s="72">
        <v>1.429</v>
      </c>
      <c r="BT48" s="72" t="s">
        <v>288</v>
      </c>
      <c r="BU48" s="72">
        <v>221.85</v>
      </c>
      <c r="BV48" s="72" t="s">
        <v>288</v>
      </c>
      <c r="BW48" s="72">
        <v>13.723000000000001</v>
      </c>
      <c r="BX48" s="72" t="s">
        <v>288</v>
      </c>
      <c r="BY48" s="72">
        <v>32.427</v>
      </c>
      <c r="BZ48" s="72" t="s">
        <v>288</v>
      </c>
      <c r="CA48" s="72">
        <v>2.556</v>
      </c>
      <c r="CB48" s="72" t="s">
        <v>288</v>
      </c>
      <c r="CC48" s="72">
        <v>8.84</v>
      </c>
      <c r="CD48" s="72" t="s">
        <v>288</v>
      </c>
      <c r="CE48" s="72">
        <v>1.514</v>
      </c>
      <c r="CF48" s="72" t="s">
        <v>288</v>
      </c>
      <c r="CG48" s="72">
        <v>0.36699999999999999</v>
      </c>
      <c r="CH48" s="72" t="s">
        <v>288</v>
      </c>
      <c r="CI48" s="72">
        <v>1.1830000000000001</v>
      </c>
      <c r="CJ48" s="72" t="s">
        <v>288</v>
      </c>
      <c r="CK48" s="72">
        <v>0.17299999999999999</v>
      </c>
      <c r="CL48" s="72" t="s">
        <v>288</v>
      </c>
      <c r="CM48" s="72">
        <v>1</v>
      </c>
      <c r="CN48" s="72" t="s">
        <v>288</v>
      </c>
      <c r="CO48" s="72">
        <v>0.2</v>
      </c>
      <c r="CP48" s="72" t="s">
        <v>288</v>
      </c>
      <c r="CQ48" s="72">
        <v>0.56299999999999994</v>
      </c>
      <c r="CR48" s="72" t="s">
        <v>288</v>
      </c>
      <c r="CS48" s="72">
        <v>8.5999999999999993E-2</v>
      </c>
      <c r="CT48" s="72" t="s">
        <v>288</v>
      </c>
      <c r="CU48" s="72">
        <v>0.53600000000000003</v>
      </c>
      <c r="CV48" s="72" t="s">
        <v>288</v>
      </c>
      <c r="CW48" s="72">
        <v>0.08</v>
      </c>
      <c r="CX48" s="72" t="s">
        <v>288</v>
      </c>
      <c r="CY48" s="72">
        <v>1.1379999999999999</v>
      </c>
      <c r="CZ48" s="72" t="s">
        <v>288</v>
      </c>
      <c r="DA48" s="72">
        <v>0.17</v>
      </c>
      <c r="DB48" s="72" t="s">
        <v>288</v>
      </c>
      <c r="DC48" s="72">
        <v>1.9390000000000001</v>
      </c>
      <c r="DD48" s="72" t="s">
        <v>288</v>
      </c>
      <c r="DE48" s="72">
        <v>0.188</v>
      </c>
      <c r="DF48" s="72" t="s">
        <v>288</v>
      </c>
      <c r="DG48" s="72">
        <v>27.8</v>
      </c>
      <c r="DH48" s="72" t="s">
        <v>288</v>
      </c>
      <c r="DI48" s="72">
        <v>1.08</v>
      </c>
      <c r="DJ48" s="72" t="s">
        <v>288</v>
      </c>
      <c r="DK48" s="72">
        <v>2.4750000000000001</v>
      </c>
      <c r="DL48" s="72" t="s">
        <v>288</v>
      </c>
      <c r="DM48" s="72">
        <v>0.59899999999999998</v>
      </c>
      <c r="DN48" s="72" t="s">
        <v>288</v>
      </c>
    </row>
    <row r="49" spans="1:175">
      <c r="B49" s="47" t="s">
        <v>700</v>
      </c>
      <c r="C49" s="72">
        <v>0.91939193122049012</v>
      </c>
      <c r="D49" s="72" t="s">
        <v>288</v>
      </c>
      <c r="E49" s="72">
        <v>6.665</v>
      </c>
      <c r="F49" s="72" t="s">
        <v>288</v>
      </c>
      <c r="G49" s="72">
        <v>1.5455449999999999</v>
      </c>
      <c r="H49" s="72" t="s">
        <v>288</v>
      </c>
      <c r="I49" s="72">
        <v>12.7</v>
      </c>
      <c r="J49" s="72" t="s">
        <v>288</v>
      </c>
      <c r="K49" s="72">
        <v>0.89</v>
      </c>
      <c r="L49" s="72" t="s">
        <v>288</v>
      </c>
      <c r="M49" s="36">
        <v>7784</v>
      </c>
      <c r="N49" s="36" t="s">
        <v>288</v>
      </c>
      <c r="O49" s="36">
        <v>7016</v>
      </c>
      <c r="P49" s="36" t="s">
        <v>288</v>
      </c>
      <c r="Q49" s="36">
        <v>54142</v>
      </c>
      <c r="R49" s="36" t="s">
        <v>288</v>
      </c>
      <c r="S49" s="36">
        <v>405</v>
      </c>
      <c r="T49" s="36" t="s">
        <v>288</v>
      </c>
      <c r="U49" s="36">
        <v>1526</v>
      </c>
      <c r="V49" s="36" t="s">
        <v>288</v>
      </c>
      <c r="W49" s="36">
        <v>11470</v>
      </c>
      <c r="X49" s="36" t="s">
        <v>288</v>
      </c>
      <c r="Y49" s="36">
        <v>10344</v>
      </c>
      <c r="Z49" s="36" t="s">
        <v>288</v>
      </c>
      <c r="AA49" s="36">
        <v>1932.2</v>
      </c>
      <c r="AB49" s="36" t="s">
        <v>288</v>
      </c>
      <c r="AC49" s="36">
        <v>79.2</v>
      </c>
      <c r="AD49" s="36" t="s">
        <v>288</v>
      </c>
      <c r="AE49" s="36">
        <v>141.69999999999999</v>
      </c>
      <c r="AF49" s="36" t="s">
        <v>288</v>
      </c>
      <c r="AG49" s="36">
        <v>754</v>
      </c>
      <c r="AH49" s="36" t="s">
        <v>288</v>
      </c>
      <c r="AI49" s="36">
        <v>32569</v>
      </c>
      <c r="AJ49" s="36" t="s">
        <v>288</v>
      </c>
      <c r="AK49" s="72">
        <v>20.853000000000002</v>
      </c>
      <c r="AL49" s="72" t="s">
        <v>288</v>
      </c>
      <c r="AM49" s="72">
        <v>50.31</v>
      </c>
      <c r="AN49" s="72" t="s">
        <v>288</v>
      </c>
      <c r="AO49" s="72">
        <v>51.68</v>
      </c>
      <c r="AP49" s="72" t="s">
        <v>288</v>
      </c>
      <c r="AQ49" s="72">
        <v>91</v>
      </c>
      <c r="AR49" s="72" t="s">
        <v>288</v>
      </c>
      <c r="AS49" s="72">
        <v>12.01</v>
      </c>
      <c r="AT49" s="72" t="s">
        <v>288</v>
      </c>
      <c r="AU49" s="130">
        <v>531.9</v>
      </c>
      <c r="AV49" s="72" t="s">
        <v>288</v>
      </c>
      <c r="AW49" s="72">
        <v>0.24</v>
      </c>
      <c r="AX49" s="72" t="s">
        <v>288</v>
      </c>
      <c r="AY49" s="130">
        <v>47.73</v>
      </c>
      <c r="AZ49" s="72" t="s">
        <v>288</v>
      </c>
      <c r="BA49" s="72">
        <v>115.14</v>
      </c>
      <c r="BB49" s="72" t="s">
        <v>288</v>
      </c>
      <c r="BC49" s="72">
        <v>8.8350000000000009</v>
      </c>
      <c r="BD49" s="72" t="s">
        <v>288</v>
      </c>
      <c r="BE49" s="72">
        <v>47.8</v>
      </c>
      <c r="BF49" s="72" t="s">
        <v>288</v>
      </c>
      <c r="BG49" s="72">
        <v>4.2590000000000003</v>
      </c>
      <c r="BH49" s="72" t="s">
        <v>288</v>
      </c>
      <c r="BI49" s="72">
        <v>1.17</v>
      </c>
      <c r="BJ49" s="72" t="s">
        <v>288</v>
      </c>
      <c r="BK49" s="72">
        <v>0.82899999999999996</v>
      </c>
      <c r="BL49" s="72" t="s">
        <v>288</v>
      </c>
      <c r="BM49" s="72">
        <v>0.16400000000000001</v>
      </c>
      <c r="BN49" s="72" t="s">
        <v>288</v>
      </c>
      <c r="BO49" s="72">
        <v>0.85</v>
      </c>
      <c r="BP49" s="72" t="s">
        <v>288</v>
      </c>
      <c r="BQ49" s="72">
        <v>1.502</v>
      </c>
      <c r="BR49" s="72" t="s">
        <v>288</v>
      </c>
      <c r="BS49" s="72">
        <v>2.1269999999999998</v>
      </c>
      <c r="BT49" s="72" t="s">
        <v>288</v>
      </c>
      <c r="BU49" s="72">
        <v>349.23</v>
      </c>
      <c r="BV49" s="72" t="s">
        <v>288</v>
      </c>
      <c r="BW49" s="72">
        <v>19.815999999999999</v>
      </c>
      <c r="BX49" s="72" t="s">
        <v>288</v>
      </c>
      <c r="BY49" s="72">
        <v>46.793999999999997</v>
      </c>
      <c r="BZ49" s="72" t="s">
        <v>288</v>
      </c>
      <c r="CA49" s="72">
        <v>4.07</v>
      </c>
      <c r="CB49" s="72" t="s">
        <v>288</v>
      </c>
      <c r="CC49" s="72">
        <v>15.88</v>
      </c>
      <c r="CD49" s="72" t="s">
        <v>288</v>
      </c>
      <c r="CE49" s="72">
        <v>3.1059999999999999</v>
      </c>
      <c r="CF49" s="72" t="s">
        <v>288</v>
      </c>
      <c r="CG49" s="72">
        <v>0.745</v>
      </c>
      <c r="CH49" s="72" t="s">
        <v>288</v>
      </c>
      <c r="CI49" s="72">
        <v>2.2989999999999999</v>
      </c>
      <c r="CJ49" s="72" t="s">
        <v>288</v>
      </c>
      <c r="CK49" s="72">
        <v>0.33</v>
      </c>
      <c r="CL49" s="72" t="s">
        <v>288</v>
      </c>
      <c r="CM49" s="72">
        <v>1.925</v>
      </c>
      <c r="CN49" s="72" t="s">
        <v>288</v>
      </c>
      <c r="CO49" s="72">
        <v>0.34799999999999998</v>
      </c>
      <c r="CP49" s="72" t="s">
        <v>288</v>
      </c>
      <c r="CQ49" s="72">
        <v>0.879</v>
      </c>
      <c r="CR49" s="72" t="s">
        <v>288</v>
      </c>
      <c r="CS49" s="72">
        <v>0.12</v>
      </c>
      <c r="CT49" s="72" t="s">
        <v>288</v>
      </c>
      <c r="CU49" s="72">
        <v>0.73799999999999999</v>
      </c>
      <c r="CV49" s="72" t="s">
        <v>288</v>
      </c>
      <c r="CW49" s="72">
        <v>0.105</v>
      </c>
      <c r="CX49" s="72" t="s">
        <v>288</v>
      </c>
      <c r="CY49" s="72">
        <v>1.375</v>
      </c>
      <c r="CZ49" s="72" t="s">
        <v>288</v>
      </c>
      <c r="DA49" s="72">
        <v>0.27800000000000002</v>
      </c>
      <c r="DB49" s="72" t="s">
        <v>288</v>
      </c>
      <c r="DC49" s="72">
        <v>7.9560000000000004</v>
      </c>
      <c r="DD49" s="72" t="s">
        <v>288</v>
      </c>
      <c r="DE49" s="72">
        <v>0.27</v>
      </c>
      <c r="DF49" s="72" t="s">
        <v>288</v>
      </c>
      <c r="DG49" s="72">
        <v>40.5</v>
      </c>
      <c r="DH49" s="72" t="s">
        <v>288</v>
      </c>
      <c r="DI49" s="72">
        <v>3.9</v>
      </c>
      <c r="DJ49" s="72" t="s">
        <v>288</v>
      </c>
      <c r="DK49" s="72">
        <v>3.3839999999999999</v>
      </c>
      <c r="DL49" s="72" t="s">
        <v>288</v>
      </c>
      <c r="DM49" s="72">
        <v>1.1779999999999999</v>
      </c>
      <c r="DN49" s="72" t="s">
        <v>288</v>
      </c>
    </row>
    <row r="50" spans="1:175">
      <c r="B50" s="47" t="s">
        <v>701</v>
      </c>
      <c r="C50" s="72">
        <v>3.6949285888190508</v>
      </c>
      <c r="D50" s="72" t="s">
        <v>288</v>
      </c>
      <c r="E50" s="72">
        <v>8.0564999999999998</v>
      </c>
      <c r="F50" s="72" t="s">
        <v>288</v>
      </c>
      <c r="G50" s="72">
        <v>68.163336249999958</v>
      </c>
      <c r="H50" s="72" t="s">
        <v>288</v>
      </c>
      <c r="I50" s="72">
        <v>28.199999999999989</v>
      </c>
      <c r="J50" s="72" t="s">
        <v>288</v>
      </c>
      <c r="K50" s="72">
        <v>1.9759999999999991</v>
      </c>
      <c r="L50" s="72" t="s">
        <v>288</v>
      </c>
      <c r="M50" s="36">
        <v>18425.399999999998</v>
      </c>
      <c r="N50" s="36" t="s">
        <v>288</v>
      </c>
      <c r="O50" s="36">
        <v>17871.399999999998</v>
      </c>
      <c r="P50" s="36" t="s">
        <v>288</v>
      </c>
      <c r="Q50" s="36">
        <v>75743.399999999994</v>
      </c>
      <c r="R50" s="36" t="s">
        <v>288</v>
      </c>
      <c r="S50" s="36">
        <v>1204.5999999999999</v>
      </c>
      <c r="T50" s="36" t="s">
        <v>288</v>
      </c>
      <c r="U50" s="36">
        <v>11112.399999999992</v>
      </c>
      <c r="V50" s="36" t="s">
        <v>288</v>
      </c>
      <c r="W50" s="36">
        <v>21735.599999999988</v>
      </c>
      <c r="X50" s="36" t="s">
        <v>288</v>
      </c>
      <c r="Y50" s="36">
        <v>41770.6</v>
      </c>
      <c r="Z50" s="36" t="s">
        <v>288</v>
      </c>
      <c r="AA50" s="36">
        <v>4179.84</v>
      </c>
      <c r="AB50" s="36" t="s">
        <v>288</v>
      </c>
      <c r="AC50" s="36">
        <v>229.45999999999984</v>
      </c>
      <c r="AD50" s="36" t="s">
        <v>288</v>
      </c>
      <c r="AE50" s="36">
        <v>789.41999999999962</v>
      </c>
      <c r="AF50" s="36" t="s">
        <v>288</v>
      </c>
      <c r="AG50" s="36">
        <v>1870.4799999999993</v>
      </c>
      <c r="AH50" s="36" t="s">
        <v>288</v>
      </c>
      <c r="AI50" s="36">
        <v>121348.39999999992</v>
      </c>
      <c r="AJ50" s="36" t="s">
        <v>288</v>
      </c>
      <c r="AK50" s="72">
        <v>64.66659999999996</v>
      </c>
      <c r="AL50" s="72" t="s">
        <v>288</v>
      </c>
      <c r="AM50" s="72">
        <v>180.64399999999998</v>
      </c>
      <c r="AN50" s="72" t="s">
        <v>288</v>
      </c>
      <c r="AO50" s="72">
        <v>1067.1479999999983</v>
      </c>
      <c r="AP50" s="72" t="s">
        <v>288</v>
      </c>
      <c r="AQ50" s="72">
        <v>470.5999999999994</v>
      </c>
      <c r="AR50" s="72" t="s">
        <v>288</v>
      </c>
      <c r="AS50" s="72">
        <v>16.785999999999994</v>
      </c>
      <c r="AT50" s="72" t="s">
        <v>288</v>
      </c>
      <c r="AU50" s="130">
        <v>9745.2199999999975</v>
      </c>
      <c r="AV50" s="72" t="s">
        <v>288</v>
      </c>
      <c r="AW50" s="72">
        <v>3.0619999999999941</v>
      </c>
      <c r="AX50" s="72" t="s">
        <v>288</v>
      </c>
      <c r="AY50" s="130">
        <v>64.528000000000006</v>
      </c>
      <c r="AZ50" s="72" t="s">
        <v>288</v>
      </c>
      <c r="BA50" s="72">
        <v>505.98599999999999</v>
      </c>
      <c r="BB50" s="72" t="s">
        <v>288</v>
      </c>
      <c r="BC50" s="72">
        <v>16.875599999999991</v>
      </c>
      <c r="BD50" s="72" t="s">
        <v>288</v>
      </c>
      <c r="BE50" s="72">
        <v>138.54399999999993</v>
      </c>
      <c r="BF50" s="72" t="s">
        <v>288</v>
      </c>
      <c r="BG50" s="72">
        <v>21.512199999999986</v>
      </c>
      <c r="BH50" s="72" t="s">
        <v>288</v>
      </c>
      <c r="BI50" s="72">
        <v>7.5079999999999938</v>
      </c>
      <c r="BJ50" s="72" t="s">
        <v>288</v>
      </c>
      <c r="BK50" s="72">
        <v>11.63959999999997</v>
      </c>
      <c r="BL50" s="72" t="s">
        <v>288</v>
      </c>
      <c r="BM50" s="72">
        <v>2.1785999999999999</v>
      </c>
      <c r="BN50" s="72" t="s">
        <v>288</v>
      </c>
      <c r="BO50" s="72">
        <v>2.1219999999999994</v>
      </c>
      <c r="BP50" s="72" t="s">
        <v>288</v>
      </c>
      <c r="BQ50" s="72">
        <v>16.109199999999966</v>
      </c>
      <c r="BR50" s="72" t="s">
        <v>288</v>
      </c>
      <c r="BS50" s="72">
        <v>3.9615999999999993</v>
      </c>
      <c r="BT50" s="72" t="s">
        <v>288</v>
      </c>
      <c r="BU50" s="72">
        <v>611.73599999999999</v>
      </c>
      <c r="BV50" s="72" t="s">
        <v>288</v>
      </c>
      <c r="BW50" s="72">
        <v>26.647400000000001</v>
      </c>
      <c r="BX50" s="72" t="s">
        <v>288</v>
      </c>
      <c r="BY50" s="72">
        <v>81.186399999999992</v>
      </c>
      <c r="BZ50" s="72" t="s">
        <v>288</v>
      </c>
      <c r="CA50" s="72">
        <v>7.4635999999999996</v>
      </c>
      <c r="CB50" s="72" t="s">
        <v>288</v>
      </c>
      <c r="CC50" s="72">
        <v>30.414000000000001</v>
      </c>
      <c r="CD50" s="72" t="s">
        <v>288</v>
      </c>
      <c r="CE50" s="72">
        <v>5.42</v>
      </c>
      <c r="CF50" s="72" t="s">
        <v>288</v>
      </c>
      <c r="CG50" s="72">
        <v>1.4076</v>
      </c>
      <c r="CH50" s="72" t="s">
        <v>288</v>
      </c>
      <c r="CI50" s="72">
        <v>3.9875999999999987</v>
      </c>
      <c r="CJ50" s="72" t="s">
        <v>288</v>
      </c>
      <c r="CK50" s="72">
        <v>0.54499999999999993</v>
      </c>
      <c r="CL50" s="72" t="s">
        <v>288</v>
      </c>
      <c r="CM50" s="72">
        <v>3.0255999999999998</v>
      </c>
      <c r="CN50" s="72" t="s">
        <v>288</v>
      </c>
      <c r="CO50" s="72">
        <v>0.62679999999999969</v>
      </c>
      <c r="CP50" s="72" t="s">
        <v>288</v>
      </c>
      <c r="CQ50" s="72">
        <v>1.7775999999999998</v>
      </c>
      <c r="CR50" s="72" t="s">
        <v>288</v>
      </c>
      <c r="CS50" s="72">
        <v>0.26219999999999988</v>
      </c>
      <c r="CT50" s="72" t="s">
        <v>288</v>
      </c>
      <c r="CU50" s="72">
        <v>1.6585999999999994</v>
      </c>
      <c r="CV50" s="72" t="s">
        <v>288</v>
      </c>
      <c r="CW50" s="72">
        <v>0.25319999999999987</v>
      </c>
      <c r="CX50" s="72" t="s">
        <v>288</v>
      </c>
      <c r="CY50" s="72">
        <v>3.4641999999999982</v>
      </c>
      <c r="CZ50" s="72" t="s">
        <v>288</v>
      </c>
      <c r="DA50" s="72">
        <v>1.1587999999999992</v>
      </c>
      <c r="DB50" s="72" t="s">
        <v>288</v>
      </c>
      <c r="DC50" s="72">
        <v>34.602599999999995</v>
      </c>
      <c r="DD50" s="72" t="s">
        <v>288</v>
      </c>
      <c r="DE50" s="72">
        <v>1.3259999999999974</v>
      </c>
      <c r="DF50" s="72" t="s">
        <v>288</v>
      </c>
      <c r="DG50" s="72">
        <v>255.69999999999993</v>
      </c>
      <c r="DH50" s="72" t="s">
        <v>288</v>
      </c>
      <c r="DI50" s="72">
        <v>61.167999999999935</v>
      </c>
      <c r="DJ50" s="72" t="s">
        <v>288</v>
      </c>
      <c r="DK50" s="72">
        <v>8.0241999999999987</v>
      </c>
      <c r="DL50" s="72" t="s">
        <v>288</v>
      </c>
      <c r="DM50" s="72">
        <v>2.7713999999999999</v>
      </c>
      <c r="DN50" s="72" t="s">
        <v>288</v>
      </c>
    </row>
    <row r="51" spans="1:175">
      <c r="B51" s="47" t="s">
        <v>702</v>
      </c>
      <c r="C51" s="72">
        <v>1.0004784022474869</v>
      </c>
      <c r="D51" s="72" t="s">
        <v>288</v>
      </c>
      <c r="E51" s="72">
        <v>6.4728584778121165</v>
      </c>
      <c r="F51" s="72" t="s">
        <v>288</v>
      </c>
      <c r="G51" s="72">
        <v>1.8698218304756644</v>
      </c>
      <c r="H51" s="72" t="s">
        <v>288</v>
      </c>
      <c r="I51" s="72">
        <v>12.736279292224005</v>
      </c>
      <c r="J51" s="72" t="s">
        <v>288</v>
      </c>
      <c r="K51" s="72">
        <v>0.87334743586296193</v>
      </c>
      <c r="L51" s="72" t="s">
        <v>288</v>
      </c>
      <c r="M51" s="36">
        <v>5203.5478660463568</v>
      </c>
      <c r="N51" s="36" t="s">
        <v>288</v>
      </c>
      <c r="O51" s="36">
        <v>5557.0049938755992</v>
      </c>
      <c r="P51" s="36" t="s">
        <v>288</v>
      </c>
      <c r="Q51" s="36">
        <v>39946.10455949288</v>
      </c>
      <c r="R51" s="36" t="s">
        <v>288</v>
      </c>
      <c r="S51" s="36">
        <v>335.6073210591444</v>
      </c>
      <c r="T51" s="36" t="s">
        <v>288</v>
      </c>
      <c r="U51" s="36">
        <v>1437.4263750369735</v>
      </c>
      <c r="V51" s="36" t="s">
        <v>288</v>
      </c>
      <c r="W51" s="36">
        <v>10303.882172099893</v>
      </c>
      <c r="X51" s="36" t="s">
        <v>288</v>
      </c>
      <c r="Y51" s="36">
        <v>7876.6891290294307</v>
      </c>
      <c r="Z51" s="36" t="s">
        <v>288</v>
      </c>
      <c r="AA51" s="36">
        <v>1444.6073725595268</v>
      </c>
      <c r="AB51" s="36" t="s">
        <v>288</v>
      </c>
      <c r="AC51" s="36">
        <v>66.020122686896428</v>
      </c>
      <c r="AD51" s="36" t="s">
        <v>288</v>
      </c>
      <c r="AE51" s="36">
        <v>172.70346657091392</v>
      </c>
      <c r="AF51" s="36" t="s">
        <v>288</v>
      </c>
      <c r="AG51" s="36">
        <v>576.34981159218955</v>
      </c>
      <c r="AH51" s="36" t="s">
        <v>288</v>
      </c>
      <c r="AI51" s="36">
        <v>30501.957536592752</v>
      </c>
      <c r="AJ51" s="36" t="s">
        <v>288</v>
      </c>
      <c r="AK51" s="72">
        <v>20.753958766391214</v>
      </c>
      <c r="AL51" s="72" t="s">
        <v>288</v>
      </c>
      <c r="AM51" s="72">
        <v>42.730333858053825</v>
      </c>
      <c r="AN51" s="72" t="s">
        <v>288</v>
      </c>
      <c r="AO51" s="72">
        <v>56.594701190044425</v>
      </c>
      <c r="AP51" s="72" t="s">
        <v>288</v>
      </c>
      <c r="AQ51" s="72">
        <v>87.572611896760691</v>
      </c>
      <c r="AR51" s="72" t="s">
        <v>288</v>
      </c>
      <c r="AS51" s="72">
        <v>9.0949106082122011</v>
      </c>
      <c r="AT51" s="72" t="s">
        <v>288</v>
      </c>
      <c r="AU51" s="130">
        <v>581.70156099086353</v>
      </c>
      <c r="AV51" s="72" t="s">
        <v>288</v>
      </c>
      <c r="AW51" s="72">
        <v>0.39945215390587641</v>
      </c>
      <c r="AX51" s="72" t="s">
        <v>288</v>
      </c>
      <c r="AY51" s="130">
        <v>38.826315530831735</v>
      </c>
      <c r="AZ51" s="72" t="s">
        <v>288</v>
      </c>
      <c r="BA51" s="72">
        <v>97.949094891921774</v>
      </c>
      <c r="BB51" s="72" t="s">
        <v>288</v>
      </c>
      <c r="BC51" s="72">
        <v>7.6280782387443136</v>
      </c>
      <c r="BD51" s="72" t="s">
        <v>288</v>
      </c>
      <c r="BE51" s="72">
        <v>52.712571605892052</v>
      </c>
      <c r="BF51" s="72" t="s">
        <v>288</v>
      </c>
      <c r="BG51" s="72">
        <v>4.6076658267601358</v>
      </c>
      <c r="BH51" s="72" t="s">
        <v>288</v>
      </c>
      <c r="BI51" s="72">
        <v>1.9242455974120483</v>
      </c>
      <c r="BJ51" s="72" t="s">
        <v>288</v>
      </c>
      <c r="BK51" s="72">
        <v>0.81837367140131678</v>
      </c>
      <c r="BL51" s="72" t="s">
        <v>288</v>
      </c>
      <c r="BM51" s="72">
        <v>0.28798809115651108</v>
      </c>
      <c r="BN51" s="72" t="s">
        <v>288</v>
      </c>
      <c r="BO51" s="72">
        <v>0.93173002299976482</v>
      </c>
      <c r="BP51" s="72" t="s">
        <v>288</v>
      </c>
      <c r="BQ51" s="72">
        <v>1.8994458472069229</v>
      </c>
      <c r="BR51" s="72" t="s">
        <v>288</v>
      </c>
      <c r="BS51" s="72">
        <v>1.9398297239052185</v>
      </c>
      <c r="BT51" s="72" t="s">
        <v>288</v>
      </c>
      <c r="BU51" s="72">
        <v>308.50726144297244</v>
      </c>
      <c r="BV51" s="72" t="s">
        <v>288</v>
      </c>
      <c r="BW51" s="72">
        <v>16.882899939684517</v>
      </c>
      <c r="BX51" s="72" t="s">
        <v>288</v>
      </c>
      <c r="BY51" s="72">
        <v>41.789056266380925</v>
      </c>
      <c r="BZ51" s="72" t="s">
        <v>288</v>
      </c>
      <c r="CA51" s="72">
        <v>3.8124239312664767</v>
      </c>
      <c r="CB51" s="72" t="s">
        <v>288</v>
      </c>
      <c r="CC51" s="72">
        <v>14.521873204566303</v>
      </c>
      <c r="CD51" s="72" t="s">
        <v>288</v>
      </c>
      <c r="CE51" s="72">
        <v>2.6445365224158763</v>
      </c>
      <c r="CF51" s="72" t="s">
        <v>288</v>
      </c>
      <c r="CG51" s="72">
        <v>0.62772230521742511</v>
      </c>
      <c r="CH51" s="72" t="s">
        <v>288</v>
      </c>
      <c r="CI51" s="72">
        <v>1.9682339969310041</v>
      </c>
      <c r="CJ51" s="72" t="s">
        <v>288</v>
      </c>
      <c r="CK51" s="72">
        <v>0.27729411272909266</v>
      </c>
      <c r="CL51" s="72" t="s">
        <v>288</v>
      </c>
      <c r="CM51" s="72">
        <v>1.504632383567025</v>
      </c>
      <c r="CN51" s="72" t="s">
        <v>288</v>
      </c>
      <c r="CO51" s="72">
        <v>0.29249482422170009</v>
      </c>
      <c r="CP51" s="72" t="s">
        <v>288</v>
      </c>
      <c r="CQ51" s="72">
        <v>0.80622450701309323</v>
      </c>
      <c r="CR51" s="72" t="s">
        <v>288</v>
      </c>
      <c r="CS51" s="72">
        <v>0.11766914032494394</v>
      </c>
      <c r="CT51" s="72" t="s">
        <v>288</v>
      </c>
      <c r="CU51" s="72">
        <v>0.74171942465901675</v>
      </c>
      <c r="CV51" s="72" t="s">
        <v>288</v>
      </c>
      <c r="CW51" s="72">
        <v>0.11207388590921123</v>
      </c>
      <c r="CX51" s="72" t="s">
        <v>288</v>
      </c>
      <c r="CY51" s="72">
        <v>1.523712370917166</v>
      </c>
      <c r="CZ51" s="72" t="s">
        <v>288</v>
      </c>
      <c r="DA51" s="72">
        <v>0.28443605049260912</v>
      </c>
      <c r="DB51" s="72" t="s">
        <v>288</v>
      </c>
      <c r="DC51" s="72">
        <v>7.044249560840731</v>
      </c>
      <c r="DD51" s="72" t="s">
        <v>288</v>
      </c>
      <c r="DE51" s="72">
        <v>0.31210710794331542</v>
      </c>
      <c r="DF51" s="72" t="s">
        <v>288</v>
      </c>
      <c r="DG51" s="72">
        <v>60.967056633593145</v>
      </c>
      <c r="DH51" s="72" t="s">
        <v>288</v>
      </c>
      <c r="DI51" s="72">
        <v>3.8281306329866847</v>
      </c>
      <c r="DJ51" s="72" t="s">
        <v>288</v>
      </c>
      <c r="DK51" s="72">
        <v>3.4171958358397099</v>
      </c>
      <c r="DL51" s="72" t="s">
        <v>288</v>
      </c>
      <c r="DM51" s="72">
        <v>1.0996488864715037</v>
      </c>
      <c r="DN51" s="72" t="s">
        <v>288</v>
      </c>
    </row>
    <row r="52" spans="1:175">
      <c r="B52" s="47" t="s">
        <v>703</v>
      </c>
      <c r="C52" s="72">
        <v>1.4572471941072893</v>
      </c>
      <c r="D52" s="72" t="s">
        <v>288</v>
      </c>
      <c r="E52" s="72">
        <v>6.6304545454545458</v>
      </c>
      <c r="F52" s="72" t="s">
        <v>288</v>
      </c>
      <c r="G52" s="72">
        <v>12.463096363636362</v>
      </c>
      <c r="H52" s="72" t="s">
        <v>288</v>
      </c>
      <c r="I52" s="72">
        <v>14.863999999999999</v>
      </c>
      <c r="J52" s="72" t="s">
        <v>288</v>
      </c>
      <c r="K52" s="72">
        <v>1.0184</v>
      </c>
      <c r="L52" s="72" t="s">
        <v>288</v>
      </c>
      <c r="M52" s="36">
        <v>8424.32</v>
      </c>
      <c r="N52" s="36" t="s">
        <v>288</v>
      </c>
      <c r="O52" s="36">
        <v>8165.8</v>
      </c>
      <c r="P52" s="36" t="s">
        <v>288</v>
      </c>
      <c r="Q52" s="36">
        <v>47577.72</v>
      </c>
      <c r="R52" s="36" t="s">
        <v>288</v>
      </c>
      <c r="S52" s="36">
        <v>496.24</v>
      </c>
      <c r="T52" s="36" t="s">
        <v>288</v>
      </c>
      <c r="U52" s="36">
        <v>13144</v>
      </c>
      <c r="V52" s="36" t="s">
        <v>288</v>
      </c>
      <c r="W52" s="36">
        <v>12092.2</v>
      </c>
      <c r="X52" s="36" t="s">
        <v>288</v>
      </c>
      <c r="Y52" s="36">
        <v>15133.652173913044</v>
      </c>
      <c r="Z52" s="36" t="s">
        <v>288</v>
      </c>
      <c r="AA52" s="36">
        <v>1917.1960000000001</v>
      </c>
      <c r="AB52" s="36" t="s">
        <v>288</v>
      </c>
      <c r="AC52" s="36">
        <v>92.36</v>
      </c>
      <c r="AD52" s="36" t="s">
        <v>288</v>
      </c>
      <c r="AE52" s="36">
        <v>256.31999999999994</v>
      </c>
      <c r="AF52" s="36" t="s">
        <v>288</v>
      </c>
      <c r="AG52" s="36">
        <v>858.82399999999961</v>
      </c>
      <c r="AH52" s="36" t="s">
        <v>288</v>
      </c>
      <c r="AI52" s="36">
        <v>50636.24</v>
      </c>
      <c r="AJ52" s="36" t="s">
        <v>288</v>
      </c>
      <c r="AK52" s="72">
        <v>40.489319999999992</v>
      </c>
      <c r="AL52" s="72" t="s">
        <v>288</v>
      </c>
      <c r="AM52" s="72">
        <v>80.292400000000001</v>
      </c>
      <c r="AN52" s="72" t="s">
        <v>288</v>
      </c>
      <c r="AO52" s="72">
        <v>243.34559999999999</v>
      </c>
      <c r="AP52" s="72" t="s">
        <v>288</v>
      </c>
      <c r="AQ52" s="72">
        <v>151.86799999999999</v>
      </c>
      <c r="AR52" s="72" t="s">
        <v>288</v>
      </c>
      <c r="AS52" s="72">
        <v>10.623199999999999</v>
      </c>
      <c r="AT52" s="72" t="s">
        <v>288</v>
      </c>
      <c r="AU52" s="130">
        <v>5892.3760000000011</v>
      </c>
      <c r="AV52" s="72" t="s">
        <v>288</v>
      </c>
      <c r="AW52" s="72">
        <v>1.4960000000000004</v>
      </c>
      <c r="AX52" s="72" t="s">
        <v>288</v>
      </c>
      <c r="AY52" s="130">
        <v>44.51080000000001</v>
      </c>
      <c r="AZ52" s="72" t="s">
        <v>288</v>
      </c>
      <c r="BA52" s="72">
        <v>179.70240000000001</v>
      </c>
      <c r="BB52" s="72" t="s">
        <v>288</v>
      </c>
      <c r="BC52" s="72">
        <v>9.0566399999999998</v>
      </c>
      <c r="BD52" s="72" t="s">
        <v>288</v>
      </c>
      <c r="BE52" s="72">
        <v>65.144800000000018</v>
      </c>
      <c r="BF52" s="72" t="s">
        <v>288</v>
      </c>
      <c r="BG52" s="72">
        <v>6.8732799999999985</v>
      </c>
      <c r="BH52" s="72" t="s">
        <v>288</v>
      </c>
      <c r="BI52" s="72">
        <v>3.0680000000000001</v>
      </c>
      <c r="BJ52" s="72" t="s">
        <v>288</v>
      </c>
      <c r="BK52" s="72">
        <v>3.667320000000001</v>
      </c>
      <c r="BL52" s="72" t="s">
        <v>288</v>
      </c>
      <c r="BM52" s="72">
        <v>1.0721200000000002</v>
      </c>
      <c r="BN52" s="72" t="s">
        <v>288</v>
      </c>
      <c r="BO52" s="72">
        <v>1.6064000000000001</v>
      </c>
      <c r="BP52" s="72" t="s">
        <v>288</v>
      </c>
      <c r="BQ52" s="72">
        <v>8.9159199999999998</v>
      </c>
      <c r="BR52" s="72" t="s">
        <v>288</v>
      </c>
      <c r="BS52" s="72">
        <v>2.3183199999999995</v>
      </c>
      <c r="BT52" s="72" t="s">
        <v>288</v>
      </c>
      <c r="BU52" s="72">
        <v>347.88199999999995</v>
      </c>
      <c r="BV52" s="72" t="s">
        <v>288</v>
      </c>
      <c r="BW52" s="72">
        <v>19.142320000000005</v>
      </c>
      <c r="BX52" s="72" t="s">
        <v>288</v>
      </c>
      <c r="BY52" s="72">
        <v>48.459920000000004</v>
      </c>
      <c r="BZ52" s="72" t="s">
        <v>288</v>
      </c>
      <c r="CA52" s="72">
        <v>4.4218800000000007</v>
      </c>
      <c r="CB52" s="72" t="s">
        <v>288</v>
      </c>
      <c r="CC52" s="72">
        <v>17.082000000000001</v>
      </c>
      <c r="CD52" s="72" t="s">
        <v>288</v>
      </c>
      <c r="CE52" s="72">
        <v>3.1273600000000004</v>
      </c>
      <c r="CF52" s="72" t="s">
        <v>288</v>
      </c>
      <c r="CG52" s="72">
        <v>0.75939999999999996</v>
      </c>
      <c r="CH52" s="72" t="s">
        <v>288</v>
      </c>
      <c r="CI52" s="72">
        <v>2.3353600000000005</v>
      </c>
      <c r="CJ52" s="72" t="s">
        <v>288</v>
      </c>
      <c r="CK52" s="72">
        <v>0.32716000000000001</v>
      </c>
      <c r="CL52" s="72" t="s">
        <v>288</v>
      </c>
      <c r="CM52" s="72">
        <v>1.7838399999999999</v>
      </c>
      <c r="CN52" s="72" t="s">
        <v>288</v>
      </c>
      <c r="CO52" s="72">
        <v>0.34504000000000007</v>
      </c>
      <c r="CP52" s="72" t="s">
        <v>288</v>
      </c>
      <c r="CQ52" s="72">
        <v>0.95363999999999993</v>
      </c>
      <c r="CR52" s="72" t="s">
        <v>288</v>
      </c>
      <c r="CS52" s="72">
        <v>0.13900000000000001</v>
      </c>
      <c r="CT52" s="72" t="s">
        <v>288</v>
      </c>
      <c r="CU52" s="72">
        <v>0.88207999999999998</v>
      </c>
      <c r="CV52" s="72" t="s">
        <v>288</v>
      </c>
      <c r="CW52" s="72">
        <v>0.13264000000000001</v>
      </c>
      <c r="CX52" s="72" t="s">
        <v>288</v>
      </c>
      <c r="CY52" s="72">
        <v>1.81216</v>
      </c>
      <c r="CZ52" s="72" t="s">
        <v>288</v>
      </c>
      <c r="DA52" s="72">
        <v>0.39632000000000006</v>
      </c>
      <c r="DB52" s="72" t="s">
        <v>288</v>
      </c>
      <c r="DC52" s="72">
        <v>15.8384</v>
      </c>
      <c r="DD52" s="72" t="s">
        <v>288</v>
      </c>
      <c r="DE52" s="72">
        <v>1.18736</v>
      </c>
      <c r="DF52" s="72" t="s">
        <v>288</v>
      </c>
      <c r="DG52" s="72">
        <v>333.35400000000004</v>
      </c>
      <c r="DH52" s="72" t="s">
        <v>288</v>
      </c>
      <c r="DI52" s="72">
        <v>12.405200000000001</v>
      </c>
      <c r="DJ52" s="72" t="s">
        <v>288</v>
      </c>
      <c r="DK52" s="72">
        <v>3.9857599999999991</v>
      </c>
      <c r="DL52" s="72" t="s">
        <v>288</v>
      </c>
      <c r="DM52" s="72">
        <v>1.3775599999999999</v>
      </c>
      <c r="DN52" s="72" t="s">
        <v>288</v>
      </c>
    </row>
    <row r="53" spans="1:175">
      <c r="C53" s="72"/>
      <c r="D53" s="72"/>
      <c r="E53" s="72"/>
      <c r="F53" s="72"/>
      <c r="G53" s="72"/>
      <c r="H53" s="72"/>
      <c r="I53" s="72"/>
      <c r="J53" s="72"/>
      <c r="K53" s="72"/>
      <c r="L53" s="72"/>
      <c r="M53" s="36"/>
      <c r="N53" s="36"/>
      <c r="O53" s="36"/>
      <c r="P53" s="36"/>
      <c r="Q53" s="36"/>
      <c r="R53" s="36"/>
      <c r="S53" s="36"/>
      <c r="T53" s="36"/>
      <c r="U53" s="36"/>
      <c r="V53" s="36"/>
      <c r="W53" s="36"/>
      <c r="X53" s="36"/>
      <c r="Y53" s="36"/>
      <c r="Z53" s="36"/>
      <c r="AA53" s="36"/>
      <c r="AB53" s="36"/>
      <c r="AC53" s="36"/>
      <c r="AD53" s="36"/>
      <c r="AE53" s="36"/>
      <c r="AF53" s="36"/>
      <c r="AG53" s="36"/>
      <c r="AH53" s="36"/>
      <c r="AI53" s="36"/>
      <c r="AJ53" s="36"/>
      <c r="AK53" s="72"/>
      <c r="AL53" s="72"/>
      <c r="AM53" s="72"/>
      <c r="AN53" s="72"/>
      <c r="AO53" s="72"/>
      <c r="AP53" s="72"/>
      <c r="AQ53" s="72"/>
      <c r="AR53" s="72"/>
      <c r="AS53" s="72"/>
      <c r="AT53" s="72"/>
      <c r="AU53" s="130"/>
      <c r="AV53" s="72"/>
      <c r="AW53" s="72"/>
      <c r="AX53" s="72"/>
      <c r="AY53" s="130"/>
      <c r="AZ53" s="72"/>
      <c r="BA53" s="72"/>
      <c r="BB53" s="72"/>
      <c r="BC53" s="72"/>
      <c r="BD53" s="72"/>
      <c r="BE53" s="72"/>
      <c r="BF53" s="72"/>
      <c r="BG53" s="72"/>
      <c r="BH53" s="72"/>
      <c r="BI53" s="72"/>
      <c r="BJ53" s="72"/>
      <c r="BK53" s="72"/>
      <c r="BL53" s="72"/>
      <c r="BM53" s="72"/>
      <c r="BN53" s="72"/>
      <c r="BO53" s="72"/>
      <c r="BP53" s="72"/>
      <c r="BQ53" s="72"/>
      <c r="BR53" s="72"/>
      <c r="BS53" s="72"/>
      <c r="BT53" s="72"/>
      <c r="BU53" s="72"/>
      <c r="BV53" s="72"/>
      <c r="BW53" s="72"/>
      <c r="BX53" s="72"/>
      <c r="BY53" s="72"/>
      <c r="BZ53" s="72"/>
      <c r="CA53" s="72"/>
      <c r="CB53" s="72"/>
      <c r="CC53" s="72"/>
      <c r="CD53" s="72"/>
      <c r="CE53" s="72"/>
      <c r="CF53" s="72"/>
      <c r="CG53" s="72"/>
      <c r="CH53" s="72"/>
      <c r="CI53" s="72"/>
      <c r="CJ53" s="72"/>
      <c r="CK53" s="72"/>
      <c r="CL53" s="72"/>
      <c r="CM53" s="72"/>
      <c r="CN53" s="72"/>
      <c r="CO53" s="72"/>
      <c r="CP53" s="72"/>
      <c r="CQ53" s="72"/>
      <c r="CR53" s="72"/>
      <c r="CS53" s="72"/>
      <c r="CT53" s="72"/>
      <c r="CU53" s="72"/>
      <c r="CV53" s="72"/>
      <c r="CW53" s="72"/>
      <c r="CX53" s="72"/>
      <c r="CY53" s="72"/>
      <c r="CZ53" s="72"/>
      <c r="DA53" s="72"/>
      <c r="DB53" s="72"/>
      <c r="DC53" s="72"/>
      <c r="DD53" s="72"/>
      <c r="DE53" s="72"/>
      <c r="DF53" s="72"/>
      <c r="DG53" s="72"/>
      <c r="DH53" s="72"/>
      <c r="DI53" s="72"/>
      <c r="DJ53" s="72"/>
      <c r="DK53" s="72"/>
      <c r="DL53" s="72"/>
      <c r="DM53" s="72"/>
      <c r="DN53" s="72"/>
    </row>
    <row r="54" spans="1:175">
      <c r="A54" s="25" t="s">
        <v>711</v>
      </c>
      <c r="B54" s="47" t="s">
        <v>697</v>
      </c>
      <c r="C54" s="72">
        <v>0.22869643034684281</v>
      </c>
      <c r="D54" s="72" t="s">
        <v>288</v>
      </c>
      <c r="E54" s="72">
        <v>4.1900000000000004</v>
      </c>
      <c r="F54" s="72" t="s">
        <v>288</v>
      </c>
      <c r="G54" s="72">
        <v>3.3985000000000001E-2</v>
      </c>
      <c r="H54" s="72" t="s">
        <v>288</v>
      </c>
      <c r="I54" s="72">
        <v>6.3</v>
      </c>
      <c r="J54" s="72" t="s">
        <v>288</v>
      </c>
      <c r="K54" s="72">
        <v>7.0000000000000007E-2</v>
      </c>
      <c r="L54" s="72" t="s">
        <v>288</v>
      </c>
      <c r="M54" s="36">
        <v>142</v>
      </c>
      <c r="N54" s="36" t="s">
        <v>288</v>
      </c>
      <c r="O54" s="36">
        <v>598</v>
      </c>
      <c r="P54" s="36" t="s">
        <v>288</v>
      </c>
      <c r="Q54" s="36">
        <v>3779</v>
      </c>
      <c r="R54" s="36" t="s">
        <v>288</v>
      </c>
      <c r="S54" s="36">
        <v>40</v>
      </c>
      <c r="T54" s="36" t="s">
        <v>288</v>
      </c>
      <c r="U54" s="36">
        <v>15</v>
      </c>
      <c r="V54" s="36" t="s">
        <v>288</v>
      </c>
      <c r="W54" s="36">
        <v>802</v>
      </c>
      <c r="X54" s="36" t="s">
        <v>288</v>
      </c>
      <c r="Y54" s="36">
        <v>1338</v>
      </c>
      <c r="Z54" s="36" t="s">
        <v>288</v>
      </c>
      <c r="AA54" s="36">
        <v>101.9</v>
      </c>
      <c r="AB54" s="36" t="s">
        <v>288</v>
      </c>
      <c r="AC54" s="36">
        <v>9.4</v>
      </c>
      <c r="AD54" s="36" t="s">
        <v>288</v>
      </c>
      <c r="AE54" s="36">
        <v>103.2</v>
      </c>
      <c r="AF54" s="36" t="s">
        <v>288</v>
      </c>
      <c r="AG54" s="36">
        <v>48.6</v>
      </c>
      <c r="AH54" s="36" t="s">
        <v>288</v>
      </c>
      <c r="AI54" s="36">
        <v>6452</v>
      </c>
      <c r="AJ54" s="36" t="s">
        <v>288</v>
      </c>
      <c r="AK54" s="72">
        <v>1.78</v>
      </c>
      <c r="AL54" s="72" t="s">
        <v>288</v>
      </c>
      <c r="AM54" s="72">
        <v>5.39</v>
      </c>
      <c r="AN54" s="72" t="s">
        <v>288</v>
      </c>
      <c r="AO54" s="72">
        <v>5.66</v>
      </c>
      <c r="AP54" s="72" t="s">
        <v>288</v>
      </c>
      <c r="AQ54" s="72">
        <v>14</v>
      </c>
      <c r="AR54" s="72" t="s">
        <v>288</v>
      </c>
      <c r="AS54" s="72">
        <v>1.05</v>
      </c>
      <c r="AT54" s="72" t="s">
        <v>288</v>
      </c>
      <c r="AU54" s="130">
        <v>1.5</v>
      </c>
      <c r="AV54" s="72" t="s">
        <v>288</v>
      </c>
      <c r="AW54" s="72">
        <v>0.03</v>
      </c>
      <c r="AX54" s="72" t="s">
        <v>288</v>
      </c>
      <c r="AY54" s="130">
        <v>3.77</v>
      </c>
      <c r="AZ54" s="72" t="s">
        <v>288</v>
      </c>
      <c r="BA54" s="72">
        <v>5.2</v>
      </c>
      <c r="BB54" s="72" t="s">
        <v>288</v>
      </c>
      <c r="BC54" s="72">
        <v>0.93</v>
      </c>
      <c r="BD54" s="72" t="s">
        <v>288</v>
      </c>
      <c r="BE54" s="72">
        <v>6.06</v>
      </c>
      <c r="BF54" s="72" t="s">
        <v>288</v>
      </c>
      <c r="BG54" s="72">
        <v>0.94599999999999995</v>
      </c>
      <c r="BH54" s="72" t="s">
        <v>288</v>
      </c>
      <c r="BI54" s="72">
        <v>0.42</v>
      </c>
      <c r="BJ54" s="72" t="s">
        <v>288</v>
      </c>
      <c r="BK54" s="72">
        <v>6.5000000000000002E-2</v>
      </c>
      <c r="BL54" s="72" t="s">
        <v>288</v>
      </c>
      <c r="BM54" s="72">
        <v>1.2E-2</v>
      </c>
      <c r="BN54" s="72" t="s">
        <v>288</v>
      </c>
      <c r="BO54" s="72">
        <v>0.2</v>
      </c>
      <c r="BP54" s="72" t="s">
        <v>288</v>
      </c>
      <c r="BQ54" s="72">
        <v>0.20100000000000001</v>
      </c>
      <c r="BR54" s="72" t="s">
        <v>288</v>
      </c>
      <c r="BS54" s="72">
        <v>0.26600000000000001</v>
      </c>
      <c r="BT54" s="72" t="s">
        <v>288</v>
      </c>
      <c r="BU54" s="72">
        <v>39.200000000000003</v>
      </c>
      <c r="BV54" s="72" t="s">
        <v>288</v>
      </c>
      <c r="BW54" s="72">
        <v>2.016</v>
      </c>
      <c r="BX54" s="72" t="s">
        <v>288</v>
      </c>
      <c r="BY54" s="72">
        <v>8.3439999999999994</v>
      </c>
      <c r="BZ54" s="72" t="s">
        <v>288</v>
      </c>
      <c r="CA54" s="72">
        <v>0.45400000000000001</v>
      </c>
      <c r="CB54" s="72" t="s">
        <v>288</v>
      </c>
      <c r="CC54" s="72">
        <v>1.64</v>
      </c>
      <c r="CD54" s="72" t="s">
        <v>288</v>
      </c>
      <c r="CE54" s="72">
        <v>0.34</v>
      </c>
      <c r="CF54" s="72" t="s">
        <v>288</v>
      </c>
      <c r="CG54" s="72">
        <v>7.3999999999999996E-2</v>
      </c>
      <c r="CH54" s="72" t="s">
        <v>288</v>
      </c>
      <c r="CI54" s="72">
        <v>0.25</v>
      </c>
      <c r="CJ54" s="72" t="s">
        <v>288</v>
      </c>
      <c r="CK54" s="72">
        <v>3.5999999999999997E-2</v>
      </c>
      <c r="CL54" s="72" t="s">
        <v>288</v>
      </c>
      <c r="CM54" s="72">
        <v>0.20899999999999999</v>
      </c>
      <c r="CN54" s="72" t="s">
        <v>288</v>
      </c>
      <c r="CO54" s="72">
        <v>4.1000000000000002E-2</v>
      </c>
      <c r="CP54" s="72" t="s">
        <v>288</v>
      </c>
      <c r="CQ54" s="72">
        <v>0.11</v>
      </c>
      <c r="CR54" s="72" t="s">
        <v>288</v>
      </c>
      <c r="CS54" s="72">
        <v>1.4E-2</v>
      </c>
      <c r="CT54" s="72" t="s">
        <v>288</v>
      </c>
      <c r="CU54" s="72">
        <v>9.5000000000000001E-2</v>
      </c>
      <c r="CV54" s="72" t="s">
        <v>288</v>
      </c>
      <c r="CW54" s="72">
        <v>1.7999999999999999E-2</v>
      </c>
      <c r="CX54" s="72" t="s">
        <v>288</v>
      </c>
      <c r="CY54" s="72">
        <v>0.17100000000000001</v>
      </c>
      <c r="CZ54" s="72" t="s">
        <v>288</v>
      </c>
      <c r="DA54" s="72">
        <v>4.7E-2</v>
      </c>
      <c r="DB54" s="72" t="s">
        <v>288</v>
      </c>
      <c r="DC54" s="72">
        <v>0.98</v>
      </c>
      <c r="DD54" s="72" t="s">
        <v>288</v>
      </c>
      <c r="DE54" s="72">
        <v>5.0999999999999997E-2</v>
      </c>
      <c r="DF54" s="72" t="s">
        <v>288</v>
      </c>
      <c r="DG54" s="72">
        <v>5.76</v>
      </c>
      <c r="DH54" s="72" t="s">
        <v>288</v>
      </c>
      <c r="DI54" s="72">
        <v>0.06</v>
      </c>
      <c r="DJ54" s="72" t="s">
        <v>288</v>
      </c>
      <c r="DK54" s="72">
        <v>0.59299999999999997</v>
      </c>
      <c r="DL54" s="72" t="s">
        <v>288</v>
      </c>
      <c r="DM54" s="72">
        <v>0.20799999999999999</v>
      </c>
      <c r="DN54" s="72" t="s">
        <v>288</v>
      </c>
      <c r="DO54" s="130"/>
      <c r="DP54" s="72"/>
      <c r="DQ54" s="72"/>
      <c r="DR54" s="72"/>
      <c r="DS54" s="72"/>
      <c r="DT54" s="72"/>
      <c r="DU54" s="72"/>
      <c r="DV54" s="72"/>
      <c r="DW54" s="72"/>
      <c r="DX54" s="72"/>
      <c r="DY54" s="72"/>
      <c r="DZ54" s="36"/>
      <c r="EA54" s="36"/>
      <c r="EB54" s="36"/>
      <c r="EC54" s="36"/>
      <c r="ED54" s="36"/>
      <c r="EE54" s="36"/>
      <c r="EF54" s="36"/>
      <c r="EG54" s="36"/>
      <c r="EH54" s="36"/>
      <c r="EI54" s="36"/>
      <c r="EJ54" s="72"/>
      <c r="EK54" s="72"/>
      <c r="EL54" s="72"/>
      <c r="EM54" s="72"/>
      <c r="EN54" s="72"/>
      <c r="EO54" s="72"/>
      <c r="EP54" s="72"/>
      <c r="EQ54" s="72"/>
      <c r="ER54" s="72"/>
      <c r="ES54" s="72"/>
      <c r="ET54" s="72"/>
      <c r="EU54" s="72"/>
      <c r="EV54" s="72"/>
      <c r="EW54" s="72"/>
      <c r="EX54" s="72"/>
      <c r="EY54" s="72"/>
      <c r="EZ54" s="72"/>
      <c r="FA54" s="72"/>
      <c r="FB54" s="72"/>
      <c r="FC54" s="72"/>
      <c r="FD54" s="72"/>
      <c r="FE54" s="72"/>
      <c r="FF54" s="72"/>
      <c r="FG54" s="72"/>
      <c r="FH54" s="72"/>
      <c r="FI54" s="72"/>
      <c r="FJ54" s="72"/>
      <c r="FK54" s="72"/>
      <c r="FL54" s="36"/>
      <c r="FM54" s="36"/>
      <c r="FN54" s="72"/>
      <c r="FO54" s="72"/>
      <c r="FP54" s="130"/>
      <c r="FQ54" s="130"/>
      <c r="FR54" s="130"/>
      <c r="FS54" s="130"/>
    </row>
    <row r="55" spans="1:175">
      <c r="B55" s="47" t="s">
        <v>698</v>
      </c>
      <c r="C55" s="72">
        <v>3.7608584568216132</v>
      </c>
      <c r="D55" s="72" t="s">
        <v>288</v>
      </c>
      <c r="E55" s="72">
        <v>8.1</v>
      </c>
      <c r="F55" s="72" t="s">
        <v>288</v>
      </c>
      <c r="G55" s="72">
        <v>10.0997</v>
      </c>
      <c r="H55" s="72" t="s">
        <v>288</v>
      </c>
      <c r="I55" s="72">
        <v>56.1</v>
      </c>
      <c r="J55" s="72" t="s">
        <v>288</v>
      </c>
      <c r="K55" s="72">
        <v>2.76</v>
      </c>
      <c r="L55" s="72" t="s">
        <v>288</v>
      </c>
      <c r="M55" s="36">
        <v>24812</v>
      </c>
      <c r="N55" s="36" t="s">
        <v>288</v>
      </c>
      <c r="O55" s="36">
        <v>19461</v>
      </c>
      <c r="P55" s="36" t="s">
        <v>288</v>
      </c>
      <c r="Q55" s="36">
        <v>124639</v>
      </c>
      <c r="R55" s="36" t="s">
        <v>288</v>
      </c>
      <c r="S55" s="36">
        <v>1217</v>
      </c>
      <c r="T55" s="36" t="s">
        <v>288</v>
      </c>
      <c r="U55" s="36">
        <v>12454</v>
      </c>
      <c r="V55" s="36" t="s">
        <v>288</v>
      </c>
      <c r="W55" s="36">
        <v>29084</v>
      </c>
      <c r="X55" s="36" t="s">
        <v>288</v>
      </c>
      <c r="Y55" s="36">
        <v>43504</v>
      </c>
      <c r="Z55" s="36" t="s">
        <v>288</v>
      </c>
      <c r="AA55" s="36">
        <v>4866</v>
      </c>
      <c r="AB55" s="36" t="s">
        <v>288</v>
      </c>
      <c r="AC55" s="36">
        <v>184.7</v>
      </c>
      <c r="AD55" s="36" t="s">
        <v>288</v>
      </c>
      <c r="AE55" s="36">
        <v>280.2</v>
      </c>
      <c r="AF55" s="36" t="s">
        <v>288</v>
      </c>
      <c r="AG55" s="36">
        <v>2634.4</v>
      </c>
      <c r="AH55" s="36" t="s">
        <v>288</v>
      </c>
      <c r="AI55" s="36">
        <v>62417</v>
      </c>
      <c r="AJ55" s="36" t="s">
        <v>288</v>
      </c>
      <c r="AK55" s="72">
        <v>98.016999999999996</v>
      </c>
      <c r="AL55" s="72" t="s">
        <v>288</v>
      </c>
      <c r="AM55" s="72">
        <v>138.27000000000001</v>
      </c>
      <c r="AN55" s="72" t="s">
        <v>288</v>
      </c>
      <c r="AO55" s="72">
        <v>209.6</v>
      </c>
      <c r="AP55" s="72" t="s">
        <v>288</v>
      </c>
      <c r="AQ55" s="72">
        <v>318</v>
      </c>
      <c r="AR55" s="72" t="s">
        <v>288</v>
      </c>
      <c r="AS55" s="72">
        <v>24.29</v>
      </c>
      <c r="AT55" s="72" t="s">
        <v>288</v>
      </c>
      <c r="AU55" s="130">
        <v>10325.700000000001</v>
      </c>
      <c r="AV55" s="72" t="s">
        <v>288</v>
      </c>
      <c r="AW55" s="72">
        <v>0.38</v>
      </c>
      <c r="AX55" s="72" t="s">
        <v>288</v>
      </c>
      <c r="AY55" s="130">
        <v>125.56</v>
      </c>
      <c r="AZ55" s="72" t="s">
        <v>288</v>
      </c>
      <c r="BA55" s="72">
        <v>593.42999999999995</v>
      </c>
      <c r="BB55" s="72" t="s">
        <v>288</v>
      </c>
      <c r="BC55" s="72">
        <v>79.929000000000002</v>
      </c>
      <c r="BD55" s="72" t="s">
        <v>288</v>
      </c>
      <c r="BE55" s="72">
        <v>153.02000000000001</v>
      </c>
      <c r="BF55" s="72" t="s">
        <v>288</v>
      </c>
      <c r="BG55" s="72">
        <v>8.9489999999999998</v>
      </c>
      <c r="BH55" s="72" t="s">
        <v>288</v>
      </c>
      <c r="BI55" s="72">
        <v>4.51</v>
      </c>
      <c r="BJ55" s="72" t="s">
        <v>288</v>
      </c>
      <c r="BK55" s="72">
        <v>1.26</v>
      </c>
      <c r="BL55" s="72" t="s">
        <v>288</v>
      </c>
      <c r="BM55" s="72">
        <v>1.39</v>
      </c>
      <c r="BN55" s="72" t="s">
        <v>288</v>
      </c>
      <c r="BO55" s="72">
        <v>2.2799999999999998</v>
      </c>
      <c r="BP55" s="72" t="s">
        <v>288</v>
      </c>
      <c r="BQ55" s="72">
        <v>8.6129999999999995</v>
      </c>
      <c r="BR55" s="72" t="s">
        <v>288</v>
      </c>
      <c r="BS55" s="72">
        <v>8.25</v>
      </c>
      <c r="BT55" s="72" t="s">
        <v>288</v>
      </c>
      <c r="BU55" s="72">
        <v>1176.01</v>
      </c>
      <c r="BV55" s="72" t="s">
        <v>288</v>
      </c>
      <c r="BW55" s="72">
        <v>179.268</v>
      </c>
      <c r="BX55" s="72" t="s">
        <v>288</v>
      </c>
      <c r="BY55" s="72">
        <v>150.77099999999999</v>
      </c>
      <c r="BZ55" s="72" t="s">
        <v>288</v>
      </c>
      <c r="CA55" s="72">
        <v>35.316000000000003</v>
      </c>
      <c r="CB55" s="72" t="s">
        <v>288</v>
      </c>
      <c r="CC55" s="72">
        <v>130.06</v>
      </c>
      <c r="CD55" s="72" t="s">
        <v>288</v>
      </c>
      <c r="CE55" s="72">
        <v>22.911999999999999</v>
      </c>
      <c r="CF55" s="72" t="s">
        <v>288</v>
      </c>
      <c r="CG55" s="72">
        <v>4.3040000000000003</v>
      </c>
      <c r="CH55" s="72" t="s">
        <v>288</v>
      </c>
      <c r="CI55" s="72">
        <v>18.061</v>
      </c>
      <c r="CJ55" s="72" t="s">
        <v>288</v>
      </c>
      <c r="CK55" s="72">
        <v>2.5659999999999998</v>
      </c>
      <c r="CL55" s="72" t="s">
        <v>288</v>
      </c>
      <c r="CM55" s="72">
        <v>13.374000000000001</v>
      </c>
      <c r="CN55" s="72" t="s">
        <v>288</v>
      </c>
      <c r="CO55" s="72">
        <v>2.6480000000000001</v>
      </c>
      <c r="CP55" s="72" t="s">
        <v>288</v>
      </c>
      <c r="CQ55" s="72">
        <v>7.077</v>
      </c>
      <c r="CR55" s="72" t="s">
        <v>288</v>
      </c>
      <c r="CS55" s="72">
        <v>0.97</v>
      </c>
      <c r="CT55" s="72" t="s">
        <v>288</v>
      </c>
      <c r="CU55" s="72">
        <v>5.6749999999999998</v>
      </c>
      <c r="CV55" s="72" t="s">
        <v>288</v>
      </c>
      <c r="CW55" s="72">
        <v>0.86199999999999999</v>
      </c>
      <c r="CX55" s="72" t="s">
        <v>288</v>
      </c>
      <c r="CY55" s="72">
        <v>4.5910000000000002</v>
      </c>
      <c r="CZ55" s="72" t="s">
        <v>288</v>
      </c>
      <c r="DA55" s="72">
        <v>0.59299999999999997</v>
      </c>
      <c r="DB55" s="72" t="s">
        <v>288</v>
      </c>
      <c r="DC55" s="72">
        <v>139.328</v>
      </c>
      <c r="DD55" s="72" t="s">
        <v>288</v>
      </c>
      <c r="DE55" s="72">
        <v>1.1359999999999999</v>
      </c>
      <c r="DF55" s="72" t="s">
        <v>288</v>
      </c>
      <c r="DG55" s="72">
        <v>290.39999999999998</v>
      </c>
      <c r="DH55" s="72" t="s">
        <v>288</v>
      </c>
      <c r="DI55" s="72">
        <v>66.900000000000006</v>
      </c>
      <c r="DJ55" s="72" t="s">
        <v>288</v>
      </c>
      <c r="DK55" s="72">
        <v>16.681999999999999</v>
      </c>
      <c r="DL55" s="72" t="s">
        <v>288</v>
      </c>
      <c r="DM55" s="72">
        <v>5.9960000000000004</v>
      </c>
      <c r="DN55" s="72" t="s">
        <v>288</v>
      </c>
      <c r="DO55" s="130"/>
      <c r="DP55" s="72"/>
      <c r="DQ55" s="72"/>
      <c r="DR55" s="72"/>
      <c r="DS55" s="72"/>
      <c r="DT55" s="72"/>
      <c r="DU55" s="72"/>
      <c r="DV55" s="72"/>
      <c r="DW55" s="72"/>
      <c r="DX55" s="72"/>
      <c r="DY55" s="72"/>
      <c r="DZ55" s="36"/>
      <c r="EA55" s="36"/>
      <c r="EB55" s="36"/>
      <c r="EC55" s="36"/>
      <c r="ED55" s="36"/>
      <c r="EE55" s="36"/>
      <c r="EF55" s="36"/>
      <c r="EG55" s="36"/>
      <c r="EH55" s="36"/>
      <c r="EI55" s="36"/>
      <c r="EJ55" s="72"/>
      <c r="EK55" s="72"/>
      <c r="EL55" s="72"/>
      <c r="EM55" s="72"/>
      <c r="EN55" s="72"/>
      <c r="EO55" s="72"/>
      <c r="EP55" s="72"/>
      <c r="EQ55" s="72"/>
      <c r="ER55" s="72"/>
      <c r="ES55" s="72"/>
      <c r="ET55" s="72"/>
      <c r="EU55" s="72"/>
      <c r="EV55" s="72"/>
      <c r="EW55" s="72"/>
      <c r="EX55" s="72"/>
      <c r="EY55" s="72"/>
      <c r="EZ55" s="72"/>
      <c r="FA55" s="72"/>
      <c r="FB55" s="72"/>
      <c r="FC55" s="72"/>
      <c r="FD55" s="72"/>
      <c r="FE55" s="72"/>
      <c r="FF55" s="72"/>
      <c r="FG55" s="72"/>
      <c r="FH55" s="72"/>
      <c r="FI55" s="72"/>
      <c r="FJ55" s="72"/>
      <c r="FK55" s="72"/>
      <c r="FL55" s="36"/>
      <c r="FM55" s="36"/>
      <c r="FN55" s="72"/>
      <c r="FO55" s="72"/>
      <c r="FP55" s="130"/>
      <c r="FQ55" s="130"/>
      <c r="FR55" s="130"/>
      <c r="FS55" s="130"/>
    </row>
    <row r="56" spans="1:175">
      <c r="B56" s="47" t="s">
        <v>699</v>
      </c>
      <c r="C56" s="72">
        <v>1.2242679024937977</v>
      </c>
      <c r="D56" s="72" t="s">
        <v>288</v>
      </c>
      <c r="E56" s="72">
        <v>4.8550000000000004</v>
      </c>
      <c r="F56" s="72" t="s">
        <v>288</v>
      </c>
      <c r="G56" s="72">
        <v>0.12572125000000001</v>
      </c>
      <c r="H56" s="72" t="s">
        <v>288</v>
      </c>
      <c r="I56" s="72">
        <v>15.2</v>
      </c>
      <c r="J56" s="72" t="s">
        <v>288</v>
      </c>
      <c r="K56" s="72">
        <v>0.81</v>
      </c>
      <c r="L56" s="72" t="s">
        <v>288</v>
      </c>
      <c r="M56" s="36">
        <v>3057</v>
      </c>
      <c r="N56" s="36" t="s">
        <v>288</v>
      </c>
      <c r="O56" s="36">
        <v>1819</v>
      </c>
      <c r="P56" s="36" t="s">
        <v>288</v>
      </c>
      <c r="Q56" s="36">
        <v>62311</v>
      </c>
      <c r="R56" s="36" t="s">
        <v>288</v>
      </c>
      <c r="S56" s="36">
        <v>277</v>
      </c>
      <c r="T56" s="36" t="s">
        <v>288</v>
      </c>
      <c r="U56" s="36">
        <v>38.75</v>
      </c>
      <c r="V56" s="36" t="s">
        <v>288</v>
      </c>
      <c r="W56" s="36">
        <v>12018</v>
      </c>
      <c r="X56" s="36" t="s">
        <v>288</v>
      </c>
      <c r="Y56" s="36">
        <v>3039.25</v>
      </c>
      <c r="Z56" s="36" t="s">
        <v>288</v>
      </c>
      <c r="AA56" s="36">
        <v>944.1</v>
      </c>
      <c r="AB56" s="36" t="s">
        <v>288</v>
      </c>
      <c r="AC56" s="36">
        <v>44.7</v>
      </c>
      <c r="AD56" s="36" t="s">
        <v>288</v>
      </c>
      <c r="AE56" s="36">
        <v>152.9</v>
      </c>
      <c r="AF56" s="36" t="s">
        <v>288</v>
      </c>
      <c r="AG56" s="36">
        <v>491.7</v>
      </c>
      <c r="AH56" s="36" t="s">
        <v>288</v>
      </c>
      <c r="AI56" s="36">
        <v>21641</v>
      </c>
      <c r="AJ56" s="36" t="s">
        <v>288</v>
      </c>
      <c r="AK56" s="72">
        <v>19.012</v>
      </c>
      <c r="AL56" s="72" t="s">
        <v>288</v>
      </c>
      <c r="AM56" s="72">
        <v>52.58</v>
      </c>
      <c r="AN56" s="72" t="s">
        <v>288</v>
      </c>
      <c r="AO56" s="72">
        <v>16.28</v>
      </c>
      <c r="AP56" s="72" t="s">
        <v>288</v>
      </c>
      <c r="AQ56" s="72">
        <v>74</v>
      </c>
      <c r="AR56" s="72" t="s">
        <v>288</v>
      </c>
      <c r="AS56" s="72">
        <v>14.22</v>
      </c>
      <c r="AT56" s="72" t="s">
        <v>288</v>
      </c>
      <c r="AU56" s="130">
        <v>23.4</v>
      </c>
      <c r="AV56" s="72" t="s">
        <v>288</v>
      </c>
      <c r="AW56" s="72">
        <v>4.7500000000000001E-2</v>
      </c>
      <c r="AX56" s="72" t="s">
        <v>288</v>
      </c>
      <c r="AY56" s="130">
        <v>35.409999999999997</v>
      </c>
      <c r="AZ56" s="72" t="s">
        <v>288</v>
      </c>
      <c r="BA56" s="72">
        <v>64.400000000000006</v>
      </c>
      <c r="BB56" s="72" t="s">
        <v>288</v>
      </c>
      <c r="BC56" s="72">
        <v>10.18</v>
      </c>
      <c r="BD56" s="72" t="s">
        <v>288</v>
      </c>
      <c r="BE56" s="72">
        <v>47.13</v>
      </c>
      <c r="BF56" s="72" t="s">
        <v>288</v>
      </c>
      <c r="BG56" s="72">
        <v>2.6059999999999999</v>
      </c>
      <c r="BH56" s="72" t="s">
        <v>288</v>
      </c>
      <c r="BI56" s="72">
        <v>0.69</v>
      </c>
      <c r="BJ56" s="72" t="s">
        <v>288</v>
      </c>
      <c r="BK56" s="72">
        <v>0.10100000000000001</v>
      </c>
      <c r="BL56" s="72" t="s">
        <v>288</v>
      </c>
      <c r="BM56" s="72">
        <v>7.5999999999999998E-2</v>
      </c>
      <c r="BN56" s="72" t="s">
        <v>288</v>
      </c>
      <c r="BO56" s="72">
        <v>0.62</v>
      </c>
      <c r="BP56" s="72" t="s">
        <v>288</v>
      </c>
      <c r="BQ56" s="72">
        <v>0.50800000000000001</v>
      </c>
      <c r="BR56" s="72" t="s">
        <v>288</v>
      </c>
      <c r="BS56" s="72">
        <v>1.974</v>
      </c>
      <c r="BT56" s="72" t="s">
        <v>288</v>
      </c>
      <c r="BU56" s="72">
        <v>362.64</v>
      </c>
      <c r="BV56" s="72" t="s">
        <v>288</v>
      </c>
      <c r="BW56" s="72">
        <v>24.347000000000001</v>
      </c>
      <c r="BX56" s="72" t="s">
        <v>288</v>
      </c>
      <c r="BY56" s="72">
        <v>47.405000000000001</v>
      </c>
      <c r="BZ56" s="72" t="s">
        <v>288</v>
      </c>
      <c r="CA56" s="72">
        <v>6.1369999999999996</v>
      </c>
      <c r="CB56" s="72" t="s">
        <v>288</v>
      </c>
      <c r="CC56" s="72">
        <v>25.17</v>
      </c>
      <c r="CD56" s="72" t="s">
        <v>288</v>
      </c>
      <c r="CE56" s="72">
        <v>4.9690000000000003</v>
      </c>
      <c r="CF56" s="72" t="s">
        <v>288</v>
      </c>
      <c r="CG56" s="72">
        <v>1.3180000000000001</v>
      </c>
      <c r="CH56" s="72" t="s">
        <v>288</v>
      </c>
      <c r="CI56" s="72">
        <v>3.8079999999999998</v>
      </c>
      <c r="CJ56" s="72" t="s">
        <v>288</v>
      </c>
      <c r="CK56" s="72">
        <v>0.45600000000000002</v>
      </c>
      <c r="CL56" s="72" t="s">
        <v>288</v>
      </c>
      <c r="CM56" s="72">
        <v>2.2530000000000001</v>
      </c>
      <c r="CN56" s="72" t="s">
        <v>288</v>
      </c>
      <c r="CO56" s="72">
        <v>0.40500000000000003</v>
      </c>
      <c r="CP56" s="72" t="s">
        <v>288</v>
      </c>
      <c r="CQ56" s="72">
        <v>0.95299999999999996</v>
      </c>
      <c r="CR56" s="72" t="s">
        <v>288</v>
      </c>
      <c r="CS56" s="72">
        <v>0.12</v>
      </c>
      <c r="CT56" s="72" t="s">
        <v>288</v>
      </c>
      <c r="CU56" s="72">
        <v>0.70899999999999996</v>
      </c>
      <c r="CV56" s="72" t="s">
        <v>288</v>
      </c>
      <c r="CW56" s="72">
        <v>0.106</v>
      </c>
      <c r="CX56" s="72" t="s">
        <v>288</v>
      </c>
      <c r="CY56" s="72">
        <v>1.623</v>
      </c>
      <c r="CZ56" s="72" t="s">
        <v>288</v>
      </c>
      <c r="DA56" s="72">
        <v>0.20699999999999999</v>
      </c>
      <c r="DB56" s="72" t="s">
        <v>288</v>
      </c>
      <c r="DC56" s="72">
        <v>1.8049999999999999</v>
      </c>
      <c r="DD56" s="72" t="s">
        <v>288</v>
      </c>
      <c r="DE56" s="72">
        <v>0.221</v>
      </c>
      <c r="DF56" s="72" t="s">
        <v>288</v>
      </c>
      <c r="DG56" s="72">
        <v>13.5</v>
      </c>
      <c r="DH56" s="72" t="s">
        <v>288</v>
      </c>
      <c r="DI56" s="72">
        <v>0.16500000000000001</v>
      </c>
      <c r="DJ56" s="72" t="s">
        <v>288</v>
      </c>
      <c r="DK56" s="72">
        <v>3.9769999999999999</v>
      </c>
      <c r="DL56" s="72" t="s">
        <v>288</v>
      </c>
      <c r="DM56" s="72">
        <v>1.405</v>
      </c>
      <c r="DN56" s="72" t="s">
        <v>288</v>
      </c>
      <c r="DO56" s="130"/>
      <c r="DP56" s="72"/>
      <c r="DQ56" s="72"/>
      <c r="DR56" s="72"/>
      <c r="DS56" s="72"/>
      <c r="DT56" s="72"/>
      <c r="DU56" s="72"/>
      <c r="DV56" s="72"/>
      <c r="DW56" s="72"/>
      <c r="DX56" s="72"/>
      <c r="DY56" s="72"/>
      <c r="DZ56" s="36"/>
      <c r="EA56" s="36"/>
      <c r="EB56" s="36"/>
      <c r="EC56" s="36"/>
      <c r="ED56" s="36"/>
      <c r="EE56" s="36"/>
      <c r="EF56" s="36"/>
      <c r="EG56" s="36"/>
      <c r="EH56" s="36"/>
      <c r="EI56" s="36"/>
      <c r="EJ56" s="72"/>
      <c r="EK56" s="72"/>
      <c r="EL56" s="72"/>
      <c r="EM56" s="72"/>
      <c r="EN56" s="72"/>
      <c r="EO56" s="72"/>
      <c r="EP56" s="72"/>
      <c r="EQ56" s="72"/>
      <c r="ER56" s="72"/>
      <c r="ES56" s="72"/>
      <c r="ET56" s="72"/>
      <c r="EU56" s="72"/>
      <c r="EV56" s="72"/>
      <c r="EW56" s="72"/>
      <c r="EX56" s="72"/>
      <c r="EY56" s="72"/>
      <c r="EZ56" s="72"/>
      <c r="FA56" s="72"/>
      <c r="FB56" s="72"/>
      <c r="FC56" s="72"/>
      <c r="FD56" s="72"/>
      <c r="FE56" s="72"/>
      <c r="FF56" s="72"/>
      <c r="FG56" s="72"/>
      <c r="FH56" s="72"/>
      <c r="FI56" s="72"/>
      <c r="FJ56" s="72"/>
      <c r="FK56" s="72"/>
      <c r="FL56" s="36"/>
      <c r="FM56" s="36"/>
      <c r="FN56" s="72"/>
      <c r="FO56" s="72"/>
      <c r="FP56" s="130"/>
      <c r="FQ56" s="130"/>
      <c r="FR56" s="130"/>
      <c r="FS56" s="130"/>
    </row>
    <row r="57" spans="1:175">
      <c r="B57" s="47" t="s">
        <v>700</v>
      </c>
      <c r="C57" s="72">
        <v>2.211876136877569</v>
      </c>
      <c r="D57" s="72" t="s">
        <v>288</v>
      </c>
      <c r="E57" s="72">
        <v>6.42</v>
      </c>
      <c r="F57" s="72" t="s">
        <v>288</v>
      </c>
      <c r="G57" s="72">
        <v>0.3797875</v>
      </c>
      <c r="H57" s="72" t="s">
        <v>288</v>
      </c>
      <c r="I57" s="72">
        <v>17.600000000000001</v>
      </c>
      <c r="J57" s="72" t="s">
        <v>288</v>
      </c>
      <c r="K57" s="72">
        <v>1.29</v>
      </c>
      <c r="L57" s="72" t="s">
        <v>288</v>
      </c>
      <c r="M57" s="36">
        <v>7180</v>
      </c>
      <c r="N57" s="36" t="s">
        <v>288</v>
      </c>
      <c r="O57" s="36">
        <v>8582</v>
      </c>
      <c r="P57" s="36" t="s">
        <v>288</v>
      </c>
      <c r="Q57" s="36">
        <v>78068</v>
      </c>
      <c r="R57" s="36" t="s">
        <v>288</v>
      </c>
      <c r="S57" s="36">
        <v>468</v>
      </c>
      <c r="T57" s="36" t="s">
        <v>288</v>
      </c>
      <c r="U57" s="36">
        <v>77.5</v>
      </c>
      <c r="V57" s="36" t="s">
        <v>288</v>
      </c>
      <c r="W57" s="36">
        <v>18301</v>
      </c>
      <c r="X57" s="36" t="s">
        <v>288</v>
      </c>
      <c r="Y57" s="36">
        <v>5210</v>
      </c>
      <c r="Z57" s="36" t="s">
        <v>288</v>
      </c>
      <c r="AA57" s="36">
        <v>2634.2</v>
      </c>
      <c r="AB57" s="36" t="s">
        <v>288</v>
      </c>
      <c r="AC57" s="36">
        <v>106</v>
      </c>
      <c r="AD57" s="36" t="s">
        <v>288</v>
      </c>
      <c r="AE57" s="36">
        <v>178.7</v>
      </c>
      <c r="AF57" s="36" t="s">
        <v>288</v>
      </c>
      <c r="AG57" s="36">
        <v>782</v>
      </c>
      <c r="AH57" s="36" t="s">
        <v>288</v>
      </c>
      <c r="AI57" s="36">
        <v>39016</v>
      </c>
      <c r="AJ57" s="36" t="s">
        <v>288</v>
      </c>
      <c r="AK57" s="72">
        <v>34.491</v>
      </c>
      <c r="AL57" s="72" t="s">
        <v>288</v>
      </c>
      <c r="AM57" s="72">
        <v>91.52</v>
      </c>
      <c r="AN57" s="72" t="s">
        <v>288</v>
      </c>
      <c r="AO57" s="72">
        <v>47.87</v>
      </c>
      <c r="AP57" s="72" t="s">
        <v>288</v>
      </c>
      <c r="AQ57" s="72">
        <v>91</v>
      </c>
      <c r="AR57" s="72" t="s">
        <v>288</v>
      </c>
      <c r="AS57" s="72">
        <v>15.69</v>
      </c>
      <c r="AT57" s="72" t="s">
        <v>288</v>
      </c>
      <c r="AU57" s="130">
        <v>74</v>
      </c>
      <c r="AV57" s="72" t="s">
        <v>288</v>
      </c>
      <c r="AW57" s="72">
        <v>0.11</v>
      </c>
      <c r="AX57" s="72" t="s">
        <v>288</v>
      </c>
      <c r="AY57" s="130">
        <v>64.72</v>
      </c>
      <c r="AZ57" s="72" t="s">
        <v>288</v>
      </c>
      <c r="BA57" s="72">
        <v>103.76</v>
      </c>
      <c r="BB57" s="72" t="s">
        <v>288</v>
      </c>
      <c r="BC57" s="72">
        <v>14.887</v>
      </c>
      <c r="BD57" s="72" t="s">
        <v>288</v>
      </c>
      <c r="BE57" s="72">
        <v>111.52</v>
      </c>
      <c r="BF57" s="72" t="s">
        <v>288</v>
      </c>
      <c r="BG57" s="72">
        <v>4.51</v>
      </c>
      <c r="BH57" s="72" t="s">
        <v>288</v>
      </c>
      <c r="BI57" s="72">
        <v>1.22</v>
      </c>
      <c r="BJ57" s="72" t="s">
        <v>288</v>
      </c>
      <c r="BK57" s="72">
        <v>0.33100000000000002</v>
      </c>
      <c r="BL57" s="72" t="s">
        <v>288</v>
      </c>
      <c r="BM57" s="72">
        <v>0.249</v>
      </c>
      <c r="BN57" s="72" t="s">
        <v>288</v>
      </c>
      <c r="BO57" s="72">
        <v>0.92</v>
      </c>
      <c r="BP57" s="72" t="s">
        <v>288</v>
      </c>
      <c r="BQ57" s="72">
        <v>0.873</v>
      </c>
      <c r="BR57" s="72" t="s">
        <v>288</v>
      </c>
      <c r="BS57" s="72">
        <v>2.0649999999999999</v>
      </c>
      <c r="BT57" s="72" t="s">
        <v>288</v>
      </c>
      <c r="BU57" s="72">
        <v>569.71</v>
      </c>
      <c r="BV57" s="72" t="s">
        <v>288</v>
      </c>
      <c r="BW57" s="72">
        <v>37.024999999999999</v>
      </c>
      <c r="BX57" s="72" t="s">
        <v>288</v>
      </c>
      <c r="BY57" s="72">
        <v>85.373999999999995</v>
      </c>
      <c r="BZ57" s="72" t="s">
        <v>288</v>
      </c>
      <c r="CA57" s="72">
        <v>8.9480000000000004</v>
      </c>
      <c r="CB57" s="72" t="s">
        <v>288</v>
      </c>
      <c r="CC57" s="72">
        <v>34.5</v>
      </c>
      <c r="CD57" s="72" t="s">
        <v>288</v>
      </c>
      <c r="CE57" s="72">
        <v>5.9459999999999997</v>
      </c>
      <c r="CF57" s="72" t="s">
        <v>288</v>
      </c>
      <c r="CG57" s="72">
        <v>1.5920000000000001</v>
      </c>
      <c r="CH57" s="72" t="s">
        <v>288</v>
      </c>
      <c r="CI57" s="72">
        <v>4.0339999999999998</v>
      </c>
      <c r="CJ57" s="72" t="s">
        <v>288</v>
      </c>
      <c r="CK57" s="72">
        <v>0.56599999999999995</v>
      </c>
      <c r="CL57" s="72" t="s">
        <v>288</v>
      </c>
      <c r="CM57" s="72">
        <v>2.8690000000000002</v>
      </c>
      <c r="CN57" s="72" t="s">
        <v>288</v>
      </c>
      <c r="CO57" s="72">
        <v>0.56200000000000006</v>
      </c>
      <c r="CP57" s="72" t="s">
        <v>288</v>
      </c>
      <c r="CQ57" s="72">
        <v>1.5149999999999999</v>
      </c>
      <c r="CR57" s="72" t="s">
        <v>288</v>
      </c>
      <c r="CS57" s="72">
        <v>0.215</v>
      </c>
      <c r="CT57" s="72" t="s">
        <v>288</v>
      </c>
      <c r="CU57" s="72">
        <v>1.353</v>
      </c>
      <c r="CV57" s="72" t="s">
        <v>288</v>
      </c>
      <c r="CW57" s="72">
        <v>0.20799999999999999</v>
      </c>
      <c r="CX57" s="72" t="s">
        <v>288</v>
      </c>
      <c r="CY57" s="72">
        <v>2.8260000000000001</v>
      </c>
      <c r="CZ57" s="72" t="s">
        <v>288</v>
      </c>
      <c r="DA57" s="72">
        <v>0.28599999999999998</v>
      </c>
      <c r="DB57" s="72" t="s">
        <v>288</v>
      </c>
      <c r="DC57" s="72">
        <v>4.05</v>
      </c>
      <c r="DD57" s="72" t="s">
        <v>288</v>
      </c>
      <c r="DE57" s="72">
        <v>0.30099999999999999</v>
      </c>
      <c r="DF57" s="72" t="s">
        <v>288</v>
      </c>
      <c r="DG57" s="72">
        <v>37.6</v>
      </c>
      <c r="DH57" s="72" t="s">
        <v>288</v>
      </c>
      <c r="DI57" s="72">
        <v>0.56000000000000005</v>
      </c>
      <c r="DJ57" s="72" t="s">
        <v>288</v>
      </c>
      <c r="DK57" s="72">
        <v>5.8090000000000002</v>
      </c>
      <c r="DL57" s="72" t="s">
        <v>288</v>
      </c>
      <c r="DM57" s="72">
        <v>2.016</v>
      </c>
      <c r="DN57" s="72" t="s">
        <v>288</v>
      </c>
      <c r="DO57" s="130"/>
      <c r="DP57" s="72"/>
      <c r="DQ57" s="72"/>
      <c r="DR57" s="72"/>
      <c r="DS57" s="72"/>
      <c r="DT57" s="72"/>
      <c r="DU57" s="72"/>
      <c r="DV57" s="72"/>
      <c r="DW57" s="72"/>
      <c r="DX57" s="72"/>
      <c r="DY57" s="72"/>
      <c r="DZ57" s="36"/>
      <c r="EA57" s="36"/>
      <c r="EB57" s="36"/>
      <c r="EC57" s="36"/>
      <c r="ED57" s="36"/>
      <c r="EE57" s="36"/>
      <c r="EF57" s="36"/>
      <c r="EG57" s="36"/>
      <c r="EH57" s="36"/>
      <c r="EI57" s="36"/>
      <c r="EJ57" s="72"/>
      <c r="EK57" s="72"/>
      <c r="EL57" s="72"/>
      <c r="EM57" s="72"/>
      <c r="EN57" s="72"/>
      <c r="EO57" s="72"/>
      <c r="EP57" s="72"/>
      <c r="EQ57" s="72"/>
      <c r="ER57" s="72"/>
      <c r="ES57" s="72"/>
      <c r="ET57" s="72"/>
      <c r="EU57" s="72"/>
      <c r="EV57" s="72"/>
      <c r="EW57" s="72"/>
      <c r="EX57" s="72"/>
      <c r="EY57" s="72"/>
      <c r="EZ57" s="72"/>
      <c r="FA57" s="72"/>
      <c r="FB57" s="72"/>
      <c r="FC57" s="72"/>
      <c r="FD57" s="72"/>
      <c r="FE57" s="72"/>
      <c r="FF57" s="72"/>
      <c r="FG57" s="72"/>
      <c r="FH57" s="72"/>
      <c r="FI57" s="72"/>
      <c r="FJ57" s="72"/>
      <c r="FK57" s="72"/>
      <c r="FL57" s="36"/>
      <c r="FM57" s="36"/>
      <c r="FN57" s="72"/>
      <c r="FO57" s="72"/>
      <c r="FP57" s="130"/>
      <c r="FQ57" s="130"/>
      <c r="FR57" s="130"/>
      <c r="FS57" s="130"/>
    </row>
    <row r="58" spans="1:175">
      <c r="B58" s="47" t="s">
        <v>701</v>
      </c>
      <c r="C58" s="72">
        <v>3.1011373490582477</v>
      </c>
      <c r="D58" s="72" t="s">
        <v>288</v>
      </c>
      <c r="E58" s="72">
        <v>7.8975</v>
      </c>
      <c r="F58" s="72" t="s">
        <v>288</v>
      </c>
      <c r="G58" s="72">
        <v>8.7818937500000001</v>
      </c>
      <c r="H58" s="72" t="s">
        <v>288</v>
      </c>
      <c r="I58" s="72">
        <v>40.499999999999986</v>
      </c>
      <c r="J58" s="72" t="s">
        <v>288</v>
      </c>
      <c r="K58" s="72">
        <v>2.6640000000000001</v>
      </c>
      <c r="L58" s="72" t="s">
        <v>288</v>
      </c>
      <c r="M58" s="36">
        <v>24298.399999999998</v>
      </c>
      <c r="N58" s="36" t="s">
        <v>288</v>
      </c>
      <c r="O58" s="36">
        <v>17370.599999999999</v>
      </c>
      <c r="P58" s="36" t="s">
        <v>288</v>
      </c>
      <c r="Q58" s="36">
        <v>113495.79999999999</v>
      </c>
      <c r="R58" s="36" t="s">
        <v>288</v>
      </c>
      <c r="S58" s="36">
        <v>1155.3999999999999</v>
      </c>
      <c r="T58" s="36" t="s">
        <v>288</v>
      </c>
      <c r="U58" s="36">
        <v>6822.3999999999969</v>
      </c>
      <c r="V58" s="36" t="s">
        <v>288</v>
      </c>
      <c r="W58" s="36">
        <v>29052.799999999999</v>
      </c>
      <c r="X58" s="36" t="s">
        <v>288</v>
      </c>
      <c r="Y58" s="36">
        <v>27465.249999999993</v>
      </c>
      <c r="Z58" s="36" t="s">
        <v>288</v>
      </c>
      <c r="AA58" s="36">
        <v>4264.3199999999988</v>
      </c>
      <c r="AB58" s="36" t="s">
        <v>288</v>
      </c>
      <c r="AC58" s="36">
        <v>177.1</v>
      </c>
      <c r="AD58" s="36" t="s">
        <v>288</v>
      </c>
      <c r="AE58" s="36">
        <v>278.44</v>
      </c>
      <c r="AF58" s="36" t="s">
        <v>288</v>
      </c>
      <c r="AG58" s="36">
        <v>1743.1199999999992</v>
      </c>
      <c r="AH58" s="36" t="s">
        <v>288</v>
      </c>
      <c r="AI58" s="36">
        <v>60272.2</v>
      </c>
      <c r="AJ58" s="36" t="s">
        <v>288</v>
      </c>
      <c r="AK58" s="72">
        <v>75.908199999999979</v>
      </c>
      <c r="AL58" s="72" t="s">
        <v>288</v>
      </c>
      <c r="AM58" s="72">
        <v>127.398</v>
      </c>
      <c r="AN58" s="72" t="s">
        <v>288</v>
      </c>
      <c r="AO58" s="72">
        <v>154.00799999999995</v>
      </c>
      <c r="AP58" s="72" t="s">
        <v>288</v>
      </c>
      <c r="AQ58" s="72">
        <v>313.2</v>
      </c>
      <c r="AR58" s="72" t="s">
        <v>288</v>
      </c>
      <c r="AS58" s="72">
        <v>23.986000000000001</v>
      </c>
      <c r="AT58" s="72" t="s">
        <v>288</v>
      </c>
      <c r="AU58" s="130">
        <v>3153.6199999999935</v>
      </c>
      <c r="AV58" s="72" t="s">
        <v>288</v>
      </c>
      <c r="AW58" s="72">
        <v>0.33500000000000002</v>
      </c>
      <c r="AX58" s="72" t="s">
        <v>288</v>
      </c>
      <c r="AY58" s="130">
        <v>114.8</v>
      </c>
      <c r="AZ58" s="72" t="s">
        <v>288</v>
      </c>
      <c r="BA58" s="72">
        <v>424.23799999999983</v>
      </c>
      <c r="BB58" s="72" t="s">
        <v>288</v>
      </c>
      <c r="BC58" s="72">
        <v>59.553799999999981</v>
      </c>
      <c r="BD58" s="72" t="s">
        <v>288</v>
      </c>
      <c r="BE58" s="72">
        <v>147.07599999999999</v>
      </c>
      <c r="BF58" s="72" t="s">
        <v>288</v>
      </c>
      <c r="BG58" s="72">
        <v>8.9042000000000012</v>
      </c>
      <c r="BH58" s="72" t="s">
        <v>288</v>
      </c>
      <c r="BI58" s="72">
        <v>3.6939999999999995</v>
      </c>
      <c r="BJ58" s="72" t="s">
        <v>288</v>
      </c>
      <c r="BK58" s="72">
        <v>1.0743999999999998</v>
      </c>
      <c r="BL58" s="72" t="s">
        <v>288</v>
      </c>
      <c r="BM58" s="72">
        <v>1.3283999999999998</v>
      </c>
      <c r="BN58" s="72" t="s">
        <v>288</v>
      </c>
      <c r="BO58" s="72">
        <v>1.9759999999999995</v>
      </c>
      <c r="BP58" s="72" t="s">
        <v>288</v>
      </c>
      <c r="BQ58" s="72">
        <v>5.0265999999999966</v>
      </c>
      <c r="BR58" s="72" t="s">
        <v>288</v>
      </c>
      <c r="BS58" s="72">
        <v>6.8691999999999984</v>
      </c>
      <c r="BT58" s="72" t="s">
        <v>288</v>
      </c>
      <c r="BU58" s="72">
        <v>952.82599999999979</v>
      </c>
      <c r="BV58" s="72" t="s">
        <v>288</v>
      </c>
      <c r="BW58" s="72">
        <v>107.04719999999995</v>
      </c>
      <c r="BX58" s="72" t="s">
        <v>288</v>
      </c>
      <c r="BY58" s="72">
        <v>140.37019999999998</v>
      </c>
      <c r="BZ58" s="72" t="s">
        <v>288</v>
      </c>
      <c r="CA58" s="72">
        <v>21.77119999999999</v>
      </c>
      <c r="CB58" s="72" t="s">
        <v>288</v>
      </c>
      <c r="CC58" s="72">
        <v>81.95599999999996</v>
      </c>
      <c r="CD58" s="72" t="s">
        <v>288</v>
      </c>
      <c r="CE58" s="72">
        <v>14.694399999999993</v>
      </c>
      <c r="CF58" s="72" t="s">
        <v>288</v>
      </c>
      <c r="CG58" s="72">
        <v>2.9983999999999988</v>
      </c>
      <c r="CH58" s="72" t="s">
        <v>288</v>
      </c>
      <c r="CI58" s="72">
        <v>12.077799999999995</v>
      </c>
      <c r="CJ58" s="72" t="s">
        <v>288</v>
      </c>
      <c r="CK58" s="72">
        <v>1.8075999999999994</v>
      </c>
      <c r="CL58" s="72" t="s">
        <v>288</v>
      </c>
      <c r="CM58" s="72">
        <v>9.7627999999999968</v>
      </c>
      <c r="CN58" s="72" t="s">
        <v>288</v>
      </c>
      <c r="CO58" s="72">
        <v>1.9783999999999993</v>
      </c>
      <c r="CP58" s="72" t="s">
        <v>288</v>
      </c>
      <c r="CQ58" s="72">
        <v>5.3593999999999982</v>
      </c>
      <c r="CR58" s="72" t="s">
        <v>288</v>
      </c>
      <c r="CS58" s="72">
        <v>0.75959999999999983</v>
      </c>
      <c r="CT58" s="72" t="s">
        <v>288</v>
      </c>
      <c r="CU58" s="72">
        <v>4.4133999999999984</v>
      </c>
      <c r="CV58" s="72" t="s">
        <v>288</v>
      </c>
      <c r="CW58" s="72">
        <v>0.68999999999999984</v>
      </c>
      <c r="CX58" s="72" t="s">
        <v>288</v>
      </c>
      <c r="CY58" s="72">
        <v>4.3861999999999997</v>
      </c>
      <c r="CZ58" s="72" t="s">
        <v>288</v>
      </c>
      <c r="DA58" s="72">
        <v>0.57219999999999993</v>
      </c>
      <c r="DB58" s="72" t="s">
        <v>288</v>
      </c>
      <c r="DC58" s="72">
        <v>41.754399999999919</v>
      </c>
      <c r="DD58" s="72" t="s">
        <v>288</v>
      </c>
      <c r="DE58" s="72">
        <v>0.93599999999999983</v>
      </c>
      <c r="DF58" s="72" t="s">
        <v>288</v>
      </c>
      <c r="DG58" s="72">
        <v>270.47999999999996</v>
      </c>
      <c r="DH58" s="72" t="s">
        <v>288</v>
      </c>
      <c r="DI58" s="72">
        <v>18.142500000000002</v>
      </c>
      <c r="DJ58" s="72" t="s">
        <v>288</v>
      </c>
      <c r="DK58" s="72">
        <v>13.038799999999997</v>
      </c>
      <c r="DL58" s="72" t="s">
        <v>288</v>
      </c>
      <c r="DM58" s="72">
        <v>5.2359999999999998</v>
      </c>
      <c r="DN58" s="72" t="s">
        <v>288</v>
      </c>
      <c r="DO58" s="130"/>
      <c r="DP58" s="72"/>
      <c r="DQ58" s="72"/>
      <c r="DR58" s="72"/>
      <c r="DS58" s="72"/>
      <c r="DT58" s="72"/>
      <c r="DU58" s="72"/>
      <c r="DV58" s="72"/>
      <c r="DW58" s="72"/>
      <c r="DX58" s="72"/>
      <c r="DY58" s="72"/>
      <c r="DZ58" s="36"/>
      <c r="EA58" s="36"/>
      <c r="EB58" s="36"/>
      <c r="EC58" s="36"/>
      <c r="ED58" s="36"/>
      <c r="EE58" s="36"/>
      <c r="EF58" s="36"/>
      <c r="EG58" s="36"/>
      <c r="EH58" s="36"/>
      <c r="EI58" s="36"/>
      <c r="EJ58" s="72"/>
      <c r="EK58" s="72"/>
      <c r="EL58" s="72"/>
      <c r="EM58" s="72"/>
      <c r="EN58" s="72"/>
      <c r="EO58" s="72"/>
      <c r="EP58" s="72"/>
      <c r="EQ58" s="72"/>
      <c r="ER58" s="72"/>
      <c r="ES58" s="72"/>
      <c r="ET58" s="72"/>
      <c r="EU58" s="72"/>
      <c r="EV58" s="72"/>
      <c r="EW58" s="72"/>
      <c r="EX58" s="72"/>
      <c r="EY58" s="72"/>
      <c r="EZ58" s="72"/>
      <c r="FA58" s="72"/>
      <c r="FB58" s="72"/>
      <c r="FC58" s="72"/>
      <c r="FD58" s="72"/>
      <c r="FE58" s="72"/>
      <c r="FF58" s="72"/>
      <c r="FG58" s="72"/>
      <c r="FH58" s="72"/>
      <c r="FI58" s="72"/>
      <c r="FJ58" s="72"/>
      <c r="FK58" s="72"/>
      <c r="FL58" s="36"/>
      <c r="FM58" s="36"/>
      <c r="FN58" s="72"/>
      <c r="FO58" s="72"/>
      <c r="FP58" s="130"/>
      <c r="FQ58" s="130"/>
      <c r="FR58" s="130"/>
      <c r="FS58" s="130"/>
    </row>
    <row r="59" spans="1:175">
      <c r="B59" s="47" t="s">
        <v>702</v>
      </c>
      <c r="C59" s="72">
        <v>1.4670038415712765</v>
      </c>
      <c r="D59" s="72" t="s">
        <v>288</v>
      </c>
      <c r="E59" s="72">
        <v>5.9740693622637968</v>
      </c>
      <c r="F59" s="72" t="s">
        <v>288</v>
      </c>
      <c r="G59" s="72">
        <v>0.52860119908013969</v>
      </c>
      <c r="H59" s="72" t="s">
        <v>288</v>
      </c>
      <c r="I59" s="72">
        <v>17.213976210342739</v>
      </c>
      <c r="J59" s="72" t="s">
        <v>288</v>
      </c>
      <c r="K59" s="72">
        <v>1.0274828164280894</v>
      </c>
      <c r="L59" s="72" t="s">
        <v>288</v>
      </c>
      <c r="M59" s="36">
        <v>4470.5536426655517</v>
      </c>
      <c r="N59" s="36" t="s">
        <v>288</v>
      </c>
      <c r="O59" s="36">
        <v>5314.2301005231639</v>
      </c>
      <c r="P59" s="36" t="s">
        <v>288</v>
      </c>
      <c r="Q59" s="36">
        <v>53539.879309413009</v>
      </c>
      <c r="R59" s="36" t="s">
        <v>288</v>
      </c>
      <c r="S59" s="36">
        <v>397.80267328491772</v>
      </c>
      <c r="T59" s="36" t="s">
        <v>288</v>
      </c>
      <c r="U59" s="36">
        <v>117.66131246651828</v>
      </c>
      <c r="V59" s="36" t="s">
        <v>288</v>
      </c>
      <c r="W59" s="36">
        <v>12764.567884970993</v>
      </c>
      <c r="X59" s="36" t="s">
        <v>288</v>
      </c>
      <c r="Y59" s="36">
        <v>5979.360845954714</v>
      </c>
      <c r="Z59" s="36" t="s">
        <v>288</v>
      </c>
      <c r="AA59" s="36">
        <v>1629.1452417565824</v>
      </c>
      <c r="AB59" s="36" t="s">
        <v>288</v>
      </c>
      <c r="AC59" s="36">
        <v>78.111831721418227</v>
      </c>
      <c r="AD59" s="36" t="s">
        <v>288</v>
      </c>
      <c r="AE59" s="36">
        <v>183.1491376939635</v>
      </c>
      <c r="AF59" s="36" t="s">
        <v>288</v>
      </c>
      <c r="AG59" s="36">
        <v>683.13428054906592</v>
      </c>
      <c r="AH59" s="36" t="s">
        <v>288</v>
      </c>
      <c r="AI59" s="36">
        <v>31117.859726230061</v>
      </c>
      <c r="AJ59" s="36" t="s">
        <v>288</v>
      </c>
      <c r="AK59" s="72">
        <v>26.217009306795859</v>
      </c>
      <c r="AL59" s="72" t="s">
        <v>288</v>
      </c>
      <c r="AM59" s="72">
        <v>64.304142870935962</v>
      </c>
      <c r="AN59" s="72" t="s">
        <v>288</v>
      </c>
      <c r="AO59" s="72">
        <v>39.93141470596467</v>
      </c>
      <c r="AP59" s="72" t="s">
        <v>288</v>
      </c>
      <c r="AQ59" s="72">
        <v>85.010318692213573</v>
      </c>
      <c r="AR59" s="72" t="s">
        <v>288</v>
      </c>
      <c r="AS59" s="72">
        <v>11.563566218787592</v>
      </c>
      <c r="AT59" s="72" t="s">
        <v>288</v>
      </c>
      <c r="AU59" s="130">
        <v>100.52832119643907</v>
      </c>
      <c r="AV59" s="72" t="s">
        <v>288</v>
      </c>
      <c r="AW59" s="72">
        <v>0.10977103447316731</v>
      </c>
      <c r="AX59" s="72" t="s">
        <v>288</v>
      </c>
      <c r="AY59" s="130">
        <v>49.275100557607949</v>
      </c>
      <c r="AZ59" s="72" t="s">
        <v>288</v>
      </c>
      <c r="BA59" s="72">
        <v>86.259913000342678</v>
      </c>
      <c r="BB59" s="72" t="s">
        <v>288</v>
      </c>
      <c r="BC59" s="72">
        <v>12.147520019181185</v>
      </c>
      <c r="BD59" s="72" t="s">
        <v>288</v>
      </c>
      <c r="BE59" s="72">
        <v>72.459626856451962</v>
      </c>
      <c r="BF59" s="72" t="s">
        <v>288</v>
      </c>
      <c r="BG59" s="72">
        <v>3.9694515066051932</v>
      </c>
      <c r="BH59" s="72" t="s">
        <v>288</v>
      </c>
      <c r="BI59" s="72">
        <v>1.2383372959700549</v>
      </c>
      <c r="BJ59" s="72" t="s">
        <v>288</v>
      </c>
      <c r="BK59" s="72">
        <v>0.29631756576601503</v>
      </c>
      <c r="BL59" s="72" t="s">
        <v>288</v>
      </c>
      <c r="BM59" s="72">
        <v>0.17137536832266195</v>
      </c>
      <c r="BN59" s="72" t="s">
        <v>288</v>
      </c>
      <c r="BO59" s="72">
        <v>0.89279469355015262</v>
      </c>
      <c r="BP59" s="72" t="s">
        <v>288</v>
      </c>
      <c r="BQ59" s="72">
        <v>1.0318075645491911</v>
      </c>
      <c r="BR59" s="72" t="s">
        <v>288</v>
      </c>
      <c r="BS59" s="72">
        <v>1.9241140184155208</v>
      </c>
      <c r="BT59" s="72" t="s">
        <v>288</v>
      </c>
      <c r="BU59" s="72">
        <v>407.74542701425463</v>
      </c>
      <c r="BV59" s="72" t="s">
        <v>288</v>
      </c>
      <c r="BW59" s="72">
        <v>28.287238032029961</v>
      </c>
      <c r="BX59" s="72" t="s">
        <v>288</v>
      </c>
      <c r="BY59" s="72">
        <v>60.268207017230019</v>
      </c>
      <c r="BZ59" s="72" t="s">
        <v>288</v>
      </c>
      <c r="CA59" s="72">
        <v>6.4680888483334442</v>
      </c>
      <c r="CB59" s="72" t="s">
        <v>288</v>
      </c>
      <c r="CC59" s="72">
        <v>24.686022647342298</v>
      </c>
      <c r="CD59" s="72" t="s">
        <v>288</v>
      </c>
      <c r="CE59" s="72">
        <v>4.423137899080718</v>
      </c>
      <c r="CF59" s="72" t="s">
        <v>288</v>
      </c>
      <c r="CG59" s="72">
        <v>1.0575635730352813</v>
      </c>
      <c r="CH59" s="72" t="s">
        <v>288</v>
      </c>
      <c r="CI59" s="72">
        <v>3.2603292228296148</v>
      </c>
      <c r="CJ59" s="72" t="s">
        <v>288</v>
      </c>
      <c r="CK59" s="72">
        <v>0.45292300219352638</v>
      </c>
      <c r="CL59" s="72" t="s">
        <v>288</v>
      </c>
      <c r="CM59" s="72">
        <v>2.3614070640956397</v>
      </c>
      <c r="CN59" s="72" t="s">
        <v>288</v>
      </c>
      <c r="CO59" s="72">
        <v>0.46076534449959705</v>
      </c>
      <c r="CP59" s="72" t="s">
        <v>288</v>
      </c>
      <c r="CQ59" s="72">
        <v>1.2288477015863881</v>
      </c>
      <c r="CR59" s="72" t="s">
        <v>288</v>
      </c>
      <c r="CS59" s="72">
        <v>0.17445273446526596</v>
      </c>
      <c r="CT59" s="72" t="s">
        <v>288</v>
      </c>
      <c r="CU59" s="72">
        <v>1.0841986358348656</v>
      </c>
      <c r="CV59" s="72" t="s">
        <v>288</v>
      </c>
      <c r="CW59" s="72">
        <v>0.16607498626988049</v>
      </c>
      <c r="CX59" s="72" t="s">
        <v>288</v>
      </c>
      <c r="CY59" s="72">
        <v>2.1010562227308007</v>
      </c>
      <c r="CZ59" s="72" t="s">
        <v>288</v>
      </c>
      <c r="DA59" s="72">
        <v>0.2491770822933673</v>
      </c>
      <c r="DB59" s="72" t="s">
        <v>288</v>
      </c>
      <c r="DC59" s="72">
        <v>4.7412939735957176</v>
      </c>
      <c r="DD59" s="72" t="s">
        <v>288</v>
      </c>
      <c r="DE59" s="72">
        <v>0.29412146780164106</v>
      </c>
      <c r="DF59" s="72" t="s">
        <v>288</v>
      </c>
      <c r="DG59" s="72">
        <v>36.711184849733918</v>
      </c>
      <c r="DH59" s="72" t="s">
        <v>288</v>
      </c>
      <c r="DI59" s="72">
        <v>0.54627111626709768</v>
      </c>
      <c r="DJ59" s="72" t="s">
        <v>288</v>
      </c>
      <c r="DK59" s="72">
        <v>4.7789259309156558</v>
      </c>
      <c r="DL59" s="72" t="s">
        <v>288</v>
      </c>
      <c r="DM59" s="72">
        <v>1.592382898180611</v>
      </c>
      <c r="DN59" s="72" t="s">
        <v>288</v>
      </c>
      <c r="DO59" s="130"/>
      <c r="DP59" s="72"/>
      <c r="DQ59" s="72"/>
      <c r="DR59" s="72"/>
      <c r="DS59" s="72"/>
      <c r="DT59" s="72"/>
      <c r="DU59" s="72"/>
      <c r="DV59" s="72"/>
      <c r="DW59" s="72"/>
      <c r="DX59" s="72"/>
      <c r="DY59" s="72"/>
      <c r="DZ59" s="36"/>
      <c r="EA59" s="36"/>
      <c r="EB59" s="36"/>
      <c r="EC59" s="36"/>
      <c r="ED59" s="36"/>
      <c r="EE59" s="36"/>
      <c r="EF59" s="36"/>
      <c r="EG59" s="36"/>
      <c r="EH59" s="36"/>
      <c r="EI59" s="36"/>
      <c r="EJ59" s="72"/>
      <c r="EK59" s="72"/>
      <c r="EL59" s="72"/>
      <c r="EM59" s="72"/>
      <c r="EN59" s="72"/>
      <c r="EO59" s="72"/>
      <c r="EP59" s="72"/>
      <c r="EQ59" s="72"/>
      <c r="ER59" s="72"/>
      <c r="ES59" s="72"/>
      <c r="ET59" s="72"/>
      <c r="EU59" s="72"/>
      <c r="EV59" s="72"/>
      <c r="EW59" s="72"/>
      <c r="EX59" s="72"/>
      <c r="EY59" s="72"/>
      <c r="EZ59" s="72"/>
      <c r="FA59" s="72"/>
      <c r="FB59" s="72"/>
      <c r="FC59" s="72"/>
      <c r="FD59" s="72"/>
      <c r="FE59" s="72"/>
      <c r="FF59" s="72"/>
      <c r="FG59" s="72"/>
      <c r="FH59" s="72"/>
      <c r="FI59" s="72"/>
      <c r="FJ59" s="72"/>
      <c r="FK59" s="72"/>
      <c r="FL59" s="36"/>
      <c r="FM59" s="36"/>
      <c r="FN59" s="72"/>
      <c r="FO59" s="72"/>
      <c r="FP59" s="130"/>
      <c r="FQ59" s="130"/>
      <c r="FR59" s="130"/>
      <c r="FS59" s="130"/>
    </row>
    <row r="60" spans="1:175">
      <c r="B60" s="47" t="s">
        <v>703</v>
      </c>
      <c r="C60" s="72">
        <v>1.8578208818740838</v>
      </c>
      <c r="D60" s="72" t="s">
        <v>288</v>
      </c>
      <c r="E60" s="72">
        <v>6.1043749999999992</v>
      </c>
      <c r="F60" s="72" t="s">
        <v>288</v>
      </c>
      <c r="G60" s="72">
        <v>2.0125093749999996</v>
      </c>
      <c r="H60" s="72" t="s">
        <v>288</v>
      </c>
      <c r="I60" s="72">
        <v>20.252941176470593</v>
      </c>
      <c r="J60" s="72" t="s">
        <v>288</v>
      </c>
      <c r="K60" s="72">
        <v>1.384705882352941</v>
      </c>
      <c r="L60" s="72" t="s">
        <v>288</v>
      </c>
      <c r="M60" s="36">
        <v>9227.0588235294126</v>
      </c>
      <c r="N60" s="36" t="s">
        <v>288</v>
      </c>
      <c r="O60" s="36">
        <v>8695.1176470588234</v>
      </c>
      <c r="P60" s="36" t="s">
        <v>288</v>
      </c>
      <c r="Q60" s="36">
        <v>68203.352941176476</v>
      </c>
      <c r="R60" s="36" t="s">
        <v>288</v>
      </c>
      <c r="S60" s="36">
        <v>551.76470588235293</v>
      </c>
      <c r="T60" s="36" t="s">
        <v>288</v>
      </c>
      <c r="U60" s="36">
        <v>1230.2857142857142</v>
      </c>
      <c r="V60" s="36" t="s">
        <v>288</v>
      </c>
      <c r="W60" s="36">
        <v>16920.470588235294</v>
      </c>
      <c r="X60" s="36" t="s">
        <v>288</v>
      </c>
      <c r="Y60" s="36">
        <v>9473.6428571428569</v>
      </c>
      <c r="Z60" s="36" t="s">
        <v>288</v>
      </c>
      <c r="AA60" s="36">
        <v>2345.723529411765</v>
      </c>
      <c r="AB60" s="36" t="s">
        <v>288</v>
      </c>
      <c r="AC60" s="36">
        <v>103.24705882352939</v>
      </c>
      <c r="AD60" s="36" t="s">
        <v>288</v>
      </c>
      <c r="AE60" s="36">
        <v>190.58823529411765</v>
      </c>
      <c r="AF60" s="36" t="s">
        <v>288</v>
      </c>
      <c r="AG60" s="36">
        <v>927.20588235294133</v>
      </c>
      <c r="AH60" s="36" t="s">
        <v>288</v>
      </c>
      <c r="AI60" s="36">
        <v>37389</v>
      </c>
      <c r="AJ60" s="36" t="s">
        <v>288</v>
      </c>
      <c r="AK60" s="72">
        <v>35.824823529411752</v>
      </c>
      <c r="AL60" s="72" t="s">
        <v>288</v>
      </c>
      <c r="AM60" s="72">
        <v>80.331176470588247</v>
      </c>
      <c r="AN60" s="72" t="s">
        <v>288</v>
      </c>
      <c r="AO60" s="72">
        <v>60.31</v>
      </c>
      <c r="AP60" s="72" t="s">
        <v>288</v>
      </c>
      <c r="AQ60" s="72">
        <v>111.73529411764706</v>
      </c>
      <c r="AR60" s="72" t="s">
        <v>288</v>
      </c>
      <c r="AS60" s="72">
        <v>14.2</v>
      </c>
      <c r="AT60" s="72" t="s">
        <v>288</v>
      </c>
      <c r="AU60" s="130">
        <v>870.45294117647063</v>
      </c>
      <c r="AV60" s="72" t="s">
        <v>288</v>
      </c>
      <c r="AW60" s="72">
        <v>0.14937499999999998</v>
      </c>
      <c r="AX60" s="72" t="s">
        <v>288</v>
      </c>
      <c r="AY60" s="130">
        <v>65.629411764705878</v>
      </c>
      <c r="AZ60" s="72" t="s">
        <v>288</v>
      </c>
      <c r="BA60" s="72">
        <v>165.65117647058821</v>
      </c>
      <c r="BB60" s="72" t="s">
        <v>288</v>
      </c>
      <c r="BC60" s="72">
        <v>19.679411764705883</v>
      </c>
      <c r="BD60" s="72" t="s">
        <v>288</v>
      </c>
      <c r="BE60" s="72">
        <v>92.285882352941186</v>
      </c>
      <c r="BF60" s="72" t="s">
        <v>288</v>
      </c>
      <c r="BG60" s="72">
        <v>4.7712352941176484</v>
      </c>
      <c r="BH60" s="72" t="s">
        <v>288</v>
      </c>
      <c r="BI60" s="72">
        <v>1.5864705882352941</v>
      </c>
      <c r="BJ60" s="72" t="s">
        <v>288</v>
      </c>
      <c r="BK60" s="72">
        <v>0.46223529411764697</v>
      </c>
      <c r="BL60" s="72" t="s">
        <v>288</v>
      </c>
      <c r="BM60" s="72">
        <v>0.34299999999999997</v>
      </c>
      <c r="BN60" s="72" t="s">
        <v>288</v>
      </c>
      <c r="BO60" s="72">
        <v>1.0764705882352941</v>
      </c>
      <c r="BP60" s="72" t="s">
        <v>288</v>
      </c>
      <c r="BQ60" s="72">
        <v>1.8194117647058825</v>
      </c>
      <c r="BR60" s="72" t="s">
        <v>288</v>
      </c>
      <c r="BS60" s="72">
        <v>2.593647058823529</v>
      </c>
      <c r="BT60" s="72" t="s">
        <v>288</v>
      </c>
      <c r="BU60" s="72">
        <v>529.65529411764714</v>
      </c>
      <c r="BV60" s="72" t="s">
        <v>288</v>
      </c>
      <c r="BW60" s="72">
        <v>45.180176470588236</v>
      </c>
      <c r="BX60" s="72" t="s">
        <v>288</v>
      </c>
      <c r="BY60" s="72">
        <v>76.447823529411764</v>
      </c>
      <c r="BZ60" s="72" t="s">
        <v>288</v>
      </c>
      <c r="CA60" s="72">
        <v>9.9460588235294125</v>
      </c>
      <c r="CB60" s="72" t="s">
        <v>288</v>
      </c>
      <c r="CC60" s="72">
        <v>37.889999999999993</v>
      </c>
      <c r="CD60" s="72" t="s">
        <v>288</v>
      </c>
      <c r="CE60" s="72">
        <v>6.6474705882352945</v>
      </c>
      <c r="CF60" s="72" t="s">
        <v>288</v>
      </c>
      <c r="CG60" s="72">
        <v>1.5335294117647058</v>
      </c>
      <c r="CH60" s="72" t="s">
        <v>288</v>
      </c>
      <c r="CI60" s="72">
        <v>4.9619999999999997</v>
      </c>
      <c r="CJ60" s="72" t="s">
        <v>288</v>
      </c>
      <c r="CK60" s="72">
        <v>0.6921176470588235</v>
      </c>
      <c r="CL60" s="72" t="s">
        <v>288</v>
      </c>
      <c r="CM60" s="72">
        <v>3.5831764705882354</v>
      </c>
      <c r="CN60" s="72" t="s">
        <v>288</v>
      </c>
      <c r="CO60" s="72">
        <v>0.70341176470588229</v>
      </c>
      <c r="CP60" s="72" t="s">
        <v>288</v>
      </c>
      <c r="CQ60" s="72">
        <v>1.8769999999999998</v>
      </c>
      <c r="CR60" s="72" t="s">
        <v>288</v>
      </c>
      <c r="CS60" s="72">
        <v>0.26470588235294118</v>
      </c>
      <c r="CT60" s="72" t="s">
        <v>288</v>
      </c>
      <c r="CU60" s="72">
        <v>1.5977058823529413</v>
      </c>
      <c r="CV60" s="72" t="s">
        <v>288</v>
      </c>
      <c r="CW60" s="72">
        <v>0.24317647058823533</v>
      </c>
      <c r="CX60" s="72" t="s">
        <v>288</v>
      </c>
      <c r="CY60" s="72">
        <v>2.6798235294117649</v>
      </c>
      <c r="CZ60" s="72" t="s">
        <v>288</v>
      </c>
      <c r="DA60" s="72">
        <v>0.30605882352941177</v>
      </c>
      <c r="DB60" s="72" t="s">
        <v>288</v>
      </c>
      <c r="DC60" s="72">
        <v>13.549352941176471</v>
      </c>
      <c r="DD60" s="72" t="s">
        <v>288</v>
      </c>
      <c r="DE60" s="72">
        <v>0.38858823529411773</v>
      </c>
      <c r="DF60" s="72" t="s">
        <v>288</v>
      </c>
      <c r="DG60" s="72">
        <v>74.785882352941144</v>
      </c>
      <c r="DH60" s="72" t="s">
        <v>288</v>
      </c>
      <c r="DI60" s="72">
        <v>4.7750000000000004</v>
      </c>
      <c r="DJ60" s="72" t="s">
        <v>288</v>
      </c>
      <c r="DK60" s="72">
        <v>6.545470588235295</v>
      </c>
      <c r="DL60" s="72" t="s">
        <v>288</v>
      </c>
      <c r="DM60" s="72">
        <v>2.2799411764705879</v>
      </c>
      <c r="DN60" s="72" t="s">
        <v>288</v>
      </c>
      <c r="DO60" s="130"/>
      <c r="DP60" s="72"/>
      <c r="DQ60" s="72"/>
      <c r="DR60" s="72"/>
      <c r="DS60" s="72"/>
      <c r="DT60" s="72"/>
      <c r="DU60" s="72"/>
      <c r="DV60" s="72"/>
      <c r="DW60" s="72"/>
      <c r="DX60" s="72"/>
      <c r="DY60" s="72"/>
      <c r="DZ60" s="36"/>
      <c r="EA60" s="36"/>
      <c r="EB60" s="36"/>
      <c r="EC60" s="36"/>
      <c r="ED60" s="36"/>
      <c r="EE60" s="36"/>
      <c r="EF60" s="36"/>
      <c r="EG60" s="36"/>
      <c r="EH60" s="36"/>
      <c r="EI60" s="36"/>
      <c r="EJ60" s="72"/>
      <c r="EK60" s="72"/>
      <c r="EL60" s="72"/>
      <c r="EM60" s="72"/>
      <c r="EN60" s="72"/>
      <c r="EO60" s="72"/>
      <c r="EP60" s="72"/>
      <c r="EQ60" s="72"/>
      <c r="ER60" s="72"/>
      <c r="ES60" s="72"/>
      <c r="ET60" s="72"/>
      <c r="EU60" s="72"/>
      <c r="EV60" s="72"/>
      <c r="EW60" s="72"/>
      <c r="EX60" s="72"/>
      <c r="EY60" s="72"/>
      <c r="EZ60" s="72"/>
      <c r="FA60" s="72"/>
      <c r="FB60" s="72"/>
      <c r="FC60" s="72"/>
      <c r="FD60" s="72"/>
      <c r="FE60" s="72"/>
      <c r="FF60" s="72"/>
      <c r="FG60" s="72"/>
      <c r="FH60" s="72"/>
      <c r="FI60" s="72"/>
      <c r="FJ60" s="72"/>
      <c r="FK60" s="72"/>
      <c r="FL60" s="36"/>
      <c r="FM60" s="36"/>
      <c r="FN60" s="72"/>
      <c r="FO60" s="72"/>
      <c r="FP60" s="130"/>
      <c r="FQ60" s="130"/>
      <c r="FR60" s="130"/>
      <c r="FS60" s="130"/>
    </row>
    <row r="61" spans="1:175">
      <c r="C61" s="72"/>
      <c r="D61" s="72"/>
      <c r="E61" s="72"/>
      <c r="F61" s="72"/>
      <c r="G61" s="72"/>
      <c r="H61" s="72"/>
      <c r="I61" s="72"/>
      <c r="J61" s="72"/>
      <c r="K61" s="72"/>
      <c r="L61" s="72"/>
      <c r="M61" s="36"/>
      <c r="N61" s="36"/>
      <c r="O61" s="36"/>
      <c r="P61" s="36"/>
      <c r="Q61" s="36"/>
      <c r="R61" s="36"/>
      <c r="S61" s="36"/>
      <c r="T61" s="36"/>
      <c r="U61" s="36"/>
      <c r="V61" s="36"/>
      <c r="W61" s="36"/>
      <c r="X61" s="36"/>
      <c r="Y61" s="36"/>
      <c r="Z61" s="36"/>
      <c r="AA61" s="36"/>
      <c r="AB61" s="36"/>
      <c r="AC61" s="36"/>
      <c r="AD61" s="36"/>
      <c r="AE61" s="36"/>
      <c r="AF61" s="36"/>
      <c r="AG61" s="36"/>
      <c r="AH61" s="36"/>
      <c r="AI61" s="36"/>
      <c r="AJ61" s="36"/>
      <c r="AK61" s="72"/>
      <c r="AL61" s="72"/>
      <c r="AM61" s="72"/>
      <c r="AN61" s="72"/>
      <c r="AO61" s="72"/>
      <c r="AP61" s="72"/>
      <c r="AQ61" s="72"/>
      <c r="AR61" s="72"/>
      <c r="AS61" s="72"/>
      <c r="AT61" s="72"/>
      <c r="AU61" s="130"/>
      <c r="AV61" s="72"/>
      <c r="AW61" s="72"/>
      <c r="AX61" s="72"/>
      <c r="AY61" s="130"/>
      <c r="AZ61" s="72"/>
      <c r="BA61" s="72"/>
      <c r="BB61" s="72"/>
      <c r="BC61" s="72"/>
      <c r="BD61" s="72"/>
      <c r="BE61" s="72"/>
      <c r="BF61" s="72"/>
      <c r="BG61" s="72"/>
      <c r="BH61" s="72"/>
      <c r="BI61" s="72"/>
      <c r="BJ61" s="72"/>
      <c r="BK61" s="72"/>
      <c r="BL61" s="72"/>
      <c r="BM61" s="72"/>
      <c r="BN61" s="72"/>
      <c r="BO61" s="72"/>
      <c r="BP61" s="72"/>
      <c r="BQ61" s="72"/>
      <c r="BR61" s="72"/>
      <c r="BS61" s="72"/>
      <c r="BT61" s="72"/>
      <c r="BU61" s="72"/>
      <c r="BV61" s="72"/>
      <c r="BW61" s="72"/>
      <c r="BX61" s="72"/>
      <c r="BY61" s="72"/>
      <c r="BZ61" s="72"/>
      <c r="CA61" s="72"/>
      <c r="CB61" s="72"/>
      <c r="CC61" s="72"/>
      <c r="CD61" s="72"/>
      <c r="CE61" s="72"/>
      <c r="CF61" s="72"/>
      <c r="CG61" s="72"/>
      <c r="CH61" s="72"/>
      <c r="CI61" s="72"/>
      <c r="CJ61" s="72"/>
      <c r="CK61" s="72"/>
      <c r="CL61" s="72"/>
      <c r="CM61" s="72"/>
      <c r="CN61" s="72"/>
      <c r="CO61" s="72"/>
      <c r="CP61" s="72"/>
      <c r="CQ61" s="72"/>
      <c r="CR61" s="72"/>
      <c r="CS61" s="72"/>
      <c r="CT61" s="72"/>
      <c r="CU61" s="72"/>
      <c r="CV61" s="72"/>
      <c r="CW61" s="72"/>
      <c r="CX61" s="72"/>
      <c r="CY61" s="72"/>
      <c r="CZ61" s="72"/>
      <c r="DA61" s="72"/>
      <c r="DB61" s="72"/>
      <c r="DC61" s="72"/>
      <c r="DD61" s="72"/>
      <c r="DE61" s="72"/>
      <c r="DF61" s="72"/>
      <c r="DG61" s="72"/>
      <c r="DH61" s="72"/>
      <c r="DI61" s="72"/>
      <c r="DJ61" s="72"/>
      <c r="DK61" s="72"/>
      <c r="DL61" s="72"/>
      <c r="DM61" s="72"/>
    </row>
    <row r="62" spans="1:175">
      <c r="A62" s="25" t="s">
        <v>862</v>
      </c>
      <c r="C62" s="72"/>
      <c r="D62" s="72"/>
      <c r="E62" s="72"/>
      <c r="F62" s="72"/>
      <c r="G62" s="72"/>
      <c r="H62" s="72"/>
      <c r="I62" s="72"/>
      <c r="J62" s="72"/>
      <c r="K62" s="72"/>
      <c r="L62" s="72"/>
      <c r="M62" s="36"/>
      <c r="N62" s="36"/>
      <c r="O62" s="36"/>
      <c r="P62" s="36"/>
      <c r="Q62" s="36"/>
      <c r="R62" s="36"/>
      <c r="S62" s="36"/>
      <c r="T62" s="72"/>
      <c r="U62" s="72"/>
      <c r="V62" s="72"/>
      <c r="W62" s="72"/>
      <c r="X62" s="72"/>
      <c r="Y62" s="72"/>
      <c r="Z62" s="72"/>
      <c r="AA62" s="72"/>
      <c r="AB62" s="72"/>
      <c r="AC62" s="72"/>
      <c r="AD62" s="72"/>
      <c r="AE62" s="72"/>
      <c r="AF62" s="72"/>
      <c r="AG62" s="72"/>
      <c r="AH62" s="72"/>
      <c r="AI62" s="72"/>
      <c r="AJ62" s="72"/>
      <c r="AK62" s="72"/>
      <c r="AL62" s="72"/>
      <c r="AM62" s="72"/>
      <c r="AN62" s="72"/>
      <c r="AO62" s="72"/>
      <c r="AP62" s="72"/>
      <c r="AQ62" s="72"/>
      <c r="AR62" s="72"/>
      <c r="AS62" s="72"/>
      <c r="AT62" s="72"/>
      <c r="AU62" s="72"/>
      <c r="AV62" s="72"/>
      <c r="AW62" s="72"/>
      <c r="AX62" s="72"/>
      <c r="AY62" s="72"/>
      <c r="AZ62" s="72"/>
      <c r="BA62" s="72"/>
      <c r="BB62" s="72"/>
      <c r="BC62" s="72"/>
      <c r="BD62" s="72"/>
      <c r="BE62" s="72"/>
      <c r="BF62" s="72"/>
      <c r="BG62" s="72"/>
      <c r="BH62" s="72"/>
      <c r="BI62" s="72"/>
      <c r="BJ62" s="72"/>
      <c r="BK62" s="72"/>
      <c r="BL62" s="72"/>
      <c r="BM62" s="72"/>
      <c r="BN62" s="72"/>
      <c r="BO62" s="72"/>
      <c r="BP62" s="72"/>
      <c r="BQ62" s="72"/>
      <c r="BR62" s="72"/>
      <c r="BS62" s="72"/>
      <c r="BT62" s="72"/>
      <c r="BU62" s="72"/>
      <c r="BV62" s="72"/>
      <c r="BW62" s="72"/>
      <c r="BX62" s="72"/>
      <c r="BY62" s="72"/>
      <c r="BZ62" s="72"/>
      <c r="CA62" s="72"/>
      <c r="CB62" s="72"/>
      <c r="CC62" s="72"/>
      <c r="CD62" s="72"/>
      <c r="CE62" s="72"/>
      <c r="CF62" s="72"/>
      <c r="CG62" s="72"/>
      <c r="CH62" s="72"/>
      <c r="CI62" s="72"/>
      <c r="CJ62" s="72"/>
      <c r="CK62" s="72"/>
      <c r="CL62" s="72"/>
      <c r="CM62" s="72"/>
      <c r="CN62" s="72"/>
      <c r="CO62" s="72"/>
      <c r="CP62" s="72"/>
      <c r="CQ62" s="72"/>
      <c r="CR62" s="72"/>
      <c r="CS62" s="72"/>
      <c r="CT62" s="72"/>
      <c r="CU62" s="72"/>
      <c r="CV62" s="72"/>
      <c r="CW62" s="72"/>
      <c r="CX62" s="72"/>
      <c r="CY62" s="72"/>
      <c r="CZ62" s="72"/>
      <c r="DA62" s="72"/>
      <c r="DB62" s="72"/>
      <c r="DC62" s="72"/>
      <c r="DD62" s="72"/>
      <c r="DE62" s="72"/>
      <c r="DF62" s="72"/>
      <c r="DG62" s="72"/>
      <c r="DH62" s="72"/>
      <c r="DI62" s="72"/>
      <c r="DJ62" s="72"/>
      <c r="DK62" s="72"/>
      <c r="DL62" s="72"/>
      <c r="DM62" s="72"/>
    </row>
    <row r="63" spans="1:175" s="47" customFormat="1">
      <c r="A63" s="25"/>
      <c r="C63" s="47" t="s">
        <v>858</v>
      </c>
      <c r="D63" s="47" t="s">
        <v>859</v>
      </c>
      <c r="E63" s="47" t="s">
        <v>497</v>
      </c>
      <c r="F63" s="47" t="s">
        <v>4</v>
      </c>
      <c r="G63" s="47" t="s">
        <v>5</v>
      </c>
      <c r="H63" s="47" t="s">
        <v>6</v>
      </c>
      <c r="I63" s="47" t="s">
        <v>7</v>
      </c>
      <c r="J63" s="47" t="s">
        <v>8</v>
      </c>
      <c r="K63" s="47" t="s">
        <v>742</v>
      </c>
      <c r="L63" s="47" t="s">
        <v>743</v>
      </c>
      <c r="M63" s="290" t="s">
        <v>635</v>
      </c>
      <c r="N63" s="290" t="s">
        <v>12</v>
      </c>
      <c r="O63" s="290" t="s">
        <v>13</v>
      </c>
      <c r="P63" s="290" t="s">
        <v>745</v>
      </c>
      <c r="Q63" s="290" t="s">
        <v>15</v>
      </c>
      <c r="R63" s="290" t="s">
        <v>16</v>
      </c>
      <c r="S63" s="290" t="s">
        <v>17</v>
      </c>
      <c r="T63" s="47" t="s">
        <v>18</v>
      </c>
      <c r="U63" s="47" t="s">
        <v>19</v>
      </c>
      <c r="V63" s="47" t="s">
        <v>20</v>
      </c>
      <c r="W63" s="47" t="s">
        <v>21</v>
      </c>
      <c r="X63" s="47" t="s">
        <v>22</v>
      </c>
      <c r="Y63" s="47" t="s">
        <v>23</v>
      </c>
      <c r="Z63" s="47" t="s">
        <v>24</v>
      </c>
      <c r="AA63" s="47" t="s">
        <v>25</v>
      </c>
      <c r="AB63" s="47" t="s">
        <v>26</v>
      </c>
      <c r="AC63" s="47" t="s">
        <v>695</v>
      </c>
      <c r="AD63" s="47" t="s">
        <v>28</v>
      </c>
      <c r="AE63" s="47" t="s">
        <v>29</v>
      </c>
      <c r="AF63" s="47" t="s">
        <v>30</v>
      </c>
      <c r="AG63" s="47" t="s">
        <v>31</v>
      </c>
      <c r="AH63" s="47" t="s">
        <v>32</v>
      </c>
      <c r="AI63" s="47" t="s">
        <v>33</v>
      </c>
      <c r="AJ63" s="47" t="s">
        <v>34</v>
      </c>
      <c r="AK63" s="47" t="s">
        <v>35</v>
      </c>
      <c r="AL63" s="47" t="s">
        <v>36</v>
      </c>
      <c r="AM63" s="47" t="s">
        <v>37</v>
      </c>
      <c r="AN63" s="47" t="s">
        <v>38</v>
      </c>
      <c r="AO63" s="47" t="s">
        <v>39</v>
      </c>
      <c r="AP63" s="47" t="s">
        <v>40</v>
      </c>
      <c r="AQ63" s="47" t="s">
        <v>41</v>
      </c>
      <c r="AR63" s="47" t="s">
        <v>42</v>
      </c>
      <c r="AS63" s="47" t="s">
        <v>44</v>
      </c>
      <c r="AT63" s="47" t="s">
        <v>43</v>
      </c>
      <c r="AU63" s="47" t="s">
        <v>45</v>
      </c>
      <c r="AV63" s="47" t="s">
        <v>46</v>
      </c>
      <c r="AW63" s="47" t="s">
        <v>47</v>
      </c>
      <c r="AX63" s="47" t="s">
        <v>48</v>
      </c>
      <c r="AY63" s="47" t="s">
        <v>49</v>
      </c>
      <c r="AZ63" s="47" t="s">
        <v>50</v>
      </c>
      <c r="BA63" s="47" t="s">
        <v>51</v>
      </c>
      <c r="BB63" s="47" t="s">
        <v>52</v>
      </c>
      <c r="BC63" s="47" t="s">
        <v>860</v>
      </c>
      <c r="BD63" s="47" t="s">
        <v>54</v>
      </c>
      <c r="BE63" s="47" t="s">
        <v>55</v>
      </c>
      <c r="BF63" s="47" t="s">
        <v>56</v>
      </c>
      <c r="BG63" s="47" t="s">
        <v>57</v>
      </c>
      <c r="BH63" s="47" t="s">
        <v>861</v>
      </c>
    </row>
    <row r="64" spans="1:175">
      <c r="B64" s="47" t="s">
        <v>697</v>
      </c>
      <c r="C64" s="72">
        <v>2.4900000000000002</v>
      </c>
      <c r="D64" s="72">
        <v>4.0659999999999998</v>
      </c>
      <c r="E64" s="72">
        <v>8.5500000000000007</v>
      </c>
      <c r="F64" s="72">
        <v>5.6059999999999999</v>
      </c>
      <c r="G64" s="72">
        <v>0.70499999999999996</v>
      </c>
      <c r="H64" s="36">
        <v>304</v>
      </c>
      <c r="I64" s="36">
        <v>639</v>
      </c>
      <c r="J64" s="36">
        <v>33383</v>
      </c>
      <c r="K64" s="36">
        <v>276</v>
      </c>
      <c r="L64" s="36">
        <v>4</v>
      </c>
      <c r="M64" s="36">
        <v>2827</v>
      </c>
      <c r="N64" s="36">
        <v>528.31737692283605</v>
      </c>
      <c r="O64" s="36">
        <v>1947.4733350101001</v>
      </c>
      <c r="P64" s="36">
        <v>27.382999999999999</v>
      </c>
      <c r="Q64" s="36">
        <v>23.971</v>
      </c>
      <c r="R64" s="36">
        <v>267.95100000000002</v>
      </c>
      <c r="S64" s="36">
        <v>15328</v>
      </c>
      <c r="T64" s="72">
        <v>4.0609999999999999</v>
      </c>
      <c r="U64" s="72">
        <v>9.2219999999999995</v>
      </c>
      <c r="V64" s="72">
        <v>6.4969999999999999</v>
      </c>
      <c r="W64" s="72">
        <v>30.306000000000001</v>
      </c>
      <c r="X64" s="72">
        <v>10.526517108495</v>
      </c>
      <c r="Y64" s="72">
        <v>0.70599999999999996</v>
      </c>
      <c r="Z64" s="72">
        <v>0.20499999999999999</v>
      </c>
      <c r="AA64" s="72">
        <v>27.53</v>
      </c>
      <c r="AB64" s="72">
        <v>13.9163857907627</v>
      </c>
      <c r="AC64" s="72">
        <v>4.9859999999999998</v>
      </c>
      <c r="AD64" s="72">
        <v>64.197999999999993</v>
      </c>
      <c r="AE64" s="72">
        <v>12.057</v>
      </c>
      <c r="AF64" s="72">
        <v>0.48699999999999999</v>
      </c>
      <c r="AG64" s="72">
        <v>1.4999999999999999E-2</v>
      </c>
      <c r="AH64" s="72">
        <v>2.5000000000000001E-2</v>
      </c>
      <c r="AI64" s="72">
        <v>1.17315751233381</v>
      </c>
      <c r="AJ64" s="72">
        <v>9.9000000000000005E-2</v>
      </c>
      <c r="AK64" s="72">
        <v>1.2989999999999999</v>
      </c>
      <c r="AL64" s="36">
        <v>106.67400000000001</v>
      </c>
      <c r="AM64" s="36">
        <v>11.696999999999999</v>
      </c>
      <c r="AN64" s="36">
        <v>33.950000000000003</v>
      </c>
      <c r="AO64" s="130">
        <v>2.2410000000000001</v>
      </c>
      <c r="AP64" s="130">
        <v>8.359</v>
      </c>
      <c r="AQ64" s="130">
        <v>1.4890000000000001</v>
      </c>
      <c r="AR64" s="130">
        <v>0.36699999999999999</v>
      </c>
      <c r="AS64" s="130">
        <v>0.16400000000000001</v>
      </c>
      <c r="AT64" s="130">
        <v>0.32824545596774402</v>
      </c>
      <c r="AU64" s="130">
        <v>1</v>
      </c>
      <c r="AV64" s="130">
        <v>0.188</v>
      </c>
      <c r="AW64" s="130">
        <v>0.56000000000000005</v>
      </c>
      <c r="AX64" s="130">
        <v>8.4000000000000005E-2</v>
      </c>
      <c r="AY64" s="130">
        <v>0.53400000000000003</v>
      </c>
      <c r="AZ64" s="130">
        <v>8.3000000000000004E-2</v>
      </c>
      <c r="BA64" s="130">
        <v>1.835</v>
      </c>
      <c r="BB64" s="130">
        <v>0.85</v>
      </c>
      <c r="BC64" s="130">
        <v>0.47699999999999998</v>
      </c>
      <c r="BD64" s="130">
        <v>0.125</v>
      </c>
      <c r="BE64" s="130">
        <v>7.7960000000000003</v>
      </c>
      <c r="BF64" s="130">
        <v>9.1999999999999998E-2</v>
      </c>
      <c r="BG64" s="130">
        <v>4.3970000000000002</v>
      </c>
      <c r="BH64" s="130">
        <v>1.167</v>
      </c>
    </row>
    <row r="65" spans="2:60">
      <c r="B65" s="47" t="s">
        <v>698</v>
      </c>
      <c r="C65" s="72">
        <v>9.2899999999999991</v>
      </c>
      <c r="D65" s="72">
        <v>7.141</v>
      </c>
      <c r="E65" s="72">
        <v>15.6</v>
      </c>
      <c r="F65" s="72">
        <v>41.500999999999998</v>
      </c>
      <c r="G65" s="72">
        <v>4.8520000000000003</v>
      </c>
      <c r="H65" s="36">
        <v>15647</v>
      </c>
      <c r="I65" s="36">
        <v>7870</v>
      </c>
      <c r="J65" s="36">
        <v>135396.32203488401</v>
      </c>
      <c r="K65" s="36">
        <v>1445.4252222422899</v>
      </c>
      <c r="L65" s="36">
        <v>356</v>
      </c>
      <c r="M65" s="36">
        <v>37859</v>
      </c>
      <c r="N65" s="36">
        <v>17570</v>
      </c>
      <c r="O65" s="36">
        <v>8740.5750000000007</v>
      </c>
      <c r="P65" s="36">
        <v>283.69799999999998</v>
      </c>
      <c r="Q65" s="36">
        <v>724.42100000000005</v>
      </c>
      <c r="R65" s="36">
        <v>5533.1731479627797</v>
      </c>
      <c r="S65" s="36">
        <v>100921</v>
      </c>
      <c r="T65" s="72">
        <v>93.656999999999996</v>
      </c>
      <c r="U65" s="72">
        <v>350.79399999999998</v>
      </c>
      <c r="V65" s="72">
        <v>110.538</v>
      </c>
      <c r="W65" s="72">
        <v>249.14099999999999</v>
      </c>
      <c r="X65" s="72">
        <v>44.43</v>
      </c>
      <c r="Y65" s="72">
        <v>54.59</v>
      </c>
      <c r="Z65" s="72">
        <v>1.333</v>
      </c>
      <c r="AA65" s="72">
        <v>178.01745910391301</v>
      </c>
      <c r="AB65" s="72">
        <v>503.54399999999998</v>
      </c>
      <c r="AC65" s="72">
        <v>119.870789111088</v>
      </c>
      <c r="AD65" s="72">
        <v>1143.43411247221</v>
      </c>
      <c r="AE65" s="72">
        <v>259.84100000000001</v>
      </c>
      <c r="AF65" s="72">
        <v>8.2340720129431304</v>
      </c>
      <c r="AG65" s="72">
        <v>0.15786856497903901</v>
      </c>
      <c r="AH65" s="72">
        <v>0.41299999999999998</v>
      </c>
      <c r="AI65" s="72">
        <v>30.433</v>
      </c>
      <c r="AJ65" s="72">
        <v>4.99</v>
      </c>
      <c r="AK65" s="72">
        <v>7.3087929574016099</v>
      </c>
      <c r="AL65" s="36">
        <v>2002.904</v>
      </c>
      <c r="AM65" s="36">
        <v>242.90517905956699</v>
      </c>
      <c r="AN65" s="36">
        <v>418.88024298690499</v>
      </c>
      <c r="AO65" s="130">
        <v>48.486253631331103</v>
      </c>
      <c r="AP65" s="130">
        <v>181.855232689079</v>
      </c>
      <c r="AQ65" s="130">
        <v>29.688510350086499</v>
      </c>
      <c r="AR65" s="130">
        <v>4.3305604573810497</v>
      </c>
      <c r="AS65" s="130">
        <v>26.447956018761801</v>
      </c>
      <c r="AT65" s="130">
        <v>19.071999999999999</v>
      </c>
      <c r="AU65" s="130">
        <v>24.640660041379402</v>
      </c>
      <c r="AV65" s="130">
        <v>4.7981622082509698</v>
      </c>
      <c r="AW65" s="130">
        <v>14.094992376146999</v>
      </c>
      <c r="AX65" s="130">
        <v>1.98930847969664</v>
      </c>
      <c r="AY65" s="130">
        <v>12.698465964608101</v>
      </c>
      <c r="AZ65" s="130">
        <v>1.84110076016419</v>
      </c>
      <c r="BA65" s="130">
        <v>24.963628397722101</v>
      </c>
      <c r="BB65" s="130">
        <v>14.117710006113199</v>
      </c>
      <c r="BC65" s="130">
        <v>7.7721130670144003</v>
      </c>
      <c r="BD65" s="130">
        <v>1.0756864261305801</v>
      </c>
      <c r="BE65" s="130">
        <v>43.933694312383999</v>
      </c>
      <c r="BF65" s="130">
        <v>4.1747967495698504</v>
      </c>
      <c r="BG65" s="130">
        <v>33.934911264342503</v>
      </c>
      <c r="BH65" s="130">
        <v>6.50606655089359</v>
      </c>
    </row>
    <row r="66" spans="2:60">
      <c r="B66" s="47" t="s">
        <v>699</v>
      </c>
      <c r="C66" s="72">
        <v>3.84</v>
      </c>
      <c r="D66" s="72">
        <v>4.665</v>
      </c>
      <c r="E66" s="72">
        <v>10.3125</v>
      </c>
      <c r="F66" s="72">
        <v>12.5</v>
      </c>
      <c r="G66" s="72">
        <v>1.294</v>
      </c>
      <c r="H66" s="36">
        <v>776</v>
      </c>
      <c r="I66" s="36">
        <v>1220</v>
      </c>
      <c r="J66" s="36">
        <v>58112</v>
      </c>
      <c r="K66" s="36">
        <v>438</v>
      </c>
      <c r="L66" s="36">
        <v>119</v>
      </c>
      <c r="M66" s="36">
        <v>6429.1863621317298</v>
      </c>
      <c r="N66" s="36">
        <v>1320</v>
      </c>
      <c r="O66" s="36">
        <v>2900.665</v>
      </c>
      <c r="P66" s="36">
        <v>55.78</v>
      </c>
      <c r="Q66" s="36">
        <v>43.993000000000002</v>
      </c>
      <c r="R66" s="36">
        <v>499.06299999999999</v>
      </c>
      <c r="S66" s="36">
        <v>26345</v>
      </c>
      <c r="T66" s="72">
        <v>8.7759999999999998</v>
      </c>
      <c r="U66" s="72">
        <v>17.885000000000002</v>
      </c>
      <c r="V66" s="72">
        <v>11.795999999999999</v>
      </c>
      <c r="W66" s="72">
        <v>55.661999999999999</v>
      </c>
      <c r="X66" s="72">
        <v>16.843</v>
      </c>
      <c r="Y66" s="72">
        <v>1.2669999999999999</v>
      </c>
      <c r="Z66" s="72">
        <v>0.32200000000000001</v>
      </c>
      <c r="AA66" s="72">
        <v>54.27</v>
      </c>
      <c r="AB66" s="72">
        <v>33.386000000000003</v>
      </c>
      <c r="AC66" s="72">
        <v>17.477</v>
      </c>
      <c r="AD66" s="72">
        <v>124.993884306898</v>
      </c>
      <c r="AE66" s="72">
        <v>24.995000000000001</v>
      </c>
      <c r="AF66" s="72">
        <v>1.1459999999999999</v>
      </c>
      <c r="AG66" s="72">
        <v>3.5000000000000003E-2</v>
      </c>
      <c r="AH66" s="72">
        <v>5.3999999999999999E-2</v>
      </c>
      <c r="AI66" s="72">
        <v>2.052</v>
      </c>
      <c r="AJ66" s="72">
        <v>0.17199999999999999</v>
      </c>
      <c r="AK66" s="72">
        <v>1.871</v>
      </c>
      <c r="AL66" s="36">
        <v>282.74299999999999</v>
      </c>
      <c r="AM66" s="36">
        <v>35.084000000000003</v>
      </c>
      <c r="AN66" s="36">
        <v>71.38</v>
      </c>
      <c r="AO66" s="130">
        <v>7.6529999999999996</v>
      </c>
      <c r="AP66" s="130">
        <v>30.242999999999999</v>
      </c>
      <c r="AQ66" s="130">
        <v>5.5519999999999996</v>
      </c>
      <c r="AR66" s="130">
        <v>0.97299999999999998</v>
      </c>
      <c r="AS66" s="130">
        <v>0.63500000000000001</v>
      </c>
      <c r="AT66" s="130">
        <v>3.1949999999999998</v>
      </c>
      <c r="AU66" s="130">
        <v>3.5680000000000001</v>
      </c>
      <c r="AV66" s="130">
        <v>0.69599999999999995</v>
      </c>
      <c r="AW66" s="130">
        <v>1.925</v>
      </c>
      <c r="AX66" s="130">
        <v>0.28799999999999998</v>
      </c>
      <c r="AY66" s="130">
        <v>1.9330000000000001</v>
      </c>
      <c r="AZ66" s="130">
        <v>0.28599999999999998</v>
      </c>
      <c r="BA66" s="130">
        <v>3.302</v>
      </c>
      <c r="BB66" s="130">
        <v>1.5649999999999999</v>
      </c>
      <c r="BC66" s="130">
        <v>0.871</v>
      </c>
      <c r="BD66" s="130">
        <v>0.33600000000000002</v>
      </c>
      <c r="BE66" s="130">
        <v>18.288</v>
      </c>
      <c r="BF66" s="130">
        <v>0.14099999999999999</v>
      </c>
      <c r="BG66" s="130">
        <v>8.5440000000000005</v>
      </c>
      <c r="BH66" s="130">
        <v>1.9570000000000001</v>
      </c>
    </row>
    <row r="67" spans="2:60">
      <c r="B67" s="47" t="s">
        <v>700</v>
      </c>
      <c r="C67" s="72">
        <v>5.0599999999999996</v>
      </c>
      <c r="D67" s="72">
        <v>5.3810000000000002</v>
      </c>
      <c r="E67" s="72">
        <v>12.074999999999999</v>
      </c>
      <c r="F67" s="72">
        <v>15.355</v>
      </c>
      <c r="G67" s="72">
        <v>1.6359999999999999</v>
      </c>
      <c r="H67" s="36">
        <v>1229.3279325670701</v>
      </c>
      <c r="I67" s="36">
        <v>1457</v>
      </c>
      <c r="J67" s="36">
        <v>67069</v>
      </c>
      <c r="K67" s="36">
        <v>540</v>
      </c>
      <c r="L67" s="36">
        <v>181</v>
      </c>
      <c r="M67" s="36">
        <v>10606</v>
      </c>
      <c r="N67" s="36">
        <v>2055</v>
      </c>
      <c r="O67" s="36">
        <v>3872.81</v>
      </c>
      <c r="P67" s="36">
        <v>74.682942050977402</v>
      </c>
      <c r="Q67" s="36">
        <v>78.906000000000006</v>
      </c>
      <c r="R67" s="36">
        <v>1213.6659999999999</v>
      </c>
      <c r="S67" s="36">
        <v>37224.866765534804</v>
      </c>
      <c r="T67" s="72">
        <v>16.510999999999999</v>
      </c>
      <c r="U67" s="72">
        <v>26.763999999999999</v>
      </c>
      <c r="V67" s="72">
        <v>19.550999999999998</v>
      </c>
      <c r="W67" s="72">
        <v>86.623611250983203</v>
      </c>
      <c r="X67" s="72">
        <v>19.292999999999999</v>
      </c>
      <c r="Y67" s="72">
        <v>3.4870000000000001</v>
      </c>
      <c r="Z67" s="72">
        <v>0.56097909647770094</v>
      </c>
      <c r="AA67" s="72">
        <v>63.686999999999998</v>
      </c>
      <c r="AB67" s="72">
        <v>57.847000000000001</v>
      </c>
      <c r="AC67" s="72">
        <v>24.14</v>
      </c>
      <c r="AD67" s="72">
        <v>215.696</v>
      </c>
      <c r="AE67" s="72">
        <v>45.933999999999997</v>
      </c>
      <c r="AF67" s="72">
        <v>1.893</v>
      </c>
      <c r="AG67" s="72">
        <v>5.5E-2</v>
      </c>
      <c r="AH67" s="72">
        <v>8.4064723500594907E-2</v>
      </c>
      <c r="AI67" s="72">
        <v>2.548</v>
      </c>
      <c r="AJ67" s="72">
        <v>0.251</v>
      </c>
      <c r="AK67" s="72">
        <v>2.2690000000000001</v>
      </c>
      <c r="AL67" s="36">
        <v>398.41078197268502</v>
      </c>
      <c r="AM67" s="36">
        <v>47.912999999999997</v>
      </c>
      <c r="AN67" s="36">
        <v>104.42100000000001</v>
      </c>
      <c r="AO67" s="130">
        <v>9.8427147428883899</v>
      </c>
      <c r="AP67" s="130">
        <v>37.49</v>
      </c>
      <c r="AQ67" s="130">
        <v>6.7229999999999999</v>
      </c>
      <c r="AR67" s="130">
        <v>1.298</v>
      </c>
      <c r="AS67" s="130">
        <v>0.88700000000000001</v>
      </c>
      <c r="AT67" s="130">
        <v>4.8920000000000003</v>
      </c>
      <c r="AU67" s="130">
        <v>4.9480000000000004</v>
      </c>
      <c r="AV67" s="130">
        <v>0.91500000000000004</v>
      </c>
      <c r="AW67" s="130">
        <v>2.528</v>
      </c>
      <c r="AX67" s="130">
        <v>0.38700000000000001</v>
      </c>
      <c r="AY67" s="130">
        <v>2.4630000000000001</v>
      </c>
      <c r="AZ67" s="130">
        <v>0.37</v>
      </c>
      <c r="BA67" s="130">
        <v>5.3209999999999997</v>
      </c>
      <c r="BB67" s="130">
        <v>2.528</v>
      </c>
      <c r="BC67" s="130">
        <v>1.3320000000000001</v>
      </c>
      <c r="BD67" s="130">
        <v>0.497</v>
      </c>
      <c r="BE67" s="130">
        <v>21.748999999999999</v>
      </c>
      <c r="BF67" s="130">
        <v>0.19400000000000001</v>
      </c>
      <c r="BG67" s="130">
        <v>11.186999999999999</v>
      </c>
      <c r="BH67" s="130">
        <v>2.4950000000000001</v>
      </c>
    </row>
    <row r="68" spans="2:60">
      <c r="B68" s="47" t="s">
        <v>701</v>
      </c>
      <c r="C68" s="72">
        <v>8.4960000000000004</v>
      </c>
      <c r="D68" s="72">
        <v>6.7055999999999996</v>
      </c>
      <c r="E68" s="72">
        <v>15.247499999999999</v>
      </c>
      <c r="F68" s="72">
        <v>35.200480711118395</v>
      </c>
      <c r="G68" s="72">
        <v>3.7055334098492629</v>
      </c>
      <c r="H68" s="36">
        <v>9189.9999999999964</v>
      </c>
      <c r="I68" s="36">
        <v>3471.1999999999994</v>
      </c>
      <c r="J68" s="36">
        <v>104113.99999999999</v>
      </c>
      <c r="K68" s="36">
        <v>1086.9985436036479</v>
      </c>
      <c r="L68" s="36">
        <v>297</v>
      </c>
      <c r="M68" s="36">
        <v>33638.177608246231</v>
      </c>
      <c r="N68" s="36">
        <v>11627.799999999994</v>
      </c>
      <c r="O68" s="36">
        <v>8058.9301637382605</v>
      </c>
      <c r="P68" s="36">
        <v>210.33799999999999</v>
      </c>
      <c r="Q68" s="36">
        <v>308.50259999999997</v>
      </c>
      <c r="R68" s="36">
        <v>3881.5915999999997</v>
      </c>
      <c r="S68" s="36">
        <v>94476.599999999991</v>
      </c>
      <c r="T68" s="72">
        <v>57.624199999999988</v>
      </c>
      <c r="U68" s="72">
        <v>82.558199999999971</v>
      </c>
      <c r="V68" s="72">
        <v>68.778399999999991</v>
      </c>
      <c r="W68" s="72">
        <v>193.75877122194396</v>
      </c>
      <c r="X68" s="72">
        <v>38.158599999999979</v>
      </c>
      <c r="Y68" s="72">
        <v>33.008723215452683</v>
      </c>
      <c r="Z68" s="72">
        <v>1.0631999999999999</v>
      </c>
      <c r="AA68" s="72">
        <v>147.81779999999995</v>
      </c>
      <c r="AB68" s="72">
        <v>365.39339999999982</v>
      </c>
      <c r="AC68" s="72">
        <v>66.600799999999978</v>
      </c>
      <c r="AD68" s="72">
        <v>862.06579999999906</v>
      </c>
      <c r="AE68" s="72">
        <v>224.87250551060617</v>
      </c>
      <c r="AF68" s="72">
        <v>6.0355999999999961</v>
      </c>
      <c r="AG68" s="72">
        <v>0.1189342150172176</v>
      </c>
      <c r="AH68" s="72">
        <v>0.25999260866264801</v>
      </c>
      <c r="AI68" s="72">
        <v>8.4551999999999978</v>
      </c>
      <c r="AJ68" s="72">
        <v>1.0804144051393525</v>
      </c>
      <c r="AK68" s="72">
        <v>4.8455494298218698</v>
      </c>
      <c r="AL68" s="36">
        <v>1312.7069999999999</v>
      </c>
      <c r="AM68" s="36">
        <v>149.12239999999991</v>
      </c>
      <c r="AN68" s="36">
        <v>312.59779999999978</v>
      </c>
      <c r="AO68" s="130">
        <v>28.062599999999986</v>
      </c>
      <c r="AP68" s="130">
        <v>99.396799999999956</v>
      </c>
      <c r="AQ68" s="130">
        <v>17.915199999999995</v>
      </c>
      <c r="AR68" s="130">
        <v>2.6197999999999997</v>
      </c>
      <c r="AS68" s="130">
        <v>7.2286075020690337</v>
      </c>
      <c r="AT68" s="130">
        <v>13.255199999999991</v>
      </c>
      <c r="AU68" s="130">
        <v>13.935599999999996</v>
      </c>
      <c r="AV68" s="130">
        <v>2.7379999999999991</v>
      </c>
      <c r="AW68" s="130">
        <v>7.9457999999999958</v>
      </c>
      <c r="AX68" s="130">
        <v>1.2163999999999993</v>
      </c>
      <c r="AY68" s="130">
        <v>7.8765999999999945</v>
      </c>
      <c r="AZ68" s="130">
        <v>1.1833999999999993</v>
      </c>
      <c r="BA68" s="130">
        <v>19.745399999999979</v>
      </c>
      <c r="BB68" s="130">
        <v>12.413199999999982</v>
      </c>
      <c r="BC68" s="130">
        <v>4.6870443330564999</v>
      </c>
      <c r="BD68" s="130">
        <v>0.95154963498935674</v>
      </c>
      <c r="BE68" s="130">
        <v>37.985399999999998</v>
      </c>
      <c r="BF68" s="130">
        <v>0.49756774068363308</v>
      </c>
      <c r="BG68" s="130">
        <v>25.688832652181478</v>
      </c>
      <c r="BH68" s="130">
        <v>5.3459999999999983</v>
      </c>
    </row>
    <row r="69" spans="2:60">
      <c r="B69" s="47" t="s">
        <v>702</v>
      </c>
      <c r="C69" s="72">
        <v>5.0744645150043679</v>
      </c>
      <c r="D69" s="72">
        <v>5.3367471571238729</v>
      </c>
      <c r="E69" s="72">
        <v>11.549025932952095</v>
      </c>
      <c r="F69" s="72">
        <v>15.820706279523915</v>
      </c>
      <c r="G69" s="72">
        <v>1.6754119463592321</v>
      </c>
      <c r="H69" s="36">
        <v>1591.5460994931539</v>
      </c>
      <c r="I69" s="36">
        <v>1601.4594499651819</v>
      </c>
      <c r="J69" s="36">
        <v>68559.517191204897</v>
      </c>
      <c r="K69" s="36">
        <v>584.08615352108473</v>
      </c>
      <c r="L69" s="36">
        <v>115.75891058494972</v>
      </c>
      <c r="M69" s="36">
        <v>11442.903840009478</v>
      </c>
      <c r="N69" s="36">
        <v>2197.3398508220821</v>
      </c>
      <c r="O69" s="36">
        <v>3897.7350365264642</v>
      </c>
      <c r="P69" s="36">
        <v>81.084157882485385</v>
      </c>
      <c r="Q69" s="36">
        <v>74.521857270718669</v>
      </c>
      <c r="R69" s="36">
        <v>1094.1634665352169</v>
      </c>
      <c r="S69" s="36">
        <v>38148.300387113442</v>
      </c>
      <c r="T69" s="72">
        <v>17.531166668666412</v>
      </c>
      <c r="U69" s="72">
        <v>29.289307749456654</v>
      </c>
      <c r="V69" s="72">
        <v>21.44248396070633</v>
      </c>
      <c r="W69" s="72">
        <v>83.096977634584931</v>
      </c>
      <c r="X69" s="72">
        <v>19.649395910350584</v>
      </c>
      <c r="Y69" s="72">
        <v>3.8806199551303036</v>
      </c>
      <c r="Z69" s="72">
        <v>0.51969128585730484</v>
      </c>
      <c r="AA69" s="72">
        <v>70.688368429512167</v>
      </c>
      <c r="AB69" s="72">
        <v>69.142713166932353</v>
      </c>
      <c r="AC69" s="72">
        <v>23.84531652633828</v>
      </c>
      <c r="AD69" s="72">
        <v>207.91779575377922</v>
      </c>
      <c r="AE69" s="72">
        <v>43.703256896904186</v>
      </c>
      <c r="AF69" s="72">
        <v>1.9305915929661914</v>
      </c>
      <c r="AG69" s="72">
        <v>4.6188977996410023E-2</v>
      </c>
      <c r="AH69" s="72">
        <v>8.9691004137467584E-2</v>
      </c>
      <c r="AI69" s="72">
        <v>2.805657511106463</v>
      </c>
      <c r="AJ69" s="72">
        <v>0.30557158527981132</v>
      </c>
      <c r="AK69" s="72">
        <v>2.5638971543394442</v>
      </c>
      <c r="AL69" s="36">
        <v>462.880937655308</v>
      </c>
      <c r="AM69" s="36">
        <v>50.58594859509968</v>
      </c>
      <c r="AN69" s="36">
        <v>103.17319216661711</v>
      </c>
      <c r="AO69" s="130">
        <v>10.47053648649071</v>
      </c>
      <c r="AP69" s="130">
        <v>39.249482102373335</v>
      </c>
      <c r="AQ69" s="130">
        <v>6.9639793615026138</v>
      </c>
      <c r="AR69" s="130">
        <v>1.3208942299419237</v>
      </c>
      <c r="AS69" s="130">
        <v>1.0913513745880479</v>
      </c>
      <c r="AT69" s="130">
        <v>4.1573474015209682</v>
      </c>
      <c r="AU69" s="130">
        <v>4.7870621375532103</v>
      </c>
      <c r="AV69" s="130">
        <v>0.92544826076524567</v>
      </c>
      <c r="AW69" s="130">
        <v>2.6487081187350028</v>
      </c>
      <c r="AX69" s="130">
        <v>0.39278581380143279</v>
      </c>
      <c r="AY69" s="130">
        <v>2.5051236319725541</v>
      </c>
      <c r="AZ69" s="130">
        <v>0.3726966383231895</v>
      </c>
      <c r="BA69" s="130">
        <v>5.2280173543019091</v>
      </c>
      <c r="BB69" s="130">
        <v>2.5570609807440841</v>
      </c>
      <c r="BC69" s="130">
        <v>1.3942371599077026</v>
      </c>
      <c r="BD69" s="130">
        <v>0.47609096898283509</v>
      </c>
      <c r="BE69" s="130">
        <v>22.068909924892971</v>
      </c>
      <c r="BF69" s="130">
        <v>0.22534283146052109</v>
      </c>
      <c r="BG69" s="130">
        <v>11.39449627247564</v>
      </c>
      <c r="BH69" s="130">
        <v>2.6734736635609369</v>
      </c>
    </row>
    <row r="70" spans="2:60">
      <c r="B70" s="47" t="s">
        <v>703</v>
      </c>
      <c r="C70" s="72">
        <v>5.3746686410084772</v>
      </c>
      <c r="D70" s="72">
        <v>5.3965333333333323</v>
      </c>
      <c r="E70" s="72">
        <v>12.074999999999999</v>
      </c>
      <c r="F70" s="72">
        <v>17.43159092214626</v>
      </c>
      <c r="G70" s="72">
        <v>1.8332231812998165</v>
      </c>
      <c r="H70" s="36">
        <v>2685.4162916365754</v>
      </c>
      <c r="I70" s="36">
        <v>1830.0588880627131</v>
      </c>
      <c r="J70" s="36">
        <v>71031.444207349108</v>
      </c>
      <c r="K70" s="36">
        <v>631.3070831445757</v>
      </c>
      <c r="L70" s="36">
        <v>172.17607759039231</v>
      </c>
      <c r="M70" s="36">
        <v>14539.525021841631</v>
      </c>
      <c r="N70" s="36">
        <v>3210.1656865515524</v>
      </c>
      <c r="O70" s="36">
        <v>4226.8833621887034</v>
      </c>
      <c r="P70" s="36">
        <v>94.861245847562813</v>
      </c>
      <c r="Q70" s="36">
        <v>102.69960686908372</v>
      </c>
      <c r="R70" s="36">
        <v>1502.6590254202931</v>
      </c>
      <c r="S70" s="36">
        <v>44012.747267805047</v>
      </c>
      <c r="T70" s="72">
        <v>23.41470843922551</v>
      </c>
      <c r="U70" s="72">
        <v>40.309735294354496</v>
      </c>
      <c r="V70" s="72">
        <v>28.578590110377117</v>
      </c>
      <c r="W70" s="72">
        <v>95.127650000977383</v>
      </c>
      <c r="X70" s="72">
        <v>20.672375024011039</v>
      </c>
      <c r="Y70" s="72">
        <v>8.5033249944403675</v>
      </c>
      <c r="Z70" s="72">
        <v>0.58574163716444483</v>
      </c>
      <c r="AA70" s="72">
        <v>77.541429935546034</v>
      </c>
      <c r="AB70" s="72">
        <v>110.16009495172594</v>
      </c>
      <c r="AC70" s="72">
        <v>29.156948072660533</v>
      </c>
      <c r="AD70" s="72">
        <v>268.76792847299635</v>
      </c>
      <c r="AE70" s="72">
        <v>59.539063519347252</v>
      </c>
      <c r="AF70" s="72">
        <v>2.4384277437512685</v>
      </c>
      <c r="AG70" s="72">
        <v>5.6352048799568129E-2</v>
      </c>
      <c r="AH70" s="72">
        <v>0.1137289963513881</v>
      </c>
      <c r="AI70" s="72">
        <v>3.6149368129170387</v>
      </c>
      <c r="AJ70" s="72">
        <v>0.46837635912897241</v>
      </c>
      <c r="AK70" s="72">
        <v>2.8024574334823318</v>
      </c>
      <c r="AL70" s="36">
        <v>583.80948775499007</v>
      </c>
      <c r="AM70" s="36">
        <v>60.042975958493479</v>
      </c>
      <c r="AN70" s="36">
        <v>121.51027723031555</v>
      </c>
      <c r="AO70" s="130">
        <v>12.256949035079137</v>
      </c>
      <c r="AP70" s="130">
        <v>45.747290780361539</v>
      </c>
      <c r="AQ70" s="130">
        <v>8.0961508989607811</v>
      </c>
      <c r="AR70" s="130">
        <v>1.466137921036198</v>
      </c>
      <c r="AS70" s="130">
        <v>2.1636638462400763</v>
      </c>
      <c r="AT70" s="130">
        <v>5.4270428526770838</v>
      </c>
      <c r="AU70" s="130">
        <v>5.8631160399162585</v>
      </c>
      <c r="AV70" s="130">
        <v>1.1417146059258871</v>
      </c>
      <c r="AW70" s="130">
        <v>3.2809903697085954</v>
      </c>
      <c r="AX70" s="130">
        <v>0.48652593917872355</v>
      </c>
      <c r="AY70" s="130">
        <v>3.0992021603002753</v>
      </c>
      <c r="AZ70" s="130">
        <v>0.4605986965379934</v>
      </c>
      <c r="BA70" s="130">
        <v>6.485674824321201</v>
      </c>
      <c r="BB70" s="130">
        <v>3.3796055941220264</v>
      </c>
      <c r="BC70" s="130">
        <v>1.7845412662542932</v>
      </c>
      <c r="BD70" s="130">
        <v>0.52173133259746918</v>
      </c>
      <c r="BE70" s="130">
        <v>23.371735508844377</v>
      </c>
      <c r="BF70" s="130">
        <v>0.32804621653423122</v>
      </c>
      <c r="BG70" s="130">
        <v>12.708556417513034</v>
      </c>
      <c r="BH70" s="130">
        <v>2.9240941983397715</v>
      </c>
    </row>
  </sheetData>
  <pageMargins left="0.7" right="0.7" top="0.75" bottom="0.75" header="0.3" footer="0.3"/>
  <pageSetup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CC91"/>
  <sheetViews>
    <sheetView workbookViewId="0">
      <pane ySplit="2" topLeftCell="A18" activePane="bottomLeft" state="frozen"/>
      <selection pane="bottomLeft"/>
    </sheetView>
  </sheetViews>
  <sheetFormatPr defaultColWidth="8.7109375" defaultRowHeight="15.75"/>
  <cols>
    <col min="1" max="1" width="15.7109375" style="78" bestFit="1" customWidth="1"/>
    <col min="2" max="2" width="18.7109375" style="78" customWidth="1"/>
    <col min="3" max="3" width="18.140625" style="78" bestFit="1" customWidth="1"/>
    <col min="4" max="5" width="13.5703125" style="78" customWidth="1"/>
    <col min="6" max="6" width="19.28515625" style="78" customWidth="1"/>
    <col min="7" max="8" width="13.5703125" style="78" customWidth="1"/>
    <col min="9" max="10" width="15.85546875" style="78" customWidth="1"/>
    <col min="11" max="13" width="13.5703125" style="78" customWidth="1"/>
    <col min="14" max="14" width="9.140625" style="78" bestFit="1" customWidth="1"/>
    <col min="15" max="15" width="8.5703125" style="78" bestFit="1" customWidth="1"/>
    <col min="16" max="16" width="12.28515625" style="78" bestFit="1" customWidth="1"/>
    <col min="17" max="17" width="10.140625" style="78" customWidth="1"/>
    <col min="18" max="18" width="10" style="78" customWidth="1"/>
    <col min="19" max="19" width="15.42578125" style="78" bestFit="1" customWidth="1"/>
    <col min="20" max="21" width="15.5703125" style="78" bestFit="1" customWidth="1"/>
    <col min="22" max="23" width="14.28515625" style="78" bestFit="1" customWidth="1"/>
    <col min="24" max="26" width="15.5703125" style="78" bestFit="1" customWidth="1"/>
    <col min="27" max="27" width="13.140625" style="78" bestFit="1" customWidth="1"/>
    <col min="28" max="29" width="14.28515625" style="78" bestFit="1" customWidth="1"/>
    <col min="30" max="30" width="16.85546875" style="78" bestFit="1" customWidth="1"/>
    <col min="31" max="34" width="13.140625" style="78" bestFit="1" customWidth="1"/>
    <col min="35" max="35" width="11.85546875" style="78" bestFit="1" customWidth="1"/>
    <col min="36" max="36" width="14.28515625" style="78" bestFit="1" customWidth="1"/>
    <col min="37" max="37" width="11" style="78" bestFit="1" customWidth="1"/>
    <col min="38" max="39" width="12.28515625" style="78" bestFit="1" customWidth="1"/>
    <col min="40" max="40" width="11" style="78" bestFit="1" customWidth="1"/>
    <col min="41" max="43" width="12.28515625" style="78" bestFit="1" customWidth="1"/>
    <col min="44" max="44" width="11" style="78" bestFit="1" customWidth="1"/>
    <col min="45" max="49" width="12.28515625" style="78" bestFit="1" customWidth="1"/>
    <col min="50" max="53" width="11" style="78" bestFit="1" customWidth="1"/>
    <col min="54" max="54" width="12.28515625" style="78" bestFit="1" customWidth="1"/>
    <col min="55" max="56" width="11" style="78" bestFit="1" customWidth="1"/>
    <col min="57" max="57" width="12.28515625" style="78" bestFit="1" customWidth="1"/>
    <col min="58" max="63" width="11" style="78" bestFit="1" customWidth="1"/>
    <col min="64" max="65" width="12.28515625" style="78" bestFit="1" customWidth="1"/>
    <col min="66" max="66" width="11" style="78" bestFit="1" customWidth="1"/>
    <col min="67" max="67" width="12.28515625" style="78" bestFit="1" customWidth="1"/>
    <col min="68" max="68" width="13.7109375" style="78" bestFit="1" customWidth="1"/>
    <col min="69" max="70" width="11" style="78" bestFit="1" customWidth="1"/>
    <col min="71" max="71" width="12.28515625" style="78" bestFit="1" customWidth="1"/>
    <col min="72" max="16384" width="8.7109375" style="78"/>
  </cols>
  <sheetData>
    <row r="1" spans="1:81">
      <c r="A1" s="25" t="s">
        <v>404</v>
      </c>
    </row>
    <row r="2" spans="1:81" s="26" customFormat="1">
      <c r="A2" s="47" t="s">
        <v>0</v>
      </c>
      <c r="B2" s="47" t="s">
        <v>692</v>
      </c>
      <c r="C2" s="47" t="s">
        <v>1</v>
      </c>
      <c r="D2" s="47" t="s">
        <v>301</v>
      </c>
      <c r="E2" s="47" t="s">
        <v>300</v>
      </c>
      <c r="F2" s="47" t="s">
        <v>348</v>
      </c>
      <c r="G2" s="47" t="s">
        <v>302</v>
      </c>
      <c r="H2" s="47" t="s">
        <v>303</v>
      </c>
      <c r="I2" s="26" t="s">
        <v>363</v>
      </c>
      <c r="J2" s="26" t="s">
        <v>681</v>
      </c>
      <c r="K2" s="26" t="s">
        <v>475</v>
      </c>
      <c r="L2" s="83" t="s">
        <v>686</v>
      </c>
      <c r="M2" s="83" t="s">
        <v>682</v>
      </c>
      <c r="N2" s="47" t="s">
        <v>406</v>
      </c>
      <c r="O2" s="47" t="s">
        <v>2</v>
      </c>
      <c r="P2" s="47" t="s">
        <v>3</v>
      </c>
      <c r="Q2" s="47" t="s">
        <v>4</v>
      </c>
      <c r="R2" s="47" t="s">
        <v>5</v>
      </c>
      <c r="S2" s="47" t="s">
        <v>6</v>
      </c>
      <c r="T2" s="47" t="s">
        <v>7</v>
      </c>
      <c r="U2" s="47" t="s">
        <v>8</v>
      </c>
      <c r="V2" s="47" t="s">
        <v>9</v>
      </c>
      <c r="W2" s="47" t="s">
        <v>10</v>
      </c>
      <c r="X2" s="47" t="s">
        <v>11</v>
      </c>
      <c r="Y2" s="47" t="s">
        <v>12</v>
      </c>
      <c r="Z2" s="47" t="s">
        <v>13</v>
      </c>
      <c r="AA2" s="47" t="s">
        <v>14</v>
      </c>
      <c r="AB2" s="47" t="s">
        <v>15</v>
      </c>
      <c r="AC2" s="47" t="s">
        <v>16</v>
      </c>
      <c r="AD2" s="47" t="s">
        <v>17</v>
      </c>
      <c r="AE2" s="47" t="s">
        <v>18</v>
      </c>
      <c r="AF2" s="47" t="s">
        <v>19</v>
      </c>
      <c r="AG2" s="47" t="s">
        <v>20</v>
      </c>
      <c r="AH2" s="47" t="s">
        <v>21</v>
      </c>
      <c r="AI2" s="47" t="s">
        <v>22</v>
      </c>
      <c r="AJ2" s="47" t="s">
        <v>23</v>
      </c>
      <c r="AK2" s="47" t="s">
        <v>24</v>
      </c>
      <c r="AL2" s="47" t="s">
        <v>25</v>
      </c>
      <c r="AM2" s="47" t="s">
        <v>26</v>
      </c>
      <c r="AN2" s="47" t="s">
        <v>27</v>
      </c>
      <c r="AO2" s="47" t="s">
        <v>28</v>
      </c>
      <c r="AP2" s="47" t="s">
        <v>29</v>
      </c>
      <c r="AQ2" s="47" t="s">
        <v>30</v>
      </c>
      <c r="AR2" s="47" t="s">
        <v>31</v>
      </c>
      <c r="AS2" s="47" t="s">
        <v>32</v>
      </c>
      <c r="AT2" s="47" t="s">
        <v>33</v>
      </c>
      <c r="AU2" s="47" t="s">
        <v>34</v>
      </c>
      <c r="AV2" s="47" t="s">
        <v>35</v>
      </c>
      <c r="AW2" s="47" t="s">
        <v>36</v>
      </c>
      <c r="AX2" s="47" t="s">
        <v>37</v>
      </c>
      <c r="AY2" s="47" t="s">
        <v>38</v>
      </c>
      <c r="AZ2" s="47" t="s">
        <v>39</v>
      </c>
      <c r="BA2" s="47" t="s">
        <v>40</v>
      </c>
      <c r="BB2" s="47" t="s">
        <v>41</v>
      </c>
      <c r="BC2" s="47" t="s">
        <v>42</v>
      </c>
      <c r="BD2" s="47" t="s">
        <v>43</v>
      </c>
      <c r="BE2" s="47" t="s">
        <v>44</v>
      </c>
      <c r="BF2" s="47" t="s">
        <v>45</v>
      </c>
      <c r="BG2" s="47" t="s">
        <v>46</v>
      </c>
      <c r="BH2" s="47" t="s">
        <v>47</v>
      </c>
      <c r="BI2" s="47" t="s">
        <v>48</v>
      </c>
      <c r="BJ2" s="47" t="s">
        <v>49</v>
      </c>
      <c r="BK2" s="47" t="s">
        <v>50</v>
      </c>
      <c r="BL2" s="47" t="s">
        <v>51</v>
      </c>
      <c r="BM2" s="47" t="s">
        <v>52</v>
      </c>
      <c r="BN2" s="47" t="s">
        <v>53</v>
      </c>
      <c r="BO2" s="47" t="s">
        <v>54</v>
      </c>
      <c r="BP2" s="47" t="s">
        <v>55</v>
      </c>
      <c r="BQ2" s="47" t="s">
        <v>56</v>
      </c>
      <c r="BR2" s="47" t="s">
        <v>57</v>
      </c>
      <c r="BS2" s="47" t="s">
        <v>58</v>
      </c>
      <c r="BT2" s="47"/>
      <c r="BU2" s="47"/>
      <c r="BV2" s="47"/>
      <c r="BW2" s="47"/>
      <c r="BX2" s="47"/>
      <c r="BY2" s="47"/>
      <c r="BZ2" s="47"/>
      <c r="CA2" s="47"/>
      <c r="CB2" s="47"/>
      <c r="CC2" s="47"/>
    </row>
    <row r="3" spans="1:81" s="27" customFormat="1" ht="18">
      <c r="A3" s="53"/>
      <c r="B3" s="53"/>
      <c r="C3" s="180"/>
      <c r="D3" s="53"/>
      <c r="E3" s="53"/>
      <c r="F3" s="53"/>
      <c r="G3" s="53"/>
      <c r="H3" s="53"/>
      <c r="I3" s="53"/>
      <c r="J3" s="53"/>
      <c r="K3" s="53"/>
      <c r="L3" s="53"/>
      <c r="M3" s="53"/>
      <c r="N3" s="53" t="s">
        <v>407</v>
      </c>
      <c r="O3" s="53"/>
      <c r="P3" s="53" t="s">
        <v>403</v>
      </c>
      <c r="Q3" s="53" t="s">
        <v>403</v>
      </c>
      <c r="R3" s="53" t="s">
        <v>403</v>
      </c>
      <c r="S3" s="53" t="s">
        <v>403</v>
      </c>
      <c r="T3" s="53" t="s">
        <v>403</v>
      </c>
      <c r="U3" s="53" t="s">
        <v>403</v>
      </c>
      <c r="V3" s="53" t="s">
        <v>403</v>
      </c>
      <c r="W3" s="53" t="s">
        <v>403</v>
      </c>
      <c r="X3" s="53" t="s">
        <v>403</v>
      </c>
      <c r="Y3" s="53" t="s">
        <v>403</v>
      </c>
      <c r="Z3" s="53" t="s">
        <v>403</v>
      </c>
      <c r="AA3" s="53" t="s">
        <v>403</v>
      </c>
      <c r="AB3" s="53" t="s">
        <v>403</v>
      </c>
      <c r="AC3" s="53" t="s">
        <v>403</v>
      </c>
      <c r="AD3" s="53" t="s">
        <v>403</v>
      </c>
      <c r="AE3" s="53" t="s">
        <v>403</v>
      </c>
      <c r="AF3" s="53" t="s">
        <v>403</v>
      </c>
      <c r="AG3" s="53" t="s">
        <v>403</v>
      </c>
      <c r="AH3" s="53" t="s">
        <v>403</v>
      </c>
      <c r="AI3" s="53" t="s">
        <v>403</v>
      </c>
      <c r="AJ3" s="53" t="s">
        <v>403</v>
      </c>
      <c r="AK3" s="53" t="s">
        <v>403</v>
      </c>
      <c r="AL3" s="53" t="s">
        <v>403</v>
      </c>
      <c r="AM3" s="53" t="s">
        <v>403</v>
      </c>
      <c r="AN3" s="53" t="s">
        <v>403</v>
      </c>
      <c r="AO3" s="53" t="s">
        <v>403</v>
      </c>
      <c r="AP3" s="53" t="s">
        <v>403</v>
      </c>
      <c r="AQ3" s="53" t="s">
        <v>403</v>
      </c>
      <c r="AR3" s="53" t="s">
        <v>403</v>
      </c>
      <c r="AS3" s="53" t="s">
        <v>403</v>
      </c>
      <c r="AT3" s="53" t="s">
        <v>403</v>
      </c>
      <c r="AU3" s="53" t="s">
        <v>403</v>
      </c>
      <c r="AV3" s="53" t="s">
        <v>403</v>
      </c>
      <c r="AW3" s="53" t="s">
        <v>403</v>
      </c>
      <c r="AX3" s="53" t="s">
        <v>403</v>
      </c>
      <c r="AY3" s="53" t="s">
        <v>403</v>
      </c>
      <c r="AZ3" s="53" t="s">
        <v>403</v>
      </c>
      <c r="BA3" s="53" t="s">
        <v>403</v>
      </c>
      <c r="BB3" s="53" t="s">
        <v>403</v>
      </c>
      <c r="BC3" s="53" t="s">
        <v>403</v>
      </c>
      <c r="BD3" s="53" t="s">
        <v>403</v>
      </c>
      <c r="BE3" s="53" t="s">
        <v>403</v>
      </c>
      <c r="BF3" s="53" t="s">
        <v>403</v>
      </c>
      <c r="BG3" s="53" t="s">
        <v>403</v>
      </c>
      <c r="BH3" s="53" t="s">
        <v>403</v>
      </c>
      <c r="BI3" s="53" t="s">
        <v>403</v>
      </c>
      <c r="BJ3" s="53" t="s">
        <v>403</v>
      </c>
      <c r="BK3" s="53" t="s">
        <v>403</v>
      </c>
      <c r="BL3" s="53" t="s">
        <v>403</v>
      </c>
      <c r="BM3" s="53" t="s">
        <v>403</v>
      </c>
      <c r="BN3" s="53" t="s">
        <v>403</v>
      </c>
      <c r="BO3" s="53" t="s">
        <v>403</v>
      </c>
      <c r="BP3" s="53" t="s">
        <v>403</v>
      </c>
      <c r="BQ3" s="53" t="s">
        <v>403</v>
      </c>
      <c r="BR3" s="53" t="s">
        <v>403</v>
      </c>
      <c r="BS3" s="53" t="s">
        <v>403</v>
      </c>
      <c r="BT3" s="53"/>
      <c r="BU3" s="53"/>
      <c r="BV3" s="53"/>
      <c r="BW3" s="53"/>
      <c r="BX3" s="53"/>
      <c r="BY3" s="53"/>
      <c r="BZ3" s="53"/>
      <c r="CA3" s="53"/>
      <c r="CB3" s="53"/>
      <c r="CC3" s="53"/>
    </row>
    <row r="4" spans="1:81" s="43" customFormat="1">
      <c r="A4" s="25" t="s">
        <v>297</v>
      </c>
      <c r="B4" s="53"/>
      <c r="C4" s="180"/>
      <c r="D4" s="53"/>
      <c r="E4" s="53"/>
      <c r="F4" s="53"/>
      <c r="G4" s="53"/>
      <c r="H4" s="53"/>
      <c r="I4" s="53"/>
      <c r="J4" s="53"/>
      <c r="K4" s="53"/>
      <c r="L4" s="53"/>
      <c r="M4" s="53"/>
      <c r="N4" s="53"/>
      <c r="O4" s="53"/>
      <c r="P4" s="181">
        <v>9.11E-3</v>
      </c>
      <c r="Q4" s="181" t="s">
        <v>59</v>
      </c>
      <c r="R4" s="181" t="s">
        <v>60</v>
      </c>
      <c r="S4" s="181" t="s">
        <v>61</v>
      </c>
      <c r="T4" s="181" t="s">
        <v>62</v>
      </c>
      <c r="U4" s="181" t="s">
        <v>63</v>
      </c>
      <c r="V4" s="181" t="s">
        <v>64</v>
      </c>
      <c r="W4" s="181" t="s">
        <v>65</v>
      </c>
      <c r="X4" s="181" t="s">
        <v>66</v>
      </c>
      <c r="Y4" s="181" t="s">
        <v>67</v>
      </c>
      <c r="Z4" s="181" t="s">
        <v>68</v>
      </c>
      <c r="AA4" s="181" t="s">
        <v>69</v>
      </c>
      <c r="AB4" s="181" t="s">
        <v>69</v>
      </c>
      <c r="AC4" s="181" t="s">
        <v>70</v>
      </c>
      <c r="AD4" s="181" t="s">
        <v>71</v>
      </c>
      <c r="AE4" s="181" t="s">
        <v>72</v>
      </c>
      <c r="AF4" s="181" t="s">
        <v>73</v>
      </c>
      <c r="AG4" s="181" t="s">
        <v>74</v>
      </c>
      <c r="AH4" s="181" t="s">
        <v>75</v>
      </c>
      <c r="AI4" s="181" t="s">
        <v>76</v>
      </c>
      <c r="AJ4" s="181" t="s">
        <v>77</v>
      </c>
      <c r="AK4" s="181" t="s">
        <v>78</v>
      </c>
      <c r="AL4" s="181" t="s">
        <v>60</v>
      </c>
      <c r="AM4" s="181" t="s">
        <v>60</v>
      </c>
      <c r="AN4" s="181" t="s">
        <v>79</v>
      </c>
      <c r="AO4" s="181" t="s">
        <v>80</v>
      </c>
      <c r="AP4" s="181" t="s">
        <v>81</v>
      </c>
      <c r="AQ4" s="181" t="s">
        <v>76</v>
      </c>
      <c r="AR4" s="181" t="s">
        <v>82</v>
      </c>
      <c r="AS4" s="181" t="s">
        <v>83</v>
      </c>
      <c r="AT4" s="181" t="s">
        <v>76</v>
      </c>
      <c r="AU4" s="181" t="s">
        <v>72</v>
      </c>
      <c r="AV4" s="181" t="s">
        <v>84</v>
      </c>
      <c r="AW4" s="181" t="s">
        <v>60</v>
      </c>
      <c r="AX4" s="181" t="s">
        <v>84</v>
      </c>
      <c r="AY4" s="181" t="s">
        <v>82</v>
      </c>
      <c r="AZ4" s="181" t="s">
        <v>85</v>
      </c>
      <c r="BA4" s="181" t="s">
        <v>76</v>
      </c>
      <c r="BB4" s="181" t="s">
        <v>81</v>
      </c>
      <c r="BC4" s="181" t="s">
        <v>85</v>
      </c>
      <c r="BD4" s="181" t="s">
        <v>85</v>
      </c>
      <c r="BE4" s="181" t="s">
        <v>85</v>
      </c>
      <c r="BF4" s="181" t="s">
        <v>86</v>
      </c>
      <c r="BG4" s="181" t="s">
        <v>85</v>
      </c>
      <c r="BH4" s="181" t="s">
        <v>86</v>
      </c>
      <c r="BI4" s="181" t="s">
        <v>85</v>
      </c>
      <c r="BJ4" s="181" t="s">
        <v>83</v>
      </c>
      <c r="BK4" s="181" t="s">
        <v>86</v>
      </c>
      <c r="BL4" s="181" t="s">
        <v>84</v>
      </c>
      <c r="BM4" s="181" t="s">
        <v>85</v>
      </c>
      <c r="BN4" s="181" t="s">
        <v>82</v>
      </c>
      <c r="BO4" s="181" t="s">
        <v>83</v>
      </c>
      <c r="BP4" s="181" t="s">
        <v>69</v>
      </c>
      <c r="BQ4" s="181" t="s">
        <v>60</v>
      </c>
      <c r="BR4" s="181" t="s">
        <v>86</v>
      </c>
      <c r="BS4" s="181" t="s">
        <v>85</v>
      </c>
      <c r="BT4" s="53"/>
      <c r="BU4" s="53"/>
      <c r="BV4" s="53"/>
      <c r="BW4" s="53"/>
      <c r="BX4" s="53"/>
      <c r="BY4" s="53"/>
      <c r="BZ4" s="53"/>
      <c r="CA4" s="53"/>
      <c r="CB4" s="53"/>
      <c r="CC4" s="53"/>
    </row>
    <row r="5" spans="1:81" s="39" customFormat="1">
      <c r="A5" s="53" t="s">
        <v>408</v>
      </c>
      <c r="B5" s="53" t="s">
        <v>409</v>
      </c>
      <c r="C5" s="155" t="s">
        <v>339</v>
      </c>
      <c r="D5" s="53">
        <v>0.258158</v>
      </c>
      <c r="E5" s="53">
        <v>34.720027000000002</v>
      </c>
      <c r="F5" s="53" t="s">
        <v>372</v>
      </c>
      <c r="G5" s="53" t="s">
        <v>330</v>
      </c>
      <c r="H5" s="53" t="s">
        <v>347</v>
      </c>
      <c r="I5" s="154" t="s">
        <v>371</v>
      </c>
      <c r="J5" s="154" t="s">
        <v>687</v>
      </c>
      <c r="K5" s="53" t="s">
        <v>673</v>
      </c>
      <c r="L5" s="53" t="s">
        <v>685</v>
      </c>
      <c r="M5" s="53" t="s">
        <v>691</v>
      </c>
      <c r="N5" s="74">
        <v>8.4208175117264314</v>
      </c>
      <c r="O5" s="75">
        <v>6.22</v>
      </c>
      <c r="P5" s="75">
        <v>4.3631900000000003</v>
      </c>
      <c r="Q5" s="75">
        <v>14.3</v>
      </c>
      <c r="R5" s="75">
        <v>1.92</v>
      </c>
      <c r="S5" s="246">
        <v>6612</v>
      </c>
      <c r="T5" s="246">
        <v>16748</v>
      </c>
      <c r="U5" s="246">
        <v>78567</v>
      </c>
      <c r="V5" s="246">
        <v>742</v>
      </c>
      <c r="W5" s="246">
        <v>323</v>
      </c>
      <c r="X5" s="246">
        <v>13357</v>
      </c>
      <c r="Y5" s="246">
        <v>12426</v>
      </c>
      <c r="Z5" s="246">
        <v>4594.7</v>
      </c>
      <c r="AA5" s="246">
        <v>168.1</v>
      </c>
      <c r="AB5" s="246">
        <v>637.9</v>
      </c>
      <c r="AC5" s="246">
        <v>1810.4</v>
      </c>
      <c r="AD5" s="246">
        <v>69147</v>
      </c>
      <c r="AE5" s="75">
        <v>61.822000000000003</v>
      </c>
      <c r="AF5" s="75">
        <v>210.4</v>
      </c>
      <c r="AG5" s="75">
        <v>94.15</v>
      </c>
      <c r="AH5" s="75">
        <v>111</v>
      </c>
      <c r="AI5" s="75">
        <v>15.22</v>
      </c>
      <c r="AJ5" s="75">
        <v>21.1</v>
      </c>
      <c r="AK5" s="75">
        <v>0.6</v>
      </c>
      <c r="AL5" s="75">
        <v>66</v>
      </c>
      <c r="AM5" s="75">
        <v>159.66999999999999</v>
      </c>
      <c r="AN5" s="75">
        <v>19.614999999999998</v>
      </c>
      <c r="AO5" s="75">
        <v>172.12</v>
      </c>
      <c r="AP5" s="75">
        <v>29.495000000000001</v>
      </c>
      <c r="AQ5" s="75">
        <v>2.16</v>
      </c>
      <c r="AR5" s="75">
        <v>0.157</v>
      </c>
      <c r="AS5" s="75">
        <v>0.17899999999999999</v>
      </c>
      <c r="AT5" s="75">
        <v>5.08</v>
      </c>
      <c r="AU5" s="75">
        <v>1.21</v>
      </c>
      <c r="AV5" s="75">
        <v>2.7090000000000001</v>
      </c>
      <c r="AW5" s="246">
        <v>540.44000000000005</v>
      </c>
      <c r="AX5" s="75">
        <v>35.826000000000001</v>
      </c>
      <c r="AY5" s="75">
        <v>105.483</v>
      </c>
      <c r="AZ5" s="75">
        <v>7.4039999999999999</v>
      </c>
      <c r="BA5" s="75">
        <v>28.33</v>
      </c>
      <c r="BB5" s="75">
        <v>5.2050000000000001</v>
      </c>
      <c r="BC5" s="75">
        <v>1.2030000000000001</v>
      </c>
      <c r="BD5" s="75">
        <v>4.2039999999999997</v>
      </c>
      <c r="BE5" s="75">
        <v>0.64200000000000002</v>
      </c>
      <c r="BF5" s="75">
        <v>3.625</v>
      </c>
      <c r="BG5" s="75">
        <v>0.748</v>
      </c>
      <c r="BH5" s="75">
        <v>2.1469999999999998</v>
      </c>
      <c r="BI5" s="75">
        <v>0.318</v>
      </c>
      <c r="BJ5" s="75">
        <v>1.962</v>
      </c>
      <c r="BK5" s="75">
        <v>0.315</v>
      </c>
      <c r="BL5" s="75">
        <v>4.5659999999999998</v>
      </c>
      <c r="BM5" s="75">
        <v>1.5940000000000001</v>
      </c>
      <c r="BN5" s="75">
        <v>7.7679999999999998</v>
      </c>
      <c r="BO5" s="75">
        <v>0.42299999999999999</v>
      </c>
      <c r="BP5" s="75">
        <v>44.6</v>
      </c>
      <c r="BQ5" s="75">
        <v>9.2200000000000006</v>
      </c>
      <c r="BR5" s="75">
        <v>6.6379999999999999</v>
      </c>
      <c r="BS5" s="75">
        <v>1.879</v>
      </c>
      <c r="BT5" s="53"/>
      <c r="BU5" s="53"/>
      <c r="BV5" s="53"/>
      <c r="BW5" s="53"/>
      <c r="BX5" s="53"/>
      <c r="BY5" s="53"/>
      <c r="BZ5" s="53"/>
      <c r="CA5" s="53"/>
      <c r="CB5" s="53"/>
      <c r="CC5" s="53"/>
    </row>
    <row r="6" spans="1:81" s="39" customFormat="1">
      <c r="A6" s="53" t="s">
        <v>410</v>
      </c>
      <c r="B6" s="53" t="s">
        <v>411</v>
      </c>
      <c r="C6" s="155" t="s">
        <v>339</v>
      </c>
      <c r="D6" s="53">
        <v>0.25792300000000001</v>
      </c>
      <c r="E6" s="53">
        <v>34.719996000000002</v>
      </c>
      <c r="F6" s="53" t="s">
        <v>372</v>
      </c>
      <c r="G6" s="53" t="s">
        <v>330</v>
      </c>
      <c r="H6" s="53" t="s">
        <v>347</v>
      </c>
      <c r="I6" s="154" t="s">
        <v>371</v>
      </c>
      <c r="J6" s="154" t="s">
        <v>687</v>
      </c>
      <c r="K6" s="53" t="s">
        <v>673</v>
      </c>
      <c r="L6" s="53" t="s">
        <v>685</v>
      </c>
      <c r="M6" s="53" t="s">
        <v>691</v>
      </c>
      <c r="N6" s="74">
        <v>1.5643682742130782</v>
      </c>
      <c r="O6" s="75">
        <v>7.4</v>
      </c>
      <c r="P6" s="75">
        <v>6.5400200000000002</v>
      </c>
      <c r="Q6" s="75">
        <v>15.8</v>
      </c>
      <c r="R6" s="75">
        <v>1.1100000000000001</v>
      </c>
      <c r="S6" s="246">
        <v>17100</v>
      </c>
      <c r="T6" s="246">
        <v>20719</v>
      </c>
      <c r="U6" s="246">
        <v>76270</v>
      </c>
      <c r="V6" s="246">
        <v>845</v>
      </c>
      <c r="W6" s="246">
        <v>1616</v>
      </c>
      <c r="X6" s="246">
        <v>11643</v>
      </c>
      <c r="Y6" s="246">
        <v>28382</v>
      </c>
      <c r="Z6" s="246">
        <v>3727.5</v>
      </c>
      <c r="AA6" s="246">
        <v>158.5</v>
      </c>
      <c r="AB6" s="246">
        <v>356</v>
      </c>
      <c r="AC6" s="246">
        <v>1096.8</v>
      </c>
      <c r="AD6" s="246">
        <v>59330</v>
      </c>
      <c r="AE6" s="75">
        <v>33.938000000000002</v>
      </c>
      <c r="AF6" s="75">
        <v>90.11</v>
      </c>
      <c r="AG6" s="75">
        <v>250.26</v>
      </c>
      <c r="AH6" s="75">
        <v>86</v>
      </c>
      <c r="AI6" s="75">
        <v>15.46</v>
      </c>
      <c r="AJ6" s="75">
        <v>484.1</v>
      </c>
      <c r="AK6" s="75">
        <v>0.39</v>
      </c>
      <c r="AL6" s="75">
        <v>47.45</v>
      </c>
      <c r="AM6" s="75">
        <v>230.69</v>
      </c>
      <c r="AN6" s="75">
        <v>14.266999999999999</v>
      </c>
      <c r="AO6" s="75">
        <v>106.23</v>
      </c>
      <c r="AP6" s="75">
        <v>10.169</v>
      </c>
      <c r="AQ6" s="75">
        <v>2.56</v>
      </c>
      <c r="AR6" s="75">
        <v>0.32</v>
      </c>
      <c r="AS6" s="75">
        <v>0.14799999999999999</v>
      </c>
      <c r="AT6" s="75">
        <v>1.26</v>
      </c>
      <c r="AU6" s="75">
        <v>0.61799999999999999</v>
      </c>
      <c r="AV6" s="75">
        <v>1.66</v>
      </c>
      <c r="AW6" s="246">
        <v>450.83</v>
      </c>
      <c r="AX6" s="75">
        <v>24.04</v>
      </c>
      <c r="AY6" s="75">
        <v>53.375999999999998</v>
      </c>
      <c r="AZ6" s="75">
        <v>5.8849999999999998</v>
      </c>
      <c r="BA6" s="75">
        <v>23.41</v>
      </c>
      <c r="BB6" s="75">
        <v>4.5019999999999998</v>
      </c>
      <c r="BC6" s="75">
        <v>1.0780000000000001</v>
      </c>
      <c r="BD6" s="75">
        <v>3.415</v>
      </c>
      <c r="BE6" s="75">
        <v>0.499</v>
      </c>
      <c r="BF6" s="75">
        <v>2.69</v>
      </c>
      <c r="BG6" s="75">
        <v>0.54800000000000004</v>
      </c>
      <c r="BH6" s="75">
        <v>1.4970000000000001</v>
      </c>
      <c r="BI6" s="75">
        <v>0.22600000000000001</v>
      </c>
      <c r="BJ6" s="75">
        <v>1.3819999999999999</v>
      </c>
      <c r="BK6" s="75">
        <v>0.21099999999999999</v>
      </c>
      <c r="BL6" s="75">
        <v>2.996</v>
      </c>
      <c r="BM6" s="75">
        <v>0.57499999999999996</v>
      </c>
      <c r="BN6" s="75">
        <v>22.603000000000002</v>
      </c>
      <c r="BO6" s="75">
        <v>0.22800000000000001</v>
      </c>
      <c r="BP6" s="75">
        <v>26.1</v>
      </c>
      <c r="BQ6" s="75">
        <v>11.76</v>
      </c>
      <c r="BR6" s="75">
        <v>4.9630000000000001</v>
      </c>
      <c r="BS6" s="75">
        <v>1.1619999999999999</v>
      </c>
      <c r="BT6" s="53"/>
      <c r="BU6" s="53"/>
      <c r="BV6" s="53"/>
      <c r="BW6" s="53"/>
      <c r="BX6" s="53"/>
      <c r="BY6" s="53"/>
      <c r="BZ6" s="53"/>
      <c r="CA6" s="53"/>
      <c r="CB6" s="53"/>
      <c r="CC6" s="53"/>
    </row>
    <row r="7" spans="1:81" s="39" customFormat="1">
      <c r="A7" s="53" t="s">
        <v>412</v>
      </c>
      <c r="B7" s="53" t="s">
        <v>413</v>
      </c>
      <c r="C7" s="155" t="s">
        <v>339</v>
      </c>
      <c r="D7" s="53">
        <v>0.25812800000000002</v>
      </c>
      <c r="E7" s="53">
        <v>34.720103999999999</v>
      </c>
      <c r="F7" s="53" t="s">
        <v>372</v>
      </c>
      <c r="G7" s="53" t="s">
        <v>330</v>
      </c>
      <c r="H7" s="53" t="s">
        <v>347</v>
      </c>
      <c r="I7" s="154" t="s">
        <v>371</v>
      </c>
      <c r="J7" s="154" t="s">
        <v>687</v>
      </c>
      <c r="K7" s="53" t="s">
        <v>673</v>
      </c>
      <c r="L7" s="53" t="s">
        <v>685</v>
      </c>
      <c r="M7" s="53" t="s">
        <v>691</v>
      </c>
      <c r="N7" s="74">
        <v>2.3134256122351293</v>
      </c>
      <c r="O7" s="75">
        <v>5.46</v>
      </c>
      <c r="P7" s="75">
        <v>1.2013199999999999</v>
      </c>
      <c r="Q7" s="75">
        <v>6.6</v>
      </c>
      <c r="R7" s="75">
        <v>1.36</v>
      </c>
      <c r="S7" s="246">
        <v>6648</v>
      </c>
      <c r="T7" s="246">
        <v>20416</v>
      </c>
      <c r="U7" s="246">
        <v>50009</v>
      </c>
      <c r="V7" s="246">
        <v>407</v>
      </c>
      <c r="W7" s="246">
        <v>184</v>
      </c>
      <c r="X7" s="246">
        <v>14121</v>
      </c>
      <c r="Y7" s="246">
        <v>18193</v>
      </c>
      <c r="Z7" s="246">
        <v>3950</v>
      </c>
      <c r="AA7" s="246">
        <v>156.69999999999999</v>
      </c>
      <c r="AB7" s="246">
        <v>1807.1</v>
      </c>
      <c r="AC7" s="246">
        <v>1377.7</v>
      </c>
      <c r="AD7" s="246">
        <v>61718</v>
      </c>
      <c r="AE7" s="75">
        <v>50.640999999999998</v>
      </c>
      <c r="AF7" s="75">
        <v>159.6</v>
      </c>
      <c r="AG7" s="75">
        <v>48.6</v>
      </c>
      <c r="AH7" s="75">
        <v>108</v>
      </c>
      <c r="AI7" s="75">
        <v>10.71</v>
      </c>
      <c r="AJ7" s="75">
        <v>9.6</v>
      </c>
      <c r="AK7" s="75">
        <v>0.33</v>
      </c>
      <c r="AL7" s="75">
        <v>48.18</v>
      </c>
      <c r="AM7" s="75">
        <v>186.9</v>
      </c>
      <c r="AN7" s="75">
        <v>10.808999999999999</v>
      </c>
      <c r="AO7" s="75">
        <v>114.87</v>
      </c>
      <c r="AP7" s="75">
        <v>18.030999999999999</v>
      </c>
      <c r="AQ7" s="75">
        <v>2.13</v>
      </c>
      <c r="AR7" s="75">
        <v>3.8090000000000002</v>
      </c>
      <c r="AS7" s="75">
        <v>6.2E-2</v>
      </c>
      <c r="AT7" s="75">
        <v>15.62</v>
      </c>
      <c r="AU7" s="75">
        <v>3.3679999999999999</v>
      </c>
      <c r="AV7" s="75">
        <v>1.494</v>
      </c>
      <c r="AW7" s="246">
        <v>499.6</v>
      </c>
      <c r="AX7" s="75">
        <v>16.693999999999999</v>
      </c>
      <c r="AY7" s="75">
        <v>60.960999999999999</v>
      </c>
      <c r="AZ7" s="75">
        <v>3.6970000000000001</v>
      </c>
      <c r="BA7" s="75">
        <v>14.4</v>
      </c>
      <c r="BB7" s="75">
        <v>2.8889999999999998</v>
      </c>
      <c r="BC7" s="75">
        <v>0.70699999999999996</v>
      </c>
      <c r="BD7" s="75">
        <v>2.36</v>
      </c>
      <c r="BE7" s="75">
        <v>0.376</v>
      </c>
      <c r="BF7" s="75">
        <v>2.0579999999999998</v>
      </c>
      <c r="BG7" s="75">
        <v>0.41499999999999998</v>
      </c>
      <c r="BH7" s="75">
        <v>1.204</v>
      </c>
      <c r="BI7" s="75">
        <v>0.19</v>
      </c>
      <c r="BJ7" s="75">
        <v>1.208</v>
      </c>
      <c r="BK7" s="75">
        <v>0.17599999999999999</v>
      </c>
      <c r="BL7" s="75">
        <v>3.2879999999999998</v>
      </c>
      <c r="BM7" s="75">
        <v>0.93200000000000005</v>
      </c>
      <c r="BN7" s="75">
        <v>13.664999999999999</v>
      </c>
      <c r="BO7" s="75">
        <v>0.28799999999999998</v>
      </c>
      <c r="BP7" s="75">
        <v>16.7</v>
      </c>
      <c r="BQ7" s="75">
        <v>8.07</v>
      </c>
      <c r="BR7" s="75">
        <v>11.377000000000001</v>
      </c>
      <c r="BS7" s="75">
        <v>1.5660000000000001</v>
      </c>
      <c r="BT7" s="53"/>
      <c r="BU7" s="53"/>
      <c r="BV7" s="53"/>
      <c r="BW7" s="53"/>
      <c r="BX7" s="53"/>
      <c r="BY7" s="53"/>
      <c r="BZ7" s="53"/>
      <c r="CA7" s="53"/>
      <c r="CB7" s="53"/>
      <c r="CC7" s="53"/>
    </row>
    <row r="8" spans="1:81" s="39" customFormat="1">
      <c r="A8" s="53" t="s">
        <v>414</v>
      </c>
      <c r="B8" s="53" t="s">
        <v>415</v>
      </c>
      <c r="C8" s="155" t="s">
        <v>339</v>
      </c>
      <c r="D8" s="53">
        <v>0.26020300000000002</v>
      </c>
      <c r="E8" s="53">
        <v>34.719721</v>
      </c>
      <c r="F8" s="53" t="s">
        <v>372</v>
      </c>
      <c r="G8" s="53" t="s">
        <v>330</v>
      </c>
      <c r="H8" s="53" t="s">
        <v>347</v>
      </c>
      <c r="I8" s="154" t="s">
        <v>371</v>
      </c>
      <c r="J8" s="154" t="s">
        <v>687</v>
      </c>
      <c r="K8" s="53" t="s">
        <v>674</v>
      </c>
      <c r="L8" s="53" t="s">
        <v>684</v>
      </c>
      <c r="M8" s="53" t="s">
        <v>683</v>
      </c>
      <c r="N8" s="74">
        <v>6.8126520681266012</v>
      </c>
      <c r="O8" s="75">
        <v>5.49</v>
      </c>
      <c r="P8" s="75">
        <v>2.4613400000000003</v>
      </c>
      <c r="Q8" s="75">
        <v>17</v>
      </c>
      <c r="R8" s="75">
        <v>2.2799999999999998</v>
      </c>
      <c r="S8" s="246">
        <v>5530</v>
      </c>
      <c r="T8" s="246">
        <v>27611</v>
      </c>
      <c r="U8" s="246">
        <v>76687</v>
      </c>
      <c r="V8" s="246">
        <v>648</v>
      </c>
      <c r="W8" s="246">
        <v>191</v>
      </c>
      <c r="X8" s="246">
        <v>10271</v>
      </c>
      <c r="Y8" s="246">
        <v>15566</v>
      </c>
      <c r="Z8" s="246">
        <v>4840.8999999999996</v>
      </c>
      <c r="AA8" s="246">
        <v>162.80000000000001</v>
      </c>
      <c r="AB8" s="246">
        <v>1092.7</v>
      </c>
      <c r="AC8" s="246">
        <v>1078.2</v>
      </c>
      <c r="AD8" s="246">
        <v>78004</v>
      </c>
      <c r="AE8" s="75">
        <v>70.893000000000001</v>
      </c>
      <c r="AF8" s="75">
        <v>382.75</v>
      </c>
      <c r="AG8" s="75">
        <v>52.57</v>
      </c>
      <c r="AH8" s="75">
        <v>89</v>
      </c>
      <c r="AI8" s="75">
        <v>15.2</v>
      </c>
      <c r="AJ8" s="75">
        <v>5.9</v>
      </c>
      <c r="AK8" s="75">
        <v>0.52</v>
      </c>
      <c r="AL8" s="75">
        <v>57.02</v>
      </c>
      <c r="AM8" s="75">
        <v>165.2</v>
      </c>
      <c r="AN8" s="75">
        <v>21.606999999999999</v>
      </c>
      <c r="AO8" s="75">
        <v>199.46</v>
      </c>
      <c r="AP8" s="75">
        <v>34.723999999999997</v>
      </c>
      <c r="AQ8" s="75">
        <v>1.47</v>
      </c>
      <c r="AR8" s="75">
        <v>6.3E-2</v>
      </c>
      <c r="AS8" s="75">
        <v>0.115</v>
      </c>
      <c r="AT8" s="75">
        <v>1.92</v>
      </c>
      <c r="AU8" s="75">
        <v>0.26200000000000001</v>
      </c>
      <c r="AV8" s="75">
        <v>3.4950000000000001</v>
      </c>
      <c r="AW8" s="246">
        <v>474.41</v>
      </c>
      <c r="AX8" s="75">
        <v>35.569000000000003</v>
      </c>
      <c r="AY8" s="75">
        <v>103.152</v>
      </c>
      <c r="AZ8" s="75">
        <v>7.306</v>
      </c>
      <c r="BA8" s="75">
        <v>27.93</v>
      </c>
      <c r="BB8" s="75">
        <v>5.4210000000000003</v>
      </c>
      <c r="BC8" s="75">
        <v>1.1910000000000001</v>
      </c>
      <c r="BD8" s="75">
        <v>4.2910000000000004</v>
      </c>
      <c r="BE8" s="75">
        <v>0.67800000000000005</v>
      </c>
      <c r="BF8" s="75">
        <v>3.9689999999999999</v>
      </c>
      <c r="BG8" s="75">
        <v>0.79</v>
      </c>
      <c r="BH8" s="75">
        <v>2.286</v>
      </c>
      <c r="BI8" s="75">
        <v>0.33800000000000002</v>
      </c>
      <c r="BJ8" s="75">
        <v>2.2069999999999999</v>
      </c>
      <c r="BK8" s="75">
        <v>0.318</v>
      </c>
      <c r="BL8" s="75">
        <v>5.1959999999999997</v>
      </c>
      <c r="BM8" s="75">
        <v>1.9239999999999999</v>
      </c>
      <c r="BN8" s="75">
        <v>1.5149999999999999</v>
      </c>
      <c r="BO8" s="75">
        <v>0.44700000000000001</v>
      </c>
      <c r="BP8" s="75">
        <v>13.8</v>
      </c>
      <c r="BQ8" s="75">
        <v>0.28999999999999998</v>
      </c>
      <c r="BR8" s="75">
        <v>6.851</v>
      </c>
      <c r="BS8" s="75">
        <v>1.8779999999999999</v>
      </c>
      <c r="BT8" s="53"/>
      <c r="BU8" s="53"/>
      <c r="BV8" s="53"/>
      <c r="BW8" s="53"/>
      <c r="BX8" s="53"/>
      <c r="BY8" s="53"/>
      <c r="BZ8" s="53"/>
      <c r="CA8" s="53"/>
      <c r="CB8" s="53"/>
      <c r="CC8" s="53"/>
    </row>
    <row r="9" spans="1:81" s="39" customFormat="1">
      <c r="A9" s="53" t="s">
        <v>416</v>
      </c>
      <c r="B9" s="53" t="s">
        <v>417</v>
      </c>
      <c r="C9" s="155" t="s">
        <v>339</v>
      </c>
      <c r="D9" s="53">
        <v>0.26020300000000002</v>
      </c>
      <c r="E9" s="53">
        <v>34.719721</v>
      </c>
      <c r="F9" s="53" t="s">
        <v>372</v>
      </c>
      <c r="G9" s="53" t="s">
        <v>330</v>
      </c>
      <c r="H9" s="53" t="s">
        <v>347</v>
      </c>
      <c r="I9" s="154" t="s">
        <v>371</v>
      </c>
      <c r="J9" s="154" t="s">
        <v>687</v>
      </c>
      <c r="K9" s="53" t="s">
        <v>673</v>
      </c>
      <c r="L9" s="53" t="s">
        <v>685</v>
      </c>
      <c r="M9" s="53" t="s">
        <v>691</v>
      </c>
      <c r="N9" s="74">
        <v>2.7571372702387342</v>
      </c>
      <c r="O9" s="75">
        <v>6.98</v>
      </c>
      <c r="P9" s="75">
        <v>6.2166800000000002</v>
      </c>
      <c r="Q9" s="75">
        <v>9.8000000000000007</v>
      </c>
      <c r="R9" s="75">
        <v>1.01</v>
      </c>
      <c r="S9" s="246">
        <v>9248</v>
      </c>
      <c r="T9" s="246">
        <v>14593</v>
      </c>
      <c r="U9" s="246">
        <v>79220</v>
      </c>
      <c r="V9" s="246">
        <v>591</v>
      </c>
      <c r="W9" s="246">
        <v>423</v>
      </c>
      <c r="X9" s="246">
        <v>11951</v>
      </c>
      <c r="Y9" s="246">
        <v>18355</v>
      </c>
      <c r="Z9" s="246">
        <v>4442.7</v>
      </c>
      <c r="AA9" s="246">
        <v>201.4</v>
      </c>
      <c r="AB9" s="246">
        <v>457.7</v>
      </c>
      <c r="AC9" s="246">
        <v>1237.3</v>
      </c>
      <c r="AD9" s="246">
        <v>77548</v>
      </c>
      <c r="AE9" s="75">
        <v>45.478999999999999</v>
      </c>
      <c r="AF9" s="75">
        <v>64.05</v>
      </c>
      <c r="AG9" s="75">
        <v>98</v>
      </c>
      <c r="AH9" s="75">
        <v>83</v>
      </c>
      <c r="AI9" s="75">
        <v>14.55</v>
      </c>
      <c r="AJ9" s="75">
        <v>193.6</v>
      </c>
      <c r="AK9" s="75">
        <v>0.46</v>
      </c>
      <c r="AL9" s="75">
        <v>49.27</v>
      </c>
      <c r="AM9" s="75">
        <v>191.3</v>
      </c>
      <c r="AN9" s="75">
        <v>12.523999999999999</v>
      </c>
      <c r="AO9" s="75">
        <v>88.45</v>
      </c>
      <c r="AP9" s="75">
        <v>11.567</v>
      </c>
      <c r="AQ9" s="75">
        <v>1.88</v>
      </c>
      <c r="AR9" s="75">
        <v>0.23100000000000001</v>
      </c>
      <c r="AS9" s="75">
        <v>0.13400000000000001</v>
      </c>
      <c r="AT9" s="75">
        <v>1.76</v>
      </c>
      <c r="AU9" s="75">
        <v>1.133</v>
      </c>
      <c r="AV9" s="75">
        <v>1.8280000000000001</v>
      </c>
      <c r="AW9" s="246">
        <v>470.79</v>
      </c>
      <c r="AX9" s="75">
        <v>21.957999999999998</v>
      </c>
      <c r="AY9" s="75">
        <v>69.617999999999995</v>
      </c>
      <c r="AZ9" s="75">
        <v>5.0129999999999999</v>
      </c>
      <c r="BA9" s="75">
        <v>20.45</v>
      </c>
      <c r="BB9" s="75">
        <v>3.98</v>
      </c>
      <c r="BC9" s="75">
        <v>0.96899999999999997</v>
      </c>
      <c r="BD9" s="75">
        <v>2.907</v>
      </c>
      <c r="BE9" s="75">
        <v>0.42199999999999999</v>
      </c>
      <c r="BF9" s="75">
        <v>2.4380000000000002</v>
      </c>
      <c r="BG9" s="75">
        <v>0.495</v>
      </c>
      <c r="BH9" s="75">
        <v>1.3879999999999999</v>
      </c>
      <c r="BI9" s="75">
        <v>0.20699999999999999</v>
      </c>
      <c r="BJ9" s="75">
        <v>1.337</v>
      </c>
      <c r="BK9" s="75">
        <v>0.20300000000000001</v>
      </c>
      <c r="BL9" s="75">
        <v>2.5249999999999999</v>
      </c>
      <c r="BM9" s="75">
        <v>0.65</v>
      </c>
      <c r="BN9" s="75">
        <v>14.475</v>
      </c>
      <c r="BO9" s="75">
        <v>0.26900000000000002</v>
      </c>
      <c r="BP9" s="75">
        <v>17.2</v>
      </c>
      <c r="BQ9" s="75">
        <v>19.079999999999998</v>
      </c>
      <c r="BR9" s="75">
        <v>4.8360000000000003</v>
      </c>
      <c r="BS9" s="75">
        <v>1.3069999999999999</v>
      </c>
      <c r="BT9" s="53"/>
      <c r="BU9" s="53"/>
      <c r="BV9" s="53"/>
      <c r="BW9" s="53"/>
      <c r="BX9" s="53"/>
      <c r="BY9" s="53"/>
      <c r="BZ9" s="53"/>
      <c r="CA9" s="53"/>
      <c r="CB9" s="53"/>
      <c r="CC9" s="53"/>
    </row>
    <row r="10" spans="1:81" s="39" customFormat="1">
      <c r="A10" s="53" t="s">
        <v>418</v>
      </c>
      <c r="B10" s="53" t="s">
        <v>419</v>
      </c>
      <c r="C10" s="155" t="s">
        <v>339</v>
      </c>
      <c r="D10" s="53">
        <v>0.26067699999999999</v>
      </c>
      <c r="E10" s="53">
        <v>34.720677999999999</v>
      </c>
      <c r="F10" s="53" t="s">
        <v>372</v>
      </c>
      <c r="G10" s="53" t="s">
        <v>330</v>
      </c>
      <c r="H10" s="53" t="s">
        <v>347</v>
      </c>
      <c r="I10" s="154" t="s">
        <v>371</v>
      </c>
      <c r="J10" s="154" t="s">
        <v>687</v>
      </c>
      <c r="K10" s="53" t="s">
        <v>675</v>
      </c>
      <c r="L10" s="53" t="s">
        <v>684</v>
      </c>
      <c r="M10" s="53" t="s">
        <v>683</v>
      </c>
      <c r="N10" s="74">
        <v>4.8529095984540733</v>
      </c>
      <c r="O10" s="75">
        <v>5.8</v>
      </c>
      <c r="P10" s="75">
        <v>5.9437899999999999</v>
      </c>
      <c r="Q10" s="75">
        <v>13.2</v>
      </c>
      <c r="R10" s="75">
        <v>2.2000000000000002</v>
      </c>
      <c r="S10" s="246">
        <v>5234</v>
      </c>
      <c r="T10" s="246">
        <v>14500</v>
      </c>
      <c r="U10" s="246">
        <v>71069</v>
      </c>
      <c r="V10" s="246">
        <v>528</v>
      </c>
      <c r="W10" s="246">
        <v>142</v>
      </c>
      <c r="X10" s="246">
        <v>14932</v>
      </c>
      <c r="Y10" s="246">
        <v>10825</v>
      </c>
      <c r="Z10" s="246">
        <v>4056.9</v>
      </c>
      <c r="AA10" s="246">
        <v>184.9</v>
      </c>
      <c r="AB10" s="246">
        <v>1150</v>
      </c>
      <c r="AC10" s="246">
        <v>1945.2</v>
      </c>
      <c r="AD10" s="246">
        <v>77997</v>
      </c>
      <c r="AE10" s="75">
        <v>72.795000000000002</v>
      </c>
      <c r="AF10" s="75">
        <v>204.55</v>
      </c>
      <c r="AG10" s="75">
        <v>56.35</v>
      </c>
      <c r="AH10" s="75">
        <v>86</v>
      </c>
      <c r="AI10" s="75">
        <v>15.03</v>
      </c>
      <c r="AJ10" s="75">
        <v>10.199999999999999</v>
      </c>
      <c r="AK10" s="75">
        <v>0.55000000000000004</v>
      </c>
      <c r="AL10" s="75">
        <v>65.209999999999994</v>
      </c>
      <c r="AM10" s="75">
        <v>144.1</v>
      </c>
      <c r="AN10" s="75">
        <v>18.420000000000002</v>
      </c>
      <c r="AO10" s="75">
        <v>172.59</v>
      </c>
      <c r="AP10" s="75">
        <v>31.7</v>
      </c>
      <c r="AQ10" s="75">
        <v>2.71</v>
      </c>
      <c r="AR10" s="75">
        <v>0.58199999999999996</v>
      </c>
      <c r="AS10" s="75">
        <v>9.5000000000000001E-2</v>
      </c>
      <c r="AT10" s="75">
        <v>4.08</v>
      </c>
      <c r="AU10" s="75">
        <v>1.1339999999999999</v>
      </c>
      <c r="AV10" s="75">
        <v>2.3879999999999999</v>
      </c>
      <c r="AW10" s="246">
        <v>556.79</v>
      </c>
      <c r="AX10" s="75">
        <v>31.481000000000002</v>
      </c>
      <c r="AY10" s="75">
        <v>104.923</v>
      </c>
      <c r="AZ10" s="75">
        <v>6.5609999999999999</v>
      </c>
      <c r="BA10" s="75">
        <v>25.03</v>
      </c>
      <c r="BB10" s="75">
        <v>4.63</v>
      </c>
      <c r="BC10" s="75">
        <v>1.0229999999999999</v>
      </c>
      <c r="BD10" s="75">
        <v>3.7850000000000001</v>
      </c>
      <c r="BE10" s="75">
        <v>0.58099999999999996</v>
      </c>
      <c r="BF10" s="75">
        <v>3.3610000000000002</v>
      </c>
      <c r="BG10" s="75">
        <v>0.70599999999999996</v>
      </c>
      <c r="BH10" s="75">
        <v>1.9410000000000001</v>
      </c>
      <c r="BI10" s="75">
        <v>0.29699999999999999</v>
      </c>
      <c r="BJ10" s="75">
        <v>1.8839999999999999</v>
      </c>
      <c r="BK10" s="75">
        <v>0.28199999999999997</v>
      </c>
      <c r="BL10" s="75">
        <v>4.4649999999999999</v>
      </c>
      <c r="BM10" s="75">
        <v>1.696</v>
      </c>
      <c r="BN10" s="75">
        <v>10.016</v>
      </c>
      <c r="BO10" s="75">
        <v>0.442</v>
      </c>
      <c r="BP10" s="75">
        <v>20.5</v>
      </c>
      <c r="BQ10" s="75">
        <v>3.81</v>
      </c>
      <c r="BR10" s="75">
        <v>6.8090000000000002</v>
      </c>
      <c r="BS10" s="75">
        <v>1.7170000000000001</v>
      </c>
      <c r="BT10" s="53"/>
      <c r="BU10" s="53"/>
      <c r="BV10" s="53"/>
      <c r="BW10" s="53"/>
      <c r="BX10" s="53"/>
      <c r="BY10" s="53"/>
      <c r="BZ10" s="53"/>
      <c r="CA10" s="53"/>
      <c r="CB10" s="53"/>
      <c r="CC10" s="53"/>
    </row>
    <row r="11" spans="1:81" s="39" customFormat="1">
      <c r="A11" s="53" t="s">
        <v>420</v>
      </c>
      <c r="B11" s="53" t="s">
        <v>421</v>
      </c>
      <c r="C11" s="155" t="s">
        <v>339</v>
      </c>
      <c r="D11" s="53">
        <v>0.26067699999999999</v>
      </c>
      <c r="E11" s="53">
        <v>34.720677999999999</v>
      </c>
      <c r="F11" s="53" t="s">
        <v>372</v>
      </c>
      <c r="G11" s="53" t="s">
        <v>330</v>
      </c>
      <c r="H11" s="53" t="s">
        <v>347</v>
      </c>
      <c r="I11" s="154" t="s">
        <v>371</v>
      </c>
      <c r="J11" s="154" t="s">
        <v>687</v>
      </c>
      <c r="K11" s="53" t="s">
        <v>673</v>
      </c>
      <c r="L11" s="53" t="s">
        <v>685</v>
      </c>
      <c r="M11" s="53" t="s">
        <v>691</v>
      </c>
      <c r="N11" s="74">
        <v>5.5532786885243937</v>
      </c>
      <c r="O11" s="75">
        <v>6.6</v>
      </c>
      <c r="P11" s="75">
        <v>8.6901899999999994</v>
      </c>
      <c r="Q11" s="75">
        <v>14.5</v>
      </c>
      <c r="R11" s="75">
        <v>2.16</v>
      </c>
      <c r="S11" s="246">
        <v>5635</v>
      </c>
      <c r="T11" s="246">
        <v>11222</v>
      </c>
      <c r="U11" s="246">
        <v>80172</v>
      </c>
      <c r="V11" s="246">
        <v>627</v>
      </c>
      <c r="W11" s="246">
        <v>490</v>
      </c>
      <c r="X11" s="246">
        <v>13039</v>
      </c>
      <c r="Y11" s="246">
        <v>10727</v>
      </c>
      <c r="Z11" s="246">
        <v>4570.1000000000004</v>
      </c>
      <c r="AA11" s="246">
        <v>157.30000000000001</v>
      </c>
      <c r="AB11" s="246">
        <v>519</v>
      </c>
      <c r="AC11" s="246">
        <v>1215.7</v>
      </c>
      <c r="AD11" s="246">
        <v>64351</v>
      </c>
      <c r="AE11" s="75">
        <v>37.145000000000003</v>
      </c>
      <c r="AF11" s="75">
        <v>171.29</v>
      </c>
      <c r="AG11" s="75">
        <v>94.79</v>
      </c>
      <c r="AH11" s="75">
        <v>97</v>
      </c>
      <c r="AI11" s="75">
        <v>16.36</v>
      </c>
      <c r="AJ11" s="75">
        <v>345</v>
      </c>
      <c r="AK11" s="75">
        <v>0.83</v>
      </c>
      <c r="AL11" s="75">
        <v>66.88</v>
      </c>
      <c r="AM11" s="75">
        <v>131.1</v>
      </c>
      <c r="AN11" s="75">
        <v>14.516</v>
      </c>
      <c r="AO11" s="75">
        <v>166.36</v>
      </c>
      <c r="AP11" s="75">
        <v>28.114999999999998</v>
      </c>
      <c r="AQ11" s="75">
        <v>1.92</v>
      </c>
      <c r="AR11" s="75">
        <v>0.215</v>
      </c>
      <c r="AS11" s="75">
        <v>0.17399999999999999</v>
      </c>
      <c r="AT11" s="75">
        <v>1.88</v>
      </c>
      <c r="AU11" s="75">
        <v>0.73199999999999998</v>
      </c>
      <c r="AV11" s="75">
        <v>2.4449999999999998</v>
      </c>
      <c r="AW11" s="246">
        <v>480.97</v>
      </c>
      <c r="AX11" s="75">
        <v>23.606000000000002</v>
      </c>
      <c r="AY11" s="75">
        <v>59.997</v>
      </c>
      <c r="AZ11" s="75">
        <v>5.1459999999999999</v>
      </c>
      <c r="BA11" s="75">
        <v>20.13</v>
      </c>
      <c r="BB11" s="75">
        <v>3.8460000000000001</v>
      </c>
      <c r="BC11" s="75">
        <v>0.92100000000000004</v>
      </c>
      <c r="BD11" s="75">
        <v>3.129</v>
      </c>
      <c r="BE11" s="75">
        <v>0.46700000000000003</v>
      </c>
      <c r="BF11" s="75">
        <v>2.754</v>
      </c>
      <c r="BG11" s="75">
        <v>0.55100000000000005</v>
      </c>
      <c r="BH11" s="75">
        <v>1.5680000000000001</v>
      </c>
      <c r="BI11" s="75">
        <v>0.24199999999999999</v>
      </c>
      <c r="BJ11" s="75">
        <v>1.5549999999999999</v>
      </c>
      <c r="BK11" s="75">
        <v>0.247</v>
      </c>
      <c r="BL11" s="75">
        <v>4.415</v>
      </c>
      <c r="BM11" s="75">
        <v>1.5669999999999999</v>
      </c>
      <c r="BN11" s="75">
        <v>11.98</v>
      </c>
      <c r="BO11" s="75">
        <v>0.35599999999999998</v>
      </c>
      <c r="BP11" s="75">
        <v>19.8</v>
      </c>
      <c r="BQ11" s="75">
        <v>20.58</v>
      </c>
      <c r="BR11" s="75">
        <v>6.4580000000000002</v>
      </c>
      <c r="BS11" s="75">
        <v>1.571</v>
      </c>
      <c r="BT11" s="53"/>
      <c r="BU11" s="53"/>
      <c r="BV11" s="53"/>
      <c r="BW11" s="53"/>
      <c r="BX11" s="53"/>
      <c r="BY11" s="53"/>
      <c r="BZ11" s="53"/>
      <c r="CA11" s="53"/>
      <c r="CB11" s="53"/>
      <c r="CC11" s="53"/>
    </row>
    <row r="12" spans="1:81" s="39" customFormat="1">
      <c r="A12" s="53" t="s">
        <v>422</v>
      </c>
      <c r="B12" s="53" t="s">
        <v>421</v>
      </c>
      <c r="C12" s="155" t="s">
        <v>339</v>
      </c>
      <c r="D12" s="53">
        <v>0.26067699999999999</v>
      </c>
      <c r="E12" s="53">
        <v>34.720677999999999</v>
      </c>
      <c r="F12" s="53" t="s">
        <v>372</v>
      </c>
      <c r="G12" s="53" t="s">
        <v>330</v>
      </c>
      <c r="H12" s="53" t="s">
        <v>347</v>
      </c>
      <c r="I12" s="154" t="s">
        <v>371</v>
      </c>
      <c r="J12" s="154" t="s">
        <v>687</v>
      </c>
      <c r="K12" s="53" t="s">
        <v>673</v>
      </c>
      <c r="L12" s="53" t="s">
        <v>685</v>
      </c>
      <c r="M12" s="53" t="s">
        <v>691</v>
      </c>
      <c r="N12" s="74" t="s">
        <v>288</v>
      </c>
      <c r="O12" s="75" t="s">
        <v>288</v>
      </c>
      <c r="P12" s="74" t="s">
        <v>288</v>
      </c>
      <c r="Q12" s="75">
        <v>16.100000000000001</v>
      </c>
      <c r="R12" s="75">
        <v>1.58</v>
      </c>
      <c r="S12" s="246">
        <v>5727</v>
      </c>
      <c r="T12" s="246">
        <v>11280</v>
      </c>
      <c r="U12" s="246">
        <v>83903</v>
      </c>
      <c r="V12" s="246">
        <v>625</v>
      </c>
      <c r="W12" s="246">
        <v>500</v>
      </c>
      <c r="X12" s="246">
        <v>13541</v>
      </c>
      <c r="Y12" s="246">
        <v>11125</v>
      </c>
      <c r="Z12" s="246">
        <v>4755.6000000000004</v>
      </c>
      <c r="AA12" s="246">
        <v>159.19999999999999</v>
      </c>
      <c r="AB12" s="246">
        <v>526.1</v>
      </c>
      <c r="AC12" s="246">
        <v>1205.8</v>
      </c>
      <c r="AD12" s="246">
        <v>65554</v>
      </c>
      <c r="AE12" s="75">
        <v>37.064</v>
      </c>
      <c r="AF12" s="75">
        <v>172.62</v>
      </c>
      <c r="AG12" s="75">
        <v>95.3</v>
      </c>
      <c r="AH12" s="75">
        <v>97</v>
      </c>
      <c r="AI12" s="75">
        <v>16.28</v>
      </c>
      <c r="AJ12" s="75">
        <v>349.5</v>
      </c>
      <c r="AK12" s="75">
        <v>0.64</v>
      </c>
      <c r="AL12" s="75">
        <v>67.72</v>
      </c>
      <c r="AM12" s="75">
        <v>130.99</v>
      </c>
      <c r="AN12" s="75">
        <v>14.706</v>
      </c>
      <c r="AO12" s="75">
        <v>170.85</v>
      </c>
      <c r="AP12" s="75">
        <v>28.547000000000001</v>
      </c>
      <c r="AQ12" s="75">
        <v>1.91</v>
      </c>
      <c r="AR12" s="75">
        <v>0.22</v>
      </c>
      <c r="AS12" s="75">
        <v>0.218</v>
      </c>
      <c r="AT12" s="75">
        <v>1.96</v>
      </c>
      <c r="AU12" s="75">
        <v>0.748</v>
      </c>
      <c r="AV12" s="75">
        <v>2.496</v>
      </c>
      <c r="AW12" s="246">
        <v>488.26</v>
      </c>
      <c r="AX12" s="75">
        <v>24.042999999999999</v>
      </c>
      <c r="AY12" s="75">
        <v>66.462000000000003</v>
      </c>
      <c r="AZ12" s="75">
        <v>5.2439999999999998</v>
      </c>
      <c r="BA12" s="75">
        <v>20.36</v>
      </c>
      <c r="BB12" s="75">
        <v>3.9609999999999999</v>
      </c>
      <c r="BC12" s="75">
        <v>0.93300000000000005</v>
      </c>
      <c r="BD12" s="75">
        <v>3.1120000000000001</v>
      </c>
      <c r="BE12" s="75">
        <v>0.48599999999999999</v>
      </c>
      <c r="BF12" s="75">
        <v>2.7269999999999999</v>
      </c>
      <c r="BG12" s="75">
        <v>0.56599999999999995</v>
      </c>
      <c r="BH12" s="75">
        <v>1.6659999999999999</v>
      </c>
      <c r="BI12" s="75">
        <v>0.24399999999999999</v>
      </c>
      <c r="BJ12" s="75">
        <v>1.5449999999999999</v>
      </c>
      <c r="BK12" s="75">
        <v>0.25900000000000001</v>
      </c>
      <c r="BL12" s="75">
        <v>4.7850000000000001</v>
      </c>
      <c r="BM12" s="75">
        <v>1.6040000000000001</v>
      </c>
      <c r="BN12" s="75">
        <v>12.108000000000001</v>
      </c>
      <c r="BO12" s="75">
        <v>0.35699999999999998</v>
      </c>
      <c r="BP12" s="75">
        <v>20.100000000000001</v>
      </c>
      <c r="BQ12" s="75">
        <v>20.25</v>
      </c>
      <c r="BR12" s="75">
        <v>6.56</v>
      </c>
      <c r="BS12" s="75">
        <v>1.6080000000000001</v>
      </c>
      <c r="BT12" s="53"/>
      <c r="BU12" s="53"/>
      <c r="BV12" s="53"/>
      <c r="BW12" s="53"/>
      <c r="BX12" s="53"/>
      <c r="BY12" s="53"/>
      <c r="BZ12" s="53"/>
      <c r="CA12" s="53"/>
      <c r="CB12" s="53"/>
      <c r="CC12" s="53"/>
    </row>
    <row r="13" spans="1:81" s="39" customFormat="1">
      <c r="A13" s="53" t="s">
        <v>423</v>
      </c>
      <c r="B13" s="53" t="s">
        <v>424</v>
      </c>
      <c r="C13" s="291">
        <v>43887</v>
      </c>
      <c r="D13" s="292">
        <v>0.31646400000000002</v>
      </c>
      <c r="E13" s="292">
        <v>34.649081000000002</v>
      </c>
      <c r="F13" s="292" t="s">
        <v>661</v>
      </c>
      <c r="G13" s="292"/>
      <c r="H13" s="53" t="s">
        <v>347</v>
      </c>
      <c r="I13" s="154" t="s">
        <v>371</v>
      </c>
      <c r="J13" s="154" t="s">
        <v>688</v>
      </c>
      <c r="K13" s="53" t="s">
        <v>676</v>
      </c>
      <c r="L13" s="53" t="s">
        <v>684</v>
      </c>
      <c r="M13" s="53" t="s">
        <v>683</v>
      </c>
      <c r="N13" s="74">
        <v>2.7385159010599684</v>
      </c>
      <c r="O13" s="75">
        <v>5.7</v>
      </c>
      <c r="P13" s="75">
        <v>1.6597500000000001</v>
      </c>
      <c r="Q13" s="75">
        <v>23.9</v>
      </c>
      <c r="R13" s="75">
        <v>2.23</v>
      </c>
      <c r="S13" s="246">
        <v>18021</v>
      </c>
      <c r="T13" s="246">
        <v>2613</v>
      </c>
      <c r="U13" s="246">
        <v>95403</v>
      </c>
      <c r="V13" s="246">
        <v>383</v>
      </c>
      <c r="W13" s="246">
        <v>80</v>
      </c>
      <c r="X13" s="246">
        <v>21594</v>
      </c>
      <c r="Y13" s="246">
        <v>5471</v>
      </c>
      <c r="Z13" s="246">
        <v>3163.5</v>
      </c>
      <c r="AA13" s="246">
        <v>78.599999999999994</v>
      </c>
      <c r="AB13" s="246">
        <v>55.5</v>
      </c>
      <c r="AC13" s="246">
        <v>425.9</v>
      </c>
      <c r="AD13" s="246">
        <v>32867</v>
      </c>
      <c r="AE13" s="75">
        <v>13.196999999999999</v>
      </c>
      <c r="AF13" s="75">
        <v>23.42</v>
      </c>
      <c r="AG13" s="75">
        <v>10.84</v>
      </c>
      <c r="AH13" s="75">
        <v>51</v>
      </c>
      <c r="AI13" s="75">
        <v>19.45</v>
      </c>
      <c r="AJ13" s="75">
        <v>1.7</v>
      </c>
      <c r="AK13" s="75">
        <v>0.21</v>
      </c>
      <c r="AL13" s="75">
        <v>67.180000000000007</v>
      </c>
      <c r="AM13" s="75">
        <v>317.63</v>
      </c>
      <c r="AN13" s="75">
        <v>9.673</v>
      </c>
      <c r="AO13" s="75">
        <v>92.3</v>
      </c>
      <c r="AP13" s="75">
        <v>20.667999999999999</v>
      </c>
      <c r="AQ13" s="75">
        <v>1</v>
      </c>
      <c r="AR13" s="75">
        <v>4.9000000000000002E-2</v>
      </c>
      <c r="AS13" s="75">
        <v>2.7E-2</v>
      </c>
      <c r="AT13" s="75">
        <v>1.9</v>
      </c>
      <c r="AU13" s="75">
        <v>0.13600000000000001</v>
      </c>
      <c r="AV13" s="75">
        <v>2.157</v>
      </c>
      <c r="AW13" s="246">
        <v>1015.34</v>
      </c>
      <c r="AX13" s="75">
        <v>25.256</v>
      </c>
      <c r="AY13" s="75">
        <v>69.552999999999997</v>
      </c>
      <c r="AZ13" s="75">
        <v>6.056</v>
      </c>
      <c r="BA13" s="75">
        <v>23.07</v>
      </c>
      <c r="BB13" s="75">
        <v>4.016</v>
      </c>
      <c r="BC13" s="75">
        <v>0.98299999999999998</v>
      </c>
      <c r="BD13" s="75">
        <v>2.7429999999999999</v>
      </c>
      <c r="BE13" s="75">
        <v>0.38400000000000001</v>
      </c>
      <c r="BF13" s="75">
        <v>2.0049999999999999</v>
      </c>
      <c r="BG13" s="75">
        <v>0.40500000000000003</v>
      </c>
      <c r="BH13" s="75">
        <v>1.091</v>
      </c>
      <c r="BI13" s="75">
        <v>0.16300000000000001</v>
      </c>
      <c r="BJ13" s="75">
        <v>1.024</v>
      </c>
      <c r="BK13" s="75">
        <v>0.161</v>
      </c>
      <c r="BL13" s="75">
        <v>2.766</v>
      </c>
      <c r="BM13" s="75">
        <v>1.286</v>
      </c>
      <c r="BN13" s="75">
        <v>0.89100000000000001</v>
      </c>
      <c r="BO13" s="75">
        <v>0.33200000000000002</v>
      </c>
      <c r="BP13" s="75">
        <v>17.600000000000001</v>
      </c>
      <c r="BQ13" s="75">
        <v>0.28000000000000003</v>
      </c>
      <c r="BR13" s="75">
        <v>6.5709999999999997</v>
      </c>
      <c r="BS13" s="75">
        <v>2.3239999999999998</v>
      </c>
      <c r="BT13" s="53"/>
      <c r="BU13" s="53"/>
      <c r="BV13" s="53"/>
      <c r="BW13" s="53"/>
      <c r="BX13" s="53"/>
      <c r="BY13" s="53"/>
      <c r="BZ13" s="53"/>
      <c r="CA13" s="53"/>
      <c r="CB13" s="53"/>
      <c r="CC13" s="53"/>
    </row>
    <row r="14" spans="1:81" s="39" customFormat="1">
      <c r="A14" s="53" t="s">
        <v>425</v>
      </c>
      <c r="B14" s="53" t="s">
        <v>426</v>
      </c>
      <c r="C14" s="155" t="s">
        <v>339</v>
      </c>
      <c r="D14" s="53">
        <v>0.31646400000000002</v>
      </c>
      <c r="E14" s="53">
        <v>34.649081000000002</v>
      </c>
      <c r="F14" s="53" t="s">
        <v>350</v>
      </c>
      <c r="G14" s="292"/>
      <c r="H14" s="53" t="s">
        <v>347</v>
      </c>
      <c r="I14" s="154" t="s">
        <v>371</v>
      </c>
      <c r="J14" s="154" t="s">
        <v>688</v>
      </c>
      <c r="K14" s="53" t="s">
        <v>676</v>
      </c>
      <c r="L14" s="53" t="s">
        <v>684</v>
      </c>
      <c r="M14" s="53" t="s">
        <v>683</v>
      </c>
      <c r="N14" s="74">
        <v>2.9005398481105975</v>
      </c>
      <c r="O14" s="75">
        <v>5.32</v>
      </c>
      <c r="P14" s="75">
        <v>6.0182399999999996</v>
      </c>
      <c r="Q14" s="75">
        <v>14.2</v>
      </c>
      <c r="R14" s="75">
        <v>1.55</v>
      </c>
      <c r="S14" s="246">
        <v>20925</v>
      </c>
      <c r="T14" s="246">
        <v>5678</v>
      </c>
      <c r="U14" s="246">
        <v>82422</v>
      </c>
      <c r="V14" s="246">
        <v>634</v>
      </c>
      <c r="W14" s="246">
        <v>1038</v>
      </c>
      <c r="X14" s="246">
        <v>21716</v>
      </c>
      <c r="Y14" s="246">
        <v>11477</v>
      </c>
      <c r="Z14" s="246">
        <v>2887.3</v>
      </c>
      <c r="AA14" s="246">
        <v>72.900000000000006</v>
      </c>
      <c r="AB14" s="246">
        <v>60.9</v>
      </c>
      <c r="AC14" s="246">
        <v>621.4</v>
      </c>
      <c r="AD14" s="246">
        <v>35093</v>
      </c>
      <c r="AE14" s="75">
        <v>20.04</v>
      </c>
      <c r="AF14" s="75">
        <v>25.26</v>
      </c>
      <c r="AG14" s="75">
        <v>72.650000000000006</v>
      </c>
      <c r="AH14" s="75">
        <v>68</v>
      </c>
      <c r="AI14" s="75">
        <v>16.32</v>
      </c>
      <c r="AJ14" s="75">
        <v>3.1</v>
      </c>
      <c r="AK14" s="75">
        <v>0.32</v>
      </c>
      <c r="AL14" s="75">
        <v>59.19</v>
      </c>
      <c r="AM14" s="75">
        <v>413.78</v>
      </c>
      <c r="AN14" s="75">
        <v>10.26</v>
      </c>
      <c r="AO14" s="75">
        <v>68.94</v>
      </c>
      <c r="AP14" s="75">
        <v>13.757999999999999</v>
      </c>
      <c r="AQ14" s="75">
        <v>1.19</v>
      </c>
      <c r="AR14" s="75">
        <v>6.8000000000000005E-2</v>
      </c>
      <c r="AS14" s="75">
        <v>6.4000000000000001E-2</v>
      </c>
      <c r="AT14" s="75">
        <v>1.54</v>
      </c>
      <c r="AU14" s="75">
        <v>0.15</v>
      </c>
      <c r="AV14" s="75">
        <v>1.869</v>
      </c>
      <c r="AW14" s="246">
        <v>997.13</v>
      </c>
      <c r="AX14" s="75">
        <v>26.692</v>
      </c>
      <c r="AY14" s="75">
        <v>60.634999999999998</v>
      </c>
      <c r="AZ14" s="75">
        <v>6.0659999999999998</v>
      </c>
      <c r="BA14" s="75">
        <v>23.5</v>
      </c>
      <c r="BB14" s="75">
        <v>4.1689999999999996</v>
      </c>
      <c r="BC14" s="75">
        <v>1.006</v>
      </c>
      <c r="BD14" s="75">
        <v>2.8849999999999998</v>
      </c>
      <c r="BE14" s="75">
        <v>0.38100000000000001</v>
      </c>
      <c r="BF14" s="75">
        <v>1.954</v>
      </c>
      <c r="BG14" s="75">
        <v>0.38</v>
      </c>
      <c r="BH14" s="75">
        <v>1.014</v>
      </c>
      <c r="BI14" s="75">
        <v>0.159</v>
      </c>
      <c r="BJ14" s="75">
        <v>0.94199999999999995</v>
      </c>
      <c r="BK14" s="75">
        <v>0.14699999999999999</v>
      </c>
      <c r="BL14" s="75">
        <v>2.0350000000000001</v>
      </c>
      <c r="BM14" s="75">
        <v>0.84399999999999997</v>
      </c>
      <c r="BN14" s="75">
        <v>3.714</v>
      </c>
      <c r="BO14" s="75">
        <v>0.29699999999999999</v>
      </c>
      <c r="BP14" s="75">
        <v>28.6</v>
      </c>
      <c r="BQ14" s="75">
        <v>7.08</v>
      </c>
      <c r="BR14" s="75">
        <v>5.4379999999999997</v>
      </c>
      <c r="BS14" s="75">
        <v>2.0219999999999998</v>
      </c>
      <c r="BT14" s="53"/>
      <c r="BU14" s="53"/>
      <c r="BV14" s="53"/>
      <c r="BW14" s="53"/>
      <c r="BX14" s="53"/>
      <c r="BY14" s="53"/>
      <c r="BZ14" s="53"/>
      <c r="CA14" s="53"/>
      <c r="CB14" s="53"/>
      <c r="CC14" s="53"/>
    </row>
    <row r="15" spans="1:81" s="39" customFormat="1">
      <c r="A15" s="53" t="s">
        <v>427</v>
      </c>
      <c r="B15" s="53" t="s">
        <v>428</v>
      </c>
      <c r="C15" s="291">
        <v>43888</v>
      </c>
      <c r="D15" s="292">
        <v>0.25118800000000002</v>
      </c>
      <c r="E15" s="292">
        <v>34.723633</v>
      </c>
      <c r="F15" s="292" t="s">
        <v>661</v>
      </c>
      <c r="G15" s="292"/>
      <c r="H15" s="53" t="s">
        <v>347</v>
      </c>
      <c r="I15" s="154" t="s">
        <v>371</v>
      </c>
      <c r="J15" s="154" t="s">
        <v>687</v>
      </c>
      <c r="K15" s="53" t="s">
        <v>675</v>
      </c>
      <c r="L15" s="53" t="s">
        <v>684</v>
      </c>
      <c r="M15" s="53" t="s">
        <v>683</v>
      </c>
      <c r="N15" s="74">
        <v>0.78825767871681507</v>
      </c>
      <c r="O15" s="75">
        <v>6.11</v>
      </c>
      <c r="P15" s="75">
        <v>7.2234099999999994</v>
      </c>
      <c r="Q15" s="75">
        <v>6.6</v>
      </c>
      <c r="R15" s="75">
        <v>0.83</v>
      </c>
      <c r="S15" s="246">
        <v>8682</v>
      </c>
      <c r="T15" s="246">
        <v>4069</v>
      </c>
      <c r="U15" s="246">
        <v>41724</v>
      </c>
      <c r="V15" s="246">
        <v>222</v>
      </c>
      <c r="W15" s="246">
        <v>41</v>
      </c>
      <c r="X15" s="246">
        <v>17467</v>
      </c>
      <c r="Y15" s="246">
        <v>6985</v>
      </c>
      <c r="Z15" s="246">
        <v>1689.7</v>
      </c>
      <c r="AA15" s="246">
        <v>60.6</v>
      </c>
      <c r="AB15" s="246">
        <v>211.5</v>
      </c>
      <c r="AC15" s="246">
        <v>802</v>
      </c>
      <c r="AD15" s="246">
        <v>26415</v>
      </c>
      <c r="AE15" s="75">
        <v>18.722999999999999</v>
      </c>
      <c r="AF15" s="75">
        <v>33.979999999999997</v>
      </c>
      <c r="AG15" s="75">
        <v>15.23</v>
      </c>
      <c r="AH15" s="75">
        <v>26</v>
      </c>
      <c r="AI15" s="75">
        <v>7.69</v>
      </c>
      <c r="AJ15" s="75">
        <v>16</v>
      </c>
      <c r="AK15" s="75">
        <v>0.13</v>
      </c>
      <c r="AL15" s="75">
        <v>66.819999999999993</v>
      </c>
      <c r="AM15" s="75">
        <v>169.28</v>
      </c>
      <c r="AN15" s="75">
        <v>8.3729999999999993</v>
      </c>
      <c r="AO15" s="75">
        <v>61.92</v>
      </c>
      <c r="AP15" s="75">
        <v>11.702</v>
      </c>
      <c r="AQ15" s="75">
        <v>1.05</v>
      </c>
      <c r="AR15" s="75">
        <v>4.8000000000000001E-2</v>
      </c>
      <c r="AS15" s="75">
        <v>3.9E-2</v>
      </c>
      <c r="AT15" s="75">
        <v>0.71</v>
      </c>
      <c r="AU15" s="75">
        <v>0.27800000000000002</v>
      </c>
      <c r="AV15" s="75">
        <v>1.639</v>
      </c>
      <c r="AW15" s="246">
        <v>484.56</v>
      </c>
      <c r="AX15" s="75">
        <v>17.88</v>
      </c>
      <c r="AY15" s="75">
        <v>69.662000000000006</v>
      </c>
      <c r="AZ15" s="75">
        <v>3.8580000000000001</v>
      </c>
      <c r="BA15" s="75">
        <v>14.28</v>
      </c>
      <c r="BB15" s="75">
        <v>2.6160000000000001</v>
      </c>
      <c r="BC15" s="75">
        <v>0.57099999999999995</v>
      </c>
      <c r="BD15" s="75">
        <v>1.8740000000000001</v>
      </c>
      <c r="BE15" s="75">
        <v>0.28999999999999998</v>
      </c>
      <c r="BF15" s="75">
        <v>1.599</v>
      </c>
      <c r="BG15" s="75">
        <v>0.32500000000000001</v>
      </c>
      <c r="BH15" s="75">
        <v>0.92800000000000005</v>
      </c>
      <c r="BI15" s="75">
        <v>0.14899999999999999</v>
      </c>
      <c r="BJ15" s="75">
        <v>0.95899999999999996</v>
      </c>
      <c r="BK15" s="75">
        <v>0.158</v>
      </c>
      <c r="BL15" s="75">
        <v>1.897</v>
      </c>
      <c r="BM15" s="75">
        <v>0.80100000000000005</v>
      </c>
      <c r="BN15" s="75">
        <v>0.94399999999999995</v>
      </c>
      <c r="BO15" s="75">
        <v>0.35899999999999999</v>
      </c>
      <c r="BP15" s="75">
        <v>13.6</v>
      </c>
      <c r="BQ15" s="75">
        <v>0.37</v>
      </c>
      <c r="BR15" s="75">
        <v>4.8280000000000003</v>
      </c>
      <c r="BS15" s="75">
        <v>1.4119999999999999</v>
      </c>
      <c r="BT15" s="53"/>
      <c r="BU15" s="53"/>
      <c r="BV15" s="53"/>
      <c r="BW15" s="53"/>
      <c r="BX15" s="53"/>
      <c r="BY15" s="53"/>
      <c r="BZ15" s="53"/>
      <c r="CA15" s="53"/>
      <c r="CB15" s="53"/>
      <c r="CC15" s="53"/>
    </row>
    <row r="16" spans="1:81" s="39" customFormat="1">
      <c r="A16" s="53" t="s">
        <v>429</v>
      </c>
      <c r="B16" s="53" t="s">
        <v>430</v>
      </c>
      <c r="C16" s="291">
        <v>43889</v>
      </c>
      <c r="D16" s="53">
        <v>0.18990299999999999</v>
      </c>
      <c r="E16" s="53">
        <v>34.745731999999997</v>
      </c>
      <c r="F16" s="53" t="s">
        <v>663</v>
      </c>
      <c r="G16" s="292"/>
      <c r="H16" s="53" t="s">
        <v>347</v>
      </c>
      <c r="I16" s="154" t="s">
        <v>371</v>
      </c>
      <c r="J16" s="154" t="s">
        <v>687</v>
      </c>
      <c r="K16" s="53" t="s">
        <v>673</v>
      </c>
      <c r="L16" s="53" t="s">
        <v>685</v>
      </c>
      <c r="M16" s="53" t="s">
        <v>691</v>
      </c>
      <c r="N16" s="74">
        <v>4.26757708311135</v>
      </c>
      <c r="O16" s="75">
        <v>4.76</v>
      </c>
      <c r="P16" s="75">
        <v>6.2552899999999996</v>
      </c>
      <c r="Q16" s="75">
        <v>18.399999999999999</v>
      </c>
      <c r="R16" s="75">
        <v>1.88</v>
      </c>
      <c r="S16" s="246">
        <v>6687</v>
      </c>
      <c r="T16" s="246">
        <v>12991</v>
      </c>
      <c r="U16" s="246">
        <v>80456</v>
      </c>
      <c r="V16" s="246">
        <v>426</v>
      </c>
      <c r="W16" s="246">
        <v>95</v>
      </c>
      <c r="X16" s="246">
        <v>14393</v>
      </c>
      <c r="Y16" s="246">
        <v>3195</v>
      </c>
      <c r="Z16" s="246">
        <v>3472.8</v>
      </c>
      <c r="AA16" s="246">
        <v>136.19999999999999</v>
      </c>
      <c r="AB16" s="246">
        <v>412.9</v>
      </c>
      <c r="AC16" s="246">
        <v>1077.3</v>
      </c>
      <c r="AD16" s="246">
        <v>61692</v>
      </c>
      <c r="AE16" s="75">
        <v>45.054000000000002</v>
      </c>
      <c r="AF16" s="75">
        <v>157.13</v>
      </c>
      <c r="AG16" s="75">
        <v>41.39</v>
      </c>
      <c r="AH16" s="75">
        <v>97</v>
      </c>
      <c r="AI16" s="75">
        <v>16.14</v>
      </c>
      <c r="AJ16" s="75">
        <v>39.799999999999997</v>
      </c>
      <c r="AK16" s="75">
        <v>0.42</v>
      </c>
      <c r="AL16" s="75">
        <v>57.13</v>
      </c>
      <c r="AM16" s="75">
        <v>99.29</v>
      </c>
      <c r="AN16" s="75">
        <v>18.809000000000001</v>
      </c>
      <c r="AO16" s="75">
        <v>167.57</v>
      </c>
      <c r="AP16" s="75">
        <v>22.242000000000001</v>
      </c>
      <c r="AQ16" s="75">
        <v>1.6</v>
      </c>
      <c r="AR16" s="75">
        <v>7.4999999999999997E-2</v>
      </c>
      <c r="AS16" s="75">
        <v>0.13</v>
      </c>
      <c r="AT16" s="75">
        <v>1.69</v>
      </c>
      <c r="AU16" s="75">
        <v>0.495</v>
      </c>
      <c r="AV16" s="75">
        <v>1.732</v>
      </c>
      <c r="AW16" s="246">
        <v>607.33000000000004</v>
      </c>
      <c r="AX16" s="75">
        <v>34.683</v>
      </c>
      <c r="AY16" s="75">
        <v>88.537000000000006</v>
      </c>
      <c r="AZ16" s="75">
        <v>7.5220000000000002</v>
      </c>
      <c r="BA16" s="75">
        <v>28.73</v>
      </c>
      <c r="BB16" s="75">
        <v>5.1989999999999998</v>
      </c>
      <c r="BC16" s="75">
        <v>1.2270000000000001</v>
      </c>
      <c r="BD16" s="75">
        <v>4.1070000000000002</v>
      </c>
      <c r="BE16" s="75">
        <v>0.61599999999999999</v>
      </c>
      <c r="BF16" s="75">
        <v>3.3940000000000001</v>
      </c>
      <c r="BG16" s="75">
        <v>0.70299999999999996</v>
      </c>
      <c r="BH16" s="75">
        <v>1.988</v>
      </c>
      <c r="BI16" s="75">
        <v>0.28799999999999998</v>
      </c>
      <c r="BJ16" s="75">
        <v>1.825</v>
      </c>
      <c r="BK16" s="75">
        <v>0.27500000000000002</v>
      </c>
      <c r="BL16" s="75">
        <v>4.6630000000000003</v>
      </c>
      <c r="BM16" s="75">
        <v>1.2749999999999999</v>
      </c>
      <c r="BN16" s="75">
        <v>2.2839999999999998</v>
      </c>
      <c r="BO16" s="75">
        <v>0.38200000000000001</v>
      </c>
      <c r="BP16" s="75">
        <v>18.100000000000001</v>
      </c>
      <c r="BQ16" s="75">
        <v>0.17</v>
      </c>
      <c r="BR16" s="75">
        <v>7.9909999999999997</v>
      </c>
      <c r="BS16" s="75">
        <v>2.2160000000000002</v>
      </c>
      <c r="BT16" s="53"/>
      <c r="BU16" s="53"/>
      <c r="BV16" s="53"/>
      <c r="BW16" s="53"/>
      <c r="BX16" s="53"/>
      <c r="BY16" s="53"/>
      <c r="BZ16" s="53"/>
      <c r="CA16" s="53"/>
      <c r="CB16" s="53"/>
      <c r="CC16" s="53"/>
    </row>
    <row r="17" spans="1:81" s="39" customFormat="1">
      <c r="A17" s="53" t="s">
        <v>431</v>
      </c>
      <c r="B17" s="53" t="s">
        <v>432</v>
      </c>
      <c r="C17" s="291">
        <v>43889</v>
      </c>
      <c r="D17" s="53">
        <v>0.187274</v>
      </c>
      <c r="E17" s="53">
        <v>34.735595000000004</v>
      </c>
      <c r="F17" s="53" t="s">
        <v>663</v>
      </c>
      <c r="G17" s="292"/>
      <c r="H17" s="53" t="s">
        <v>347</v>
      </c>
      <c r="I17" s="154" t="s">
        <v>371</v>
      </c>
      <c r="J17" s="154" t="s">
        <v>687</v>
      </c>
      <c r="K17" s="53" t="s">
        <v>673</v>
      </c>
      <c r="L17" s="53" t="s">
        <v>685</v>
      </c>
      <c r="M17" s="53" t="s">
        <v>691</v>
      </c>
      <c r="N17" s="74">
        <v>0.98088279451491245</v>
      </c>
      <c r="O17" s="75">
        <v>7.45</v>
      </c>
      <c r="P17" s="75">
        <v>11.98624</v>
      </c>
      <c r="Q17" s="75">
        <v>16.100000000000001</v>
      </c>
      <c r="R17" s="75">
        <v>1.02</v>
      </c>
      <c r="S17" s="246">
        <v>24843</v>
      </c>
      <c r="T17" s="246">
        <v>22133</v>
      </c>
      <c r="U17" s="246">
        <v>71817</v>
      </c>
      <c r="V17" s="246">
        <v>923</v>
      </c>
      <c r="W17" s="246">
        <v>1358</v>
      </c>
      <c r="X17" s="246">
        <v>13377</v>
      </c>
      <c r="Y17" s="246">
        <v>26714</v>
      </c>
      <c r="Z17" s="246">
        <v>3597.8</v>
      </c>
      <c r="AA17" s="246">
        <v>137.80000000000001</v>
      </c>
      <c r="AB17" s="246">
        <v>218.1</v>
      </c>
      <c r="AC17" s="246">
        <v>843.7</v>
      </c>
      <c r="AD17" s="246">
        <v>43817</v>
      </c>
      <c r="AE17" s="75">
        <v>25.606999999999999</v>
      </c>
      <c r="AF17" s="75">
        <v>67.67</v>
      </c>
      <c r="AG17" s="75">
        <v>50.1</v>
      </c>
      <c r="AH17" s="75">
        <v>81</v>
      </c>
      <c r="AI17" s="75">
        <v>12.94</v>
      </c>
      <c r="AJ17" s="75">
        <v>318.10000000000002</v>
      </c>
      <c r="AK17" s="75">
        <v>0.15</v>
      </c>
      <c r="AL17" s="75">
        <v>44.23</v>
      </c>
      <c r="AM17" s="75">
        <v>270.77</v>
      </c>
      <c r="AN17" s="75">
        <v>14.217000000000001</v>
      </c>
      <c r="AO17" s="75">
        <v>122.54</v>
      </c>
      <c r="AP17" s="75">
        <v>5.3789999999999996</v>
      </c>
      <c r="AQ17" s="75">
        <v>2.36</v>
      </c>
      <c r="AR17" s="75">
        <v>0.157</v>
      </c>
      <c r="AS17" s="75">
        <v>0.11799999999999999</v>
      </c>
      <c r="AT17" s="75">
        <v>1.1299999999999999</v>
      </c>
      <c r="AU17" s="75">
        <v>0.58899999999999997</v>
      </c>
      <c r="AV17" s="75">
        <v>1.081</v>
      </c>
      <c r="AW17" s="246">
        <v>482.64</v>
      </c>
      <c r="AX17" s="75">
        <v>25.384</v>
      </c>
      <c r="AY17" s="75">
        <v>53.139000000000003</v>
      </c>
      <c r="AZ17" s="75">
        <v>6.5019999999999998</v>
      </c>
      <c r="BA17" s="75">
        <v>25.99</v>
      </c>
      <c r="BB17" s="75">
        <v>5.0990000000000002</v>
      </c>
      <c r="BC17" s="75">
        <v>1.2789999999999999</v>
      </c>
      <c r="BD17" s="75">
        <v>3.7730000000000001</v>
      </c>
      <c r="BE17" s="75">
        <v>0.52100000000000002</v>
      </c>
      <c r="BF17" s="75">
        <v>2.7519999999999998</v>
      </c>
      <c r="BG17" s="75">
        <v>0.55100000000000005</v>
      </c>
      <c r="BH17" s="75">
        <v>1.482</v>
      </c>
      <c r="BI17" s="75">
        <v>0.224</v>
      </c>
      <c r="BJ17" s="75">
        <v>1.391</v>
      </c>
      <c r="BK17" s="75">
        <v>0.23200000000000001</v>
      </c>
      <c r="BL17" s="75">
        <v>3.6850000000000001</v>
      </c>
      <c r="BM17" s="75">
        <v>0.309</v>
      </c>
      <c r="BN17" s="75">
        <v>4.2889999999999997</v>
      </c>
      <c r="BO17" s="75">
        <v>0.23100000000000001</v>
      </c>
      <c r="BP17" s="75">
        <v>19</v>
      </c>
      <c r="BQ17" s="75">
        <v>0.15</v>
      </c>
      <c r="BR17" s="75">
        <v>4.2119999999999997</v>
      </c>
      <c r="BS17" s="75">
        <v>1.1519999999999999</v>
      </c>
      <c r="BT17" s="53"/>
      <c r="BU17" s="53"/>
      <c r="BV17" s="53"/>
      <c r="BW17" s="53"/>
      <c r="BX17" s="53"/>
      <c r="BY17" s="53"/>
      <c r="BZ17" s="53"/>
      <c r="CA17" s="53"/>
      <c r="CB17" s="53"/>
      <c r="CC17" s="53"/>
    </row>
    <row r="18" spans="1:81" s="39" customFormat="1">
      <c r="A18" s="53" t="s">
        <v>433</v>
      </c>
      <c r="B18" s="53" t="s">
        <v>432</v>
      </c>
      <c r="C18" s="291">
        <v>43889</v>
      </c>
      <c r="D18" s="53">
        <v>0.187274</v>
      </c>
      <c r="E18" s="53">
        <v>34.735595000000004</v>
      </c>
      <c r="F18" s="53" t="s">
        <v>663</v>
      </c>
      <c r="G18" s="292"/>
      <c r="H18" s="53" t="s">
        <v>347</v>
      </c>
      <c r="I18" s="154" t="s">
        <v>371</v>
      </c>
      <c r="J18" s="154" t="s">
        <v>687</v>
      </c>
      <c r="K18" s="53" t="s">
        <v>673</v>
      </c>
      <c r="L18" s="53" t="s">
        <v>685</v>
      </c>
      <c r="M18" s="53" t="s">
        <v>691</v>
      </c>
      <c r="N18" s="74" t="s">
        <v>288</v>
      </c>
      <c r="O18" s="75" t="s">
        <v>288</v>
      </c>
      <c r="P18" s="74" t="s">
        <v>288</v>
      </c>
      <c r="Q18" s="75">
        <v>17.2</v>
      </c>
      <c r="R18" s="75">
        <v>1.21</v>
      </c>
      <c r="S18" s="246">
        <v>24357</v>
      </c>
      <c r="T18" s="246">
        <v>21430</v>
      </c>
      <c r="U18" s="246">
        <v>68399</v>
      </c>
      <c r="V18" s="246">
        <v>936</v>
      </c>
      <c r="W18" s="246">
        <v>1453</v>
      </c>
      <c r="X18" s="246">
        <v>13788</v>
      </c>
      <c r="Y18" s="246">
        <v>26920</v>
      </c>
      <c r="Z18" s="246">
        <v>3567.6</v>
      </c>
      <c r="AA18" s="246">
        <v>138.9</v>
      </c>
      <c r="AB18" s="246">
        <v>227.5</v>
      </c>
      <c r="AC18" s="246">
        <v>901.3</v>
      </c>
      <c r="AD18" s="246">
        <v>44496</v>
      </c>
      <c r="AE18" s="75">
        <v>26.706</v>
      </c>
      <c r="AF18" s="75">
        <v>69.3</v>
      </c>
      <c r="AG18" s="75">
        <v>50.51</v>
      </c>
      <c r="AH18" s="75">
        <v>83</v>
      </c>
      <c r="AI18" s="75">
        <v>13.01</v>
      </c>
      <c r="AJ18" s="75">
        <v>332</v>
      </c>
      <c r="AK18" s="75">
        <v>0.18</v>
      </c>
      <c r="AL18" s="75">
        <v>43.9</v>
      </c>
      <c r="AM18" s="75">
        <v>271.66000000000003</v>
      </c>
      <c r="AN18" s="75">
        <v>13.808</v>
      </c>
      <c r="AO18" s="75">
        <v>94.48</v>
      </c>
      <c r="AP18" s="75">
        <v>5.4610000000000003</v>
      </c>
      <c r="AQ18" s="75">
        <v>2.2799999999999998</v>
      </c>
      <c r="AR18" s="75">
        <v>0.189</v>
      </c>
      <c r="AS18" s="75">
        <v>0.11899999999999999</v>
      </c>
      <c r="AT18" s="75">
        <v>1.1499999999999999</v>
      </c>
      <c r="AU18" s="75">
        <v>0.56599999999999995</v>
      </c>
      <c r="AV18" s="75">
        <v>1.1180000000000001</v>
      </c>
      <c r="AW18" s="246">
        <v>484.27</v>
      </c>
      <c r="AX18" s="75">
        <v>25.774999999999999</v>
      </c>
      <c r="AY18" s="75">
        <v>53.454999999999998</v>
      </c>
      <c r="AZ18" s="75">
        <v>6.5439999999999996</v>
      </c>
      <c r="BA18" s="75">
        <v>26.66</v>
      </c>
      <c r="BB18" s="75">
        <v>4.984</v>
      </c>
      <c r="BC18" s="75">
        <v>1.3</v>
      </c>
      <c r="BD18" s="75">
        <v>3.7709999999999999</v>
      </c>
      <c r="BE18" s="75">
        <v>0.52900000000000003</v>
      </c>
      <c r="BF18" s="75">
        <v>2.6539999999999999</v>
      </c>
      <c r="BG18" s="75">
        <v>0.51300000000000001</v>
      </c>
      <c r="BH18" s="75">
        <v>1.419</v>
      </c>
      <c r="BI18" s="75">
        <v>0.20599999999999999</v>
      </c>
      <c r="BJ18" s="75">
        <v>1.2130000000000001</v>
      </c>
      <c r="BK18" s="75">
        <v>0.189</v>
      </c>
      <c r="BL18" s="75">
        <v>2.7010000000000001</v>
      </c>
      <c r="BM18" s="75">
        <v>0.316</v>
      </c>
      <c r="BN18" s="75">
        <v>3.903</v>
      </c>
      <c r="BO18" s="75">
        <v>0.252</v>
      </c>
      <c r="BP18" s="75">
        <v>19.5</v>
      </c>
      <c r="BQ18" s="75">
        <v>0.14000000000000001</v>
      </c>
      <c r="BR18" s="75">
        <v>4.149</v>
      </c>
      <c r="BS18" s="75">
        <v>1.0660000000000001</v>
      </c>
      <c r="BT18" s="53"/>
      <c r="BU18" s="53"/>
      <c r="BV18" s="53"/>
      <c r="BW18" s="53"/>
      <c r="BX18" s="53"/>
      <c r="BY18" s="53"/>
      <c r="BZ18" s="53"/>
      <c r="CA18" s="53"/>
      <c r="CB18" s="53"/>
      <c r="CC18" s="53"/>
    </row>
    <row r="19" spans="1:81" s="39" customFormat="1">
      <c r="A19" s="53" t="s">
        <v>434</v>
      </c>
      <c r="B19" s="53" t="s">
        <v>435</v>
      </c>
      <c r="C19" s="291">
        <v>43889</v>
      </c>
      <c r="D19" s="183">
        <v>0.18878500000000001</v>
      </c>
      <c r="E19" s="183">
        <v>34.739865000000002</v>
      </c>
      <c r="F19" s="53" t="s">
        <v>665</v>
      </c>
      <c r="G19" s="292"/>
      <c r="H19" s="53" t="s">
        <v>347</v>
      </c>
      <c r="I19" s="154" t="s">
        <v>371</v>
      </c>
      <c r="J19" s="154" t="s">
        <v>687</v>
      </c>
      <c r="K19" s="53" t="s">
        <v>675</v>
      </c>
      <c r="L19" s="53" t="s">
        <v>684</v>
      </c>
      <c r="M19" s="53" t="s">
        <v>683</v>
      </c>
      <c r="N19" s="74">
        <v>1.8889347646573029</v>
      </c>
      <c r="O19" s="75">
        <v>6.64</v>
      </c>
      <c r="P19" s="75">
        <v>4.0749399999999998</v>
      </c>
      <c r="Q19" s="75">
        <v>16.399999999999999</v>
      </c>
      <c r="R19" s="75">
        <v>1.98</v>
      </c>
      <c r="S19" s="246">
        <v>23183</v>
      </c>
      <c r="T19" s="246">
        <v>15629</v>
      </c>
      <c r="U19" s="246">
        <v>84086</v>
      </c>
      <c r="V19" s="246">
        <v>709</v>
      </c>
      <c r="W19" s="246">
        <v>28</v>
      </c>
      <c r="X19" s="246">
        <v>16375</v>
      </c>
      <c r="Y19" s="246">
        <v>9929</v>
      </c>
      <c r="Z19" s="246">
        <v>3859.8</v>
      </c>
      <c r="AA19" s="246">
        <v>138.80000000000001</v>
      </c>
      <c r="AB19" s="246">
        <v>214</v>
      </c>
      <c r="AC19" s="246">
        <v>1565.7</v>
      </c>
      <c r="AD19" s="246">
        <v>45016</v>
      </c>
      <c r="AE19" s="75">
        <v>47.960999999999999</v>
      </c>
      <c r="AF19" s="75">
        <v>122.55</v>
      </c>
      <c r="AG19" s="75">
        <v>55.99</v>
      </c>
      <c r="AH19" s="75">
        <v>85</v>
      </c>
      <c r="AI19" s="75">
        <v>14.29</v>
      </c>
      <c r="AJ19" s="75">
        <v>104.7</v>
      </c>
      <c r="AK19" s="75">
        <v>0.06</v>
      </c>
      <c r="AL19" s="75">
        <v>55.39</v>
      </c>
      <c r="AM19" s="75">
        <v>276.41000000000003</v>
      </c>
      <c r="AN19" s="75">
        <v>14.346</v>
      </c>
      <c r="AO19" s="75">
        <v>123.45</v>
      </c>
      <c r="AP19" s="75">
        <v>6.7249999999999996</v>
      </c>
      <c r="AQ19" s="75">
        <v>0.8</v>
      </c>
      <c r="AR19" s="75">
        <v>0.14199999999999999</v>
      </c>
      <c r="AS19" s="75">
        <v>0.115</v>
      </c>
      <c r="AT19" s="75">
        <v>1.1100000000000001</v>
      </c>
      <c r="AU19" s="75">
        <v>0.39400000000000002</v>
      </c>
      <c r="AV19" s="75">
        <v>1.76</v>
      </c>
      <c r="AW19" s="246">
        <v>750.63</v>
      </c>
      <c r="AX19" s="75">
        <v>38.485999999999997</v>
      </c>
      <c r="AY19" s="75">
        <v>97.988</v>
      </c>
      <c r="AZ19" s="75">
        <v>9.1440000000000001</v>
      </c>
      <c r="BA19" s="75">
        <v>35.04</v>
      </c>
      <c r="BB19" s="75">
        <v>6.1820000000000004</v>
      </c>
      <c r="BC19" s="75">
        <v>1.452</v>
      </c>
      <c r="BD19" s="75">
        <v>4.1689999999999996</v>
      </c>
      <c r="BE19" s="75">
        <v>0.54500000000000004</v>
      </c>
      <c r="BF19" s="75">
        <v>2.7759999999999998</v>
      </c>
      <c r="BG19" s="75">
        <v>0.52700000000000002</v>
      </c>
      <c r="BH19" s="75">
        <v>1.4350000000000001</v>
      </c>
      <c r="BI19" s="75">
        <v>0.21299999999999999</v>
      </c>
      <c r="BJ19" s="75">
        <v>1.266</v>
      </c>
      <c r="BK19" s="75">
        <v>0.191</v>
      </c>
      <c r="BL19" s="75">
        <v>3.6360000000000001</v>
      </c>
      <c r="BM19" s="75">
        <v>0.42699999999999999</v>
      </c>
      <c r="BN19" s="75">
        <v>6.5019999999999998</v>
      </c>
      <c r="BO19" s="75">
        <v>0.28100000000000003</v>
      </c>
      <c r="BP19" s="75">
        <v>41.8</v>
      </c>
      <c r="BQ19" s="75">
        <v>0.2</v>
      </c>
      <c r="BR19" s="75">
        <v>6.94</v>
      </c>
      <c r="BS19" s="75">
        <v>2.125</v>
      </c>
      <c r="BT19" s="53"/>
      <c r="BU19" s="53"/>
      <c r="BV19" s="53"/>
      <c r="BW19" s="53"/>
      <c r="BX19" s="53"/>
      <c r="BY19" s="53"/>
      <c r="BZ19" s="53"/>
      <c r="CA19" s="53"/>
      <c r="CB19" s="53"/>
      <c r="CC19" s="53"/>
    </row>
    <row r="20" spans="1:81" s="39" customFormat="1">
      <c r="A20" s="53" t="s">
        <v>436</v>
      </c>
      <c r="B20" s="53" t="s">
        <v>437</v>
      </c>
      <c r="C20" s="291">
        <v>43889</v>
      </c>
      <c r="D20" s="183">
        <v>0.18942800000000001</v>
      </c>
      <c r="E20" s="183">
        <v>34.740335999999999</v>
      </c>
      <c r="F20" s="53" t="s">
        <v>665</v>
      </c>
      <c r="G20" s="292"/>
      <c r="H20" s="53" t="s">
        <v>347</v>
      </c>
      <c r="I20" s="154" t="s">
        <v>371</v>
      </c>
      <c r="J20" s="154" t="s">
        <v>687</v>
      </c>
      <c r="K20" s="53" t="s">
        <v>675</v>
      </c>
      <c r="L20" s="53" t="s">
        <v>684</v>
      </c>
      <c r="M20" s="53" t="s">
        <v>683</v>
      </c>
      <c r="N20" s="74">
        <v>3.1661708457290203</v>
      </c>
      <c r="O20" s="75">
        <v>6.5</v>
      </c>
      <c r="P20" s="75">
        <v>3.0255999999999998</v>
      </c>
      <c r="Q20" s="75">
        <v>14.3</v>
      </c>
      <c r="R20" s="75">
        <v>1.85</v>
      </c>
      <c r="S20" s="246">
        <v>13504</v>
      </c>
      <c r="T20" s="246">
        <v>11677</v>
      </c>
      <c r="U20" s="246">
        <v>69761</v>
      </c>
      <c r="V20" s="246">
        <v>528</v>
      </c>
      <c r="W20" s="246">
        <v>105</v>
      </c>
      <c r="X20" s="246">
        <v>16270</v>
      </c>
      <c r="Y20" s="246">
        <v>8159</v>
      </c>
      <c r="Z20" s="246">
        <v>3486.3</v>
      </c>
      <c r="AA20" s="246">
        <v>137.1</v>
      </c>
      <c r="AB20" s="246">
        <v>261.2</v>
      </c>
      <c r="AC20" s="246">
        <v>1371.7</v>
      </c>
      <c r="AD20" s="246">
        <v>50231</v>
      </c>
      <c r="AE20" s="75">
        <v>36.762999999999998</v>
      </c>
      <c r="AF20" s="75">
        <v>95.64</v>
      </c>
      <c r="AG20" s="75">
        <v>57.04</v>
      </c>
      <c r="AH20" s="75">
        <v>82</v>
      </c>
      <c r="AI20" s="75">
        <v>14.03</v>
      </c>
      <c r="AJ20" s="75">
        <v>112.8</v>
      </c>
      <c r="AK20" s="75">
        <v>0.24</v>
      </c>
      <c r="AL20" s="75">
        <v>60.85</v>
      </c>
      <c r="AM20" s="75">
        <v>215.49</v>
      </c>
      <c r="AN20" s="75">
        <v>14.025</v>
      </c>
      <c r="AO20" s="75">
        <v>121.76</v>
      </c>
      <c r="AP20" s="75">
        <v>11.750999999999999</v>
      </c>
      <c r="AQ20" s="75">
        <v>1.08</v>
      </c>
      <c r="AR20" s="75">
        <v>0.22600000000000001</v>
      </c>
      <c r="AS20" s="75">
        <v>0.158</v>
      </c>
      <c r="AT20" s="75">
        <v>1.19</v>
      </c>
      <c r="AU20" s="75">
        <v>0.82299999999999995</v>
      </c>
      <c r="AV20" s="75">
        <v>1.5569999999999999</v>
      </c>
      <c r="AW20" s="246">
        <v>656.35</v>
      </c>
      <c r="AX20" s="75">
        <v>29.928000000000001</v>
      </c>
      <c r="AY20" s="75">
        <v>75.212000000000003</v>
      </c>
      <c r="AZ20" s="75">
        <v>6.6829999999999998</v>
      </c>
      <c r="BA20" s="75">
        <v>25.75</v>
      </c>
      <c r="BB20" s="75">
        <v>4.5819999999999999</v>
      </c>
      <c r="BC20" s="75">
        <v>1.1200000000000001</v>
      </c>
      <c r="BD20" s="75">
        <v>3.371</v>
      </c>
      <c r="BE20" s="75">
        <v>0.5</v>
      </c>
      <c r="BF20" s="75">
        <v>2.5409999999999999</v>
      </c>
      <c r="BG20" s="75">
        <v>0.53400000000000003</v>
      </c>
      <c r="BH20" s="75">
        <v>1.506</v>
      </c>
      <c r="BI20" s="75">
        <v>0.22</v>
      </c>
      <c r="BJ20" s="75">
        <v>1.391</v>
      </c>
      <c r="BK20" s="75">
        <v>0.20100000000000001</v>
      </c>
      <c r="BL20" s="75">
        <v>3.3290000000000002</v>
      </c>
      <c r="BM20" s="75">
        <v>0.67</v>
      </c>
      <c r="BN20" s="75">
        <v>3.9780000000000002</v>
      </c>
      <c r="BO20" s="75">
        <v>0.32900000000000001</v>
      </c>
      <c r="BP20" s="75">
        <v>36.5</v>
      </c>
      <c r="BQ20" s="75">
        <v>0.54</v>
      </c>
      <c r="BR20" s="75">
        <v>6.274</v>
      </c>
      <c r="BS20" s="75">
        <v>1.9890000000000001</v>
      </c>
      <c r="BT20" s="53"/>
      <c r="BU20" s="53"/>
      <c r="BV20" s="53"/>
      <c r="BW20" s="53"/>
      <c r="BX20" s="53"/>
      <c r="BY20" s="53"/>
      <c r="BZ20" s="53"/>
      <c r="CA20" s="53"/>
      <c r="CB20" s="53"/>
      <c r="CC20" s="53"/>
    </row>
    <row r="21" spans="1:81" s="39" customFormat="1">
      <c r="A21" s="53" t="s">
        <v>438</v>
      </c>
      <c r="B21" s="53" t="s">
        <v>439</v>
      </c>
      <c r="C21" s="291">
        <v>43889</v>
      </c>
      <c r="D21" s="53">
        <v>0.19486300000000001</v>
      </c>
      <c r="E21" s="53">
        <v>34.750653</v>
      </c>
      <c r="F21" s="53" t="s">
        <v>666</v>
      </c>
      <c r="G21" s="292"/>
      <c r="H21" s="53" t="s">
        <v>347</v>
      </c>
      <c r="I21" s="154" t="s">
        <v>371</v>
      </c>
      <c r="J21" s="154" t="s">
        <v>688</v>
      </c>
      <c r="K21" s="53" t="s">
        <v>677</v>
      </c>
      <c r="L21" s="53" t="s">
        <v>685</v>
      </c>
      <c r="M21" s="53" t="s">
        <v>691</v>
      </c>
      <c r="N21" s="74">
        <v>2.0172055769801656</v>
      </c>
      <c r="O21" s="75">
        <v>6.89</v>
      </c>
      <c r="P21" s="75">
        <v>3.57619</v>
      </c>
      <c r="Q21" s="75">
        <v>8.1</v>
      </c>
      <c r="R21" s="75">
        <v>1.42</v>
      </c>
      <c r="S21" s="246">
        <v>1858</v>
      </c>
      <c r="T21" s="246">
        <v>4515</v>
      </c>
      <c r="U21" s="246">
        <v>39179</v>
      </c>
      <c r="V21" s="246">
        <v>505</v>
      </c>
      <c r="W21" s="246">
        <v>181</v>
      </c>
      <c r="X21" s="246">
        <v>12672</v>
      </c>
      <c r="Y21" s="246">
        <v>2613</v>
      </c>
      <c r="Z21" s="246">
        <v>1070.7</v>
      </c>
      <c r="AA21" s="246">
        <v>92.4</v>
      </c>
      <c r="AB21" s="246">
        <v>235</v>
      </c>
      <c r="AC21" s="246">
        <v>1800.7</v>
      </c>
      <c r="AD21" s="246">
        <v>37501</v>
      </c>
      <c r="AE21" s="75">
        <v>35.146999999999998</v>
      </c>
      <c r="AF21" s="75">
        <v>43.46</v>
      </c>
      <c r="AG21" s="75">
        <v>70.69</v>
      </c>
      <c r="AH21" s="75">
        <v>305</v>
      </c>
      <c r="AI21" s="75">
        <v>8.7200000000000006</v>
      </c>
      <c r="AJ21" s="75">
        <v>982.4</v>
      </c>
      <c r="AK21" s="75">
        <v>0.21</v>
      </c>
      <c r="AL21" s="75">
        <v>50.44</v>
      </c>
      <c r="AM21" s="75">
        <v>37.28</v>
      </c>
      <c r="AN21" s="75">
        <v>11.1</v>
      </c>
      <c r="AO21" s="75">
        <v>88.31</v>
      </c>
      <c r="AP21" s="75">
        <v>6.8319999999999999</v>
      </c>
      <c r="AQ21" s="75">
        <v>2.64</v>
      </c>
      <c r="AR21" s="75">
        <v>4.7480000000000002</v>
      </c>
      <c r="AS21" s="75">
        <v>1.4179999999999999</v>
      </c>
      <c r="AT21" s="75">
        <v>0.78</v>
      </c>
      <c r="AU21" s="75">
        <v>3.4740000000000002</v>
      </c>
      <c r="AV21" s="75">
        <v>2.419</v>
      </c>
      <c r="AW21" s="246">
        <v>362.95</v>
      </c>
      <c r="AX21" s="75">
        <v>33.061999999999998</v>
      </c>
      <c r="AY21" s="75">
        <v>67.991</v>
      </c>
      <c r="AZ21" s="75">
        <v>6.6929999999999996</v>
      </c>
      <c r="BA21" s="75">
        <v>25.41</v>
      </c>
      <c r="BB21" s="75">
        <v>4.21</v>
      </c>
      <c r="BC21" s="75">
        <v>1.17</v>
      </c>
      <c r="BD21" s="75">
        <v>3.0070000000000001</v>
      </c>
      <c r="BE21" s="75">
        <v>0.42</v>
      </c>
      <c r="BF21" s="75">
        <v>2.1269999999999998</v>
      </c>
      <c r="BG21" s="75">
        <v>0.42899999999999999</v>
      </c>
      <c r="BH21" s="75">
        <v>1.179</v>
      </c>
      <c r="BI21" s="75">
        <v>0.17599999999999999</v>
      </c>
      <c r="BJ21" s="75">
        <v>1.081</v>
      </c>
      <c r="BK21" s="75">
        <v>0.16500000000000001</v>
      </c>
      <c r="BL21" s="75">
        <v>2.3170000000000002</v>
      </c>
      <c r="BM21" s="75">
        <v>0.371</v>
      </c>
      <c r="BN21" s="75">
        <v>34.186</v>
      </c>
      <c r="BO21" s="75">
        <v>0.24199999999999999</v>
      </c>
      <c r="BP21" s="75">
        <v>699.8</v>
      </c>
      <c r="BQ21" s="75">
        <v>0.8</v>
      </c>
      <c r="BR21" s="75">
        <v>4.2140000000000004</v>
      </c>
      <c r="BS21" s="75">
        <v>1.7929999999999999</v>
      </c>
      <c r="BT21" s="53"/>
      <c r="BU21" s="53"/>
      <c r="BV21" s="53"/>
      <c r="BW21" s="53"/>
      <c r="BX21" s="53"/>
      <c r="BY21" s="53"/>
      <c r="BZ21" s="53"/>
      <c r="CA21" s="53"/>
      <c r="CB21" s="53"/>
      <c r="CC21" s="53"/>
    </row>
    <row r="22" spans="1:81" s="39" customFormat="1">
      <c r="A22" s="53" t="s">
        <v>440</v>
      </c>
      <c r="B22" s="53" t="s">
        <v>441</v>
      </c>
      <c r="C22" s="291">
        <v>43889</v>
      </c>
      <c r="D22" s="53">
        <v>0.19486300000000001</v>
      </c>
      <c r="E22" s="53">
        <v>34.750653</v>
      </c>
      <c r="F22" s="53" t="s">
        <v>666</v>
      </c>
      <c r="G22" s="292"/>
      <c r="H22" s="53" t="s">
        <v>347</v>
      </c>
      <c r="I22" s="154" t="s">
        <v>371</v>
      </c>
      <c r="J22" s="154" t="s">
        <v>688</v>
      </c>
      <c r="K22" s="53" t="s">
        <v>677</v>
      </c>
      <c r="L22" s="53" t="s">
        <v>685</v>
      </c>
      <c r="M22" s="53" t="s">
        <v>691</v>
      </c>
      <c r="N22" s="74">
        <v>1.2065011466746696</v>
      </c>
      <c r="O22" s="75">
        <v>6.64</v>
      </c>
      <c r="P22" s="75">
        <v>1.20129</v>
      </c>
      <c r="Q22" s="75">
        <v>2.7</v>
      </c>
      <c r="R22" s="75">
        <v>0.96</v>
      </c>
      <c r="S22" s="246">
        <v>1583</v>
      </c>
      <c r="T22" s="246">
        <v>2186</v>
      </c>
      <c r="U22" s="246">
        <v>26908</v>
      </c>
      <c r="V22" s="246">
        <v>264</v>
      </c>
      <c r="W22" s="246">
        <v>430</v>
      </c>
      <c r="X22" s="246">
        <v>10358</v>
      </c>
      <c r="Y22" s="246">
        <v>2152</v>
      </c>
      <c r="Z22" s="246">
        <v>1214.4000000000001</v>
      </c>
      <c r="AA22" s="246">
        <v>71.900000000000006</v>
      </c>
      <c r="AB22" s="246">
        <v>155.80000000000001</v>
      </c>
      <c r="AC22" s="246">
        <v>774.6</v>
      </c>
      <c r="AD22" s="246">
        <v>35672</v>
      </c>
      <c r="AE22" s="75">
        <v>20.312999999999999</v>
      </c>
      <c r="AF22" s="75">
        <v>23.01</v>
      </c>
      <c r="AG22" s="75">
        <v>37.380000000000003</v>
      </c>
      <c r="AH22" s="75">
        <v>86</v>
      </c>
      <c r="AI22" s="75">
        <v>6.3</v>
      </c>
      <c r="AJ22" s="75">
        <v>831.4</v>
      </c>
      <c r="AK22" s="75">
        <v>0.39</v>
      </c>
      <c r="AL22" s="75">
        <v>38.93</v>
      </c>
      <c r="AM22" s="75">
        <v>34.56</v>
      </c>
      <c r="AN22" s="75">
        <v>6.2590000000000003</v>
      </c>
      <c r="AO22" s="75">
        <v>58.93</v>
      </c>
      <c r="AP22" s="75">
        <v>7.1740000000000004</v>
      </c>
      <c r="AQ22" s="75">
        <v>1.7</v>
      </c>
      <c r="AR22" s="75">
        <v>1.7210000000000001</v>
      </c>
      <c r="AS22" s="75">
        <v>0.56599999999999995</v>
      </c>
      <c r="AT22" s="75">
        <v>3.4</v>
      </c>
      <c r="AU22" s="75">
        <v>2.3839999999999999</v>
      </c>
      <c r="AV22" s="75">
        <v>1.171</v>
      </c>
      <c r="AW22" s="246">
        <v>333.3</v>
      </c>
      <c r="AX22" s="75">
        <v>15.85</v>
      </c>
      <c r="AY22" s="75">
        <v>50.033999999999999</v>
      </c>
      <c r="AZ22" s="75">
        <v>3.4660000000000002</v>
      </c>
      <c r="BA22" s="75">
        <v>12.77</v>
      </c>
      <c r="BB22" s="75">
        <v>2.0819999999999999</v>
      </c>
      <c r="BC22" s="75">
        <v>0.51600000000000001</v>
      </c>
      <c r="BD22" s="75">
        <v>1.4930000000000001</v>
      </c>
      <c r="BE22" s="75">
        <v>0.218</v>
      </c>
      <c r="BF22" s="75">
        <v>1.1890000000000001</v>
      </c>
      <c r="BG22" s="75">
        <v>0.24099999999999999</v>
      </c>
      <c r="BH22" s="75">
        <v>0.70399999999999996</v>
      </c>
      <c r="BI22" s="75">
        <v>0.10199999999999999</v>
      </c>
      <c r="BJ22" s="75">
        <v>0.67300000000000004</v>
      </c>
      <c r="BK22" s="75">
        <v>0.10199999999999999</v>
      </c>
      <c r="BL22" s="75">
        <v>1.5660000000000001</v>
      </c>
      <c r="BM22" s="75">
        <v>0.52100000000000002</v>
      </c>
      <c r="BN22" s="75">
        <v>12.932</v>
      </c>
      <c r="BO22" s="75">
        <v>0.22</v>
      </c>
      <c r="BP22" s="75">
        <v>74</v>
      </c>
      <c r="BQ22" s="75">
        <v>0.45</v>
      </c>
      <c r="BR22" s="75">
        <v>3.63</v>
      </c>
      <c r="BS22" s="75">
        <v>1.153</v>
      </c>
      <c r="BT22" s="53"/>
      <c r="BU22" s="53"/>
      <c r="BV22" s="53"/>
      <c r="BW22" s="53"/>
      <c r="BX22" s="53"/>
      <c r="BY22" s="53"/>
      <c r="BZ22" s="53"/>
      <c r="CA22" s="53"/>
      <c r="CB22" s="53"/>
      <c r="CC22" s="53"/>
    </row>
    <row r="23" spans="1:81" s="39" customFormat="1">
      <c r="A23" s="53" t="s">
        <v>442</v>
      </c>
      <c r="B23" s="53" t="s">
        <v>443</v>
      </c>
      <c r="C23" s="291">
        <v>43890</v>
      </c>
      <c r="D23" s="183">
        <v>0.224908</v>
      </c>
      <c r="E23" s="183">
        <v>34.799022000000001</v>
      </c>
      <c r="F23" s="53" t="s">
        <v>667</v>
      </c>
      <c r="G23" s="292"/>
      <c r="H23" s="53" t="s">
        <v>347</v>
      </c>
      <c r="I23" s="154" t="s">
        <v>371</v>
      </c>
      <c r="J23" s="154" t="s">
        <v>687</v>
      </c>
      <c r="K23" s="53" t="s">
        <v>676</v>
      </c>
      <c r="L23" s="53" t="s">
        <v>684</v>
      </c>
      <c r="M23" s="53" t="s">
        <v>683</v>
      </c>
      <c r="N23" s="74">
        <v>2.5825571549534252</v>
      </c>
      <c r="O23" s="75">
        <v>5.96</v>
      </c>
      <c r="P23" s="75">
        <v>6.3005499999999994</v>
      </c>
      <c r="Q23" s="75">
        <v>8</v>
      </c>
      <c r="R23" s="75">
        <v>1.74</v>
      </c>
      <c r="S23" s="246">
        <v>17467</v>
      </c>
      <c r="T23" s="246">
        <v>5974</v>
      </c>
      <c r="U23" s="246">
        <v>75154</v>
      </c>
      <c r="V23" s="246">
        <v>325</v>
      </c>
      <c r="W23" s="246">
        <v>93</v>
      </c>
      <c r="X23" s="246">
        <v>15643</v>
      </c>
      <c r="Y23" s="246">
        <v>9276</v>
      </c>
      <c r="Z23" s="246">
        <v>3257.7</v>
      </c>
      <c r="AA23" s="246">
        <v>119</v>
      </c>
      <c r="AB23" s="246">
        <v>203.1</v>
      </c>
      <c r="AC23" s="246">
        <v>616.20000000000005</v>
      </c>
      <c r="AD23" s="246">
        <v>40661</v>
      </c>
      <c r="AE23" s="75">
        <v>31.831</v>
      </c>
      <c r="AF23" s="75">
        <v>54.91</v>
      </c>
      <c r="AG23" s="75">
        <v>48.08</v>
      </c>
      <c r="AH23" s="75">
        <v>47</v>
      </c>
      <c r="AI23" s="75">
        <v>13.56</v>
      </c>
      <c r="AJ23" s="75">
        <v>52.3</v>
      </c>
      <c r="AK23" s="75">
        <v>0.32</v>
      </c>
      <c r="AL23" s="75">
        <v>51.65</v>
      </c>
      <c r="AM23" s="75">
        <v>210.41</v>
      </c>
      <c r="AN23" s="75">
        <v>12.548</v>
      </c>
      <c r="AO23" s="75">
        <v>124.01</v>
      </c>
      <c r="AP23" s="75">
        <v>13.048999999999999</v>
      </c>
      <c r="AQ23" s="75">
        <v>1.2</v>
      </c>
      <c r="AR23" s="75">
        <v>0.16600000000000001</v>
      </c>
      <c r="AS23" s="75">
        <v>5.6000000000000001E-2</v>
      </c>
      <c r="AT23" s="75">
        <v>1.19</v>
      </c>
      <c r="AU23" s="75">
        <v>2.2010000000000001</v>
      </c>
      <c r="AV23" s="75">
        <v>1.972</v>
      </c>
      <c r="AW23" s="246">
        <v>602.4</v>
      </c>
      <c r="AX23" s="75">
        <v>24.565000000000001</v>
      </c>
      <c r="AY23" s="75">
        <v>56.034999999999997</v>
      </c>
      <c r="AZ23" s="75">
        <v>5.0439999999999996</v>
      </c>
      <c r="BA23" s="75">
        <v>19.14</v>
      </c>
      <c r="BB23" s="75">
        <v>3.371</v>
      </c>
      <c r="BC23" s="75">
        <v>0.84899999999999998</v>
      </c>
      <c r="BD23" s="75">
        <v>2.5590000000000002</v>
      </c>
      <c r="BE23" s="75">
        <v>0.39100000000000001</v>
      </c>
      <c r="BF23" s="75">
        <v>2.1920000000000002</v>
      </c>
      <c r="BG23" s="75">
        <v>0.46899999999999997</v>
      </c>
      <c r="BH23" s="75">
        <v>1.3280000000000001</v>
      </c>
      <c r="BI23" s="75">
        <v>0.20699999999999999</v>
      </c>
      <c r="BJ23" s="75">
        <v>1.2969999999999999</v>
      </c>
      <c r="BK23" s="75">
        <v>0.20599999999999999</v>
      </c>
      <c r="BL23" s="75">
        <v>3.4550000000000001</v>
      </c>
      <c r="BM23" s="75">
        <v>0.73299999999999998</v>
      </c>
      <c r="BN23" s="75">
        <v>2.1989999999999998</v>
      </c>
      <c r="BO23" s="75">
        <v>0.29499999999999998</v>
      </c>
      <c r="BP23" s="75">
        <v>11.2</v>
      </c>
      <c r="BQ23" s="75">
        <v>1.06</v>
      </c>
      <c r="BR23" s="75">
        <v>5.25</v>
      </c>
      <c r="BS23" s="75">
        <v>1.5880000000000001</v>
      </c>
      <c r="BT23" s="53"/>
      <c r="BU23" s="53"/>
      <c r="BV23" s="53"/>
      <c r="BW23" s="53"/>
      <c r="BX23" s="53"/>
      <c r="BY23" s="53"/>
      <c r="BZ23" s="53"/>
      <c r="CA23" s="53"/>
      <c r="CB23" s="53"/>
      <c r="CC23" s="53"/>
    </row>
    <row r="24" spans="1:81" s="39" customFormat="1">
      <c r="A24" s="53" t="s">
        <v>444</v>
      </c>
      <c r="B24" s="53" t="s">
        <v>445</v>
      </c>
      <c r="C24" s="291">
        <v>43890</v>
      </c>
      <c r="D24" s="183">
        <v>0.22484799999999999</v>
      </c>
      <c r="E24" s="183">
        <v>34.799002999999999</v>
      </c>
      <c r="F24" s="53" t="s">
        <v>667</v>
      </c>
      <c r="G24" s="292"/>
      <c r="H24" s="53" t="s">
        <v>347</v>
      </c>
      <c r="I24" s="154" t="s">
        <v>371</v>
      </c>
      <c r="J24" s="154" t="s">
        <v>687</v>
      </c>
      <c r="K24" s="53" t="s">
        <v>676</v>
      </c>
      <c r="L24" s="53" t="s">
        <v>684</v>
      </c>
      <c r="M24" s="53" t="s">
        <v>683</v>
      </c>
      <c r="N24" s="74">
        <v>1.9555095706154773</v>
      </c>
      <c r="O24" s="75">
        <v>6.05</v>
      </c>
      <c r="P24" s="75">
        <v>8.8212900000000012</v>
      </c>
      <c r="Q24" s="75">
        <v>7.2</v>
      </c>
      <c r="R24" s="75">
        <v>0.96</v>
      </c>
      <c r="S24" s="246">
        <v>17706</v>
      </c>
      <c r="T24" s="246">
        <v>7942</v>
      </c>
      <c r="U24" s="246">
        <v>63377</v>
      </c>
      <c r="V24" s="246">
        <v>259</v>
      </c>
      <c r="W24" s="246">
        <v>39</v>
      </c>
      <c r="X24" s="246">
        <v>13485</v>
      </c>
      <c r="Y24" s="246">
        <v>12902</v>
      </c>
      <c r="Z24" s="246">
        <v>3428</v>
      </c>
      <c r="AA24" s="246">
        <v>131.4</v>
      </c>
      <c r="AB24" s="246">
        <v>210.9</v>
      </c>
      <c r="AC24" s="246">
        <v>608.4</v>
      </c>
      <c r="AD24" s="246">
        <v>41952</v>
      </c>
      <c r="AE24" s="75">
        <v>35.706000000000003</v>
      </c>
      <c r="AF24" s="75">
        <v>58.79</v>
      </c>
      <c r="AG24" s="75">
        <v>100.62</v>
      </c>
      <c r="AH24" s="75">
        <v>68</v>
      </c>
      <c r="AI24" s="75">
        <v>11.97</v>
      </c>
      <c r="AJ24" s="75">
        <v>74.5</v>
      </c>
      <c r="AK24" s="75">
        <v>0.26</v>
      </c>
      <c r="AL24" s="75">
        <v>41.48</v>
      </c>
      <c r="AM24" s="75">
        <v>269.19</v>
      </c>
      <c r="AN24" s="75">
        <v>12.282</v>
      </c>
      <c r="AO24" s="75">
        <v>88.45</v>
      </c>
      <c r="AP24" s="75">
        <v>7.6559999999999997</v>
      </c>
      <c r="AQ24" s="75">
        <v>1.02</v>
      </c>
      <c r="AR24" s="75">
        <v>0.42199999999999999</v>
      </c>
      <c r="AS24" s="75">
        <v>5.8000000000000003E-2</v>
      </c>
      <c r="AT24" s="75">
        <v>0.97</v>
      </c>
      <c r="AU24" s="75">
        <v>2.5640000000000001</v>
      </c>
      <c r="AV24" s="75">
        <v>1.7509999999999999</v>
      </c>
      <c r="AW24" s="246">
        <v>517.51</v>
      </c>
      <c r="AX24" s="75">
        <v>22.606000000000002</v>
      </c>
      <c r="AY24" s="75">
        <v>53.081000000000003</v>
      </c>
      <c r="AZ24" s="75">
        <v>5.032</v>
      </c>
      <c r="BA24" s="75">
        <v>19.32</v>
      </c>
      <c r="BB24" s="75">
        <v>3.3889999999999998</v>
      </c>
      <c r="BC24" s="75">
        <v>0.90400000000000003</v>
      </c>
      <c r="BD24" s="75">
        <v>2.661</v>
      </c>
      <c r="BE24" s="75">
        <v>0.39900000000000002</v>
      </c>
      <c r="BF24" s="75">
        <v>2.2080000000000002</v>
      </c>
      <c r="BG24" s="75">
        <v>0.47399999999999998</v>
      </c>
      <c r="BH24" s="75">
        <v>1.28</v>
      </c>
      <c r="BI24" s="75">
        <v>0.19500000000000001</v>
      </c>
      <c r="BJ24" s="75">
        <v>1.3120000000000001</v>
      </c>
      <c r="BK24" s="75">
        <v>0.20200000000000001</v>
      </c>
      <c r="BL24" s="75">
        <v>2.452</v>
      </c>
      <c r="BM24" s="75">
        <v>0.43099999999999999</v>
      </c>
      <c r="BN24" s="75">
        <v>2.21</v>
      </c>
      <c r="BO24" s="75">
        <v>0.224</v>
      </c>
      <c r="BP24" s="75">
        <v>12.6</v>
      </c>
      <c r="BQ24" s="75">
        <v>6.84</v>
      </c>
      <c r="BR24" s="75">
        <v>4.0410000000000004</v>
      </c>
      <c r="BS24" s="75">
        <v>1.4330000000000001</v>
      </c>
      <c r="BT24" s="53"/>
      <c r="BU24" s="53"/>
      <c r="BV24" s="53"/>
      <c r="BW24" s="53"/>
      <c r="BX24" s="53"/>
      <c r="BY24" s="53"/>
      <c r="BZ24" s="53"/>
      <c r="CA24" s="53"/>
      <c r="CB24" s="53"/>
      <c r="CC24" s="53"/>
    </row>
    <row r="25" spans="1:81" s="39" customFormat="1">
      <c r="A25" s="53" t="s">
        <v>446</v>
      </c>
      <c r="B25" s="53" t="s">
        <v>445</v>
      </c>
      <c r="C25" s="291">
        <v>43890</v>
      </c>
      <c r="D25" s="53">
        <v>0.22484799999999999</v>
      </c>
      <c r="E25" s="53">
        <v>34.799002999999999</v>
      </c>
      <c r="F25" s="53" t="s">
        <v>667</v>
      </c>
      <c r="G25" s="292"/>
      <c r="H25" s="53" t="s">
        <v>347</v>
      </c>
      <c r="I25" s="154" t="s">
        <v>371</v>
      </c>
      <c r="J25" s="154" t="s">
        <v>687</v>
      </c>
      <c r="K25" s="53" t="s">
        <v>676</v>
      </c>
      <c r="L25" s="53" t="s">
        <v>684</v>
      </c>
      <c r="M25" s="53" t="s">
        <v>683</v>
      </c>
      <c r="N25" s="74" t="s">
        <v>288</v>
      </c>
      <c r="O25" s="74" t="s">
        <v>288</v>
      </c>
      <c r="P25" s="75">
        <v>7.9939099999999996</v>
      </c>
      <c r="Q25" s="74" t="s">
        <v>288</v>
      </c>
      <c r="R25" s="74" t="s">
        <v>288</v>
      </c>
      <c r="S25" s="293" t="s">
        <v>288</v>
      </c>
      <c r="T25" s="293" t="s">
        <v>288</v>
      </c>
      <c r="U25" s="293" t="s">
        <v>288</v>
      </c>
      <c r="V25" s="293" t="s">
        <v>288</v>
      </c>
      <c r="W25" s="293" t="s">
        <v>288</v>
      </c>
      <c r="X25" s="293" t="s">
        <v>288</v>
      </c>
      <c r="Y25" s="293" t="s">
        <v>288</v>
      </c>
      <c r="Z25" s="293" t="s">
        <v>288</v>
      </c>
      <c r="AA25" s="293" t="s">
        <v>288</v>
      </c>
      <c r="AB25" s="293" t="s">
        <v>288</v>
      </c>
      <c r="AC25" s="293" t="s">
        <v>288</v>
      </c>
      <c r="AD25" s="293" t="s">
        <v>288</v>
      </c>
      <c r="AE25" s="74" t="s">
        <v>288</v>
      </c>
      <c r="AF25" s="74" t="s">
        <v>288</v>
      </c>
      <c r="AG25" s="74" t="s">
        <v>288</v>
      </c>
      <c r="AH25" s="74" t="s">
        <v>288</v>
      </c>
      <c r="AI25" s="74" t="s">
        <v>288</v>
      </c>
      <c r="AJ25" s="74" t="s">
        <v>288</v>
      </c>
      <c r="AK25" s="74" t="s">
        <v>288</v>
      </c>
      <c r="AL25" s="74" t="s">
        <v>288</v>
      </c>
      <c r="AM25" s="74" t="s">
        <v>288</v>
      </c>
      <c r="AN25" s="74" t="s">
        <v>288</v>
      </c>
      <c r="AO25" s="74" t="s">
        <v>288</v>
      </c>
      <c r="AP25" s="74" t="s">
        <v>288</v>
      </c>
      <c r="AQ25" s="74" t="s">
        <v>288</v>
      </c>
      <c r="AR25" s="74" t="s">
        <v>288</v>
      </c>
      <c r="AS25" s="74" t="s">
        <v>288</v>
      </c>
      <c r="AT25" s="74" t="s">
        <v>288</v>
      </c>
      <c r="AU25" s="74" t="s">
        <v>288</v>
      </c>
      <c r="AV25" s="74" t="s">
        <v>288</v>
      </c>
      <c r="AW25" s="293" t="s">
        <v>288</v>
      </c>
      <c r="AX25" s="74" t="s">
        <v>288</v>
      </c>
      <c r="AY25" s="74" t="s">
        <v>288</v>
      </c>
      <c r="AZ25" s="74" t="s">
        <v>288</v>
      </c>
      <c r="BA25" s="74" t="s">
        <v>288</v>
      </c>
      <c r="BB25" s="74" t="s">
        <v>288</v>
      </c>
      <c r="BC25" s="74" t="s">
        <v>288</v>
      </c>
      <c r="BD25" s="74" t="s">
        <v>288</v>
      </c>
      <c r="BE25" s="74" t="s">
        <v>288</v>
      </c>
      <c r="BF25" s="74" t="s">
        <v>288</v>
      </c>
      <c r="BG25" s="74" t="s">
        <v>288</v>
      </c>
      <c r="BH25" s="74" t="s">
        <v>288</v>
      </c>
      <c r="BI25" s="74" t="s">
        <v>288</v>
      </c>
      <c r="BJ25" s="74" t="s">
        <v>288</v>
      </c>
      <c r="BK25" s="74" t="s">
        <v>288</v>
      </c>
      <c r="BL25" s="74" t="s">
        <v>288</v>
      </c>
      <c r="BM25" s="74" t="s">
        <v>288</v>
      </c>
      <c r="BN25" s="74" t="s">
        <v>288</v>
      </c>
      <c r="BO25" s="74" t="s">
        <v>288</v>
      </c>
      <c r="BP25" s="74" t="s">
        <v>288</v>
      </c>
      <c r="BQ25" s="74" t="s">
        <v>288</v>
      </c>
      <c r="BR25" s="74" t="s">
        <v>288</v>
      </c>
      <c r="BS25" s="74" t="s">
        <v>288</v>
      </c>
      <c r="BT25" s="53"/>
      <c r="BU25" s="53"/>
      <c r="BV25" s="53"/>
      <c r="BW25" s="53"/>
      <c r="BX25" s="53"/>
      <c r="BY25" s="53"/>
      <c r="BZ25" s="53"/>
      <c r="CA25" s="53"/>
      <c r="CB25" s="53"/>
      <c r="CC25" s="53"/>
    </row>
    <row r="26" spans="1:81" s="39" customFormat="1">
      <c r="A26" s="53" t="s">
        <v>447</v>
      </c>
      <c r="B26" s="53" t="s">
        <v>448</v>
      </c>
      <c r="C26" s="291">
        <v>43890</v>
      </c>
      <c r="D26" s="183">
        <v>0.218167</v>
      </c>
      <c r="E26" s="183">
        <v>34.802627999999999</v>
      </c>
      <c r="F26" s="53" t="s">
        <v>667</v>
      </c>
      <c r="G26" s="292"/>
      <c r="H26" s="53" t="s">
        <v>347</v>
      </c>
      <c r="I26" s="154" t="s">
        <v>371</v>
      </c>
      <c r="J26" s="154" t="s">
        <v>687</v>
      </c>
      <c r="K26" s="53" t="s">
        <v>674</v>
      </c>
      <c r="L26" s="53" t="s">
        <v>684</v>
      </c>
      <c r="M26" s="53" t="s">
        <v>683</v>
      </c>
      <c r="N26" s="74">
        <v>5.1883643299953341</v>
      </c>
      <c r="O26" s="75">
        <v>4.45</v>
      </c>
      <c r="P26" s="75">
        <v>2.4247799999999997</v>
      </c>
      <c r="Q26" s="75">
        <v>9.8000000000000007</v>
      </c>
      <c r="R26" s="75">
        <v>1.83</v>
      </c>
      <c r="S26" s="246">
        <v>9486</v>
      </c>
      <c r="T26" s="246">
        <v>2597</v>
      </c>
      <c r="U26" s="246">
        <v>80398</v>
      </c>
      <c r="V26" s="246">
        <v>417</v>
      </c>
      <c r="W26" s="246">
        <v>204</v>
      </c>
      <c r="X26" s="246">
        <v>18023</v>
      </c>
      <c r="Y26" s="246">
        <v>2558</v>
      </c>
      <c r="Z26" s="246">
        <v>3270.1</v>
      </c>
      <c r="AA26" s="246">
        <v>70.599999999999994</v>
      </c>
      <c r="AB26" s="246">
        <v>71.400000000000006</v>
      </c>
      <c r="AC26" s="246">
        <v>388.6</v>
      </c>
      <c r="AD26" s="246">
        <v>28861</v>
      </c>
      <c r="AE26" s="75">
        <v>13.715</v>
      </c>
      <c r="AF26" s="75">
        <v>23.23</v>
      </c>
      <c r="AG26" s="75">
        <v>45.99</v>
      </c>
      <c r="AH26" s="75">
        <v>50</v>
      </c>
      <c r="AI26" s="75">
        <v>15.76</v>
      </c>
      <c r="AJ26" s="75">
        <v>14.3</v>
      </c>
      <c r="AK26" s="75">
        <v>0.44</v>
      </c>
      <c r="AL26" s="75">
        <v>79.33</v>
      </c>
      <c r="AM26" s="75">
        <v>110.9</v>
      </c>
      <c r="AN26" s="75">
        <v>15.212</v>
      </c>
      <c r="AO26" s="75">
        <v>132.01</v>
      </c>
      <c r="AP26" s="75">
        <v>19.445</v>
      </c>
      <c r="AQ26" s="75">
        <v>1.69</v>
      </c>
      <c r="AR26" s="75">
        <v>0.111</v>
      </c>
      <c r="AS26" s="75">
        <v>7.4999999999999997E-2</v>
      </c>
      <c r="AT26" s="75">
        <v>1.86</v>
      </c>
      <c r="AU26" s="75">
        <v>1.004</v>
      </c>
      <c r="AV26" s="75">
        <v>3.6909999999999998</v>
      </c>
      <c r="AW26" s="246">
        <v>622.69000000000005</v>
      </c>
      <c r="AX26" s="75">
        <v>35.173000000000002</v>
      </c>
      <c r="AY26" s="75">
        <v>85.415999999999997</v>
      </c>
      <c r="AZ26" s="75">
        <v>6.8789999999999996</v>
      </c>
      <c r="BA26" s="75">
        <v>25.19</v>
      </c>
      <c r="BB26" s="75">
        <v>4.3150000000000004</v>
      </c>
      <c r="BC26" s="75">
        <v>0.94299999999999995</v>
      </c>
      <c r="BD26" s="75">
        <v>3.2320000000000002</v>
      </c>
      <c r="BE26" s="75">
        <v>0.48499999999999999</v>
      </c>
      <c r="BF26" s="75">
        <v>2.5459999999999998</v>
      </c>
      <c r="BG26" s="75">
        <v>0.52900000000000003</v>
      </c>
      <c r="BH26" s="75">
        <v>1.552</v>
      </c>
      <c r="BI26" s="75">
        <v>0.223</v>
      </c>
      <c r="BJ26" s="75">
        <v>1.391</v>
      </c>
      <c r="BK26" s="75">
        <v>0.22800000000000001</v>
      </c>
      <c r="BL26" s="75">
        <v>3.8820000000000001</v>
      </c>
      <c r="BM26" s="75">
        <v>1.131</v>
      </c>
      <c r="BN26" s="75">
        <v>2.2429999999999999</v>
      </c>
      <c r="BO26" s="75">
        <v>0.40899999999999997</v>
      </c>
      <c r="BP26" s="75">
        <v>15.4</v>
      </c>
      <c r="BQ26" s="75">
        <v>0.55000000000000004</v>
      </c>
      <c r="BR26" s="75">
        <v>10.606</v>
      </c>
      <c r="BS26" s="75">
        <v>2.5739999999999998</v>
      </c>
      <c r="BT26" s="53"/>
      <c r="BU26" s="53"/>
      <c r="BV26" s="53"/>
      <c r="BW26" s="53"/>
      <c r="BX26" s="53"/>
      <c r="BY26" s="53"/>
      <c r="BZ26" s="53"/>
      <c r="CA26" s="53"/>
      <c r="CB26" s="53"/>
      <c r="CC26" s="53"/>
    </row>
    <row r="27" spans="1:81" s="39" customFormat="1">
      <c r="A27" s="53" t="s">
        <v>449</v>
      </c>
      <c r="B27" s="53" t="s">
        <v>450</v>
      </c>
      <c r="C27" s="291">
        <v>43890</v>
      </c>
      <c r="D27" s="183">
        <v>0.21770700000000001</v>
      </c>
      <c r="E27" s="183">
        <v>34.802644000000001</v>
      </c>
      <c r="F27" s="53" t="s">
        <v>667</v>
      </c>
      <c r="G27" s="292"/>
      <c r="H27" s="53" t="s">
        <v>347</v>
      </c>
      <c r="I27" s="154" t="s">
        <v>371</v>
      </c>
      <c r="J27" s="154" t="s">
        <v>687</v>
      </c>
      <c r="K27" s="53" t="s">
        <v>676</v>
      </c>
      <c r="L27" s="53" t="s">
        <v>684</v>
      </c>
      <c r="M27" s="53" t="s">
        <v>683</v>
      </c>
      <c r="N27" s="74">
        <v>3.2616037826883493</v>
      </c>
      <c r="O27" s="75">
        <v>4.57</v>
      </c>
      <c r="P27" s="75">
        <v>4.3590599999999995</v>
      </c>
      <c r="Q27" s="75">
        <v>7.4</v>
      </c>
      <c r="R27" s="75">
        <v>1.37</v>
      </c>
      <c r="S27" s="246">
        <v>5739</v>
      </c>
      <c r="T27" s="246">
        <v>2350</v>
      </c>
      <c r="U27" s="246">
        <v>65797</v>
      </c>
      <c r="V27" s="246">
        <v>323</v>
      </c>
      <c r="W27" s="246">
        <v>157</v>
      </c>
      <c r="X27" s="246">
        <v>16872</v>
      </c>
      <c r="Y27" s="246">
        <v>3109</v>
      </c>
      <c r="Z27" s="246">
        <v>2683.1</v>
      </c>
      <c r="AA27" s="246">
        <v>67.5</v>
      </c>
      <c r="AB27" s="246">
        <v>78</v>
      </c>
      <c r="AC27" s="246">
        <v>377.4</v>
      </c>
      <c r="AD27" s="246">
        <v>26093</v>
      </c>
      <c r="AE27" s="75">
        <v>9.6280000000000001</v>
      </c>
      <c r="AF27" s="75">
        <v>17.309999999999999</v>
      </c>
      <c r="AG27" s="75">
        <v>35.75</v>
      </c>
      <c r="AH27" s="75">
        <v>33</v>
      </c>
      <c r="AI27" s="75">
        <v>13.17</v>
      </c>
      <c r="AJ27" s="75">
        <v>17.899999999999999</v>
      </c>
      <c r="AK27" s="75">
        <v>0.48</v>
      </c>
      <c r="AL27" s="75">
        <v>74.67</v>
      </c>
      <c r="AM27" s="75">
        <v>102.22</v>
      </c>
      <c r="AN27" s="75">
        <v>11.55</v>
      </c>
      <c r="AO27" s="75">
        <v>118.23</v>
      </c>
      <c r="AP27" s="75">
        <v>19.635999999999999</v>
      </c>
      <c r="AQ27" s="75">
        <v>1.87</v>
      </c>
      <c r="AR27" s="75">
        <v>0.36899999999999999</v>
      </c>
      <c r="AS27" s="75">
        <v>5.5E-2</v>
      </c>
      <c r="AT27" s="75">
        <v>1.75</v>
      </c>
      <c r="AU27" s="75">
        <v>1.1319999999999999</v>
      </c>
      <c r="AV27" s="75">
        <v>3.1280000000000001</v>
      </c>
      <c r="AW27" s="246">
        <v>584.19000000000005</v>
      </c>
      <c r="AX27" s="75">
        <v>29.448</v>
      </c>
      <c r="AY27" s="75">
        <v>76.350999999999999</v>
      </c>
      <c r="AZ27" s="75">
        <v>5.5389999999999997</v>
      </c>
      <c r="BA27" s="75">
        <v>19.899999999999999</v>
      </c>
      <c r="BB27" s="75">
        <v>3.4449999999999998</v>
      </c>
      <c r="BC27" s="75">
        <v>0.77</v>
      </c>
      <c r="BD27" s="75">
        <v>2.4849999999999999</v>
      </c>
      <c r="BE27" s="75">
        <v>0.39100000000000001</v>
      </c>
      <c r="BF27" s="75">
        <v>2.0830000000000002</v>
      </c>
      <c r="BG27" s="75">
        <v>0.44600000000000001</v>
      </c>
      <c r="BH27" s="75">
        <v>1.2310000000000001</v>
      </c>
      <c r="BI27" s="75">
        <v>0.188</v>
      </c>
      <c r="BJ27" s="75">
        <v>1.242</v>
      </c>
      <c r="BK27" s="75">
        <v>0.19</v>
      </c>
      <c r="BL27" s="75">
        <v>3.6930000000000001</v>
      </c>
      <c r="BM27" s="75">
        <v>1.129</v>
      </c>
      <c r="BN27" s="75">
        <v>2.427</v>
      </c>
      <c r="BO27" s="75">
        <v>0.40899999999999997</v>
      </c>
      <c r="BP27" s="75">
        <v>17.7</v>
      </c>
      <c r="BQ27" s="75">
        <v>1.35</v>
      </c>
      <c r="BR27" s="75">
        <v>9.6639999999999997</v>
      </c>
      <c r="BS27" s="75">
        <v>2.379</v>
      </c>
      <c r="BT27" s="53"/>
      <c r="BU27" s="53"/>
      <c r="BV27" s="53"/>
      <c r="BW27" s="53"/>
      <c r="BX27" s="53"/>
      <c r="BY27" s="53"/>
      <c r="BZ27" s="53"/>
      <c r="CA27" s="53"/>
      <c r="CB27" s="53"/>
      <c r="CC27" s="53"/>
    </row>
    <row r="28" spans="1:81" s="39" customFormat="1">
      <c r="A28" s="53" t="s">
        <v>451</v>
      </c>
      <c r="B28" s="53" t="s">
        <v>452</v>
      </c>
      <c r="C28" s="291">
        <v>43890</v>
      </c>
      <c r="D28" s="183">
        <v>0.21793199999999999</v>
      </c>
      <c r="E28" s="183">
        <v>34.802683999999999</v>
      </c>
      <c r="F28" s="53" t="s">
        <v>667</v>
      </c>
      <c r="G28" s="292"/>
      <c r="H28" s="53" t="s">
        <v>347</v>
      </c>
      <c r="I28" s="154" t="s">
        <v>371</v>
      </c>
      <c r="J28" s="154" t="s">
        <v>687</v>
      </c>
      <c r="K28" s="53" t="s">
        <v>676</v>
      </c>
      <c r="L28" s="53" t="s">
        <v>684</v>
      </c>
      <c r="M28" s="53" t="s">
        <v>683</v>
      </c>
      <c r="N28" s="74">
        <v>1.5968248107810872</v>
      </c>
      <c r="O28" s="75">
        <v>5.59</v>
      </c>
      <c r="P28" s="75">
        <v>12.36927</v>
      </c>
      <c r="Q28" s="75">
        <v>4.5999999999999996</v>
      </c>
      <c r="R28" s="75">
        <v>1.1399999999999999</v>
      </c>
      <c r="S28" s="246">
        <v>5615</v>
      </c>
      <c r="T28" s="246">
        <v>1945</v>
      </c>
      <c r="U28" s="246">
        <v>29459</v>
      </c>
      <c r="V28" s="246">
        <v>169</v>
      </c>
      <c r="W28" s="246">
        <v>97</v>
      </c>
      <c r="X28" s="246">
        <v>11707</v>
      </c>
      <c r="Y28" s="246">
        <v>2397</v>
      </c>
      <c r="Z28" s="246">
        <v>1395.7</v>
      </c>
      <c r="AA28" s="246">
        <v>57</v>
      </c>
      <c r="AB28" s="246">
        <v>118.8</v>
      </c>
      <c r="AC28" s="246">
        <v>327.8</v>
      </c>
      <c r="AD28" s="246">
        <v>21155</v>
      </c>
      <c r="AE28" s="75">
        <v>10.135</v>
      </c>
      <c r="AF28" s="75">
        <v>13.42</v>
      </c>
      <c r="AG28" s="75">
        <v>63.92</v>
      </c>
      <c r="AH28" s="75">
        <v>23</v>
      </c>
      <c r="AI28" s="75">
        <v>5.87</v>
      </c>
      <c r="AJ28" s="75">
        <v>54.1</v>
      </c>
      <c r="AK28" s="75">
        <v>0.43</v>
      </c>
      <c r="AL28" s="75">
        <v>37.19</v>
      </c>
      <c r="AM28" s="75">
        <v>82.74</v>
      </c>
      <c r="AN28" s="75">
        <v>6.9729999999999999</v>
      </c>
      <c r="AO28" s="75">
        <v>73.55</v>
      </c>
      <c r="AP28" s="75">
        <v>5.484</v>
      </c>
      <c r="AQ28" s="75">
        <v>1.37</v>
      </c>
      <c r="AR28" s="75">
        <v>0.98499999999999999</v>
      </c>
      <c r="AS28" s="75">
        <v>0.122</v>
      </c>
      <c r="AT28" s="75">
        <v>0.74</v>
      </c>
      <c r="AU28" s="75">
        <v>1.0329999999999999</v>
      </c>
      <c r="AV28" s="75">
        <v>1.5269999999999999</v>
      </c>
      <c r="AW28" s="246">
        <v>442.83</v>
      </c>
      <c r="AX28" s="75">
        <v>14.076000000000001</v>
      </c>
      <c r="AY28" s="75">
        <v>47.774999999999999</v>
      </c>
      <c r="AZ28" s="75">
        <v>2.9940000000000002</v>
      </c>
      <c r="BA28" s="75">
        <v>11.14</v>
      </c>
      <c r="BB28" s="75">
        <v>2.081</v>
      </c>
      <c r="BC28" s="75">
        <v>0.44900000000000001</v>
      </c>
      <c r="BD28" s="75">
        <v>1.431</v>
      </c>
      <c r="BE28" s="75">
        <v>0.23899999999999999</v>
      </c>
      <c r="BF28" s="75">
        <v>1.2609999999999999</v>
      </c>
      <c r="BG28" s="75">
        <v>0.26900000000000002</v>
      </c>
      <c r="BH28" s="75">
        <v>0.78200000000000003</v>
      </c>
      <c r="BI28" s="75">
        <v>0.124</v>
      </c>
      <c r="BJ28" s="75">
        <v>0.79400000000000004</v>
      </c>
      <c r="BK28" s="75">
        <v>0.14000000000000001</v>
      </c>
      <c r="BL28" s="75">
        <v>2.1589999999999998</v>
      </c>
      <c r="BM28" s="75">
        <v>0.33300000000000002</v>
      </c>
      <c r="BN28" s="75">
        <v>2.2650000000000001</v>
      </c>
      <c r="BO28" s="75">
        <v>0.21299999999999999</v>
      </c>
      <c r="BP28" s="75">
        <v>38.299999999999997</v>
      </c>
      <c r="BQ28" s="75">
        <v>11.14</v>
      </c>
      <c r="BR28" s="75">
        <v>4.8719999999999999</v>
      </c>
      <c r="BS28" s="75">
        <v>1.6160000000000001</v>
      </c>
      <c r="BT28" s="53"/>
      <c r="BU28" s="53"/>
      <c r="BV28" s="53"/>
      <c r="BW28" s="53"/>
      <c r="BX28" s="53"/>
      <c r="BY28" s="53"/>
      <c r="BZ28" s="53"/>
      <c r="CA28" s="53"/>
      <c r="CB28" s="53"/>
      <c r="CC28" s="53"/>
    </row>
    <row r="29" spans="1:81" s="39" customFormat="1">
      <c r="A29" s="53" t="s">
        <v>453</v>
      </c>
      <c r="B29" s="53" t="s">
        <v>452</v>
      </c>
      <c r="C29" s="291">
        <v>43890</v>
      </c>
      <c r="D29" s="183">
        <v>0.21793199999999999</v>
      </c>
      <c r="E29" s="183">
        <v>34.802683999999999</v>
      </c>
      <c r="F29" s="53" t="s">
        <v>667</v>
      </c>
      <c r="G29" s="292"/>
      <c r="H29" s="53" t="s">
        <v>347</v>
      </c>
      <c r="I29" s="154" t="s">
        <v>371</v>
      </c>
      <c r="J29" s="154" t="s">
        <v>687</v>
      </c>
      <c r="K29" s="53" t="s">
        <v>676</v>
      </c>
      <c r="L29" s="53" t="s">
        <v>684</v>
      </c>
      <c r="M29" s="53" t="s">
        <v>683</v>
      </c>
      <c r="N29" s="74" t="s">
        <v>288</v>
      </c>
      <c r="O29" s="74" t="s">
        <v>288</v>
      </c>
      <c r="P29" s="75">
        <v>12.73893</v>
      </c>
      <c r="Q29" s="74" t="s">
        <v>288</v>
      </c>
      <c r="R29" s="74" t="s">
        <v>288</v>
      </c>
      <c r="S29" s="293" t="s">
        <v>288</v>
      </c>
      <c r="T29" s="293" t="s">
        <v>288</v>
      </c>
      <c r="U29" s="293" t="s">
        <v>288</v>
      </c>
      <c r="V29" s="293" t="s">
        <v>288</v>
      </c>
      <c r="W29" s="293" t="s">
        <v>288</v>
      </c>
      <c r="X29" s="293" t="s">
        <v>288</v>
      </c>
      <c r="Y29" s="293" t="s">
        <v>288</v>
      </c>
      <c r="Z29" s="293" t="s">
        <v>288</v>
      </c>
      <c r="AA29" s="293" t="s">
        <v>288</v>
      </c>
      <c r="AB29" s="293" t="s">
        <v>288</v>
      </c>
      <c r="AC29" s="293" t="s">
        <v>288</v>
      </c>
      <c r="AD29" s="293" t="s">
        <v>288</v>
      </c>
      <c r="AE29" s="74" t="s">
        <v>288</v>
      </c>
      <c r="AF29" s="74" t="s">
        <v>288</v>
      </c>
      <c r="AG29" s="74" t="s">
        <v>288</v>
      </c>
      <c r="AH29" s="74" t="s">
        <v>288</v>
      </c>
      <c r="AI29" s="74" t="s">
        <v>288</v>
      </c>
      <c r="AJ29" s="74" t="s">
        <v>288</v>
      </c>
      <c r="AK29" s="74" t="s">
        <v>288</v>
      </c>
      <c r="AL29" s="74" t="s">
        <v>288</v>
      </c>
      <c r="AM29" s="74" t="s">
        <v>288</v>
      </c>
      <c r="AN29" s="74" t="s">
        <v>288</v>
      </c>
      <c r="AO29" s="74" t="s">
        <v>288</v>
      </c>
      <c r="AP29" s="74" t="s">
        <v>288</v>
      </c>
      <c r="AQ29" s="74" t="s">
        <v>288</v>
      </c>
      <c r="AR29" s="74" t="s">
        <v>288</v>
      </c>
      <c r="AS29" s="74" t="s">
        <v>288</v>
      </c>
      <c r="AT29" s="74" t="s">
        <v>288</v>
      </c>
      <c r="AU29" s="74" t="s">
        <v>288</v>
      </c>
      <c r="AV29" s="74" t="s">
        <v>288</v>
      </c>
      <c r="AW29" s="293" t="s">
        <v>288</v>
      </c>
      <c r="AX29" s="74" t="s">
        <v>288</v>
      </c>
      <c r="AY29" s="74" t="s">
        <v>288</v>
      </c>
      <c r="AZ29" s="74" t="s">
        <v>288</v>
      </c>
      <c r="BA29" s="74" t="s">
        <v>288</v>
      </c>
      <c r="BB29" s="74" t="s">
        <v>288</v>
      </c>
      <c r="BC29" s="74" t="s">
        <v>288</v>
      </c>
      <c r="BD29" s="74" t="s">
        <v>288</v>
      </c>
      <c r="BE29" s="74" t="s">
        <v>288</v>
      </c>
      <c r="BF29" s="74" t="s">
        <v>288</v>
      </c>
      <c r="BG29" s="74" t="s">
        <v>288</v>
      </c>
      <c r="BH29" s="74" t="s">
        <v>288</v>
      </c>
      <c r="BI29" s="74" t="s">
        <v>288</v>
      </c>
      <c r="BJ29" s="74" t="s">
        <v>288</v>
      </c>
      <c r="BK29" s="74" t="s">
        <v>288</v>
      </c>
      <c r="BL29" s="74" t="s">
        <v>288</v>
      </c>
      <c r="BM29" s="74" t="s">
        <v>288</v>
      </c>
      <c r="BN29" s="74" t="s">
        <v>288</v>
      </c>
      <c r="BO29" s="74" t="s">
        <v>288</v>
      </c>
      <c r="BP29" s="74" t="s">
        <v>288</v>
      </c>
      <c r="BQ29" s="74" t="s">
        <v>288</v>
      </c>
      <c r="BR29" s="74" t="s">
        <v>288</v>
      </c>
      <c r="BS29" s="74" t="s">
        <v>288</v>
      </c>
      <c r="BT29" s="53"/>
      <c r="BU29" s="53"/>
      <c r="BV29" s="53"/>
      <c r="BW29" s="53"/>
      <c r="BX29" s="53"/>
      <c r="BY29" s="53"/>
      <c r="BZ29" s="53"/>
      <c r="CA29" s="53"/>
      <c r="CB29" s="53"/>
      <c r="CC29" s="53"/>
    </row>
    <row r="30" spans="1:81" s="39" customFormat="1">
      <c r="A30" s="53" t="s">
        <v>454</v>
      </c>
      <c r="B30" s="53" t="s">
        <v>455</v>
      </c>
      <c r="C30" s="291">
        <v>43890</v>
      </c>
      <c r="D30" s="183">
        <v>0.16381399999999999</v>
      </c>
      <c r="E30" s="183">
        <v>34.761139</v>
      </c>
      <c r="F30" s="53" t="s">
        <v>669</v>
      </c>
      <c r="G30" s="292"/>
      <c r="H30" s="53" t="s">
        <v>347</v>
      </c>
      <c r="I30" s="154" t="s">
        <v>371</v>
      </c>
      <c r="J30" s="154" t="s">
        <v>687</v>
      </c>
      <c r="K30" s="53" t="s">
        <v>673</v>
      </c>
      <c r="L30" s="53" t="s">
        <v>685</v>
      </c>
      <c r="M30" s="53" t="s">
        <v>691</v>
      </c>
      <c r="N30" s="74">
        <v>1.5138354634570008</v>
      </c>
      <c r="O30" s="75">
        <v>6.86</v>
      </c>
      <c r="P30" s="75">
        <v>2.2230799999999999</v>
      </c>
      <c r="Q30" s="75">
        <v>36.9</v>
      </c>
      <c r="R30" s="75">
        <v>1.48</v>
      </c>
      <c r="S30" s="246">
        <v>831</v>
      </c>
      <c r="T30" s="246">
        <v>6035</v>
      </c>
      <c r="U30" s="246">
        <v>51180</v>
      </c>
      <c r="V30" s="246">
        <v>271</v>
      </c>
      <c r="W30" s="246">
        <v>58</v>
      </c>
      <c r="X30" s="246">
        <v>9938</v>
      </c>
      <c r="Y30" s="246">
        <v>1416</v>
      </c>
      <c r="Z30" s="246">
        <v>950.3</v>
      </c>
      <c r="AA30" s="246">
        <v>96.8</v>
      </c>
      <c r="AB30" s="246">
        <v>762.9</v>
      </c>
      <c r="AC30" s="246">
        <v>1839.2</v>
      </c>
      <c r="AD30" s="246">
        <v>36974</v>
      </c>
      <c r="AE30" s="75">
        <v>116.17400000000001</v>
      </c>
      <c r="AF30" s="75">
        <v>185</v>
      </c>
      <c r="AG30" s="75">
        <v>50.29</v>
      </c>
      <c r="AH30" s="75">
        <v>121</v>
      </c>
      <c r="AI30" s="75">
        <v>10.96</v>
      </c>
      <c r="AJ30" s="75">
        <v>66</v>
      </c>
      <c r="AK30" s="75">
        <v>0.28000000000000003</v>
      </c>
      <c r="AL30" s="75">
        <v>42.97</v>
      </c>
      <c r="AM30" s="75">
        <v>25.12</v>
      </c>
      <c r="AN30" s="75">
        <v>8.5109999999999992</v>
      </c>
      <c r="AO30" s="75">
        <v>59.12</v>
      </c>
      <c r="AP30" s="75">
        <v>7.1349999999999998</v>
      </c>
      <c r="AQ30" s="75">
        <v>3.87</v>
      </c>
      <c r="AR30" s="75">
        <v>0.49</v>
      </c>
      <c r="AS30" s="75">
        <v>0.20100000000000001</v>
      </c>
      <c r="AT30" s="75">
        <v>1.06</v>
      </c>
      <c r="AU30" s="75">
        <v>0.49299999999999999</v>
      </c>
      <c r="AV30" s="75">
        <v>3.2879999999999998</v>
      </c>
      <c r="AW30" s="246">
        <v>358.27</v>
      </c>
      <c r="AX30" s="75">
        <v>15.785</v>
      </c>
      <c r="AY30" s="75">
        <v>61.344000000000001</v>
      </c>
      <c r="AZ30" s="75">
        <v>3.5209999999999999</v>
      </c>
      <c r="BA30" s="75">
        <v>13.36</v>
      </c>
      <c r="BB30" s="75">
        <v>2.569</v>
      </c>
      <c r="BC30" s="75">
        <v>0.65900000000000003</v>
      </c>
      <c r="BD30" s="75">
        <v>2.0409999999999999</v>
      </c>
      <c r="BE30" s="75">
        <v>0.311</v>
      </c>
      <c r="BF30" s="75">
        <v>1.649</v>
      </c>
      <c r="BG30" s="75">
        <v>0.34</v>
      </c>
      <c r="BH30" s="75">
        <v>0.93799999999999994</v>
      </c>
      <c r="BI30" s="75">
        <v>0.14199999999999999</v>
      </c>
      <c r="BJ30" s="75">
        <v>0.90400000000000003</v>
      </c>
      <c r="BK30" s="75">
        <v>0.14099999999999999</v>
      </c>
      <c r="BL30" s="75">
        <v>1.7829999999999999</v>
      </c>
      <c r="BM30" s="75">
        <v>0.39400000000000002</v>
      </c>
      <c r="BN30" s="75">
        <v>5.359</v>
      </c>
      <c r="BO30" s="75">
        <v>0.42699999999999999</v>
      </c>
      <c r="BP30" s="75">
        <v>36.5</v>
      </c>
      <c r="BQ30" s="75">
        <v>4.4400000000000004</v>
      </c>
      <c r="BR30" s="75">
        <v>4.8650000000000002</v>
      </c>
      <c r="BS30" s="75">
        <v>1.794</v>
      </c>
      <c r="BT30" s="53"/>
      <c r="BU30" s="53"/>
      <c r="BV30" s="53"/>
      <c r="BW30" s="53"/>
      <c r="BX30" s="53"/>
      <c r="BY30" s="53"/>
      <c r="BZ30" s="53"/>
      <c r="CA30" s="53"/>
      <c r="CB30" s="53"/>
      <c r="CC30" s="53"/>
    </row>
    <row r="31" spans="1:81" s="39" customFormat="1">
      <c r="A31" s="53" t="s">
        <v>456</v>
      </c>
      <c r="B31" s="53" t="s">
        <v>457</v>
      </c>
      <c r="C31" s="291">
        <v>43890</v>
      </c>
      <c r="D31" s="183">
        <v>0.16252800000000001</v>
      </c>
      <c r="E31" s="183">
        <v>34.760970999999998</v>
      </c>
      <c r="F31" s="53" t="s">
        <v>668</v>
      </c>
      <c r="G31" s="292"/>
      <c r="H31" s="53" t="s">
        <v>347</v>
      </c>
      <c r="I31" s="154" t="s">
        <v>371</v>
      </c>
      <c r="J31" s="154" t="s">
        <v>687</v>
      </c>
      <c r="K31" s="53" t="s">
        <v>675</v>
      </c>
      <c r="L31" s="53" t="s">
        <v>684</v>
      </c>
      <c r="M31" s="53" t="s">
        <v>683</v>
      </c>
      <c r="N31" s="74">
        <v>1.0333712552142078</v>
      </c>
      <c r="O31" s="75">
        <v>6.93</v>
      </c>
      <c r="P31" s="75">
        <v>3.07653</v>
      </c>
      <c r="Q31" s="75">
        <v>11.5</v>
      </c>
      <c r="R31" s="75">
        <v>0.45</v>
      </c>
      <c r="S31" s="246">
        <v>2899</v>
      </c>
      <c r="T31" s="246">
        <v>1765</v>
      </c>
      <c r="U31" s="246">
        <v>13904</v>
      </c>
      <c r="V31" s="246">
        <v>124</v>
      </c>
      <c r="W31" s="246">
        <v>78</v>
      </c>
      <c r="X31" s="246">
        <v>3927</v>
      </c>
      <c r="Y31" s="246">
        <v>2749</v>
      </c>
      <c r="Z31" s="246">
        <v>770.2</v>
      </c>
      <c r="AA31" s="246">
        <v>28.3</v>
      </c>
      <c r="AB31" s="246">
        <v>77.5</v>
      </c>
      <c r="AC31" s="246">
        <v>959</v>
      </c>
      <c r="AD31" s="246">
        <v>12113</v>
      </c>
      <c r="AE31" s="75">
        <v>53.59</v>
      </c>
      <c r="AF31" s="75">
        <v>57.52</v>
      </c>
      <c r="AG31" s="75">
        <v>13.34</v>
      </c>
      <c r="AH31" s="75">
        <v>27</v>
      </c>
      <c r="AI31" s="75">
        <v>2.71</v>
      </c>
      <c r="AJ31" s="75">
        <v>20.100000000000001</v>
      </c>
      <c r="AK31" s="75">
        <v>0.12</v>
      </c>
      <c r="AL31" s="75">
        <v>15.58</v>
      </c>
      <c r="AM31" s="75">
        <v>45.14</v>
      </c>
      <c r="AN31" s="75">
        <v>3.5030000000000001</v>
      </c>
      <c r="AO31" s="75">
        <v>28.21</v>
      </c>
      <c r="AP31" s="75">
        <v>5.694</v>
      </c>
      <c r="AQ31" s="75">
        <v>1.03</v>
      </c>
      <c r="AR31" s="75">
        <v>0.26800000000000002</v>
      </c>
      <c r="AS31" s="75">
        <v>5.7000000000000002E-2</v>
      </c>
      <c r="AT31" s="75">
        <v>0.28000000000000003</v>
      </c>
      <c r="AU31" s="75">
        <v>0.218</v>
      </c>
      <c r="AV31" s="75">
        <v>0.53800000000000003</v>
      </c>
      <c r="AW31" s="246">
        <v>161.80000000000001</v>
      </c>
      <c r="AX31" s="75">
        <v>7.4429999999999996</v>
      </c>
      <c r="AY31" s="75">
        <v>27.907</v>
      </c>
      <c r="AZ31" s="75">
        <v>1.659</v>
      </c>
      <c r="BA31" s="75">
        <v>6.21</v>
      </c>
      <c r="BB31" s="75">
        <v>1.1619999999999999</v>
      </c>
      <c r="BC31" s="75">
        <v>0.25700000000000001</v>
      </c>
      <c r="BD31" s="75">
        <v>0.91</v>
      </c>
      <c r="BE31" s="75">
        <v>0.13400000000000001</v>
      </c>
      <c r="BF31" s="75">
        <v>0.72799999999999998</v>
      </c>
      <c r="BG31" s="75">
        <v>0.13500000000000001</v>
      </c>
      <c r="BH31" s="75">
        <v>0.38800000000000001</v>
      </c>
      <c r="BI31" s="75">
        <v>0.06</v>
      </c>
      <c r="BJ31" s="75">
        <v>0.376</v>
      </c>
      <c r="BK31" s="75">
        <v>4.7E-2</v>
      </c>
      <c r="BL31" s="75">
        <v>0.77900000000000003</v>
      </c>
      <c r="BM31" s="75">
        <v>0.496</v>
      </c>
      <c r="BN31" s="75">
        <v>1.2010000000000001</v>
      </c>
      <c r="BO31" s="75">
        <v>0.128</v>
      </c>
      <c r="BP31" s="75">
        <v>14.9</v>
      </c>
      <c r="BQ31" s="75">
        <v>0.97</v>
      </c>
      <c r="BR31" s="75">
        <v>2.355</v>
      </c>
      <c r="BS31" s="75">
        <v>0.64100000000000001</v>
      </c>
      <c r="BT31" s="53"/>
      <c r="BU31" s="53"/>
      <c r="BV31" s="53"/>
      <c r="BW31" s="53"/>
      <c r="BX31" s="53"/>
      <c r="BY31" s="53"/>
      <c r="BZ31" s="53"/>
      <c r="CA31" s="53"/>
      <c r="CB31" s="53"/>
      <c r="CC31" s="53"/>
    </row>
    <row r="32" spans="1:81" s="39" customFormat="1">
      <c r="A32" s="53" t="s">
        <v>458</v>
      </c>
      <c r="B32" s="53" t="s">
        <v>459</v>
      </c>
      <c r="C32" s="291">
        <v>43890</v>
      </c>
      <c r="D32" s="53">
        <v>0.105117</v>
      </c>
      <c r="E32" s="53">
        <v>34.698954000000001</v>
      </c>
      <c r="F32" s="53" t="s">
        <v>359</v>
      </c>
      <c r="G32" s="292"/>
      <c r="H32" s="53" t="s">
        <v>347</v>
      </c>
      <c r="I32" s="154" t="s">
        <v>371</v>
      </c>
      <c r="J32" s="154" t="s">
        <v>687</v>
      </c>
      <c r="K32" s="53" t="s">
        <v>673</v>
      </c>
      <c r="L32" s="53" t="s">
        <v>685</v>
      </c>
      <c r="M32" s="53" t="s">
        <v>691</v>
      </c>
      <c r="N32" s="74">
        <v>1.7476122739279589</v>
      </c>
      <c r="O32" s="75">
        <v>6.96</v>
      </c>
      <c r="P32" s="75">
        <v>6.1126300000000002</v>
      </c>
      <c r="Q32" s="75">
        <v>29.1</v>
      </c>
      <c r="R32" s="75">
        <v>1.52</v>
      </c>
      <c r="S32" s="246">
        <v>5066</v>
      </c>
      <c r="T32" s="246">
        <v>4785</v>
      </c>
      <c r="U32" s="246">
        <v>71879</v>
      </c>
      <c r="V32" s="246">
        <v>301</v>
      </c>
      <c r="W32" s="246">
        <v>2066</v>
      </c>
      <c r="X32" s="246">
        <v>15972</v>
      </c>
      <c r="Y32" s="246">
        <v>4221</v>
      </c>
      <c r="Z32" s="246">
        <v>1760.6</v>
      </c>
      <c r="AA32" s="246">
        <v>109.9</v>
      </c>
      <c r="AB32" s="246">
        <v>194.6</v>
      </c>
      <c r="AC32" s="246">
        <v>785.3</v>
      </c>
      <c r="AD32" s="246">
        <v>34327</v>
      </c>
      <c r="AE32" s="75">
        <v>55.207999999999998</v>
      </c>
      <c r="AF32" s="75">
        <v>101.99</v>
      </c>
      <c r="AG32" s="75">
        <v>58.67</v>
      </c>
      <c r="AH32" s="75">
        <v>170</v>
      </c>
      <c r="AI32" s="75">
        <v>14.45</v>
      </c>
      <c r="AJ32" s="75">
        <v>1734.5</v>
      </c>
      <c r="AK32" s="75">
        <v>0.34</v>
      </c>
      <c r="AL32" s="75">
        <v>63.96</v>
      </c>
      <c r="AM32" s="75">
        <v>108.81</v>
      </c>
      <c r="AN32" s="75">
        <v>29.771000000000001</v>
      </c>
      <c r="AO32" s="75">
        <v>84.61</v>
      </c>
      <c r="AP32" s="75">
        <v>4.6970000000000001</v>
      </c>
      <c r="AQ32" s="75">
        <v>3.19</v>
      </c>
      <c r="AR32" s="75">
        <v>5.5720000000000001</v>
      </c>
      <c r="AS32" s="75">
        <v>1.208</v>
      </c>
      <c r="AT32" s="75">
        <v>1.25</v>
      </c>
      <c r="AU32" s="75">
        <v>7.5519999999999996</v>
      </c>
      <c r="AV32" s="75">
        <v>4.6749999999999998</v>
      </c>
      <c r="AW32" s="246">
        <v>278.64</v>
      </c>
      <c r="AX32" s="75">
        <v>61.997</v>
      </c>
      <c r="AY32" s="75">
        <v>77.581999999999994</v>
      </c>
      <c r="AZ32" s="75">
        <v>12.598000000000001</v>
      </c>
      <c r="BA32" s="75">
        <v>46.52</v>
      </c>
      <c r="BB32" s="75">
        <v>8.34</v>
      </c>
      <c r="BC32" s="75">
        <v>1.6930000000000001</v>
      </c>
      <c r="BD32" s="75">
        <v>6.7489999999999997</v>
      </c>
      <c r="BE32" s="75">
        <v>0.96599999999999997</v>
      </c>
      <c r="BF32" s="75">
        <v>5.1269999999999998</v>
      </c>
      <c r="BG32" s="75">
        <v>1.032</v>
      </c>
      <c r="BH32" s="75">
        <v>2.8</v>
      </c>
      <c r="BI32" s="75">
        <v>0.40300000000000002</v>
      </c>
      <c r="BJ32" s="75">
        <v>2.41</v>
      </c>
      <c r="BK32" s="75">
        <v>0.38400000000000001</v>
      </c>
      <c r="BL32" s="75">
        <v>2.5779999999999998</v>
      </c>
      <c r="BM32" s="75">
        <v>0.315</v>
      </c>
      <c r="BN32" s="75">
        <v>21.361999999999998</v>
      </c>
      <c r="BO32" s="75">
        <v>0.63600000000000001</v>
      </c>
      <c r="BP32" s="75">
        <v>326.2</v>
      </c>
      <c r="BQ32" s="75">
        <v>2.71</v>
      </c>
      <c r="BR32" s="75">
        <v>7.3719999999999999</v>
      </c>
      <c r="BS32" s="75">
        <v>4.093</v>
      </c>
      <c r="BT32" s="53"/>
      <c r="BU32" s="53"/>
      <c r="BV32" s="53"/>
      <c r="BW32" s="53"/>
      <c r="BX32" s="53"/>
      <c r="BY32" s="53"/>
      <c r="BZ32" s="53"/>
      <c r="CA32" s="53"/>
      <c r="CB32" s="53"/>
      <c r="CC32" s="53"/>
    </row>
    <row r="33" spans="1:81" s="39" customFormat="1">
      <c r="A33" s="53" t="s">
        <v>460</v>
      </c>
      <c r="B33" s="53" t="s">
        <v>461</v>
      </c>
      <c r="C33" s="291">
        <v>43890</v>
      </c>
      <c r="D33" s="53">
        <v>0.105629</v>
      </c>
      <c r="E33" s="53">
        <v>34.699337</v>
      </c>
      <c r="F33" s="53" t="s">
        <v>359</v>
      </c>
      <c r="G33" s="292"/>
      <c r="H33" s="53" t="s">
        <v>347</v>
      </c>
      <c r="I33" s="154" t="s">
        <v>371</v>
      </c>
      <c r="J33" s="154" t="s">
        <v>687</v>
      </c>
      <c r="K33" s="53" t="s">
        <v>673</v>
      </c>
      <c r="L33" s="53" t="s">
        <v>685</v>
      </c>
      <c r="M33" s="53" t="s">
        <v>691</v>
      </c>
      <c r="N33" s="74">
        <v>1.6064257028113533</v>
      </c>
      <c r="O33" s="75">
        <v>5.4</v>
      </c>
      <c r="P33" s="75">
        <v>4.1019999999999994</v>
      </c>
      <c r="Q33" s="75">
        <v>50.6</v>
      </c>
      <c r="R33" s="75">
        <v>2.2400000000000002</v>
      </c>
      <c r="S33" s="246">
        <v>6711</v>
      </c>
      <c r="T33" s="246">
        <v>1803</v>
      </c>
      <c r="U33" s="246">
        <v>94109</v>
      </c>
      <c r="V33" s="246">
        <v>393</v>
      </c>
      <c r="W33" s="246">
        <v>175</v>
      </c>
      <c r="X33" s="246">
        <v>18309</v>
      </c>
      <c r="Y33" s="246">
        <v>3820</v>
      </c>
      <c r="Z33" s="246">
        <v>2283.8000000000002</v>
      </c>
      <c r="AA33" s="246">
        <v>136.6</v>
      </c>
      <c r="AB33" s="246">
        <v>213.8</v>
      </c>
      <c r="AC33" s="246">
        <v>1633.9</v>
      </c>
      <c r="AD33" s="246">
        <v>41903</v>
      </c>
      <c r="AE33" s="75">
        <v>107.761</v>
      </c>
      <c r="AF33" s="75">
        <v>122.3</v>
      </c>
      <c r="AG33" s="75">
        <v>74.87</v>
      </c>
      <c r="AH33" s="75">
        <v>107</v>
      </c>
      <c r="AI33" s="75">
        <v>18.88</v>
      </c>
      <c r="AJ33" s="75">
        <v>533</v>
      </c>
      <c r="AK33" s="75">
        <v>0.33</v>
      </c>
      <c r="AL33" s="75">
        <v>74.2</v>
      </c>
      <c r="AM33" s="75">
        <v>160.44</v>
      </c>
      <c r="AN33" s="75">
        <v>38.831000000000003</v>
      </c>
      <c r="AO33" s="75">
        <v>118.41</v>
      </c>
      <c r="AP33" s="75">
        <v>8.7100000000000009</v>
      </c>
      <c r="AQ33" s="75">
        <v>4.5999999999999996</v>
      </c>
      <c r="AR33" s="75">
        <v>0.59699999999999998</v>
      </c>
      <c r="AS33" s="75">
        <v>0.42599999999999999</v>
      </c>
      <c r="AT33" s="75">
        <v>1.65</v>
      </c>
      <c r="AU33" s="75">
        <v>5.8940000000000001</v>
      </c>
      <c r="AV33" s="75">
        <v>5.0359999999999996</v>
      </c>
      <c r="AW33" s="246">
        <v>366.05</v>
      </c>
      <c r="AX33" s="75">
        <v>59.999000000000002</v>
      </c>
      <c r="AY33" s="75">
        <v>122.729</v>
      </c>
      <c r="AZ33" s="75">
        <v>13.46</v>
      </c>
      <c r="BA33" s="75">
        <v>50.82</v>
      </c>
      <c r="BB33" s="75">
        <v>9.5190000000000001</v>
      </c>
      <c r="BC33" s="75">
        <v>2.0390000000000001</v>
      </c>
      <c r="BD33" s="75">
        <v>7.7069999999999999</v>
      </c>
      <c r="BE33" s="75">
        <v>1.1659999999999999</v>
      </c>
      <c r="BF33" s="75">
        <v>6.5419999999999998</v>
      </c>
      <c r="BG33" s="75">
        <v>1.3660000000000001</v>
      </c>
      <c r="BH33" s="75">
        <v>3.734</v>
      </c>
      <c r="BI33" s="75">
        <v>0.53600000000000003</v>
      </c>
      <c r="BJ33" s="75">
        <v>3.169</v>
      </c>
      <c r="BK33" s="75">
        <v>0.47599999999999998</v>
      </c>
      <c r="BL33" s="75">
        <v>3.5369999999999999</v>
      </c>
      <c r="BM33" s="75">
        <v>0.54</v>
      </c>
      <c r="BN33" s="75">
        <v>8.3249999999999993</v>
      </c>
      <c r="BO33" s="75">
        <v>0.749</v>
      </c>
      <c r="BP33" s="75">
        <v>111.6</v>
      </c>
      <c r="BQ33" s="75">
        <v>0.96</v>
      </c>
      <c r="BR33" s="75">
        <v>10.141999999999999</v>
      </c>
      <c r="BS33" s="75">
        <v>5.0640000000000001</v>
      </c>
      <c r="BT33" s="53"/>
      <c r="BU33" s="53"/>
      <c r="BV33" s="53"/>
      <c r="BW33" s="53"/>
      <c r="BX33" s="53"/>
      <c r="BY33" s="53"/>
      <c r="BZ33" s="53"/>
      <c r="CA33" s="53"/>
      <c r="CB33" s="53"/>
      <c r="CC33" s="53"/>
    </row>
    <row r="34" spans="1:81" s="39" customFormat="1">
      <c r="A34" s="53" t="s">
        <v>462</v>
      </c>
      <c r="B34" s="53" t="s">
        <v>461</v>
      </c>
      <c r="C34" s="291">
        <v>43890</v>
      </c>
      <c r="D34" s="53">
        <v>0.105629</v>
      </c>
      <c r="E34" s="53">
        <v>34.699337</v>
      </c>
      <c r="F34" s="53" t="s">
        <v>359</v>
      </c>
      <c r="G34" s="292"/>
      <c r="H34" s="53" t="s">
        <v>347</v>
      </c>
      <c r="I34" s="154" t="s">
        <v>371</v>
      </c>
      <c r="J34" s="154" t="s">
        <v>687</v>
      </c>
      <c r="K34" s="53" t="s">
        <v>673</v>
      </c>
      <c r="L34" s="53" t="s">
        <v>685</v>
      </c>
      <c r="M34" s="53" t="s">
        <v>691</v>
      </c>
      <c r="N34" s="74" t="s">
        <v>288</v>
      </c>
      <c r="O34" s="75" t="s">
        <v>288</v>
      </c>
      <c r="P34" s="74" t="s">
        <v>288</v>
      </c>
      <c r="Q34" s="75">
        <v>51</v>
      </c>
      <c r="R34" s="75">
        <v>1.72</v>
      </c>
      <c r="S34" s="246">
        <v>6602</v>
      </c>
      <c r="T34" s="246">
        <v>1758</v>
      </c>
      <c r="U34" s="246">
        <v>91003</v>
      </c>
      <c r="V34" s="246">
        <v>395</v>
      </c>
      <c r="W34" s="246">
        <v>181</v>
      </c>
      <c r="X34" s="246">
        <v>18366</v>
      </c>
      <c r="Y34" s="246">
        <v>3968</v>
      </c>
      <c r="Z34" s="246">
        <v>2312.1</v>
      </c>
      <c r="AA34" s="246">
        <v>136.5</v>
      </c>
      <c r="AB34" s="246">
        <v>213.1</v>
      </c>
      <c r="AC34" s="246">
        <v>1605.6</v>
      </c>
      <c r="AD34" s="246">
        <v>41938</v>
      </c>
      <c r="AE34" s="75">
        <v>106.148</v>
      </c>
      <c r="AF34" s="75">
        <v>124.39</v>
      </c>
      <c r="AG34" s="75">
        <v>74.739999999999995</v>
      </c>
      <c r="AH34" s="75">
        <v>109</v>
      </c>
      <c r="AI34" s="75">
        <v>18.36</v>
      </c>
      <c r="AJ34" s="75">
        <v>528.6</v>
      </c>
      <c r="AK34" s="75">
        <v>0.35</v>
      </c>
      <c r="AL34" s="75">
        <v>73.81</v>
      </c>
      <c r="AM34" s="75">
        <v>158.88</v>
      </c>
      <c r="AN34" s="75">
        <v>38.54</v>
      </c>
      <c r="AO34" s="75">
        <v>117.96</v>
      </c>
      <c r="AP34" s="75">
        <v>8.9529999999999994</v>
      </c>
      <c r="AQ34" s="75">
        <v>4.74</v>
      </c>
      <c r="AR34" s="75">
        <v>0.622</v>
      </c>
      <c r="AS34" s="75">
        <v>0.40600000000000003</v>
      </c>
      <c r="AT34" s="75">
        <v>1.74</v>
      </c>
      <c r="AU34" s="75">
        <v>5.7750000000000004</v>
      </c>
      <c r="AV34" s="75">
        <v>5.157</v>
      </c>
      <c r="AW34" s="246">
        <v>361.84</v>
      </c>
      <c r="AX34" s="75">
        <v>60.451000000000001</v>
      </c>
      <c r="AY34" s="75">
        <v>120.747</v>
      </c>
      <c r="AZ34" s="75">
        <v>13.565</v>
      </c>
      <c r="BA34" s="75">
        <v>51.02</v>
      </c>
      <c r="BB34" s="75">
        <v>9.4179999999999993</v>
      </c>
      <c r="BC34" s="75">
        <v>2.0270000000000001</v>
      </c>
      <c r="BD34" s="75">
        <v>7.6769999999999996</v>
      </c>
      <c r="BE34" s="75">
        <v>1.222</v>
      </c>
      <c r="BF34" s="75">
        <v>6.4279999999999999</v>
      </c>
      <c r="BG34" s="75">
        <v>1.393</v>
      </c>
      <c r="BH34" s="75">
        <v>3.77</v>
      </c>
      <c r="BI34" s="75">
        <v>0.53100000000000003</v>
      </c>
      <c r="BJ34" s="75">
        <v>3.274</v>
      </c>
      <c r="BK34" s="75">
        <v>0.501</v>
      </c>
      <c r="BL34" s="75">
        <v>3.6190000000000002</v>
      </c>
      <c r="BM34" s="75">
        <v>0.56399999999999995</v>
      </c>
      <c r="BN34" s="75">
        <v>8.4830000000000005</v>
      </c>
      <c r="BO34" s="75">
        <v>0.74</v>
      </c>
      <c r="BP34" s="75">
        <v>111.2</v>
      </c>
      <c r="BQ34" s="75">
        <v>0.94</v>
      </c>
      <c r="BR34" s="75">
        <v>10.215999999999999</v>
      </c>
      <c r="BS34" s="75">
        <v>5.0999999999999996</v>
      </c>
      <c r="BT34" s="53"/>
      <c r="BU34" s="53"/>
      <c r="BV34" s="53"/>
      <c r="BW34" s="53"/>
      <c r="BX34" s="53"/>
      <c r="BY34" s="53"/>
      <c r="BZ34" s="53"/>
      <c r="CA34" s="53"/>
      <c r="CB34" s="53"/>
      <c r="CC34" s="53"/>
    </row>
    <row r="35" spans="1:81" s="39" customFormat="1">
      <c r="A35" s="53" t="s">
        <v>463</v>
      </c>
      <c r="B35" s="53" t="s">
        <v>464</v>
      </c>
      <c r="C35" s="180">
        <v>43891</v>
      </c>
      <c r="D35" s="53">
        <v>0.10255300000000001</v>
      </c>
      <c r="E35" s="53">
        <v>34.713514000000004</v>
      </c>
      <c r="F35" s="53" t="s">
        <v>344</v>
      </c>
      <c r="G35" s="292"/>
      <c r="H35" s="53" t="s">
        <v>347</v>
      </c>
      <c r="I35" s="154" t="s">
        <v>371</v>
      </c>
      <c r="J35" s="154" t="s">
        <v>687</v>
      </c>
      <c r="K35" s="53" t="s">
        <v>673</v>
      </c>
      <c r="L35" s="53" t="s">
        <v>685</v>
      </c>
      <c r="M35" s="53" t="s">
        <v>691</v>
      </c>
      <c r="N35" s="74">
        <v>0.69787029238367204</v>
      </c>
      <c r="O35" s="75">
        <v>7.65</v>
      </c>
      <c r="P35" s="75">
        <v>9.3978200000000012</v>
      </c>
      <c r="Q35" s="75">
        <v>25.3</v>
      </c>
      <c r="R35" s="75">
        <v>1.0900000000000001</v>
      </c>
      <c r="S35" s="246">
        <v>12097</v>
      </c>
      <c r="T35" s="246">
        <v>12375</v>
      </c>
      <c r="U35" s="246">
        <v>83376</v>
      </c>
      <c r="V35" s="246">
        <v>897</v>
      </c>
      <c r="W35" s="246">
        <v>5708</v>
      </c>
      <c r="X35" s="246">
        <v>25274</v>
      </c>
      <c r="Y35" s="246">
        <v>32851</v>
      </c>
      <c r="Z35" s="246">
        <v>3807.5</v>
      </c>
      <c r="AA35" s="246">
        <v>89.2</v>
      </c>
      <c r="AB35" s="246">
        <v>144.5</v>
      </c>
      <c r="AC35" s="246">
        <v>1018.7</v>
      </c>
      <c r="AD35" s="246">
        <v>31836</v>
      </c>
      <c r="AE35" s="75">
        <v>19.893000000000001</v>
      </c>
      <c r="AF35" s="75">
        <v>65.41</v>
      </c>
      <c r="AG35" s="75">
        <v>21.51</v>
      </c>
      <c r="AH35" s="75">
        <v>87</v>
      </c>
      <c r="AI35" s="75">
        <v>15.44</v>
      </c>
      <c r="AJ35" s="75">
        <v>6462.7</v>
      </c>
      <c r="AK35" s="75">
        <v>0.14000000000000001</v>
      </c>
      <c r="AL35" s="75">
        <v>70.790000000000006</v>
      </c>
      <c r="AM35" s="75">
        <v>340.86</v>
      </c>
      <c r="AN35" s="75">
        <v>10.077999999999999</v>
      </c>
      <c r="AO35" s="75">
        <v>52.98</v>
      </c>
      <c r="AP35" s="75">
        <v>5.0469999999999997</v>
      </c>
      <c r="AQ35" s="75">
        <v>0.77</v>
      </c>
      <c r="AR35" s="75">
        <v>1.7749999999999999</v>
      </c>
      <c r="AS35" s="75">
        <v>0.52200000000000002</v>
      </c>
      <c r="AT35" s="75">
        <v>1</v>
      </c>
      <c r="AU35" s="75">
        <v>2.6379999999999999</v>
      </c>
      <c r="AV35" s="75">
        <v>2.746</v>
      </c>
      <c r="AW35" s="246">
        <v>552.15</v>
      </c>
      <c r="AX35" s="75">
        <v>20.541</v>
      </c>
      <c r="AY35" s="75">
        <v>50.18</v>
      </c>
      <c r="AZ35" s="75">
        <v>6.2270000000000003</v>
      </c>
      <c r="BA35" s="75">
        <v>26.02</v>
      </c>
      <c r="BB35" s="75">
        <v>4.9710000000000001</v>
      </c>
      <c r="BC35" s="75">
        <v>1.387</v>
      </c>
      <c r="BD35" s="75">
        <v>3.4510000000000001</v>
      </c>
      <c r="BE35" s="75">
        <v>0.46300000000000002</v>
      </c>
      <c r="BF35" s="75">
        <v>2.2080000000000002</v>
      </c>
      <c r="BG35" s="75">
        <v>0.39700000000000002</v>
      </c>
      <c r="BH35" s="75">
        <v>0.93300000000000005</v>
      </c>
      <c r="BI35" s="75">
        <v>0.125</v>
      </c>
      <c r="BJ35" s="75">
        <v>0.70499999999999996</v>
      </c>
      <c r="BK35" s="75">
        <v>9.4E-2</v>
      </c>
      <c r="BL35" s="75">
        <v>1.5620000000000001</v>
      </c>
      <c r="BM35" s="75">
        <v>0.30399999999999999</v>
      </c>
      <c r="BN35" s="75">
        <v>4.6539999999999999</v>
      </c>
      <c r="BO35" s="75">
        <v>0.42</v>
      </c>
      <c r="BP35" s="75">
        <v>65.8</v>
      </c>
      <c r="BQ35" s="75">
        <v>2.91</v>
      </c>
      <c r="BR35" s="75">
        <v>1.8440000000000001</v>
      </c>
      <c r="BS35" s="75">
        <v>0.65</v>
      </c>
      <c r="BT35" s="53"/>
      <c r="BU35" s="53"/>
      <c r="BV35" s="53"/>
      <c r="BW35" s="53"/>
      <c r="BX35" s="53"/>
      <c r="BY35" s="53"/>
      <c r="BZ35" s="53"/>
      <c r="CA35" s="53"/>
      <c r="CB35" s="53"/>
      <c r="CC35" s="53"/>
    </row>
    <row r="36" spans="1:81" s="39" customFormat="1">
      <c r="A36" s="53" t="s">
        <v>465</v>
      </c>
      <c r="B36" s="53" t="s">
        <v>466</v>
      </c>
      <c r="C36" s="180">
        <v>43891</v>
      </c>
      <c r="D36" s="53">
        <v>0.15733900000000001</v>
      </c>
      <c r="E36" s="53">
        <v>34.817802</v>
      </c>
      <c r="F36" s="53" t="s">
        <v>679</v>
      </c>
      <c r="G36" s="292"/>
      <c r="H36" s="53" t="s">
        <v>347</v>
      </c>
      <c r="I36" s="154" t="s">
        <v>371</v>
      </c>
      <c r="J36" s="154" t="s">
        <v>687</v>
      </c>
      <c r="K36" s="53" t="s">
        <v>675</v>
      </c>
      <c r="L36" s="53" t="s">
        <v>684</v>
      </c>
      <c r="M36" s="53" t="s">
        <v>683</v>
      </c>
      <c r="N36" s="74">
        <v>0.47403349836723541</v>
      </c>
      <c r="O36" s="75">
        <v>5.93</v>
      </c>
      <c r="P36" s="75">
        <v>3.643005</v>
      </c>
      <c r="Q36" s="75">
        <v>9.4</v>
      </c>
      <c r="R36" s="75">
        <v>0.49</v>
      </c>
      <c r="S36" s="246">
        <v>2653</v>
      </c>
      <c r="T36" s="246">
        <v>1295</v>
      </c>
      <c r="U36" s="246">
        <v>25495</v>
      </c>
      <c r="V36" s="246">
        <v>98</v>
      </c>
      <c r="W36" s="246">
        <v>382</v>
      </c>
      <c r="X36" s="246">
        <v>8434</v>
      </c>
      <c r="Y36" s="246">
        <v>1521</v>
      </c>
      <c r="Z36" s="246">
        <v>913.2</v>
      </c>
      <c r="AA36" s="246">
        <v>23.7</v>
      </c>
      <c r="AB36" s="246">
        <v>51.6</v>
      </c>
      <c r="AC36" s="246">
        <v>159.5</v>
      </c>
      <c r="AD36" s="246">
        <v>10716</v>
      </c>
      <c r="AE36" s="75">
        <v>9.7769999999999992</v>
      </c>
      <c r="AF36" s="75">
        <v>11.44</v>
      </c>
      <c r="AG36" s="75">
        <v>8.83</v>
      </c>
      <c r="AH36" s="75">
        <v>21</v>
      </c>
      <c r="AI36" s="75">
        <v>5.16</v>
      </c>
      <c r="AJ36" s="75">
        <v>169.6</v>
      </c>
      <c r="AK36" s="75">
        <v>0.1</v>
      </c>
      <c r="AL36" s="75">
        <v>33.14</v>
      </c>
      <c r="AM36" s="75">
        <v>33.950000000000003</v>
      </c>
      <c r="AN36" s="75">
        <v>4.7409999999999997</v>
      </c>
      <c r="AO36" s="75">
        <v>48.7</v>
      </c>
      <c r="AP36" s="75">
        <v>5.8979999999999997</v>
      </c>
      <c r="AQ36" s="75">
        <v>0.83</v>
      </c>
      <c r="AR36" s="75">
        <v>0.78700000000000003</v>
      </c>
      <c r="AS36" s="75">
        <v>5.3999999999999999E-2</v>
      </c>
      <c r="AT36" s="75">
        <v>0.56999999999999995</v>
      </c>
      <c r="AU36" s="75">
        <v>0.64600000000000002</v>
      </c>
      <c r="AV36" s="75">
        <v>1.232</v>
      </c>
      <c r="AW36" s="246">
        <v>224.36</v>
      </c>
      <c r="AX36" s="75">
        <v>14.59</v>
      </c>
      <c r="AY36" s="75">
        <v>35.265999999999998</v>
      </c>
      <c r="AZ36" s="75">
        <v>2.91</v>
      </c>
      <c r="BA36" s="75">
        <v>10.19</v>
      </c>
      <c r="BB36" s="75">
        <v>1.8049999999999999</v>
      </c>
      <c r="BC36" s="75">
        <v>0.32500000000000001</v>
      </c>
      <c r="BD36" s="75">
        <v>1.272</v>
      </c>
      <c r="BE36" s="75">
        <v>0.185</v>
      </c>
      <c r="BF36" s="75">
        <v>0.93600000000000005</v>
      </c>
      <c r="BG36" s="75">
        <v>0.191</v>
      </c>
      <c r="BH36" s="75">
        <v>0.52700000000000002</v>
      </c>
      <c r="BI36" s="75">
        <v>7.8E-2</v>
      </c>
      <c r="BJ36" s="75">
        <v>0.56599999999999995</v>
      </c>
      <c r="BK36" s="75">
        <v>0.09</v>
      </c>
      <c r="BL36" s="75">
        <v>1.472</v>
      </c>
      <c r="BM36" s="75">
        <v>0.41799999999999998</v>
      </c>
      <c r="BN36" s="75">
        <v>2.3860000000000001</v>
      </c>
      <c r="BO36" s="75">
        <v>0.23200000000000001</v>
      </c>
      <c r="BP36" s="75">
        <v>15.4</v>
      </c>
      <c r="BQ36" s="75">
        <v>0.57999999999999996</v>
      </c>
      <c r="BR36" s="75">
        <v>6.3479999999999999</v>
      </c>
      <c r="BS36" s="75">
        <v>1.4239999999999999</v>
      </c>
      <c r="BT36" s="53"/>
      <c r="BU36" s="53"/>
      <c r="BV36" s="53"/>
      <c r="BW36" s="53"/>
      <c r="BX36" s="53"/>
      <c r="BY36" s="53"/>
      <c r="BZ36" s="53"/>
      <c r="CA36" s="53"/>
      <c r="CB36" s="53"/>
      <c r="CC36" s="53"/>
    </row>
    <row r="37" spans="1:81" s="39" customFormat="1" ht="12" customHeight="1">
      <c r="A37" s="53" t="s">
        <v>467</v>
      </c>
      <c r="B37" s="53" t="s">
        <v>468</v>
      </c>
      <c r="C37" s="155" t="s">
        <v>342</v>
      </c>
      <c r="D37" s="53">
        <v>0.15733900000000001</v>
      </c>
      <c r="E37" s="53">
        <v>34.817802</v>
      </c>
      <c r="F37" s="53" t="s">
        <v>679</v>
      </c>
      <c r="G37" s="53" t="s">
        <v>334</v>
      </c>
      <c r="H37" s="116" t="s">
        <v>347</v>
      </c>
      <c r="I37" s="154" t="s">
        <v>371</v>
      </c>
      <c r="J37" s="154" t="s">
        <v>687</v>
      </c>
      <c r="K37" s="53" t="s">
        <v>673</v>
      </c>
      <c r="L37" s="53" t="s">
        <v>685</v>
      </c>
      <c r="M37" s="53" t="s">
        <v>691</v>
      </c>
      <c r="N37" s="74">
        <v>0.63539129513927939</v>
      </c>
      <c r="O37" s="75">
        <v>7.41</v>
      </c>
      <c r="P37" s="75">
        <v>1.09558</v>
      </c>
      <c r="Q37" s="75">
        <v>7.3</v>
      </c>
      <c r="R37" s="75">
        <v>0.39</v>
      </c>
      <c r="S37" s="246">
        <v>2808</v>
      </c>
      <c r="T37" s="246">
        <v>1240</v>
      </c>
      <c r="U37" s="246">
        <v>18309</v>
      </c>
      <c r="V37" s="246">
        <v>84</v>
      </c>
      <c r="W37" s="246">
        <v>699</v>
      </c>
      <c r="X37" s="246">
        <v>4947</v>
      </c>
      <c r="Y37" s="246">
        <v>1876</v>
      </c>
      <c r="Z37" s="246">
        <v>524.29999999999995</v>
      </c>
      <c r="AA37" s="246">
        <v>21.1</v>
      </c>
      <c r="AB37" s="246">
        <v>103.2</v>
      </c>
      <c r="AC37" s="246">
        <v>227.6</v>
      </c>
      <c r="AD37" s="246">
        <v>11292</v>
      </c>
      <c r="AE37" s="75">
        <v>8.5760000000000005</v>
      </c>
      <c r="AF37" s="75">
        <v>10.87</v>
      </c>
      <c r="AG37" s="75">
        <v>11.96</v>
      </c>
      <c r="AH37" s="75">
        <v>30</v>
      </c>
      <c r="AI37" s="75">
        <v>3.89</v>
      </c>
      <c r="AJ37" s="75">
        <v>343</v>
      </c>
      <c r="AK37" s="75">
        <v>0.21</v>
      </c>
      <c r="AL37" s="75">
        <v>19.239999999999998</v>
      </c>
      <c r="AM37" s="75">
        <v>25.55</v>
      </c>
      <c r="AN37" s="75">
        <v>3.8580000000000001</v>
      </c>
      <c r="AO37" s="75">
        <v>28.1</v>
      </c>
      <c r="AP37" s="75">
        <v>3.1110000000000002</v>
      </c>
      <c r="AQ37" s="75">
        <v>1.01</v>
      </c>
      <c r="AR37" s="75">
        <v>0.40899999999999997</v>
      </c>
      <c r="AS37" s="75">
        <v>0.1</v>
      </c>
      <c r="AT37" s="75">
        <v>0.43</v>
      </c>
      <c r="AU37" s="75">
        <v>0.77200000000000002</v>
      </c>
      <c r="AV37" s="75">
        <v>0.84899999999999998</v>
      </c>
      <c r="AW37" s="246">
        <v>145.11000000000001</v>
      </c>
      <c r="AX37" s="75">
        <v>11.125999999999999</v>
      </c>
      <c r="AY37" s="75">
        <v>25.094999999999999</v>
      </c>
      <c r="AZ37" s="75">
        <v>2.2050000000000001</v>
      </c>
      <c r="BA37" s="75">
        <v>7.55</v>
      </c>
      <c r="BB37" s="75">
        <v>1.264</v>
      </c>
      <c r="BC37" s="75">
        <v>0.26700000000000002</v>
      </c>
      <c r="BD37" s="75">
        <v>0.91500000000000004</v>
      </c>
      <c r="BE37" s="75">
        <v>0.13500000000000001</v>
      </c>
      <c r="BF37" s="75">
        <v>0.753</v>
      </c>
      <c r="BG37" s="75">
        <v>0.14399999999999999</v>
      </c>
      <c r="BH37" s="75">
        <v>0.45300000000000001</v>
      </c>
      <c r="BI37" s="75">
        <v>6.4000000000000001E-2</v>
      </c>
      <c r="BJ37" s="75">
        <v>0.42399999999999999</v>
      </c>
      <c r="BK37" s="75">
        <v>7.1999999999999995E-2</v>
      </c>
      <c r="BL37" s="75">
        <v>0.83099999999999996</v>
      </c>
      <c r="BM37" s="75">
        <v>0.189</v>
      </c>
      <c r="BN37" s="75">
        <v>2.1379999999999999</v>
      </c>
      <c r="BO37" s="75">
        <v>0.16500000000000001</v>
      </c>
      <c r="BP37" s="75">
        <v>17.399999999999999</v>
      </c>
      <c r="BQ37" s="75">
        <v>0.6</v>
      </c>
      <c r="BR37" s="75">
        <v>3.3730000000000002</v>
      </c>
      <c r="BS37" s="75">
        <v>0.98399999999999999</v>
      </c>
      <c r="BT37" s="53"/>
      <c r="BU37" s="53"/>
      <c r="BV37" s="53"/>
      <c r="BW37" s="53"/>
      <c r="BX37" s="53"/>
      <c r="BY37" s="53"/>
      <c r="BZ37" s="53"/>
      <c r="CA37" s="53"/>
      <c r="CB37" s="53"/>
      <c r="CC37" s="53"/>
    </row>
    <row r="38" spans="1:81" s="39" customFormat="1" ht="12" customHeight="1">
      <c r="A38" s="53" t="s">
        <v>469</v>
      </c>
      <c r="B38" s="53" t="s">
        <v>470</v>
      </c>
      <c r="C38" s="155" t="s">
        <v>342</v>
      </c>
      <c r="D38" s="53">
        <v>0.156809</v>
      </c>
      <c r="E38" s="53">
        <v>34.818221000000001</v>
      </c>
      <c r="F38" s="53" t="s">
        <v>679</v>
      </c>
      <c r="G38" s="53" t="s">
        <v>334</v>
      </c>
      <c r="H38" s="53" t="s">
        <v>347</v>
      </c>
      <c r="I38" s="154" t="s">
        <v>371</v>
      </c>
      <c r="J38" s="154" t="s">
        <v>687</v>
      </c>
      <c r="K38" s="53" t="s">
        <v>673</v>
      </c>
      <c r="L38" s="53" t="s">
        <v>685</v>
      </c>
      <c r="M38" s="53" t="s">
        <v>691</v>
      </c>
      <c r="N38" s="74">
        <v>1.9840150446638962</v>
      </c>
      <c r="O38" s="75">
        <v>6.61</v>
      </c>
      <c r="P38" s="75">
        <v>6.1019500000000004</v>
      </c>
      <c r="Q38" s="75">
        <v>13</v>
      </c>
      <c r="R38" s="75">
        <v>0.85</v>
      </c>
      <c r="S38" s="246">
        <v>3602</v>
      </c>
      <c r="T38" s="246">
        <v>2404</v>
      </c>
      <c r="U38" s="246">
        <v>38667</v>
      </c>
      <c r="V38" s="246">
        <v>155</v>
      </c>
      <c r="W38" s="246">
        <v>1995</v>
      </c>
      <c r="X38" s="246">
        <v>10230</v>
      </c>
      <c r="Y38" s="246">
        <v>2216</v>
      </c>
      <c r="Z38" s="246">
        <v>1120.5999999999999</v>
      </c>
      <c r="AA38" s="246">
        <v>37</v>
      </c>
      <c r="AB38" s="246">
        <v>173.3</v>
      </c>
      <c r="AC38" s="246">
        <v>226.1</v>
      </c>
      <c r="AD38" s="246">
        <v>16867</v>
      </c>
      <c r="AE38" s="75">
        <v>11.49</v>
      </c>
      <c r="AF38" s="75">
        <v>18.05</v>
      </c>
      <c r="AG38" s="75">
        <v>18</v>
      </c>
      <c r="AH38" s="75">
        <v>43</v>
      </c>
      <c r="AI38" s="75">
        <v>8.2799999999999994</v>
      </c>
      <c r="AJ38" s="75">
        <v>765.8</v>
      </c>
      <c r="AK38" s="75">
        <v>0.4</v>
      </c>
      <c r="AL38" s="75">
        <v>42.35</v>
      </c>
      <c r="AM38" s="75">
        <v>34.44</v>
      </c>
      <c r="AN38" s="75">
        <v>6.7990000000000004</v>
      </c>
      <c r="AO38" s="75">
        <v>61.45</v>
      </c>
      <c r="AP38" s="75">
        <v>8.3209999999999997</v>
      </c>
      <c r="AQ38" s="75">
        <v>1.58</v>
      </c>
      <c r="AR38" s="75">
        <v>1.0409999999999999</v>
      </c>
      <c r="AS38" s="75">
        <v>0.185</v>
      </c>
      <c r="AT38" s="75">
        <v>0.9</v>
      </c>
      <c r="AU38" s="75">
        <v>1.5269999999999999</v>
      </c>
      <c r="AV38" s="75">
        <v>1.863</v>
      </c>
      <c r="AW38" s="246">
        <v>285.63</v>
      </c>
      <c r="AX38" s="75">
        <v>20.149000000000001</v>
      </c>
      <c r="AY38" s="75">
        <v>41.087000000000003</v>
      </c>
      <c r="AZ38" s="75">
        <v>3.8079999999999998</v>
      </c>
      <c r="BA38" s="75">
        <v>13.34</v>
      </c>
      <c r="BB38" s="75">
        <v>2.2810000000000001</v>
      </c>
      <c r="BC38" s="75">
        <v>0.48899999999999999</v>
      </c>
      <c r="BD38" s="75">
        <v>1.6459999999999999</v>
      </c>
      <c r="BE38" s="75">
        <v>0.23899999999999999</v>
      </c>
      <c r="BF38" s="75">
        <v>1.321</v>
      </c>
      <c r="BG38" s="75">
        <v>0.28499999999999998</v>
      </c>
      <c r="BH38" s="75">
        <v>0.748</v>
      </c>
      <c r="BI38" s="75">
        <v>0.12</v>
      </c>
      <c r="BJ38" s="75">
        <v>0.79900000000000004</v>
      </c>
      <c r="BK38" s="75">
        <v>0.122</v>
      </c>
      <c r="BL38" s="75">
        <v>1.913</v>
      </c>
      <c r="BM38" s="75">
        <v>0.51400000000000001</v>
      </c>
      <c r="BN38" s="75">
        <v>3.69</v>
      </c>
      <c r="BO38" s="75">
        <v>0.33900000000000002</v>
      </c>
      <c r="BP38" s="75">
        <v>42.6</v>
      </c>
      <c r="BQ38" s="75">
        <v>1.42</v>
      </c>
      <c r="BR38" s="75">
        <v>7.5250000000000004</v>
      </c>
      <c r="BS38" s="75">
        <v>2.1640000000000001</v>
      </c>
      <c r="BT38" s="53"/>
      <c r="BU38" s="53"/>
      <c r="BV38" s="53"/>
      <c r="BW38" s="53"/>
      <c r="BX38" s="53"/>
      <c r="BY38" s="53"/>
      <c r="BZ38" s="53"/>
      <c r="CA38" s="53"/>
      <c r="CB38" s="53"/>
      <c r="CC38" s="53"/>
    </row>
    <row r="39" spans="1:81" s="39" customFormat="1" ht="12" customHeight="1">
      <c r="A39" s="53" t="s">
        <v>471</v>
      </c>
      <c r="B39" s="53" t="s">
        <v>472</v>
      </c>
      <c r="C39" s="155" t="s">
        <v>342</v>
      </c>
      <c r="D39" s="53">
        <v>0.156392</v>
      </c>
      <c r="E39" s="53">
        <v>34.817486000000002</v>
      </c>
      <c r="F39" s="53" t="s">
        <v>679</v>
      </c>
      <c r="G39" s="53" t="s">
        <v>334</v>
      </c>
      <c r="H39" s="53" t="s">
        <v>347</v>
      </c>
      <c r="I39" s="154" t="s">
        <v>371</v>
      </c>
      <c r="J39" s="154" t="s">
        <v>687</v>
      </c>
      <c r="K39" s="53" t="s">
        <v>673</v>
      </c>
      <c r="L39" s="53" t="s">
        <v>685</v>
      </c>
      <c r="M39" s="53" t="s">
        <v>691</v>
      </c>
      <c r="N39" s="74">
        <v>0.24903780846750892</v>
      </c>
      <c r="O39" s="75">
        <v>7.5</v>
      </c>
      <c r="P39" s="75">
        <v>0.72155999999999998</v>
      </c>
      <c r="Q39" s="75">
        <v>6</v>
      </c>
      <c r="R39" s="75">
        <v>0.22</v>
      </c>
      <c r="S39" s="246">
        <v>3809</v>
      </c>
      <c r="T39" s="246">
        <v>1229</v>
      </c>
      <c r="U39" s="246">
        <v>14554</v>
      </c>
      <c r="V39" s="246">
        <v>48</v>
      </c>
      <c r="W39" s="246">
        <v>705</v>
      </c>
      <c r="X39" s="246">
        <v>4791</v>
      </c>
      <c r="Y39" s="246">
        <v>2310</v>
      </c>
      <c r="Z39" s="246">
        <v>337.3</v>
      </c>
      <c r="AA39" s="246">
        <v>7.7</v>
      </c>
      <c r="AB39" s="246">
        <v>57.6</v>
      </c>
      <c r="AC39" s="246">
        <v>49.1</v>
      </c>
      <c r="AD39" s="246">
        <v>3632</v>
      </c>
      <c r="AE39" s="75">
        <v>1.43</v>
      </c>
      <c r="AF39" s="75">
        <v>3.15</v>
      </c>
      <c r="AG39" s="75">
        <v>4.8499999999999996</v>
      </c>
      <c r="AH39" s="75">
        <v>12</v>
      </c>
      <c r="AI39" s="75">
        <v>2.54</v>
      </c>
      <c r="AJ39" s="75">
        <v>381.7</v>
      </c>
      <c r="AK39" s="75">
        <v>0.05</v>
      </c>
      <c r="AL39" s="75">
        <v>18.97</v>
      </c>
      <c r="AM39" s="75">
        <v>30.97</v>
      </c>
      <c r="AN39" s="75">
        <v>2.4220000000000002</v>
      </c>
      <c r="AO39" s="75">
        <v>17.02</v>
      </c>
      <c r="AP39" s="75">
        <v>1.129</v>
      </c>
      <c r="AQ39" s="75">
        <v>0.55000000000000004</v>
      </c>
      <c r="AR39" s="75">
        <v>0.26300000000000001</v>
      </c>
      <c r="AS39" s="75">
        <v>5.6000000000000001E-2</v>
      </c>
      <c r="AT39" s="75">
        <v>0.28999999999999998</v>
      </c>
      <c r="AU39" s="75">
        <v>0.77100000000000002</v>
      </c>
      <c r="AV39" s="75">
        <v>0.78800000000000003</v>
      </c>
      <c r="AW39" s="246">
        <v>125.97</v>
      </c>
      <c r="AX39" s="75">
        <v>9.3239999999999998</v>
      </c>
      <c r="AY39" s="75">
        <v>16.888000000000002</v>
      </c>
      <c r="AZ39" s="75">
        <v>1.7889999999999999</v>
      </c>
      <c r="BA39" s="75">
        <v>6.07</v>
      </c>
      <c r="BB39" s="75">
        <v>0.89900000000000002</v>
      </c>
      <c r="BC39" s="75">
        <v>0.188</v>
      </c>
      <c r="BD39" s="75">
        <v>0.60399999999999998</v>
      </c>
      <c r="BE39" s="75">
        <v>8.8999999999999996E-2</v>
      </c>
      <c r="BF39" s="75">
        <v>0.441</v>
      </c>
      <c r="BG39" s="75">
        <v>9.0999999999999998E-2</v>
      </c>
      <c r="BH39" s="75">
        <v>0.24199999999999999</v>
      </c>
      <c r="BI39" s="75">
        <v>3.9E-2</v>
      </c>
      <c r="BJ39" s="75">
        <v>0.23</v>
      </c>
      <c r="BK39" s="75">
        <v>3.7999999999999999E-2</v>
      </c>
      <c r="BL39" s="75">
        <v>0.54300000000000004</v>
      </c>
      <c r="BM39" s="75">
        <v>8.8999999999999996E-2</v>
      </c>
      <c r="BN39" s="75">
        <v>1.4079999999999999</v>
      </c>
      <c r="BO39" s="75">
        <v>0.13500000000000001</v>
      </c>
      <c r="BP39" s="75">
        <v>17.5</v>
      </c>
      <c r="BQ39" s="75">
        <v>0.9</v>
      </c>
      <c r="BR39" s="75">
        <v>3.2829999999999999</v>
      </c>
      <c r="BS39" s="75">
        <v>0.82599999999999996</v>
      </c>
      <c r="BT39" s="53"/>
      <c r="BU39" s="53"/>
      <c r="BV39" s="53"/>
      <c r="BW39" s="53"/>
      <c r="BX39" s="53"/>
      <c r="BY39" s="53"/>
      <c r="BZ39" s="53"/>
      <c r="CA39" s="53"/>
      <c r="CB39" s="53"/>
      <c r="CC39" s="53"/>
    </row>
    <row r="40" spans="1:81" s="39" customFormat="1">
      <c r="A40" s="53" t="s">
        <v>473</v>
      </c>
      <c r="B40" s="53" t="s">
        <v>474</v>
      </c>
      <c r="C40" s="180">
        <v>44065</v>
      </c>
      <c r="D40" s="53">
        <v>0.46604000000000001</v>
      </c>
      <c r="E40" s="53">
        <v>34.870392000000002</v>
      </c>
      <c r="F40" s="53" t="s">
        <v>331</v>
      </c>
      <c r="G40" s="53" t="s">
        <v>330</v>
      </c>
      <c r="H40" s="53" t="s">
        <v>347</v>
      </c>
      <c r="I40" s="154" t="s">
        <v>362</v>
      </c>
      <c r="J40" s="154" t="s">
        <v>687</v>
      </c>
      <c r="K40" s="53" t="s">
        <v>675</v>
      </c>
      <c r="L40" s="53" t="s">
        <v>684</v>
      </c>
      <c r="M40" s="53" t="s">
        <v>683</v>
      </c>
      <c r="N40" s="74">
        <v>4.9209749319748086</v>
      </c>
      <c r="O40" s="75">
        <v>6.2</v>
      </c>
      <c r="P40" s="75" t="s">
        <v>304</v>
      </c>
      <c r="Q40" s="75">
        <v>16</v>
      </c>
      <c r="R40" s="75">
        <v>2.4</v>
      </c>
      <c r="S40" s="246">
        <v>433</v>
      </c>
      <c r="T40" s="246">
        <v>1262</v>
      </c>
      <c r="U40" s="246">
        <v>61986</v>
      </c>
      <c r="V40" s="246">
        <v>555</v>
      </c>
      <c r="W40" s="246">
        <v>75</v>
      </c>
      <c r="X40" s="246">
        <v>1205</v>
      </c>
      <c r="Y40" s="246">
        <v>1813</v>
      </c>
      <c r="Z40" s="246">
        <v>4654</v>
      </c>
      <c r="AA40" s="246">
        <v>414.5</v>
      </c>
      <c r="AB40" s="246">
        <v>612.6</v>
      </c>
      <c r="AC40" s="246">
        <v>1907</v>
      </c>
      <c r="AD40" s="246">
        <v>160444</v>
      </c>
      <c r="AE40" s="75">
        <v>53.33</v>
      </c>
      <c r="AF40" s="75">
        <v>95.1</v>
      </c>
      <c r="AG40" s="75">
        <v>94.5</v>
      </c>
      <c r="AH40" s="75">
        <v>89.8</v>
      </c>
      <c r="AI40" s="75">
        <v>20.07</v>
      </c>
      <c r="AJ40" s="75">
        <v>6.2</v>
      </c>
      <c r="AK40" s="75">
        <v>0.64</v>
      </c>
      <c r="AL40" s="75">
        <v>13</v>
      </c>
      <c r="AM40" s="75">
        <v>10.6</v>
      </c>
      <c r="AN40" s="75">
        <v>22.811</v>
      </c>
      <c r="AO40" s="75">
        <v>205.4</v>
      </c>
      <c r="AP40" s="75">
        <v>44.73</v>
      </c>
      <c r="AQ40" s="75">
        <v>5.1100000000000003</v>
      </c>
      <c r="AR40" s="75">
        <v>5.3999999999999999E-2</v>
      </c>
      <c r="AS40" s="75">
        <v>0.125</v>
      </c>
      <c r="AT40" s="75">
        <v>2.04</v>
      </c>
      <c r="AU40" s="75">
        <v>0.52700000000000002</v>
      </c>
      <c r="AV40" s="75">
        <v>1.1639999999999999</v>
      </c>
      <c r="AW40" s="246">
        <v>176.4</v>
      </c>
      <c r="AX40" s="75">
        <v>29.37</v>
      </c>
      <c r="AY40" s="75">
        <v>120.33</v>
      </c>
      <c r="AZ40" s="75">
        <v>6.5880000000000001</v>
      </c>
      <c r="BA40" s="75">
        <v>23.83</v>
      </c>
      <c r="BB40" s="75">
        <v>4.6760000000000002</v>
      </c>
      <c r="BC40" s="75">
        <v>0.99099999999999999</v>
      </c>
      <c r="BD40" s="75">
        <v>4.6609999999999996</v>
      </c>
      <c r="BE40" s="75">
        <v>0.75700000000000001</v>
      </c>
      <c r="BF40" s="75">
        <v>5.1669999999999998</v>
      </c>
      <c r="BG40" s="75">
        <v>0.99099999999999999</v>
      </c>
      <c r="BH40" s="75">
        <v>3.0619999999999998</v>
      </c>
      <c r="BI40" s="75">
        <v>0.46800000000000003</v>
      </c>
      <c r="BJ40" s="75">
        <v>3.1789999999999998</v>
      </c>
      <c r="BK40" s="75">
        <v>0.46400000000000002</v>
      </c>
      <c r="BL40" s="75">
        <v>4.7750000000000004</v>
      </c>
      <c r="BM40" s="75">
        <v>2.4159999999999999</v>
      </c>
      <c r="BN40" s="75">
        <v>1.3109999999999999</v>
      </c>
      <c r="BO40" s="75">
        <v>0.14199999999999999</v>
      </c>
      <c r="BP40" s="75">
        <v>15.82</v>
      </c>
      <c r="BQ40" s="75">
        <v>0.12</v>
      </c>
      <c r="BR40" s="75">
        <v>7.5830000000000002</v>
      </c>
      <c r="BS40" s="75">
        <v>2.5390000000000001</v>
      </c>
      <c r="BT40" s="53"/>
      <c r="BU40" s="53"/>
      <c r="BV40" s="53"/>
      <c r="BW40" s="53"/>
      <c r="BX40" s="53"/>
      <c r="BY40" s="53"/>
      <c r="BZ40" s="53"/>
      <c r="CA40" s="53"/>
      <c r="CB40" s="53"/>
      <c r="CC40" s="53"/>
    </row>
    <row r="41" spans="1:81" s="39" customFormat="1" ht="12" customHeight="1">
      <c r="A41" s="41"/>
      <c r="B41" s="78"/>
      <c r="C41" s="78"/>
      <c r="D41" s="78"/>
      <c r="E41" s="78"/>
      <c r="F41" s="78"/>
      <c r="G41" s="78"/>
      <c r="H41" s="78"/>
      <c r="I41" s="78"/>
      <c r="J41" s="78"/>
      <c r="K41" s="78"/>
      <c r="L41" s="78"/>
      <c r="M41" s="78"/>
      <c r="N41" s="74"/>
      <c r="O41" s="32"/>
      <c r="P41" s="32"/>
      <c r="Q41" s="167"/>
      <c r="R41" s="294"/>
      <c r="S41" s="157"/>
      <c r="T41" s="156"/>
      <c r="U41" s="295"/>
      <c r="V41" s="156"/>
      <c r="W41" s="295"/>
      <c r="X41" s="157"/>
      <c r="Y41" s="157"/>
      <c r="Z41" s="157"/>
      <c r="AA41" s="157"/>
      <c r="AB41" s="157"/>
      <c r="AC41" s="157"/>
      <c r="AD41" s="295"/>
      <c r="AE41" s="156"/>
      <c r="AF41" s="157"/>
      <c r="AG41" s="157"/>
      <c r="AH41" s="295"/>
      <c r="AI41" s="156"/>
      <c r="AJ41" s="75"/>
      <c r="AK41" s="75"/>
      <c r="AL41" s="75"/>
      <c r="AM41" s="157"/>
      <c r="AN41" s="32"/>
      <c r="AO41" s="157"/>
      <c r="AP41" s="156"/>
      <c r="AQ41" s="157"/>
      <c r="AR41" s="156"/>
      <c r="AS41" s="156"/>
      <c r="AT41" s="157"/>
      <c r="AU41" s="32"/>
      <c r="AV41" s="156"/>
      <c r="AW41" s="157"/>
      <c r="AX41" s="32"/>
      <c r="AY41" s="156"/>
      <c r="AZ41" s="32"/>
      <c r="BA41" s="32"/>
      <c r="BB41" s="32"/>
      <c r="BC41" s="32"/>
      <c r="BD41" s="32"/>
      <c r="BE41" s="32"/>
      <c r="BF41" s="32"/>
      <c r="BG41" s="32"/>
      <c r="BH41" s="32"/>
      <c r="BI41" s="32"/>
      <c r="BJ41" s="32"/>
      <c r="BK41" s="32"/>
      <c r="BL41" s="156"/>
      <c r="BM41" s="157"/>
      <c r="BN41" s="157"/>
      <c r="BO41" s="157"/>
      <c r="BP41" s="157"/>
      <c r="BQ41" s="157"/>
      <c r="BR41" s="156"/>
      <c r="BS41" s="32"/>
    </row>
    <row r="42" spans="1:81" s="39" customFormat="1">
      <c r="A42" s="42" t="s">
        <v>671</v>
      </c>
      <c r="B42" s="89"/>
      <c r="C42" s="250"/>
      <c r="D42" s="250"/>
      <c r="E42" s="36"/>
      <c r="F42" s="142"/>
      <c r="G42" s="142"/>
      <c r="H42" s="116"/>
      <c r="I42" s="116"/>
      <c r="K42" s="142"/>
      <c r="L42" s="142"/>
      <c r="M42" s="142"/>
      <c r="N42" s="142"/>
      <c r="O42" s="142"/>
      <c r="P42" s="142"/>
      <c r="Q42" s="78"/>
      <c r="R42" s="78"/>
      <c r="S42" s="78"/>
      <c r="T42" s="78"/>
      <c r="U42" s="78"/>
      <c r="V42" s="32"/>
      <c r="W42" s="32"/>
      <c r="X42" s="32"/>
      <c r="Y42" s="32"/>
      <c r="Z42" s="205"/>
      <c r="AA42" s="211"/>
      <c r="AB42" s="211"/>
      <c r="AC42" s="205"/>
      <c r="AD42" s="205"/>
      <c r="AE42" s="205"/>
      <c r="AF42" s="205"/>
      <c r="AG42" s="205"/>
      <c r="AH42" s="205"/>
      <c r="AI42" s="205"/>
      <c r="AJ42" s="205"/>
      <c r="AK42" s="205"/>
      <c r="AL42" s="205"/>
      <c r="AM42" s="205"/>
      <c r="AN42" s="205"/>
      <c r="AO42" s="205"/>
      <c r="AP42" s="205"/>
      <c r="AQ42" s="205"/>
      <c r="AR42" s="244"/>
      <c r="AW42" s="205"/>
    </row>
    <row r="43" spans="1:81" s="39" customFormat="1">
      <c r="A43" s="88"/>
      <c r="B43" s="89"/>
      <c r="C43" s="250"/>
      <c r="D43" s="250"/>
      <c r="E43" s="36"/>
      <c r="F43" s="142"/>
      <c r="G43" s="142"/>
      <c r="H43" s="116"/>
      <c r="I43" s="116"/>
      <c r="K43" s="142"/>
      <c r="L43" s="142"/>
      <c r="M43" s="142"/>
      <c r="N43" s="142"/>
      <c r="O43" s="142"/>
      <c r="P43" s="142"/>
      <c r="Q43" s="78"/>
      <c r="R43" s="78"/>
      <c r="S43" s="78"/>
      <c r="T43" s="78"/>
      <c r="U43" s="78"/>
      <c r="V43" s="32"/>
      <c r="W43" s="32"/>
      <c r="X43" s="32"/>
      <c r="Y43" s="32"/>
      <c r="Z43" s="205"/>
      <c r="AA43" s="211"/>
      <c r="AB43" s="211"/>
      <c r="AC43" s="205"/>
      <c r="AD43" s="205"/>
      <c r="AE43" s="205"/>
      <c r="AF43" s="205"/>
      <c r="AG43" s="205"/>
      <c r="AH43" s="205"/>
      <c r="AI43" s="205"/>
      <c r="AJ43" s="205"/>
      <c r="AK43" s="205"/>
      <c r="AL43" s="205"/>
      <c r="AM43" s="205"/>
      <c r="AN43" s="205"/>
      <c r="AO43" s="205"/>
      <c r="AP43" s="205"/>
      <c r="AQ43" s="205"/>
      <c r="AR43" s="244"/>
      <c r="AW43" s="205"/>
    </row>
    <row r="44" spans="1:81" s="39" customFormat="1">
      <c r="A44" s="32"/>
      <c r="B44" s="78"/>
      <c r="C44" s="142"/>
      <c r="D44" s="142"/>
      <c r="E44" s="251"/>
      <c r="F44" s="142"/>
      <c r="G44" s="142"/>
      <c r="H44" s="116"/>
      <c r="I44" s="116"/>
      <c r="K44" s="142"/>
      <c r="L44" s="142"/>
      <c r="M44" s="142"/>
      <c r="Q44" s="78"/>
      <c r="R44" s="78"/>
      <c r="S44" s="78"/>
      <c r="T44" s="78"/>
      <c r="U44" s="78"/>
      <c r="V44" s="32"/>
      <c r="W44" s="32"/>
      <c r="X44" s="32"/>
      <c r="Y44" s="32"/>
      <c r="Z44" s="205"/>
      <c r="AA44" s="211"/>
      <c r="AB44" s="211"/>
      <c r="AC44" s="205"/>
      <c r="AD44" s="205"/>
      <c r="AE44" s="205"/>
      <c r="AF44" s="205"/>
      <c r="AG44" s="205"/>
      <c r="AH44" s="205"/>
      <c r="AI44" s="205"/>
      <c r="AJ44" s="205"/>
      <c r="AK44" s="205"/>
      <c r="AL44" s="205"/>
      <c r="AM44" s="205"/>
      <c r="AN44" s="205"/>
      <c r="AO44" s="205"/>
      <c r="AP44" s="205"/>
      <c r="AQ44" s="205"/>
      <c r="AR44" s="244"/>
      <c r="AW44" s="205"/>
    </row>
    <row r="45" spans="1:81" s="39" customFormat="1">
      <c r="A45" s="25" t="s">
        <v>378</v>
      </c>
      <c r="B45" s="53"/>
      <c r="C45" s="53"/>
      <c r="D45" s="53"/>
      <c r="E45" s="53"/>
      <c r="F45" s="90" t="s">
        <v>388</v>
      </c>
      <c r="G45" s="53"/>
      <c r="H45" s="116"/>
      <c r="I45" s="116"/>
      <c r="K45" s="166"/>
      <c r="L45" s="166"/>
      <c r="M45" s="166"/>
      <c r="N45" s="166"/>
      <c r="O45" s="166"/>
      <c r="P45" s="69"/>
      <c r="Q45" s="57" t="s">
        <v>4</v>
      </c>
      <c r="R45" s="57" t="s">
        <v>5</v>
      </c>
      <c r="S45" s="70" t="s">
        <v>6</v>
      </c>
      <c r="T45" s="70" t="s">
        <v>7</v>
      </c>
      <c r="U45" s="71" t="s">
        <v>8</v>
      </c>
      <c r="V45" s="70" t="s">
        <v>9</v>
      </c>
      <c r="W45" s="70" t="s">
        <v>10</v>
      </c>
      <c r="X45" s="70" t="s">
        <v>11</v>
      </c>
      <c r="Y45" s="70" t="s">
        <v>12</v>
      </c>
      <c r="Z45" s="70" t="s">
        <v>13</v>
      </c>
      <c r="AA45" s="70" t="s">
        <v>14</v>
      </c>
      <c r="AB45" s="70" t="s">
        <v>15</v>
      </c>
      <c r="AC45" s="70" t="s">
        <v>16</v>
      </c>
      <c r="AD45" s="71" t="s">
        <v>17</v>
      </c>
      <c r="AE45" s="57" t="s">
        <v>18</v>
      </c>
      <c r="AF45" s="70" t="s">
        <v>19</v>
      </c>
      <c r="AG45" s="70" t="s">
        <v>20</v>
      </c>
      <c r="AH45" s="57" t="s">
        <v>21</v>
      </c>
      <c r="AI45" s="57" t="s">
        <v>22</v>
      </c>
      <c r="AJ45" s="57" t="s">
        <v>23</v>
      </c>
      <c r="AK45" s="57" t="s">
        <v>24</v>
      </c>
      <c r="AL45" s="57" t="s">
        <v>25</v>
      </c>
      <c r="AM45" s="70" t="s">
        <v>26</v>
      </c>
      <c r="AN45" s="57" t="s">
        <v>27</v>
      </c>
      <c r="AO45" s="70" t="s">
        <v>28</v>
      </c>
      <c r="AP45" s="57" t="s">
        <v>29</v>
      </c>
      <c r="AQ45" s="70" t="s">
        <v>30</v>
      </c>
      <c r="AR45" s="57" t="s">
        <v>31</v>
      </c>
      <c r="AS45" s="57" t="s">
        <v>32</v>
      </c>
      <c r="AT45" s="70" t="s">
        <v>33</v>
      </c>
      <c r="AU45" s="57" t="s">
        <v>34</v>
      </c>
      <c r="AV45" s="57" t="s">
        <v>35</v>
      </c>
      <c r="AW45" s="70" t="s">
        <v>36</v>
      </c>
      <c r="AX45" s="57" t="s">
        <v>37</v>
      </c>
      <c r="AY45" s="57" t="s">
        <v>38</v>
      </c>
      <c r="AZ45" s="57" t="s">
        <v>39</v>
      </c>
      <c r="BA45" s="57" t="s">
        <v>40</v>
      </c>
      <c r="BB45" s="57" t="s">
        <v>41</v>
      </c>
      <c r="BC45" s="57" t="s">
        <v>42</v>
      </c>
      <c r="BD45" s="57" t="s">
        <v>43</v>
      </c>
      <c r="BE45" s="57" t="s">
        <v>44</v>
      </c>
      <c r="BF45" s="57" t="s">
        <v>45</v>
      </c>
      <c r="BG45" s="57" t="s">
        <v>46</v>
      </c>
      <c r="BH45" s="57" t="s">
        <v>47</v>
      </c>
      <c r="BI45" s="57" t="s">
        <v>48</v>
      </c>
      <c r="BJ45" s="57" t="s">
        <v>49</v>
      </c>
      <c r="BK45" s="57" t="s">
        <v>50</v>
      </c>
      <c r="BL45" s="57" t="s">
        <v>51</v>
      </c>
      <c r="BM45" s="70" t="s">
        <v>52</v>
      </c>
      <c r="BN45" s="70" t="s">
        <v>53</v>
      </c>
      <c r="BO45" s="70" t="s">
        <v>54</v>
      </c>
      <c r="BP45" s="70" t="s">
        <v>55</v>
      </c>
      <c r="BQ45" s="70" t="s">
        <v>56</v>
      </c>
      <c r="BR45" s="57" t="s">
        <v>57</v>
      </c>
      <c r="BS45" s="57" t="s">
        <v>58</v>
      </c>
    </row>
    <row r="46" spans="1:81" s="49" customFormat="1">
      <c r="A46" s="90"/>
      <c r="B46" s="90"/>
      <c r="C46" s="90"/>
      <c r="D46" s="90"/>
      <c r="E46" s="90"/>
      <c r="F46" s="90" t="s">
        <v>379</v>
      </c>
      <c r="G46" s="90"/>
      <c r="H46" s="252"/>
      <c r="I46" s="252"/>
      <c r="J46" s="39"/>
      <c r="K46" s="253"/>
      <c r="L46" s="253"/>
      <c r="M46" s="253"/>
      <c r="N46" s="296" t="s">
        <v>721</v>
      </c>
      <c r="O46" s="296"/>
      <c r="P46" s="297"/>
      <c r="Q46" s="254">
        <v>25.125</v>
      </c>
      <c r="R46" s="254">
        <v>2.2530000000000001</v>
      </c>
      <c r="S46" s="275">
        <v>12000</v>
      </c>
      <c r="T46" s="275">
        <v>10700</v>
      </c>
      <c r="U46" s="257">
        <v>67200</v>
      </c>
      <c r="V46" s="257">
        <v>842</v>
      </c>
      <c r="W46" s="298">
        <v>363.99900000000002</v>
      </c>
      <c r="X46" s="275">
        <v>25300</v>
      </c>
      <c r="Y46" s="257">
        <v>24200</v>
      </c>
      <c r="Z46" s="257">
        <v>3170</v>
      </c>
      <c r="AA46" s="257">
        <v>80.7</v>
      </c>
      <c r="AB46" s="257">
        <v>52.3</v>
      </c>
      <c r="AC46" s="257">
        <v>675</v>
      </c>
      <c r="AD46" s="257">
        <v>28200</v>
      </c>
      <c r="AE46" s="256">
        <v>9.89</v>
      </c>
      <c r="AF46" s="256">
        <v>21.7</v>
      </c>
      <c r="AG46" s="257">
        <v>140</v>
      </c>
      <c r="AH46" s="257">
        <v>414</v>
      </c>
      <c r="AI46" s="254">
        <v>14.965999999999999</v>
      </c>
      <c r="AJ46" s="257">
        <v>107</v>
      </c>
      <c r="AK46" s="256">
        <v>1.7190000000000001</v>
      </c>
      <c r="AL46" s="257">
        <v>120</v>
      </c>
      <c r="AM46" s="256">
        <v>242</v>
      </c>
      <c r="AN46" s="254">
        <v>24.254999999999999</v>
      </c>
      <c r="AO46" s="254">
        <v>66.823999999999998</v>
      </c>
      <c r="AP46" s="254">
        <v>16.177</v>
      </c>
      <c r="AQ46" s="254">
        <v>1.873</v>
      </c>
      <c r="AR46" s="254">
        <v>5.92</v>
      </c>
      <c r="AS46" s="256">
        <v>54.1</v>
      </c>
      <c r="AT46" s="254">
        <v>4.3360000000000003</v>
      </c>
      <c r="AU46" s="256">
        <v>23.8</v>
      </c>
      <c r="AV46" s="256">
        <v>6.7</v>
      </c>
      <c r="AW46" s="257">
        <v>730</v>
      </c>
      <c r="AX46" s="256">
        <v>38</v>
      </c>
      <c r="AY46" s="254">
        <v>69.616</v>
      </c>
      <c r="AZ46" s="254">
        <v>7.9109999999999996</v>
      </c>
      <c r="BA46" s="256">
        <v>29</v>
      </c>
      <c r="BB46" s="254">
        <v>5.7460000000000004</v>
      </c>
      <c r="BC46" s="256">
        <v>1.1000000000000001</v>
      </c>
      <c r="BD46" s="254">
        <v>4.9729999999999999</v>
      </c>
      <c r="BE46" s="254">
        <v>0.74099999999999999</v>
      </c>
      <c r="BF46" s="254">
        <v>4.3609999999999998</v>
      </c>
      <c r="BG46" s="254">
        <v>0.85399999999999998</v>
      </c>
      <c r="BH46" s="254">
        <v>2.4910000000000001</v>
      </c>
      <c r="BI46" s="254">
        <v>0.36699999999999999</v>
      </c>
      <c r="BJ46" s="254">
        <v>2.359</v>
      </c>
      <c r="BK46" s="254">
        <v>0.35199999999999998</v>
      </c>
      <c r="BL46" s="254">
        <v>2.355</v>
      </c>
      <c r="BM46" s="254">
        <v>1.1990000000000001</v>
      </c>
      <c r="BN46" s="254">
        <v>2.4870000000000001</v>
      </c>
      <c r="BO46" s="254">
        <v>2.68</v>
      </c>
      <c r="BP46" s="256">
        <v>1400</v>
      </c>
      <c r="BQ46" s="254">
        <v>2.9489999999999998</v>
      </c>
      <c r="BR46" s="256">
        <v>15</v>
      </c>
      <c r="BS46" s="256">
        <v>3.01</v>
      </c>
      <c r="BT46" s="258"/>
    </row>
    <row r="47" spans="1:81" s="39" customFormat="1">
      <c r="A47" s="39">
        <v>14771</v>
      </c>
      <c r="B47" s="39" t="s">
        <v>380</v>
      </c>
      <c r="C47" s="53"/>
      <c r="D47" s="53"/>
      <c r="E47" s="53"/>
      <c r="F47" s="41" t="s">
        <v>381</v>
      </c>
      <c r="G47" s="39">
        <v>14771</v>
      </c>
      <c r="H47" s="116"/>
      <c r="I47" s="41" t="s">
        <v>381</v>
      </c>
      <c r="K47" s="39" t="s">
        <v>380</v>
      </c>
      <c r="O47" s="248"/>
      <c r="Q47" s="259">
        <v>27</v>
      </c>
      <c r="R47" s="259">
        <v>2.4900000000000002</v>
      </c>
      <c r="S47" s="260">
        <v>12630</v>
      </c>
      <c r="T47" s="260">
        <v>10446</v>
      </c>
      <c r="U47" s="260">
        <v>65523</v>
      </c>
      <c r="V47" s="260">
        <v>847</v>
      </c>
      <c r="W47" s="260">
        <v>369</v>
      </c>
      <c r="X47" s="260">
        <v>25924</v>
      </c>
      <c r="Y47" s="260">
        <v>24983</v>
      </c>
      <c r="Z47" s="260">
        <v>2391</v>
      </c>
      <c r="AA47" s="260">
        <v>77</v>
      </c>
      <c r="AB47" s="260">
        <v>40.799999999999997</v>
      </c>
      <c r="AC47" s="260">
        <v>632</v>
      </c>
      <c r="AD47" s="260">
        <v>28218</v>
      </c>
      <c r="AE47" s="259">
        <v>9.5</v>
      </c>
      <c r="AF47" s="259">
        <v>20.399999999999999</v>
      </c>
      <c r="AG47" s="260">
        <v>131.30000000000001</v>
      </c>
      <c r="AH47" s="260">
        <v>412</v>
      </c>
      <c r="AI47" s="259">
        <v>15.36</v>
      </c>
      <c r="AJ47" s="260">
        <v>104.3</v>
      </c>
      <c r="AK47" s="259">
        <v>1.64</v>
      </c>
      <c r="AL47" s="260">
        <v>118.8</v>
      </c>
      <c r="AM47" s="259">
        <v>225.1</v>
      </c>
      <c r="AN47" s="259">
        <v>22.178000000000001</v>
      </c>
      <c r="AO47" s="259">
        <v>60.9</v>
      </c>
      <c r="AP47" s="259">
        <v>15.06</v>
      </c>
      <c r="AQ47" s="259">
        <v>1.96</v>
      </c>
      <c r="AR47" s="259">
        <v>5.6109999999999998</v>
      </c>
      <c r="AS47" s="259">
        <v>54.959000000000003</v>
      </c>
      <c r="AT47" s="259">
        <v>4.17</v>
      </c>
      <c r="AU47" s="259">
        <v>23.591000000000001</v>
      </c>
      <c r="AV47" s="259">
        <v>6.6619999999999999</v>
      </c>
      <c r="AW47" s="260">
        <v>722.7</v>
      </c>
      <c r="AX47" s="259">
        <v>33.43</v>
      </c>
      <c r="AY47" s="259">
        <v>62.89</v>
      </c>
      <c r="AZ47" s="259">
        <v>7.673</v>
      </c>
      <c r="BA47" s="259">
        <v>28.47</v>
      </c>
      <c r="BB47" s="259">
        <v>5.6319999999999997</v>
      </c>
      <c r="BC47" s="259">
        <v>0.97699999999999998</v>
      </c>
      <c r="BD47" s="259">
        <v>4.9169999999999998</v>
      </c>
      <c r="BE47" s="259">
        <v>0.67900000000000005</v>
      </c>
      <c r="BF47" s="259">
        <v>4.306</v>
      </c>
      <c r="BG47" s="259">
        <v>0.8</v>
      </c>
      <c r="BH47" s="259">
        <v>2.3639999999999999</v>
      </c>
      <c r="BI47" s="259">
        <v>0.34699999999999998</v>
      </c>
      <c r="BJ47" s="259">
        <v>2.3079999999999998</v>
      </c>
      <c r="BK47" s="259">
        <v>0.32600000000000001</v>
      </c>
      <c r="BL47" s="259">
        <v>2.052</v>
      </c>
      <c r="BM47" s="259">
        <v>1.0680000000000001</v>
      </c>
      <c r="BN47" s="259">
        <v>2.375</v>
      </c>
      <c r="BO47" s="259">
        <v>2.673</v>
      </c>
      <c r="BP47" s="260">
        <v>1327.22</v>
      </c>
      <c r="BQ47" s="259">
        <v>2.88</v>
      </c>
      <c r="BR47" s="259">
        <v>12.257999999999999</v>
      </c>
      <c r="BS47" s="259">
        <v>2.23</v>
      </c>
      <c r="BT47" s="258"/>
    </row>
    <row r="48" spans="1:81" s="39" customFormat="1">
      <c r="A48" s="39">
        <v>14771</v>
      </c>
      <c r="B48" s="39" t="s">
        <v>380</v>
      </c>
      <c r="C48" s="53"/>
      <c r="D48" s="53"/>
      <c r="E48" s="53"/>
      <c r="F48" s="41" t="s">
        <v>382</v>
      </c>
      <c r="G48" s="39">
        <v>14771</v>
      </c>
      <c r="H48" s="116"/>
      <c r="I48" s="41" t="s">
        <v>382</v>
      </c>
      <c r="K48" s="39" t="s">
        <v>380</v>
      </c>
      <c r="O48" s="248"/>
      <c r="Q48" s="259">
        <v>27</v>
      </c>
      <c r="R48" s="259">
        <v>1.99</v>
      </c>
      <c r="S48" s="260">
        <v>12565</v>
      </c>
      <c r="T48" s="260">
        <v>10532</v>
      </c>
      <c r="U48" s="260">
        <v>65318</v>
      </c>
      <c r="V48" s="260">
        <v>747</v>
      </c>
      <c r="W48" s="260">
        <v>365</v>
      </c>
      <c r="X48" s="260">
        <v>26204</v>
      </c>
      <c r="Y48" s="260">
        <v>24931</v>
      </c>
      <c r="Z48" s="260">
        <v>2489</v>
      </c>
      <c r="AA48" s="260">
        <v>78.8</v>
      </c>
      <c r="AB48" s="260">
        <v>41.2</v>
      </c>
      <c r="AC48" s="260">
        <v>628</v>
      </c>
      <c r="AD48" s="260">
        <v>28613</v>
      </c>
      <c r="AE48" s="259">
        <v>9.32</v>
      </c>
      <c r="AF48" s="259">
        <v>20.5</v>
      </c>
      <c r="AG48" s="260">
        <v>130.80000000000001</v>
      </c>
      <c r="AH48" s="260">
        <v>408.6</v>
      </c>
      <c r="AI48" s="259">
        <v>15.23</v>
      </c>
      <c r="AJ48" s="260">
        <v>100.5</v>
      </c>
      <c r="AK48" s="259">
        <v>1.51</v>
      </c>
      <c r="AL48" s="260">
        <v>119.5</v>
      </c>
      <c r="AM48" s="259">
        <v>227.4</v>
      </c>
      <c r="AN48" s="259">
        <v>22.300999999999998</v>
      </c>
      <c r="AO48" s="259">
        <v>66.599999999999994</v>
      </c>
      <c r="AP48" s="259">
        <v>15.62</v>
      </c>
      <c r="AQ48" s="259">
        <v>1.83</v>
      </c>
      <c r="AR48" s="259">
        <v>5.8179999999999996</v>
      </c>
      <c r="AS48" s="259">
        <v>54.231000000000002</v>
      </c>
      <c r="AT48" s="259">
        <v>4.6100000000000003</v>
      </c>
      <c r="AU48" s="259">
        <v>23.542000000000002</v>
      </c>
      <c r="AV48" s="259">
        <v>6.5270000000000001</v>
      </c>
      <c r="AW48" s="260">
        <v>722</v>
      </c>
      <c r="AX48" s="259">
        <v>32.659999999999997</v>
      </c>
      <c r="AY48" s="259">
        <v>61.33</v>
      </c>
      <c r="AZ48" s="259">
        <v>7.3460000000000001</v>
      </c>
      <c r="BA48" s="259">
        <v>27.84</v>
      </c>
      <c r="BB48" s="259">
        <v>5.5620000000000003</v>
      </c>
      <c r="BC48" s="259">
        <v>0.97799999999999998</v>
      </c>
      <c r="BD48" s="259">
        <v>4.8769999999999998</v>
      </c>
      <c r="BE48" s="259">
        <v>0.66400000000000003</v>
      </c>
      <c r="BF48" s="259">
        <v>4.2210000000000001</v>
      </c>
      <c r="BG48" s="259">
        <v>0.83</v>
      </c>
      <c r="BH48" s="259">
        <v>2.3109999999999999</v>
      </c>
      <c r="BI48" s="259">
        <v>0.34499999999999997</v>
      </c>
      <c r="BJ48" s="259">
        <v>2.3959999999999999</v>
      </c>
      <c r="BK48" s="259">
        <v>0.34200000000000003</v>
      </c>
      <c r="BL48" s="259">
        <v>2.319</v>
      </c>
      <c r="BM48" s="259">
        <v>1.1200000000000001</v>
      </c>
      <c r="BN48" s="259">
        <v>2.593</v>
      </c>
      <c r="BO48" s="259">
        <v>2.6760000000000002</v>
      </c>
      <c r="BP48" s="260">
        <v>1338.16</v>
      </c>
      <c r="BQ48" s="259">
        <v>2.89</v>
      </c>
      <c r="BR48" s="259">
        <v>11.920999999999999</v>
      </c>
      <c r="BS48" s="259">
        <v>2.3410000000000002</v>
      </c>
      <c r="BT48" s="258"/>
    </row>
    <row r="49" spans="1:72" s="39" customFormat="1">
      <c r="A49" s="53">
        <v>14704</v>
      </c>
      <c r="B49" s="41" t="s">
        <v>380</v>
      </c>
      <c r="C49" s="53"/>
      <c r="D49" s="53"/>
      <c r="E49" s="53"/>
      <c r="F49" s="41" t="s">
        <v>381</v>
      </c>
      <c r="G49" s="53">
        <v>14704</v>
      </c>
      <c r="H49" s="116"/>
      <c r="I49" s="41" t="s">
        <v>381</v>
      </c>
      <c r="K49" s="41" t="s">
        <v>380</v>
      </c>
      <c r="L49" s="41"/>
      <c r="M49" s="41"/>
      <c r="O49" s="89"/>
      <c r="Q49" s="261">
        <v>25.477152761269284</v>
      </c>
      <c r="R49" s="261">
        <v>1.9160859871340079</v>
      </c>
      <c r="S49" s="262">
        <v>11979.32972307588</v>
      </c>
      <c r="T49" s="262">
        <v>9978.2939787984487</v>
      </c>
      <c r="U49" s="262">
        <v>60530.747109576434</v>
      </c>
      <c r="V49" s="262">
        <v>863.99955225534825</v>
      </c>
      <c r="W49" s="262">
        <v>401.89493412011115</v>
      </c>
      <c r="X49" s="262">
        <v>24391.606393865528</v>
      </c>
      <c r="Y49" s="262">
        <v>24613.967397149616</v>
      </c>
      <c r="Z49" s="262">
        <v>2185.9235166454641</v>
      </c>
      <c r="AA49" s="262">
        <v>79.508757352410768</v>
      </c>
      <c r="AB49" s="262">
        <v>40.156051146911906</v>
      </c>
      <c r="AC49" s="262">
        <v>642.09457930142241</v>
      </c>
      <c r="AD49" s="262">
        <v>27200.798127976432</v>
      </c>
      <c r="AE49" s="261">
        <v>9.4809193753684902</v>
      </c>
      <c r="AF49" s="261">
        <v>21.487750066965546</v>
      </c>
      <c r="AG49" s="262">
        <v>127.51049586345893</v>
      </c>
      <c r="AH49" s="262">
        <v>400.15553072910626</v>
      </c>
      <c r="AI49" s="261">
        <v>14.74742860964391</v>
      </c>
      <c r="AJ49" s="262">
        <v>104.8020662828108</v>
      </c>
      <c r="AK49" s="261">
        <v>1.8540025258907995</v>
      </c>
      <c r="AL49" s="262">
        <v>116.74774593016714</v>
      </c>
      <c r="AM49" s="261">
        <v>229.64264299026271</v>
      </c>
      <c r="AN49" s="261">
        <v>23.398199681163806</v>
      </c>
      <c r="AO49" s="261">
        <v>59.856464967736215</v>
      </c>
      <c r="AP49" s="261">
        <v>15.612027963400115</v>
      </c>
      <c r="AQ49" s="261">
        <v>1.9017339417907781</v>
      </c>
      <c r="AR49" s="261">
        <v>6.0233823723923114</v>
      </c>
      <c r="AS49" s="261">
        <v>54.539125879551399</v>
      </c>
      <c r="AT49" s="261">
        <v>4.2744626357397824</v>
      </c>
      <c r="AU49" s="261">
        <v>23.827895488759342</v>
      </c>
      <c r="AV49" s="261">
        <v>6.447819442636491</v>
      </c>
      <c r="AW49" s="262">
        <v>648.0362666589848</v>
      </c>
      <c r="AX49" s="261">
        <v>33.226701714861427</v>
      </c>
      <c r="AY49" s="261">
        <v>67.528796989915421</v>
      </c>
      <c r="AZ49" s="261">
        <v>7.3278553642749387</v>
      </c>
      <c r="BA49" s="261">
        <v>27.698312025700499</v>
      </c>
      <c r="BB49" s="261">
        <v>5.6073286339082404</v>
      </c>
      <c r="BC49" s="261">
        <v>1.0000506690016957</v>
      </c>
      <c r="BD49" s="261">
        <v>4.5257985439158155</v>
      </c>
      <c r="BE49" s="261">
        <v>0.72420952584327836</v>
      </c>
      <c r="BF49" s="261">
        <v>4.0423259841940533</v>
      </c>
      <c r="BG49" s="261">
        <v>0.84820612760230263</v>
      </c>
      <c r="BH49" s="261">
        <v>2.385858818045675</v>
      </c>
      <c r="BI49" s="261">
        <v>0.35480788697075216</v>
      </c>
      <c r="BJ49" s="261">
        <v>2.2607312322743538</v>
      </c>
      <c r="BK49" s="261">
        <v>0.3256503443112595</v>
      </c>
      <c r="BL49" s="261">
        <v>2.2253586297098238</v>
      </c>
      <c r="BM49" s="261">
        <v>1.1523974883061867</v>
      </c>
      <c r="BN49" s="261">
        <v>2.4579220948536129</v>
      </c>
      <c r="BO49" s="261">
        <v>2.7194974452456186</v>
      </c>
      <c r="BP49" s="262">
        <v>1383.5326763539642</v>
      </c>
      <c r="BQ49" s="261">
        <v>2.9378233386324171</v>
      </c>
      <c r="BR49" s="261">
        <v>12.437030122691592</v>
      </c>
      <c r="BS49" s="261">
        <v>2.3655050754150149</v>
      </c>
      <c r="BT49" s="258"/>
    </row>
    <row r="50" spans="1:72" s="39" customFormat="1">
      <c r="A50" s="53">
        <v>14704</v>
      </c>
      <c r="B50" s="41" t="s">
        <v>380</v>
      </c>
      <c r="C50" s="53"/>
      <c r="D50" s="53"/>
      <c r="E50" s="53"/>
      <c r="F50" s="41" t="s">
        <v>382</v>
      </c>
      <c r="G50" s="53">
        <v>14704</v>
      </c>
      <c r="H50" s="116"/>
      <c r="I50" s="41" t="s">
        <v>382</v>
      </c>
      <c r="K50" s="41" t="s">
        <v>380</v>
      </c>
      <c r="L50" s="41"/>
      <c r="M50" s="41"/>
      <c r="O50" s="89"/>
      <c r="Q50" s="261">
        <v>23.636140708782229</v>
      </c>
      <c r="R50" s="261">
        <v>2.0022688973714566</v>
      </c>
      <c r="S50" s="262">
        <v>12367.266261339621</v>
      </c>
      <c r="T50" s="262">
        <v>10237.712947654642</v>
      </c>
      <c r="U50" s="262">
        <v>63536.967511311079</v>
      </c>
      <c r="V50" s="262">
        <v>857.18480650483457</v>
      </c>
      <c r="W50" s="262">
        <v>388.0061233067463</v>
      </c>
      <c r="X50" s="262">
        <v>24980.468223148986</v>
      </c>
      <c r="Y50" s="262">
        <v>24699.908981200148</v>
      </c>
      <c r="Z50" s="262">
        <v>2283.7705753808132</v>
      </c>
      <c r="AA50" s="262">
        <v>80.85518645318578</v>
      </c>
      <c r="AB50" s="262">
        <v>40.814957064222341</v>
      </c>
      <c r="AC50" s="262">
        <v>631.59288569624687</v>
      </c>
      <c r="AD50" s="262">
        <v>27304.157534660702</v>
      </c>
      <c r="AE50" s="261">
        <v>9.3630314693399477</v>
      </c>
      <c r="AF50" s="261">
        <v>21.158216039879573</v>
      </c>
      <c r="AG50" s="262">
        <v>125.94921235261656</v>
      </c>
      <c r="AH50" s="262">
        <v>388.06552980783766</v>
      </c>
      <c r="AI50" s="261">
        <v>14.919934242923146</v>
      </c>
      <c r="AJ50" s="262">
        <v>102.35305681505814</v>
      </c>
      <c r="AK50" s="261">
        <v>1.7727223557624525</v>
      </c>
      <c r="AL50" s="262">
        <v>117.02863907306386</v>
      </c>
      <c r="AM50" s="261">
        <v>229.69355165104457</v>
      </c>
      <c r="AN50" s="261">
        <v>23.871454684840497</v>
      </c>
      <c r="AO50" s="261">
        <v>63.844663964966493</v>
      </c>
      <c r="AP50" s="261">
        <v>15.927189390079151</v>
      </c>
      <c r="AQ50" s="261">
        <v>1.804232871665415</v>
      </c>
      <c r="AR50" s="261">
        <v>5.6408918220326676</v>
      </c>
      <c r="AS50" s="261">
        <v>53.952980240647534</v>
      </c>
      <c r="AT50" s="261">
        <v>4.1453267550809887</v>
      </c>
      <c r="AU50" s="261">
        <v>22.85715604291445</v>
      </c>
      <c r="AV50" s="261">
        <v>6.5892327245811844</v>
      </c>
      <c r="AW50" s="262">
        <v>654.88609496956121</v>
      </c>
      <c r="AX50" s="261">
        <v>34.15195745298265</v>
      </c>
      <c r="AY50" s="261">
        <v>70.119900110081005</v>
      </c>
      <c r="AZ50" s="261">
        <v>7.5007375203940017</v>
      </c>
      <c r="BA50" s="261">
        <v>28.634473989845844</v>
      </c>
      <c r="BB50" s="261">
        <v>5.7509986471706132</v>
      </c>
      <c r="BC50" s="261">
        <v>1.0677412657640861</v>
      </c>
      <c r="BD50" s="261">
        <v>4.5791612381259865</v>
      </c>
      <c r="BE50" s="261">
        <v>0.74521607905399023</v>
      </c>
      <c r="BF50" s="261">
        <v>4.0946868281400262</v>
      </c>
      <c r="BG50" s="261">
        <v>0.86288617865007633</v>
      </c>
      <c r="BH50" s="261">
        <v>2.4234912840340725</v>
      </c>
      <c r="BI50" s="261">
        <v>0.37502968526158942</v>
      </c>
      <c r="BJ50" s="261">
        <v>2.4202890039946423</v>
      </c>
      <c r="BK50" s="261">
        <v>0.36226912622494534</v>
      </c>
      <c r="BL50" s="261">
        <v>2.4178029962188194</v>
      </c>
      <c r="BM50" s="261">
        <v>1.2244186626950815</v>
      </c>
      <c r="BN50" s="261">
        <v>2.5238172367747982</v>
      </c>
      <c r="BO50" s="261">
        <v>2.6832088447297155</v>
      </c>
      <c r="BP50" s="262">
        <v>1412.035289709858</v>
      </c>
      <c r="BQ50" s="261">
        <v>2.9929453297298436</v>
      </c>
      <c r="BR50" s="261">
        <v>12.484566927228341</v>
      </c>
      <c r="BS50" s="261">
        <v>2.4438403413546421</v>
      </c>
      <c r="BT50" s="258"/>
    </row>
    <row r="51" spans="1:72" s="39" customFormat="1">
      <c r="A51" s="53">
        <v>14704</v>
      </c>
      <c r="B51" s="41" t="s">
        <v>380</v>
      </c>
      <c r="C51" s="53"/>
      <c r="D51" s="53"/>
      <c r="E51" s="53"/>
      <c r="F51" s="41" t="s">
        <v>391</v>
      </c>
      <c r="G51" s="53">
        <v>14704</v>
      </c>
      <c r="H51" s="116"/>
      <c r="I51" s="41" t="s">
        <v>391</v>
      </c>
      <c r="K51" s="41" t="s">
        <v>380</v>
      </c>
      <c r="L51" s="41"/>
      <c r="M51" s="41"/>
      <c r="O51" s="89"/>
      <c r="Q51" s="261">
        <v>24.078655409303416</v>
      </c>
      <c r="R51" s="261">
        <v>1.9496742959048701</v>
      </c>
      <c r="S51" s="262">
        <v>12481.508265823213</v>
      </c>
      <c r="T51" s="262">
        <v>10272.399047734696</v>
      </c>
      <c r="U51" s="262">
        <v>67813.111800384024</v>
      </c>
      <c r="V51" s="262">
        <v>829.48973123895541</v>
      </c>
      <c r="W51" s="262">
        <v>376.10349157150586</v>
      </c>
      <c r="X51" s="262">
        <v>24932.070689432083</v>
      </c>
      <c r="Y51" s="262">
        <v>24727.438373511846</v>
      </c>
      <c r="Z51" s="262">
        <v>2204.7509684851111</v>
      </c>
      <c r="AA51" s="262">
        <v>78.856339555066498</v>
      </c>
      <c r="AB51" s="262">
        <v>39.947319618283657</v>
      </c>
      <c r="AC51" s="262">
        <v>614.26792980103824</v>
      </c>
      <c r="AD51" s="262">
        <v>26770.768599251642</v>
      </c>
      <c r="AE51" s="261">
        <v>9.1517964146991364</v>
      </c>
      <c r="AF51" s="261">
        <v>20.691859812880573</v>
      </c>
      <c r="AG51" s="262">
        <v>123.11164432313961</v>
      </c>
      <c r="AH51" s="262">
        <v>390.85805781452166</v>
      </c>
      <c r="AI51" s="261">
        <v>13.688951516529041</v>
      </c>
      <c r="AJ51" s="262">
        <v>96.770980474559366</v>
      </c>
      <c r="AK51" s="261">
        <v>1.6403592731770047</v>
      </c>
      <c r="AL51" s="262">
        <v>114.79657117857182</v>
      </c>
      <c r="AM51" s="261">
        <v>222.52392394762578</v>
      </c>
      <c r="AN51" s="261">
        <v>22.947774890106</v>
      </c>
      <c r="AO51" s="261">
        <v>58.034273737687528</v>
      </c>
      <c r="AP51" s="261">
        <v>15.122077097062249</v>
      </c>
      <c r="AQ51" s="261">
        <v>1.8701375087685441</v>
      </c>
      <c r="AR51" s="261">
        <v>5.6189246687706325</v>
      </c>
      <c r="AS51" s="261">
        <v>52.693342456488303</v>
      </c>
      <c r="AT51" s="261">
        <v>4.1741414646558335</v>
      </c>
      <c r="AU51" s="261">
        <v>22.790817764653422</v>
      </c>
      <c r="AV51" s="261">
        <v>6.5338382935159949</v>
      </c>
      <c r="AW51" s="262">
        <v>648.00044972245109</v>
      </c>
      <c r="AX51" s="261">
        <v>33.210019264435353</v>
      </c>
      <c r="AY51" s="261">
        <v>68.579397515944549</v>
      </c>
      <c r="AZ51" s="261">
        <v>7.4211920772297537</v>
      </c>
      <c r="BA51" s="261">
        <v>27.836160750249899</v>
      </c>
      <c r="BB51" s="261">
        <v>5.7003372458995862</v>
      </c>
      <c r="BC51" s="261">
        <v>1.0139623962636055</v>
      </c>
      <c r="BD51" s="261">
        <v>4.6068355081082757</v>
      </c>
      <c r="BE51" s="261">
        <v>0.72908882241130801</v>
      </c>
      <c r="BF51" s="261">
        <v>4.0708250976475933</v>
      </c>
      <c r="BG51" s="261">
        <v>0.82585903233455282</v>
      </c>
      <c r="BH51" s="261">
        <v>2.3915707035370533</v>
      </c>
      <c r="BI51" s="261">
        <v>0.35310117709363598</v>
      </c>
      <c r="BJ51" s="261">
        <v>2.2667895451161684</v>
      </c>
      <c r="BK51" s="261">
        <v>0.33342380845086711</v>
      </c>
      <c r="BL51" s="261">
        <v>2.2024672313098268</v>
      </c>
      <c r="BM51" s="261">
        <v>1.1469432327707769</v>
      </c>
      <c r="BN51" s="261">
        <v>2.3964014871018735</v>
      </c>
      <c r="BO51" s="261">
        <v>2.6366843438464382</v>
      </c>
      <c r="BP51" s="262">
        <v>1406.686464105597</v>
      </c>
      <c r="BQ51" s="261">
        <v>2.8903327081205243</v>
      </c>
      <c r="BR51" s="261">
        <v>11.995480091306236</v>
      </c>
      <c r="BS51" s="261">
        <v>2.2679635793357784</v>
      </c>
      <c r="BT51" s="258"/>
    </row>
    <row r="52" spans="1:72" s="43" customFormat="1">
      <c r="A52" s="47"/>
      <c r="B52" s="47"/>
      <c r="C52" s="47"/>
      <c r="D52" s="47"/>
      <c r="E52" s="47"/>
      <c r="F52" s="47" t="s">
        <v>376</v>
      </c>
      <c r="G52" s="47"/>
      <c r="H52" s="83"/>
      <c r="J52" s="39"/>
      <c r="L52" s="47"/>
      <c r="M52" s="47"/>
      <c r="P52" s="47"/>
      <c r="Q52" s="263">
        <f>AVERAGE(Q47:Q51)</f>
        <v>25.438389775870984</v>
      </c>
      <c r="R52" s="263">
        <f t="shared" ref="R52:BS52" si="0">AVERAGE(R47:R51)</f>
        <v>2.0696058360820673</v>
      </c>
      <c r="S52" s="264">
        <f t="shared" si="0"/>
        <v>12404.620850047742</v>
      </c>
      <c r="T52" s="264">
        <f t="shared" si="0"/>
        <v>10293.281194837557</v>
      </c>
      <c r="U52" s="264">
        <f t="shared" si="0"/>
        <v>64544.365284254309</v>
      </c>
      <c r="V52" s="264">
        <f t="shared" si="0"/>
        <v>828.9348179998276</v>
      </c>
      <c r="W52" s="264">
        <f t="shared" si="0"/>
        <v>380.00090979967268</v>
      </c>
      <c r="X52" s="264">
        <f t="shared" si="0"/>
        <v>25286.429061289316</v>
      </c>
      <c r="Y52" s="264">
        <f t="shared" si="0"/>
        <v>24791.062950372325</v>
      </c>
      <c r="Z52" s="264">
        <f t="shared" si="0"/>
        <v>2310.8890121022778</v>
      </c>
      <c r="AA52" s="264">
        <f t="shared" si="0"/>
        <v>79.004056672132606</v>
      </c>
      <c r="AB52" s="264">
        <f t="shared" si="0"/>
        <v>40.583665565883578</v>
      </c>
      <c r="AC52" s="264">
        <f t="shared" si="0"/>
        <v>629.59107895974159</v>
      </c>
      <c r="AD52" s="264">
        <f t="shared" si="0"/>
        <v>27621.344852377755</v>
      </c>
      <c r="AE52" s="263">
        <f t="shared" si="0"/>
        <v>9.3631494518815153</v>
      </c>
      <c r="AF52" s="263">
        <f t="shared" si="0"/>
        <v>20.847565183945136</v>
      </c>
      <c r="AG52" s="264">
        <f t="shared" si="0"/>
        <v>127.73427050784304</v>
      </c>
      <c r="AH52" s="264">
        <f t="shared" si="0"/>
        <v>399.93582367029313</v>
      </c>
      <c r="AI52" s="263">
        <f t="shared" si="0"/>
        <v>14.78926287381922</v>
      </c>
      <c r="AJ52" s="264">
        <f t="shared" si="0"/>
        <v>101.74522071448567</v>
      </c>
      <c r="AK52" s="263">
        <f t="shared" si="0"/>
        <v>1.6834168309660513</v>
      </c>
      <c r="AL52" s="264">
        <f t="shared" si="0"/>
        <v>117.37459123636056</v>
      </c>
      <c r="AM52" s="263">
        <f t="shared" si="0"/>
        <v>226.87202371778662</v>
      </c>
      <c r="AN52" s="263">
        <f t="shared" si="0"/>
        <v>22.93928585122206</v>
      </c>
      <c r="AO52" s="263">
        <f t="shared" si="0"/>
        <v>61.847080534078046</v>
      </c>
      <c r="AP52" s="263">
        <f t="shared" si="0"/>
        <v>15.468258890108302</v>
      </c>
      <c r="AQ52" s="263">
        <f t="shared" si="0"/>
        <v>1.8732208644449475</v>
      </c>
      <c r="AR52" s="263">
        <f t="shared" si="0"/>
        <v>5.7424397726391216</v>
      </c>
      <c r="AS52" s="263">
        <f t="shared" si="0"/>
        <v>54.075089715337448</v>
      </c>
      <c r="AT52" s="263">
        <f t="shared" si="0"/>
        <v>4.2747861710953208</v>
      </c>
      <c r="AU52" s="263">
        <f t="shared" si="0"/>
        <v>23.321773859265445</v>
      </c>
      <c r="AV52" s="263">
        <f t="shared" si="0"/>
        <v>6.5519780921467348</v>
      </c>
      <c r="AW52" s="264">
        <f t="shared" si="0"/>
        <v>679.12456227019936</v>
      </c>
      <c r="AX52" s="263">
        <f t="shared" si="0"/>
        <v>33.335735686455891</v>
      </c>
      <c r="AY52" s="263">
        <f t="shared" si="0"/>
        <v>66.089618923188198</v>
      </c>
      <c r="AZ52" s="263">
        <f t="shared" si="0"/>
        <v>7.4537569923797378</v>
      </c>
      <c r="BA52" s="263">
        <f t="shared" si="0"/>
        <v>28.095789353159251</v>
      </c>
      <c r="BB52" s="263">
        <f t="shared" si="0"/>
        <v>5.6505329053956874</v>
      </c>
      <c r="BC52" s="263">
        <f t="shared" si="0"/>
        <v>1.0073508662058774</v>
      </c>
      <c r="BD52" s="263">
        <f t="shared" si="0"/>
        <v>4.701159058030016</v>
      </c>
      <c r="BE52" s="263">
        <f t="shared" si="0"/>
        <v>0.70830288546171527</v>
      </c>
      <c r="BF52" s="263">
        <f t="shared" si="0"/>
        <v>4.1469675819963348</v>
      </c>
      <c r="BG52" s="263">
        <f t="shared" si="0"/>
        <v>0.83339026771738633</v>
      </c>
      <c r="BH52" s="263">
        <f t="shared" si="0"/>
        <v>2.3751841611233599</v>
      </c>
      <c r="BI52" s="263">
        <f t="shared" si="0"/>
        <v>0.35498774986519549</v>
      </c>
      <c r="BJ52" s="263">
        <f t="shared" si="0"/>
        <v>2.330361956277033</v>
      </c>
      <c r="BK52" s="263">
        <f t="shared" si="0"/>
        <v>0.33786865579741437</v>
      </c>
      <c r="BL52" s="263">
        <f t="shared" si="0"/>
        <v>2.2433257714476942</v>
      </c>
      <c r="BM52" s="263">
        <f t="shared" si="0"/>
        <v>1.1423518767544092</v>
      </c>
      <c r="BN52" s="263">
        <f t="shared" si="0"/>
        <v>2.4692281637460569</v>
      </c>
      <c r="BO52" s="263">
        <f t="shared" si="0"/>
        <v>2.6776781267643548</v>
      </c>
      <c r="BP52" s="264">
        <f t="shared" si="0"/>
        <v>1373.526886033884</v>
      </c>
      <c r="BQ52" s="263">
        <f t="shared" si="0"/>
        <v>2.9182202752965569</v>
      </c>
      <c r="BR52" s="263">
        <f t="shared" si="0"/>
        <v>12.219215428245233</v>
      </c>
      <c r="BS52" s="263">
        <f t="shared" si="0"/>
        <v>2.3296617992210868</v>
      </c>
      <c r="BT52" s="265"/>
    </row>
    <row r="53" spans="1:72" s="43" customFormat="1">
      <c r="A53" s="47"/>
      <c r="B53" s="47"/>
      <c r="C53" s="47"/>
      <c r="D53" s="47"/>
      <c r="E53" s="47"/>
      <c r="F53" s="47" t="s">
        <v>718</v>
      </c>
      <c r="G53" s="47"/>
      <c r="H53" s="83"/>
      <c r="J53" s="39"/>
      <c r="L53" s="47"/>
      <c r="M53" s="47"/>
      <c r="P53" s="47"/>
      <c r="Q53" s="266">
        <f>(Q52/Q46)*100</f>
        <v>101.2473224910288</v>
      </c>
      <c r="R53" s="266">
        <f t="shared" ref="R53:BS53" si="1">(R52/R46)*100</f>
        <v>91.860001601512081</v>
      </c>
      <c r="S53" s="266">
        <f t="shared" si="1"/>
        <v>103.3718404170645</v>
      </c>
      <c r="T53" s="266">
        <f t="shared" si="1"/>
        <v>96.198889671379035</v>
      </c>
      <c r="U53" s="266">
        <f t="shared" si="1"/>
        <v>96.048162625378424</v>
      </c>
      <c r="V53" s="266">
        <f t="shared" si="1"/>
        <v>98.448315676939146</v>
      </c>
      <c r="W53" s="266">
        <f t="shared" si="1"/>
        <v>104.39614114315496</v>
      </c>
      <c r="X53" s="266">
        <f t="shared" si="1"/>
        <v>99.946359926044721</v>
      </c>
      <c r="Y53" s="266">
        <f t="shared" si="1"/>
        <v>102.44240888583604</v>
      </c>
      <c r="Z53" s="266">
        <f t="shared" si="1"/>
        <v>72.898707006381002</v>
      </c>
      <c r="AA53" s="266">
        <f t="shared" si="1"/>
        <v>97.898459321106074</v>
      </c>
      <c r="AB53" s="266">
        <f t="shared" si="1"/>
        <v>77.597830909911252</v>
      </c>
      <c r="AC53" s="266">
        <f t="shared" si="1"/>
        <v>93.272752438480239</v>
      </c>
      <c r="AD53" s="266">
        <f t="shared" si="1"/>
        <v>97.948031391410481</v>
      </c>
      <c r="AE53" s="266">
        <f t="shared" si="1"/>
        <v>94.672896378983978</v>
      </c>
      <c r="AF53" s="266">
        <f t="shared" si="1"/>
        <v>96.071728958272516</v>
      </c>
      <c r="AG53" s="266">
        <f t="shared" si="1"/>
        <v>91.238764648459309</v>
      </c>
      <c r="AH53" s="266">
        <f t="shared" si="1"/>
        <v>96.602855959008011</v>
      </c>
      <c r="AI53" s="266">
        <f t="shared" si="1"/>
        <v>98.819075730450507</v>
      </c>
      <c r="AJ53" s="266">
        <f t="shared" si="1"/>
        <v>95.088991321949223</v>
      </c>
      <c r="AK53" s="266">
        <f t="shared" si="1"/>
        <v>97.930007618734805</v>
      </c>
      <c r="AL53" s="266">
        <f t="shared" si="1"/>
        <v>97.812159363633796</v>
      </c>
      <c r="AM53" s="266">
        <f t="shared" si="1"/>
        <v>93.748770131316789</v>
      </c>
      <c r="AN53" s="266">
        <f t="shared" si="1"/>
        <v>94.575493099245762</v>
      </c>
      <c r="AO53" s="266">
        <f t="shared" si="1"/>
        <v>92.552197614746262</v>
      </c>
      <c r="AP53" s="266">
        <f t="shared" si="1"/>
        <v>95.618834704261005</v>
      </c>
      <c r="AQ53" s="266">
        <f t="shared" si="1"/>
        <v>100.01179201521342</v>
      </c>
      <c r="AR53" s="266">
        <f t="shared" si="1"/>
        <v>97.000671835120301</v>
      </c>
      <c r="AS53" s="266">
        <f t="shared" si="1"/>
        <v>99.953955111529481</v>
      </c>
      <c r="AT53" s="266">
        <f t="shared" si="1"/>
        <v>98.588241953305371</v>
      </c>
      <c r="AU53" s="266">
        <f t="shared" si="1"/>
        <v>97.990646467501861</v>
      </c>
      <c r="AV53" s="266">
        <f t="shared" si="1"/>
        <v>97.790717793234847</v>
      </c>
      <c r="AW53" s="266">
        <f t="shared" si="1"/>
        <v>93.030761954821827</v>
      </c>
      <c r="AX53" s="266">
        <f t="shared" si="1"/>
        <v>87.725620227515506</v>
      </c>
      <c r="AY53" s="266">
        <f t="shared" si="1"/>
        <v>94.934524998833894</v>
      </c>
      <c r="AZ53" s="266">
        <f t="shared" si="1"/>
        <v>94.220161703700384</v>
      </c>
      <c r="BA53" s="266">
        <f t="shared" si="1"/>
        <v>96.882032252273277</v>
      </c>
      <c r="BB53" s="266">
        <f t="shared" si="1"/>
        <v>98.338546909079142</v>
      </c>
      <c r="BC53" s="266">
        <f t="shared" si="1"/>
        <v>91.577351473261587</v>
      </c>
      <c r="BD53" s="266">
        <f t="shared" si="1"/>
        <v>94.533662940478919</v>
      </c>
      <c r="BE53" s="266">
        <f t="shared" si="1"/>
        <v>95.587433935454158</v>
      </c>
      <c r="BF53" s="266">
        <f t="shared" si="1"/>
        <v>95.092125246419059</v>
      </c>
      <c r="BG53" s="266">
        <f t="shared" si="1"/>
        <v>97.586682402504252</v>
      </c>
      <c r="BH53" s="266">
        <f t="shared" si="1"/>
        <v>95.350628708284219</v>
      </c>
      <c r="BI53" s="266">
        <f t="shared" si="1"/>
        <v>96.726907320216753</v>
      </c>
      <c r="BJ53" s="266">
        <f t="shared" si="1"/>
        <v>98.786009168165876</v>
      </c>
      <c r="BK53" s="266">
        <f t="shared" si="1"/>
        <v>95.985413578810906</v>
      </c>
      <c r="BL53" s="266">
        <f t="shared" si="1"/>
        <v>95.257994541303361</v>
      </c>
      <c r="BM53" s="266">
        <f t="shared" si="1"/>
        <v>95.275385884437796</v>
      </c>
      <c r="BN53" s="266">
        <f t="shared" si="1"/>
        <v>99.28541068540639</v>
      </c>
      <c r="BO53" s="266">
        <f t="shared" si="1"/>
        <v>99.913362938968447</v>
      </c>
      <c r="BP53" s="266">
        <f t="shared" si="1"/>
        <v>98.109063288134564</v>
      </c>
      <c r="BQ53" s="266">
        <f t="shared" si="1"/>
        <v>98.956265693338665</v>
      </c>
      <c r="BR53" s="266">
        <f t="shared" si="1"/>
        <v>81.461436188301548</v>
      </c>
      <c r="BS53" s="266">
        <f t="shared" si="1"/>
        <v>77.397401967477975</v>
      </c>
      <c r="BT53" s="265"/>
    </row>
    <row r="54" spans="1:72" s="43" customFormat="1">
      <c r="A54" s="47"/>
      <c r="B54" s="47"/>
      <c r="C54" s="47"/>
      <c r="D54" s="47"/>
      <c r="E54" s="47"/>
      <c r="F54" s="47" t="s">
        <v>719</v>
      </c>
      <c r="G54" s="47"/>
      <c r="H54" s="83"/>
      <c r="J54" s="39"/>
      <c r="L54" s="47"/>
      <c r="M54" s="47"/>
      <c r="P54" s="47"/>
      <c r="Q54" s="263">
        <f>STDEV(Q47:Q51)</f>
        <v>1.5792193325099537</v>
      </c>
      <c r="R54" s="263">
        <f t="shared" ref="R54:BS54" si="2">STDEV(R47:R51)</f>
        <v>0.23746290439761639</v>
      </c>
      <c r="S54" s="264">
        <f t="shared" si="2"/>
        <v>257.2434720531266</v>
      </c>
      <c r="T54" s="264">
        <f t="shared" si="2"/>
        <v>213.92203125151909</v>
      </c>
      <c r="U54" s="264">
        <f t="shared" si="2"/>
        <v>2709.4704967952339</v>
      </c>
      <c r="V54" s="299">
        <f t="shared" si="2"/>
        <v>47.611896016149402</v>
      </c>
      <c r="W54" s="299">
        <f t="shared" si="2"/>
        <v>15.038857372831572</v>
      </c>
      <c r="X54" s="299">
        <f t="shared" si="2"/>
        <v>753.04757913612173</v>
      </c>
      <c r="Y54" s="299">
        <f t="shared" si="2"/>
        <v>158.22624365607749</v>
      </c>
      <c r="Z54" s="299">
        <f t="shared" si="2"/>
        <v>128.21696783159601</v>
      </c>
      <c r="AA54" s="299">
        <f t="shared" si="2"/>
        <v>1.392938159091295</v>
      </c>
      <c r="AB54" s="299">
        <f t="shared" si="2"/>
        <v>0.51670947727064098</v>
      </c>
      <c r="AC54" s="299">
        <f t="shared" si="2"/>
        <v>10.043381950057134</v>
      </c>
      <c r="AD54" s="299">
        <f t="shared" si="2"/>
        <v>764.90597482584394</v>
      </c>
      <c r="AE54" s="263">
        <f t="shared" si="2"/>
        <v>0.1406501180609431</v>
      </c>
      <c r="AF54" s="263">
        <f t="shared" si="2"/>
        <v>0.46143822779697957</v>
      </c>
      <c r="AG54" s="264">
        <f t="shared" si="2"/>
        <v>3.4175394907314027</v>
      </c>
      <c r="AH54" s="264">
        <f t="shared" si="2"/>
        <v>10.535301164317318</v>
      </c>
      <c r="AI54" s="263">
        <f t="shared" si="2"/>
        <v>0.66134338224169298</v>
      </c>
      <c r="AJ54" s="299">
        <f t="shared" si="2"/>
        <v>3.2609165637795581</v>
      </c>
      <c r="AK54" s="263">
        <f t="shared" si="2"/>
        <v>0.13312337119033577</v>
      </c>
      <c r="AL54" s="299">
        <f t="shared" si="2"/>
        <v>1.8512129747521535</v>
      </c>
      <c r="AM54" s="263">
        <f t="shared" si="2"/>
        <v>3.0806715847937221</v>
      </c>
      <c r="AN54" s="263">
        <f t="shared" si="2"/>
        <v>0.71877981270408875</v>
      </c>
      <c r="AO54" s="263">
        <f t="shared" si="2"/>
        <v>3.3903388676684494</v>
      </c>
      <c r="AP54" s="263">
        <f t="shared" si="2"/>
        <v>0.36770547652261282</v>
      </c>
      <c r="AQ54" s="263">
        <f t="shared" si="2"/>
        <v>6.1197441328776254E-2</v>
      </c>
      <c r="AR54" s="263">
        <f t="shared" si="2"/>
        <v>0.17852343914900021</v>
      </c>
      <c r="AS54" s="263">
        <f t="shared" si="2"/>
        <v>0.85806048461637718</v>
      </c>
      <c r="AT54" s="263">
        <f t="shared" si="2"/>
        <v>0.1938025120747551</v>
      </c>
      <c r="AU54" s="263">
        <f t="shared" si="2"/>
        <v>0.4676872516531842</v>
      </c>
      <c r="AV54" s="263">
        <f t="shared" si="2"/>
        <v>7.9521552888117519E-2</v>
      </c>
      <c r="AW54" s="264">
        <f t="shared" si="2"/>
        <v>39.559504979350471</v>
      </c>
      <c r="AX54" s="263">
        <f t="shared" si="2"/>
        <v>0.53838078453761062</v>
      </c>
      <c r="AY54" s="263">
        <f t="shared" si="2"/>
        <v>3.7883020913634184</v>
      </c>
      <c r="AZ54" s="263">
        <f t="shared" si="2"/>
        <v>0.14035484447265179</v>
      </c>
      <c r="BA54" s="263">
        <f t="shared" si="2"/>
        <v>0.42456983421257682</v>
      </c>
      <c r="BB54" s="263">
        <f t="shared" si="2"/>
        <v>7.5203042821388857E-2</v>
      </c>
      <c r="BC54" s="263">
        <f t="shared" si="2"/>
        <v>3.7170734436538483E-2</v>
      </c>
      <c r="BD54" s="263">
        <f t="shared" si="2"/>
        <v>0.18168589594747916</v>
      </c>
      <c r="BE54" s="263">
        <f t="shared" si="2"/>
        <v>3.4889342931967951E-2</v>
      </c>
      <c r="BF54" s="263">
        <f t="shared" si="2"/>
        <v>0.11208582429187763</v>
      </c>
      <c r="BG54" s="263">
        <f t="shared" si="2"/>
        <v>2.3836116848726521E-2</v>
      </c>
      <c r="BH54" s="263">
        <f t="shared" si="2"/>
        <v>4.1715516285125577E-2</v>
      </c>
      <c r="BI54" s="263">
        <f t="shared" si="2"/>
        <v>1.1925078377049132E-2</v>
      </c>
      <c r="BJ54" s="263">
        <f t="shared" si="2"/>
        <v>7.3799005700386222E-2</v>
      </c>
      <c r="BK54" s="263">
        <f t="shared" si="2"/>
        <v>1.5185188144614484E-2</v>
      </c>
      <c r="BL54" s="263">
        <f t="shared" si="2"/>
        <v>0.13671748254640126</v>
      </c>
      <c r="BM54" s="263">
        <f t="shared" si="2"/>
        <v>5.6755528778035157E-2</v>
      </c>
      <c r="BN54" s="263">
        <f t="shared" si="2"/>
        <v>9.0291103121516073E-2</v>
      </c>
      <c r="BO54" s="263">
        <f t="shared" si="2"/>
        <v>2.9515400458199885E-2</v>
      </c>
      <c r="BP54" s="264">
        <f t="shared" si="2"/>
        <v>38.979850350482565</v>
      </c>
      <c r="BQ54" s="263">
        <f t="shared" si="2"/>
        <v>4.7442079520092696E-2</v>
      </c>
      <c r="BR54" s="263">
        <f t="shared" si="2"/>
        <v>0.25414014085452857</v>
      </c>
      <c r="BS54" s="263">
        <f t="shared" si="2"/>
        <v>8.394816747547458E-2</v>
      </c>
      <c r="BT54" s="265"/>
    </row>
    <row r="55" spans="1:72" s="43" customFormat="1">
      <c r="A55" s="47"/>
      <c r="B55" s="47"/>
      <c r="C55" s="47"/>
      <c r="D55" s="47"/>
      <c r="E55" s="47"/>
      <c r="F55" s="47" t="s">
        <v>720</v>
      </c>
      <c r="G55" s="47"/>
      <c r="H55" s="83"/>
      <c r="J55" s="39"/>
      <c r="L55" s="47"/>
      <c r="M55" s="47"/>
      <c r="P55" s="47"/>
      <c r="Q55" s="267">
        <f>(Q54/Q52)*100</f>
        <v>6.2080160985971169</v>
      </c>
      <c r="R55" s="267">
        <f t="shared" ref="R55:BS55" si="3">(R54/R52)*100</f>
        <v>11.473822708538213</v>
      </c>
      <c r="S55" s="269">
        <f t="shared" si="3"/>
        <v>2.0737713402351714</v>
      </c>
      <c r="T55" s="269">
        <f t="shared" si="3"/>
        <v>2.0782686026182646</v>
      </c>
      <c r="U55" s="269">
        <f t="shared" si="3"/>
        <v>4.1978420344869569</v>
      </c>
      <c r="V55" s="269">
        <f t="shared" si="3"/>
        <v>5.7437442585695928</v>
      </c>
      <c r="W55" s="269">
        <f t="shared" si="3"/>
        <v>3.957584570194765</v>
      </c>
      <c r="X55" s="269">
        <f t="shared" si="3"/>
        <v>2.9780700838021965</v>
      </c>
      <c r="Y55" s="269">
        <f t="shared" si="3"/>
        <v>0.63823904595305447</v>
      </c>
      <c r="Z55" s="269">
        <f t="shared" si="3"/>
        <v>5.5483827721762191</v>
      </c>
      <c r="AA55" s="269">
        <f t="shared" si="3"/>
        <v>1.7631223227840036</v>
      </c>
      <c r="AB55" s="269">
        <f>(AB54/AB52)*100</f>
        <v>1.2731956812324261</v>
      </c>
      <c r="AC55" s="269">
        <f t="shared" si="3"/>
        <v>1.5952230401122542</v>
      </c>
      <c r="AD55" s="269">
        <f t="shared" si="3"/>
        <v>2.7692568153863726</v>
      </c>
      <c r="AE55" s="267">
        <f t="shared" si="3"/>
        <v>1.5021667525842985</v>
      </c>
      <c r="AF55" s="267">
        <f t="shared" si="3"/>
        <v>2.2133914619071993</v>
      </c>
      <c r="AG55" s="267">
        <f t="shared" si="3"/>
        <v>2.6755071110861839</v>
      </c>
      <c r="AH55" s="267">
        <f t="shared" si="3"/>
        <v>2.6342479319888619</v>
      </c>
      <c r="AI55" s="267">
        <f t="shared" si="3"/>
        <v>4.4717805605608643</v>
      </c>
      <c r="AJ55" s="267">
        <f t="shared" si="3"/>
        <v>3.2049825445169975</v>
      </c>
      <c r="AK55" s="267">
        <f t="shared" si="3"/>
        <v>7.9079268272458192</v>
      </c>
      <c r="AL55" s="267">
        <f t="shared" si="3"/>
        <v>1.5771837458622651</v>
      </c>
      <c r="AM55" s="267">
        <f t="shared" si="3"/>
        <v>1.3578895865211957</v>
      </c>
      <c r="AN55" s="267">
        <f t="shared" si="3"/>
        <v>3.1334010019575071</v>
      </c>
      <c r="AO55" s="267">
        <f t="shared" si="3"/>
        <v>5.481809065830288</v>
      </c>
      <c r="AP55" s="267">
        <f t="shared" si="3"/>
        <v>2.3771613801845173</v>
      </c>
      <c r="AQ55" s="267">
        <f t="shared" si="3"/>
        <v>3.2669634686622824</v>
      </c>
      <c r="AR55" s="267">
        <f t="shared" si="3"/>
        <v>3.1088430391487427</v>
      </c>
      <c r="AS55" s="267">
        <f t="shared" si="3"/>
        <v>1.5867943800618485</v>
      </c>
      <c r="AT55" s="267">
        <f t="shared" si="3"/>
        <v>4.5336188599369738</v>
      </c>
      <c r="AU55" s="267">
        <f t="shared" si="3"/>
        <v>2.0053674067651501</v>
      </c>
      <c r="AV55" s="267">
        <f t="shared" si="3"/>
        <v>1.2137029728996322</v>
      </c>
      <c r="AW55" s="267">
        <f t="shared" si="3"/>
        <v>5.825073510389565</v>
      </c>
      <c r="AX55" s="267">
        <f t="shared" si="3"/>
        <v>1.6150259577332546</v>
      </c>
      <c r="AY55" s="267">
        <f t="shared" si="3"/>
        <v>5.7320682931555762</v>
      </c>
      <c r="AZ55" s="267">
        <f t="shared" si="3"/>
        <v>1.8830080537391003</v>
      </c>
      <c r="BA55" s="267">
        <f t="shared" si="3"/>
        <v>1.5111511154778636</v>
      </c>
      <c r="BB55" s="267">
        <f t="shared" si="3"/>
        <v>1.3309017765311579</v>
      </c>
      <c r="BC55" s="267">
        <f t="shared" si="3"/>
        <v>3.6899491213562632</v>
      </c>
      <c r="BD55" s="267">
        <f t="shared" si="3"/>
        <v>3.8647042932347246</v>
      </c>
      <c r="BE55" s="267">
        <f t="shared" si="3"/>
        <v>4.9257660314661766</v>
      </c>
      <c r="BF55" s="267">
        <f t="shared" si="3"/>
        <v>2.7028382082967704</v>
      </c>
      <c r="BG55" s="267">
        <f t="shared" si="3"/>
        <v>2.8601386135708586</v>
      </c>
      <c r="BH55" s="267">
        <f t="shared" si="3"/>
        <v>1.756306604259096</v>
      </c>
      <c r="BI55" s="267">
        <f t="shared" si="3"/>
        <v>3.3592929281581156</v>
      </c>
      <c r="BJ55" s="267">
        <f t="shared" si="3"/>
        <v>3.1668473432464928</v>
      </c>
      <c r="BK55" s="267">
        <f t="shared" si="3"/>
        <v>4.4944057059023272</v>
      </c>
      <c r="BL55" s="267">
        <f t="shared" si="3"/>
        <v>6.0944105526935051</v>
      </c>
      <c r="BM55" s="267">
        <f t="shared" si="3"/>
        <v>4.968305294799884</v>
      </c>
      <c r="BN55" s="267">
        <f t="shared" si="3"/>
        <v>3.6566528945035106</v>
      </c>
      <c r="BO55" s="267">
        <f t="shared" si="3"/>
        <v>1.1022758920567357</v>
      </c>
      <c r="BP55" s="267">
        <f t="shared" si="3"/>
        <v>2.8379386488049394</v>
      </c>
      <c r="BQ55" s="267">
        <f t="shared" si="3"/>
        <v>1.6257196182790385</v>
      </c>
      <c r="BR55" s="267">
        <f t="shared" si="3"/>
        <v>2.0798400874991767</v>
      </c>
      <c r="BS55" s="267">
        <f t="shared" si="3"/>
        <v>3.6034486852787957</v>
      </c>
      <c r="BT55" s="265"/>
    </row>
    <row r="56" spans="1:72" s="39" customFormat="1">
      <c r="A56" s="53"/>
      <c r="B56" s="53"/>
      <c r="C56" s="53"/>
      <c r="D56" s="53"/>
      <c r="E56" s="53"/>
      <c r="F56" s="243"/>
      <c r="G56" s="53"/>
      <c r="H56" s="116"/>
      <c r="P56" s="205"/>
      <c r="Q56" s="259"/>
      <c r="R56" s="259"/>
      <c r="S56" s="259"/>
      <c r="T56" s="259"/>
      <c r="U56" s="259"/>
      <c r="V56" s="259"/>
      <c r="W56" s="259"/>
      <c r="X56" s="259"/>
      <c r="Y56" s="259"/>
      <c r="Z56" s="259"/>
      <c r="AA56" s="268"/>
      <c r="AB56" s="268"/>
      <c r="AC56" s="259"/>
      <c r="AD56" s="259"/>
      <c r="AE56" s="259"/>
      <c r="AF56" s="259"/>
      <c r="AG56" s="259"/>
      <c r="AH56" s="259"/>
      <c r="AI56" s="259"/>
      <c r="AJ56" s="259"/>
      <c r="AK56" s="259"/>
      <c r="AL56" s="259"/>
      <c r="AM56" s="259"/>
      <c r="AN56" s="259"/>
      <c r="AO56" s="259"/>
      <c r="AP56" s="259"/>
      <c r="AQ56" s="259"/>
      <c r="AR56" s="259"/>
      <c r="AS56" s="259"/>
      <c r="AT56" s="259"/>
      <c r="AU56" s="259"/>
      <c r="AV56" s="259"/>
      <c r="AW56" s="259"/>
      <c r="AX56" s="259"/>
      <c r="AY56" s="259"/>
      <c r="AZ56" s="259"/>
      <c r="BA56" s="259"/>
      <c r="BB56" s="259"/>
      <c r="BC56" s="259"/>
      <c r="BD56" s="259"/>
      <c r="BE56" s="259"/>
      <c r="BF56" s="259"/>
      <c r="BG56" s="259"/>
      <c r="BH56" s="259"/>
      <c r="BI56" s="259"/>
      <c r="BJ56" s="259"/>
      <c r="BK56" s="259"/>
      <c r="BL56" s="259"/>
      <c r="BM56" s="259"/>
      <c r="BN56" s="259"/>
      <c r="BO56" s="259"/>
      <c r="BP56" s="259"/>
      <c r="BQ56" s="259"/>
      <c r="BR56" s="259"/>
      <c r="BS56" s="259"/>
      <c r="BT56" s="258"/>
    </row>
    <row r="57" spans="1:72" s="39" customFormat="1">
      <c r="A57" s="25" t="s">
        <v>398</v>
      </c>
      <c r="B57" s="53"/>
      <c r="C57" s="53"/>
      <c r="D57" s="53"/>
      <c r="E57" s="53"/>
      <c r="F57" s="90" t="s">
        <v>388</v>
      </c>
      <c r="G57" s="53"/>
      <c r="H57" s="116"/>
      <c r="I57" s="41"/>
      <c r="Q57" s="265" t="s">
        <v>4</v>
      </c>
      <c r="R57" s="265" t="s">
        <v>5</v>
      </c>
      <c r="S57" s="269" t="s">
        <v>6</v>
      </c>
      <c r="T57" s="269" t="s">
        <v>7</v>
      </c>
      <c r="U57" s="269" t="s">
        <v>8</v>
      </c>
      <c r="V57" s="269" t="s">
        <v>9</v>
      </c>
      <c r="W57" s="269" t="s">
        <v>10</v>
      </c>
      <c r="X57" s="269" t="s">
        <v>11</v>
      </c>
      <c r="Y57" s="269" t="s">
        <v>12</v>
      </c>
      <c r="Z57" s="269" t="s">
        <v>13</v>
      </c>
      <c r="AA57" s="269" t="s">
        <v>14</v>
      </c>
      <c r="AB57" s="269" t="s">
        <v>15</v>
      </c>
      <c r="AC57" s="269" t="s">
        <v>16</v>
      </c>
      <c r="AD57" s="269" t="s">
        <v>17</v>
      </c>
      <c r="AE57" s="265" t="s">
        <v>18</v>
      </c>
      <c r="AF57" s="269" t="s">
        <v>19</v>
      </c>
      <c r="AG57" s="269" t="s">
        <v>20</v>
      </c>
      <c r="AH57" s="265" t="s">
        <v>21</v>
      </c>
      <c r="AI57" s="265" t="s">
        <v>22</v>
      </c>
      <c r="AJ57" s="265" t="s">
        <v>23</v>
      </c>
      <c r="AK57" s="265" t="s">
        <v>24</v>
      </c>
      <c r="AL57" s="265" t="s">
        <v>25</v>
      </c>
      <c r="AM57" s="269" t="s">
        <v>26</v>
      </c>
      <c r="AN57" s="265" t="s">
        <v>27</v>
      </c>
      <c r="AO57" s="269" t="s">
        <v>28</v>
      </c>
      <c r="AP57" s="265" t="s">
        <v>29</v>
      </c>
      <c r="AQ57" s="269" t="s">
        <v>30</v>
      </c>
      <c r="AR57" s="265" t="s">
        <v>31</v>
      </c>
      <c r="AS57" s="265" t="s">
        <v>32</v>
      </c>
      <c r="AT57" s="269" t="s">
        <v>33</v>
      </c>
      <c r="AU57" s="265" t="s">
        <v>34</v>
      </c>
      <c r="AV57" s="265" t="s">
        <v>35</v>
      </c>
      <c r="AW57" s="269" t="s">
        <v>36</v>
      </c>
      <c r="AX57" s="265" t="s">
        <v>37</v>
      </c>
      <c r="AY57" s="265" t="s">
        <v>38</v>
      </c>
      <c r="AZ57" s="265" t="s">
        <v>39</v>
      </c>
      <c r="BA57" s="265" t="s">
        <v>40</v>
      </c>
      <c r="BB57" s="265" t="s">
        <v>41</v>
      </c>
      <c r="BC57" s="265" t="s">
        <v>42</v>
      </c>
      <c r="BD57" s="265" t="s">
        <v>43</v>
      </c>
      <c r="BE57" s="265" t="s">
        <v>44</v>
      </c>
      <c r="BF57" s="265" t="s">
        <v>45</v>
      </c>
      <c r="BG57" s="265" t="s">
        <v>46</v>
      </c>
      <c r="BH57" s="265" t="s">
        <v>47</v>
      </c>
      <c r="BI57" s="265" t="s">
        <v>48</v>
      </c>
      <c r="BJ57" s="265" t="s">
        <v>49</v>
      </c>
      <c r="BK57" s="265" t="s">
        <v>50</v>
      </c>
      <c r="BL57" s="265" t="s">
        <v>51</v>
      </c>
      <c r="BM57" s="269" t="s">
        <v>52</v>
      </c>
      <c r="BN57" s="269" t="s">
        <v>53</v>
      </c>
      <c r="BO57" s="269" t="s">
        <v>54</v>
      </c>
      <c r="BP57" s="269" t="s">
        <v>55</v>
      </c>
      <c r="BQ57" s="269" t="s">
        <v>56</v>
      </c>
      <c r="BR57" s="265" t="s">
        <v>57</v>
      </c>
      <c r="BS57" s="265" t="s">
        <v>58</v>
      </c>
      <c r="BT57" s="258"/>
    </row>
    <row r="58" spans="1:72" s="40" customFormat="1">
      <c r="A58" s="270"/>
      <c r="B58" s="270"/>
      <c r="C58" s="270"/>
      <c r="D58" s="270"/>
      <c r="E58" s="270"/>
      <c r="F58" s="90" t="s">
        <v>397</v>
      </c>
      <c r="G58" s="270"/>
      <c r="H58" s="271"/>
      <c r="I58" s="272"/>
      <c r="J58" s="39"/>
      <c r="Q58" s="255">
        <v>9</v>
      </c>
      <c r="R58" s="273">
        <v>1.613</v>
      </c>
      <c r="S58" s="275">
        <v>23400</v>
      </c>
      <c r="T58" s="275">
        <v>21600</v>
      </c>
      <c r="U58" s="275">
        <v>71400</v>
      </c>
      <c r="V58" s="275">
        <v>1500</v>
      </c>
      <c r="W58" s="279">
        <v>544.59400000000005</v>
      </c>
      <c r="X58" s="275">
        <v>14900</v>
      </c>
      <c r="Y58" s="275">
        <v>50900</v>
      </c>
      <c r="Z58" s="275">
        <v>13500</v>
      </c>
      <c r="AA58" s="275">
        <v>416</v>
      </c>
      <c r="AB58" s="255">
        <v>18</v>
      </c>
      <c r="AC58" s="275">
        <v>1520</v>
      </c>
      <c r="AD58" s="275">
        <v>96600</v>
      </c>
      <c r="AE58" s="256">
        <v>37</v>
      </c>
      <c r="AF58" s="254">
        <v>11.907999999999999</v>
      </c>
      <c r="AG58" s="255">
        <v>19</v>
      </c>
      <c r="AH58" s="256">
        <v>127</v>
      </c>
      <c r="AI58" s="256">
        <v>23</v>
      </c>
      <c r="AJ58" s="254">
        <v>0.55800000000000005</v>
      </c>
      <c r="AK58" s="254">
        <v>0.105</v>
      </c>
      <c r="AL58" s="256">
        <v>48</v>
      </c>
      <c r="AM58" s="255">
        <v>346</v>
      </c>
      <c r="AN58" s="256">
        <v>37</v>
      </c>
      <c r="AO58" s="255">
        <v>188</v>
      </c>
      <c r="AP58" s="254">
        <v>11.555</v>
      </c>
      <c r="AQ58" s="256">
        <v>248</v>
      </c>
      <c r="AR58" s="254">
        <v>5.1999999999999998E-2</v>
      </c>
      <c r="AS58" s="254">
        <v>0.26400000000000001</v>
      </c>
      <c r="AT58" s="254">
        <v>2.1120000000000001</v>
      </c>
      <c r="AU58" s="254">
        <v>0.30399999999999999</v>
      </c>
      <c r="AV58" s="256">
        <v>1.1000000000000001</v>
      </c>
      <c r="AW58" s="275">
        <v>638</v>
      </c>
      <c r="AX58" s="256">
        <v>25</v>
      </c>
      <c r="AY58" s="256">
        <v>53</v>
      </c>
      <c r="AZ58" s="256">
        <v>6.8</v>
      </c>
      <c r="BA58" s="256">
        <v>28</v>
      </c>
      <c r="BB58" s="256">
        <v>6.7</v>
      </c>
      <c r="BC58" s="256">
        <v>2</v>
      </c>
      <c r="BD58" s="256">
        <v>6.8</v>
      </c>
      <c r="BE58" s="256">
        <v>1.07</v>
      </c>
      <c r="BF58" s="254">
        <v>6.4</v>
      </c>
      <c r="BG58" s="256">
        <v>1.33</v>
      </c>
      <c r="BH58" s="254">
        <v>3.661</v>
      </c>
      <c r="BI58" s="256">
        <v>0.54</v>
      </c>
      <c r="BJ58" s="256">
        <v>3.5</v>
      </c>
      <c r="BK58" s="256">
        <v>0.51</v>
      </c>
      <c r="BL58" s="256">
        <v>4.8</v>
      </c>
      <c r="BM58" s="254">
        <v>0.73</v>
      </c>
      <c r="BN58" s="254">
        <v>0.48</v>
      </c>
      <c r="BO58" s="254">
        <v>0.25700000000000001</v>
      </c>
      <c r="BP58" s="256">
        <v>11</v>
      </c>
      <c r="BQ58" s="254">
        <v>5.6000000000000001E-2</v>
      </c>
      <c r="BR58" s="256">
        <v>6.2</v>
      </c>
      <c r="BS58" s="256">
        <v>1.69</v>
      </c>
      <c r="BT58" s="256"/>
    </row>
    <row r="59" spans="1:72" s="39" customFormat="1">
      <c r="A59" s="53">
        <v>14771</v>
      </c>
      <c r="B59" s="39" t="s">
        <v>384</v>
      </c>
      <c r="C59" s="53"/>
      <c r="D59" s="53"/>
      <c r="E59" s="53"/>
      <c r="F59" s="41" t="s">
        <v>383</v>
      </c>
      <c r="G59" s="53">
        <v>14771</v>
      </c>
      <c r="H59" s="116"/>
      <c r="I59" s="41" t="s">
        <v>383</v>
      </c>
      <c r="K59" s="39" t="s">
        <v>384</v>
      </c>
      <c r="O59" s="89"/>
      <c r="Q59" s="259">
        <v>10</v>
      </c>
      <c r="R59" s="259">
        <v>1.89</v>
      </c>
      <c r="S59" s="260">
        <v>23350</v>
      </c>
      <c r="T59" s="260">
        <v>21536</v>
      </c>
      <c r="U59" s="260">
        <v>67519</v>
      </c>
      <c r="V59" s="260">
        <v>1451</v>
      </c>
      <c r="W59" s="260">
        <v>236</v>
      </c>
      <c r="X59" s="260">
        <v>15107</v>
      </c>
      <c r="Y59" s="260">
        <v>49335</v>
      </c>
      <c r="Z59" s="260">
        <v>13438</v>
      </c>
      <c r="AA59" s="260">
        <v>406.9</v>
      </c>
      <c r="AB59" s="259">
        <v>13.9</v>
      </c>
      <c r="AC59" s="260">
        <v>1574</v>
      </c>
      <c r="AD59" s="260">
        <v>100057</v>
      </c>
      <c r="AE59" s="259">
        <v>36.880000000000003</v>
      </c>
      <c r="AF59" s="259">
        <v>11.3</v>
      </c>
      <c r="AG59" s="259">
        <v>16.399999999999999</v>
      </c>
      <c r="AH59" s="259">
        <v>137.80000000000001</v>
      </c>
      <c r="AI59" s="259">
        <v>19.59</v>
      </c>
      <c r="AJ59" s="259">
        <v>0.5</v>
      </c>
      <c r="AK59" s="259">
        <v>0.05</v>
      </c>
      <c r="AL59" s="259">
        <v>47.2</v>
      </c>
      <c r="AM59" s="259">
        <v>310.7</v>
      </c>
      <c r="AN59" s="259">
        <v>30.934999999999999</v>
      </c>
      <c r="AO59" s="259">
        <v>175.6</v>
      </c>
      <c r="AP59" s="259">
        <v>11.28</v>
      </c>
      <c r="AQ59" s="259">
        <v>261.38</v>
      </c>
      <c r="AR59" s="259">
        <v>5.0999999999999997E-2</v>
      </c>
      <c r="AS59" s="259">
        <v>0.28499999999999998</v>
      </c>
      <c r="AT59" s="259">
        <v>2.2200000000000002</v>
      </c>
      <c r="AU59" s="259">
        <v>0.34499999999999997</v>
      </c>
      <c r="AV59" s="259">
        <v>1.1499999999999999</v>
      </c>
      <c r="AW59" s="260">
        <v>650.70000000000005</v>
      </c>
      <c r="AX59" s="259">
        <v>23.7</v>
      </c>
      <c r="AY59" s="259">
        <v>48.46</v>
      </c>
      <c r="AZ59" s="259">
        <v>6.343</v>
      </c>
      <c r="BA59" s="259">
        <v>27.73</v>
      </c>
      <c r="BB59" s="259">
        <v>6.2329999999999997</v>
      </c>
      <c r="BC59" s="259">
        <v>1.8620000000000001</v>
      </c>
      <c r="BD59" s="259">
        <v>6.5110000000000001</v>
      </c>
      <c r="BE59" s="259">
        <v>0.97699999999999998</v>
      </c>
      <c r="BF59" s="259">
        <v>6.3460000000000001</v>
      </c>
      <c r="BG59" s="259">
        <v>1.232</v>
      </c>
      <c r="BH59" s="259">
        <v>3.456</v>
      </c>
      <c r="BI59" s="259">
        <v>0.501</v>
      </c>
      <c r="BJ59" s="259">
        <v>3.262</v>
      </c>
      <c r="BK59" s="259">
        <v>0.48199999999999998</v>
      </c>
      <c r="BL59" s="259">
        <v>4.7960000000000003</v>
      </c>
      <c r="BM59" s="259">
        <v>0.69499999999999995</v>
      </c>
      <c r="BN59" s="259">
        <v>0.47199999999999998</v>
      </c>
      <c r="BO59" s="259">
        <v>0.247</v>
      </c>
      <c r="BP59" s="259">
        <v>9.49</v>
      </c>
      <c r="BQ59" s="259">
        <v>0.05</v>
      </c>
      <c r="BR59" s="259">
        <v>5.343</v>
      </c>
      <c r="BS59" s="259">
        <v>1.5629999999999999</v>
      </c>
      <c r="BT59" s="258"/>
    </row>
    <row r="60" spans="1:72" s="39" customFormat="1">
      <c r="A60" s="53">
        <v>14771</v>
      </c>
      <c r="B60" s="39" t="s">
        <v>384</v>
      </c>
      <c r="C60" s="53"/>
      <c r="D60" s="53"/>
      <c r="E60" s="53"/>
      <c r="F60" s="41" t="s">
        <v>385</v>
      </c>
      <c r="G60" s="53">
        <v>14771</v>
      </c>
      <c r="H60" s="116"/>
      <c r="I60" s="41" t="s">
        <v>385</v>
      </c>
      <c r="K60" s="39" t="s">
        <v>384</v>
      </c>
      <c r="O60" s="89"/>
      <c r="Q60" s="259">
        <v>9</v>
      </c>
      <c r="R60" s="259">
        <v>1.66</v>
      </c>
      <c r="S60" s="260">
        <v>25087</v>
      </c>
      <c r="T60" s="260">
        <v>23073</v>
      </c>
      <c r="U60" s="260">
        <v>73931</v>
      </c>
      <c r="V60" s="260">
        <v>1660</v>
      </c>
      <c r="W60" s="260">
        <v>245</v>
      </c>
      <c r="X60" s="260">
        <v>16005</v>
      </c>
      <c r="Y60" s="260">
        <v>52206</v>
      </c>
      <c r="Z60" s="260">
        <v>13987</v>
      </c>
      <c r="AA60" s="260">
        <v>431.7</v>
      </c>
      <c r="AB60" s="259">
        <v>14.7</v>
      </c>
      <c r="AC60" s="260">
        <v>1671</v>
      </c>
      <c r="AD60" s="260">
        <v>106866</v>
      </c>
      <c r="AE60" s="259">
        <v>37.770000000000003</v>
      </c>
      <c r="AF60" s="259">
        <v>11.5</v>
      </c>
      <c r="AG60" s="259">
        <v>16.399999999999999</v>
      </c>
      <c r="AH60" s="259">
        <v>144.69999999999999</v>
      </c>
      <c r="AI60" s="259">
        <v>20.69</v>
      </c>
      <c r="AJ60" s="259">
        <v>0.5</v>
      </c>
      <c r="AK60" s="259">
        <v>0.04</v>
      </c>
      <c r="AL60" s="259">
        <v>49.6</v>
      </c>
      <c r="AM60" s="259">
        <v>327.7</v>
      </c>
      <c r="AN60" s="259">
        <v>32.246000000000002</v>
      </c>
      <c r="AO60" s="259">
        <v>182.2</v>
      </c>
      <c r="AP60" s="259">
        <v>11.76</v>
      </c>
      <c r="AQ60" s="259">
        <v>282.55</v>
      </c>
      <c r="AR60" s="259">
        <v>5.5E-2</v>
      </c>
      <c r="AS60" s="259">
        <v>0.29399999999999998</v>
      </c>
      <c r="AT60" s="259">
        <v>2.19</v>
      </c>
      <c r="AU60" s="259">
        <v>0.33100000000000002</v>
      </c>
      <c r="AV60" s="259">
        <v>1.208</v>
      </c>
      <c r="AW60" s="260">
        <v>683</v>
      </c>
      <c r="AX60" s="259">
        <v>24.73</v>
      </c>
      <c r="AY60" s="259">
        <v>50.69</v>
      </c>
      <c r="AZ60" s="259">
        <v>6.6260000000000003</v>
      </c>
      <c r="BA60" s="259">
        <v>29.06</v>
      </c>
      <c r="BB60" s="259">
        <v>6.7110000000000003</v>
      </c>
      <c r="BC60" s="259">
        <v>1.9350000000000001</v>
      </c>
      <c r="BD60" s="259">
        <v>6.9349999999999996</v>
      </c>
      <c r="BE60" s="259">
        <v>1.0249999999999999</v>
      </c>
      <c r="BF60" s="259">
        <v>6.5540000000000003</v>
      </c>
      <c r="BG60" s="259">
        <v>1.288</v>
      </c>
      <c r="BH60" s="259">
        <v>3.7109999999999999</v>
      </c>
      <c r="BI60" s="259">
        <v>0.52800000000000002</v>
      </c>
      <c r="BJ60" s="259">
        <v>3.468</v>
      </c>
      <c r="BK60" s="259">
        <v>0.50600000000000001</v>
      </c>
      <c r="BL60" s="259">
        <v>5.069</v>
      </c>
      <c r="BM60" s="259">
        <v>0.73299999999999998</v>
      </c>
      <c r="BN60" s="259">
        <v>0.45600000000000002</v>
      </c>
      <c r="BO60" s="259">
        <v>0.27500000000000002</v>
      </c>
      <c r="BP60" s="259">
        <v>9.9499999999999993</v>
      </c>
      <c r="BQ60" s="259">
        <v>0.06</v>
      </c>
      <c r="BR60" s="259">
        <v>5.5529999999999999</v>
      </c>
      <c r="BS60" s="259">
        <v>1.6579999999999999</v>
      </c>
      <c r="BT60" s="258"/>
    </row>
    <row r="61" spans="1:72" s="39" customFormat="1">
      <c r="A61" s="53">
        <v>14704</v>
      </c>
      <c r="B61" s="39" t="s">
        <v>384</v>
      </c>
      <c r="C61" s="53"/>
      <c r="D61" s="53"/>
      <c r="E61" s="53"/>
      <c r="F61" s="41" t="s">
        <v>383</v>
      </c>
      <c r="G61" s="53">
        <v>14704</v>
      </c>
      <c r="H61" s="116"/>
      <c r="I61" s="41" t="s">
        <v>383</v>
      </c>
      <c r="K61" s="41" t="s">
        <v>384</v>
      </c>
      <c r="L61" s="41"/>
      <c r="M61" s="41"/>
      <c r="O61" s="89"/>
      <c r="Q61" s="261">
        <v>7.4085454349749478</v>
      </c>
      <c r="R61" s="261">
        <v>1.5711384026128843</v>
      </c>
      <c r="S61" s="262">
        <v>22061.789770438889</v>
      </c>
      <c r="T61" s="262">
        <v>20082.708487159136</v>
      </c>
      <c r="U61" s="262">
        <v>61226.271739054027</v>
      </c>
      <c r="V61" s="262">
        <v>1606.6625500569171</v>
      </c>
      <c r="W61" s="262">
        <v>247.2903530538307</v>
      </c>
      <c r="X61" s="262">
        <v>14569.175973958332</v>
      </c>
      <c r="Y61" s="262">
        <v>47586.225156844812</v>
      </c>
      <c r="Z61" s="262">
        <v>12326.824642786982</v>
      </c>
      <c r="AA61" s="262">
        <v>450.19582773783009</v>
      </c>
      <c r="AB61" s="261">
        <v>15.780828043719859</v>
      </c>
      <c r="AC61" s="262">
        <v>1518.2846781949397</v>
      </c>
      <c r="AD61" s="262">
        <v>94835.574926071276</v>
      </c>
      <c r="AE61" s="261">
        <v>36.732671948792678</v>
      </c>
      <c r="AF61" s="261">
        <v>11.904346992964298</v>
      </c>
      <c r="AG61" s="261">
        <v>16.116672055388381</v>
      </c>
      <c r="AH61" s="261">
        <v>133.27264188112065</v>
      </c>
      <c r="AI61" s="261">
        <v>18.822552013623522</v>
      </c>
      <c r="AJ61" s="261">
        <v>0.47278316063329029</v>
      </c>
      <c r="AK61" s="261">
        <v>6.5080874962415311E-2</v>
      </c>
      <c r="AL61" s="261">
        <v>46.152749361857467</v>
      </c>
      <c r="AM61" s="261">
        <v>320.20210262507874</v>
      </c>
      <c r="AN61" s="261">
        <v>32.730102713113119</v>
      </c>
      <c r="AO61" s="261">
        <v>176.20662697587974</v>
      </c>
      <c r="AP61" s="261">
        <v>11.284309784365258</v>
      </c>
      <c r="AQ61" s="261">
        <v>271.00015340109132</v>
      </c>
      <c r="AR61" s="261">
        <v>4.2933143179651127E-2</v>
      </c>
      <c r="AS61" s="261">
        <v>0.2862804005579056</v>
      </c>
      <c r="AT61" s="261">
        <v>2.2201338762594967</v>
      </c>
      <c r="AU61" s="261">
        <v>0.32095602936425943</v>
      </c>
      <c r="AV61" s="261">
        <v>1.114319198813249</v>
      </c>
      <c r="AW61" s="262">
        <v>633.08688521076419</v>
      </c>
      <c r="AX61" s="261">
        <v>24.001447840510007</v>
      </c>
      <c r="AY61" s="261">
        <v>49.016272800992816</v>
      </c>
      <c r="AZ61" s="261">
        <v>6.3743391575887882</v>
      </c>
      <c r="BA61" s="261">
        <v>27.198160231291631</v>
      </c>
      <c r="BB61" s="261">
        <v>6.4194819069110736</v>
      </c>
      <c r="BC61" s="261">
        <v>1.8739224485185109</v>
      </c>
      <c r="BD61" s="261">
        <v>6.3658990734058793</v>
      </c>
      <c r="BE61" s="261">
        <v>0.9869172560415167</v>
      </c>
      <c r="BF61" s="261">
        <v>6.1993153453945613</v>
      </c>
      <c r="BG61" s="261">
        <v>1.2354289164815451</v>
      </c>
      <c r="BH61" s="261">
        <v>3.4444513921145874</v>
      </c>
      <c r="BI61" s="261">
        <v>0.50746844063409924</v>
      </c>
      <c r="BJ61" s="261">
        <v>3.1779480301295648</v>
      </c>
      <c r="BK61" s="261">
        <v>0.49534439858282014</v>
      </c>
      <c r="BL61" s="261">
        <v>5.0075148993694203</v>
      </c>
      <c r="BM61" s="261">
        <v>0.7109247834811383</v>
      </c>
      <c r="BN61" s="261">
        <v>0.45221244756220419</v>
      </c>
      <c r="BO61" s="261">
        <v>0.25214792392567098</v>
      </c>
      <c r="BP61" s="261">
        <v>9.6642823279600361</v>
      </c>
      <c r="BQ61" s="261">
        <v>5.654755531765418E-2</v>
      </c>
      <c r="BR61" s="261">
        <v>5.3684594622152355</v>
      </c>
      <c r="BS61" s="261">
        <v>1.622657556438367</v>
      </c>
      <c r="BT61" s="258"/>
    </row>
    <row r="62" spans="1:72" s="39" customFormat="1">
      <c r="A62" s="53">
        <v>14704</v>
      </c>
      <c r="B62" s="39" t="s">
        <v>384</v>
      </c>
      <c r="C62" s="53"/>
      <c r="D62" s="53"/>
      <c r="E62" s="53"/>
      <c r="F62" s="41" t="s">
        <v>385</v>
      </c>
      <c r="G62" s="53">
        <v>14704</v>
      </c>
      <c r="H62" s="116"/>
      <c r="I62" s="41" t="s">
        <v>385</v>
      </c>
      <c r="K62" s="41" t="s">
        <v>384</v>
      </c>
      <c r="L62" s="41"/>
      <c r="M62" s="41"/>
      <c r="O62" s="89"/>
      <c r="Q62" s="261">
        <v>8.0116978023711347</v>
      </c>
      <c r="R62" s="261">
        <v>1.823314031107387</v>
      </c>
      <c r="S62" s="262">
        <v>22728.769445608621</v>
      </c>
      <c r="T62" s="262">
        <v>20749.212289201074</v>
      </c>
      <c r="U62" s="262">
        <v>63741.112323596652</v>
      </c>
      <c r="V62" s="262">
        <v>1597.1333001624778</v>
      </c>
      <c r="W62" s="262">
        <v>241.86990939751161</v>
      </c>
      <c r="X62" s="262">
        <v>15485.781589420345</v>
      </c>
      <c r="Y62" s="262">
        <v>49489.798834702444</v>
      </c>
      <c r="Z62" s="262">
        <v>12950.713363636305</v>
      </c>
      <c r="AA62" s="262">
        <v>473.18928353421296</v>
      </c>
      <c r="AB62" s="261">
        <v>15.5821894733721</v>
      </c>
      <c r="AC62" s="262">
        <v>1507.7166990056755</v>
      </c>
      <c r="AD62" s="262">
        <v>96687.729642981314</v>
      </c>
      <c r="AE62" s="261">
        <v>37.192232150453378</v>
      </c>
      <c r="AF62" s="261">
        <v>11.649149430701581</v>
      </c>
      <c r="AG62" s="261">
        <v>16.315465624475909</v>
      </c>
      <c r="AH62" s="261">
        <v>125.74261659722234</v>
      </c>
      <c r="AI62" s="261">
        <v>18.296502531274857</v>
      </c>
      <c r="AJ62" s="261">
        <v>0.46643167464287416</v>
      </c>
      <c r="AK62" s="261">
        <v>9.3310140799364921E-2</v>
      </c>
      <c r="AL62" s="261">
        <v>46.896788240674006</v>
      </c>
      <c r="AM62" s="261">
        <v>314.33046375493331</v>
      </c>
      <c r="AN62" s="261">
        <v>33.249983992739274</v>
      </c>
      <c r="AO62" s="261">
        <v>177.63607999039519</v>
      </c>
      <c r="AP62" s="261">
        <v>11.588958902851127</v>
      </c>
      <c r="AQ62" s="261">
        <v>274.3598260447755</v>
      </c>
      <c r="AR62" s="261">
        <v>4.3821963686465681E-2</v>
      </c>
      <c r="AS62" s="261">
        <v>0.25307047966122032</v>
      </c>
      <c r="AT62" s="261">
        <v>2.1432104878910891</v>
      </c>
      <c r="AU62" s="261">
        <v>0.34676528586839678</v>
      </c>
      <c r="AV62" s="261">
        <v>1.1525314859650166</v>
      </c>
      <c r="AW62" s="262">
        <v>634.43293120230442</v>
      </c>
      <c r="AX62" s="261">
        <v>24.097600077446824</v>
      </c>
      <c r="AY62" s="261">
        <v>49.24610199165928</v>
      </c>
      <c r="AZ62" s="261">
        <v>6.3263154869212546</v>
      </c>
      <c r="BA62" s="261">
        <v>27.073360872896707</v>
      </c>
      <c r="BB62" s="261">
        <v>6.302206616370218</v>
      </c>
      <c r="BC62" s="261">
        <v>1.9429926624781435</v>
      </c>
      <c r="BD62" s="261">
        <v>6.2843134208234979</v>
      </c>
      <c r="BE62" s="261">
        <v>1.0254751064416625</v>
      </c>
      <c r="BF62" s="261">
        <v>6.0991406152883911</v>
      </c>
      <c r="BG62" s="261">
        <v>1.2713496823792474</v>
      </c>
      <c r="BH62" s="261">
        <v>3.5661134838291328</v>
      </c>
      <c r="BI62" s="261">
        <v>0.53088619445544138</v>
      </c>
      <c r="BJ62" s="261">
        <v>3.33117037273247</v>
      </c>
      <c r="BK62" s="261">
        <v>0.49542231097975159</v>
      </c>
      <c r="BL62" s="261">
        <v>5.1768028842955687</v>
      </c>
      <c r="BM62" s="261">
        <v>0.73128674308836072</v>
      </c>
      <c r="BN62" s="261">
        <v>0.46819028890080028</v>
      </c>
      <c r="BO62" s="261">
        <v>0.25580916390423764</v>
      </c>
      <c r="BP62" s="261">
        <v>9.9082842535803142</v>
      </c>
      <c r="BQ62" s="261">
        <v>4.8902936436020242E-2</v>
      </c>
      <c r="BR62" s="261">
        <v>5.5042791524360259</v>
      </c>
      <c r="BS62" s="261">
        <v>1.5889645215649837</v>
      </c>
      <c r="BT62" s="258"/>
    </row>
    <row r="63" spans="1:72" s="39" customFormat="1">
      <c r="A63" s="53">
        <v>14704</v>
      </c>
      <c r="B63" s="39" t="s">
        <v>384</v>
      </c>
      <c r="C63" s="53"/>
      <c r="D63" s="53"/>
      <c r="E63" s="53"/>
      <c r="F63" s="41" t="s">
        <v>389</v>
      </c>
      <c r="G63" s="53">
        <v>14704</v>
      </c>
      <c r="H63" s="116"/>
      <c r="I63" s="41" t="s">
        <v>389</v>
      </c>
      <c r="K63" s="41" t="s">
        <v>384</v>
      </c>
      <c r="L63" s="41"/>
      <c r="M63" s="41"/>
      <c r="O63" s="89"/>
      <c r="Q63" s="261">
        <v>8.0731746688255868</v>
      </c>
      <c r="R63" s="261">
        <v>1.4381488849054385</v>
      </c>
      <c r="S63" s="262">
        <v>23532.529472472259</v>
      </c>
      <c r="T63" s="262">
        <v>21270.797261624633</v>
      </c>
      <c r="U63" s="262">
        <v>68566.20580517099</v>
      </c>
      <c r="V63" s="262">
        <v>1556.0970406257254</v>
      </c>
      <c r="W63" s="262">
        <v>244.23256425659869</v>
      </c>
      <c r="X63" s="262">
        <v>15564.645113449018</v>
      </c>
      <c r="Y63" s="262">
        <v>49775.144539554392</v>
      </c>
      <c r="Z63" s="262">
        <v>13000.417304744633</v>
      </c>
      <c r="AA63" s="262">
        <v>452.80037675052375</v>
      </c>
      <c r="AB63" s="261">
        <v>15.155183200228887</v>
      </c>
      <c r="AC63" s="262">
        <v>1462.4704941439493</v>
      </c>
      <c r="AD63" s="262">
        <v>95236.665661887906</v>
      </c>
      <c r="AE63" s="261">
        <v>36.478120164030919</v>
      </c>
      <c r="AF63" s="261">
        <v>11.536283922642912</v>
      </c>
      <c r="AG63" s="261">
        <v>15.703787234588249</v>
      </c>
      <c r="AH63" s="261">
        <v>121.79182031289177</v>
      </c>
      <c r="AI63" s="261">
        <v>17.415577028788874</v>
      </c>
      <c r="AJ63" s="261">
        <v>1.4137561806023964</v>
      </c>
      <c r="AK63" s="261">
        <v>8.6329027459138633E-2</v>
      </c>
      <c r="AL63" s="261">
        <v>46.612165551985377</v>
      </c>
      <c r="AM63" s="261">
        <v>308.68938667569375</v>
      </c>
      <c r="AN63" s="261">
        <v>33.372582447315516</v>
      </c>
      <c r="AO63" s="261">
        <v>176.81662118417916</v>
      </c>
      <c r="AP63" s="261">
        <v>11.523114640862227</v>
      </c>
      <c r="AQ63" s="261">
        <v>266.96344661647254</v>
      </c>
      <c r="AR63" s="261">
        <v>4.6101528538737516E-2</v>
      </c>
      <c r="AS63" s="261">
        <v>0.23127321638321593</v>
      </c>
      <c r="AT63" s="261">
        <v>2.0883257608604882</v>
      </c>
      <c r="AU63" s="261">
        <v>0.27293304876740981</v>
      </c>
      <c r="AV63" s="261">
        <v>1.1017874778660413</v>
      </c>
      <c r="AW63" s="262">
        <v>632.31615173216574</v>
      </c>
      <c r="AX63" s="261">
        <v>23.824253695206021</v>
      </c>
      <c r="AY63" s="261">
        <v>48.659304784695486</v>
      </c>
      <c r="AZ63" s="261">
        <v>6.3087819894179855</v>
      </c>
      <c r="BA63" s="261">
        <v>26.787094716211705</v>
      </c>
      <c r="BB63" s="261">
        <v>6.5519249977215583</v>
      </c>
      <c r="BC63" s="261">
        <v>2.0090658786469668</v>
      </c>
      <c r="BD63" s="261">
        <v>6.2752957641212932</v>
      </c>
      <c r="BE63" s="261">
        <v>1.0501176918015105</v>
      </c>
      <c r="BF63" s="261">
        <v>6.0541006373204898</v>
      </c>
      <c r="BG63" s="261">
        <v>1.2679048063793166</v>
      </c>
      <c r="BH63" s="261">
        <v>3.5748803175879336</v>
      </c>
      <c r="BI63" s="261">
        <v>0.52559347991173222</v>
      </c>
      <c r="BJ63" s="261">
        <v>3.2232555194811399</v>
      </c>
      <c r="BK63" s="261">
        <v>0.50581129274102876</v>
      </c>
      <c r="BL63" s="261">
        <v>5.1267348248554567</v>
      </c>
      <c r="BM63" s="261">
        <v>0.71505351285696506</v>
      </c>
      <c r="BN63" s="261">
        <v>0.48609426283802309</v>
      </c>
      <c r="BO63" s="261">
        <v>0.2563505503520972</v>
      </c>
      <c r="BP63" s="261">
        <v>9.7073040647955988</v>
      </c>
      <c r="BQ63" s="261">
        <v>5.7702047972258308E-2</v>
      </c>
      <c r="BR63" s="261">
        <v>5.5020812267438011</v>
      </c>
      <c r="BS63" s="261">
        <v>1.6249774805763322</v>
      </c>
      <c r="BT63" s="258"/>
    </row>
    <row r="64" spans="1:72" s="39" customFormat="1">
      <c r="A64" s="53">
        <v>14704</v>
      </c>
      <c r="B64" s="39" t="s">
        <v>384</v>
      </c>
      <c r="C64" s="53"/>
      <c r="D64" s="53"/>
      <c r="E64" s="53"/>
      <c r="F64" s="41" t="s">
        <v>390</v>
      </c>
      <c r="G64" s="53">
        <v>14704</v>
      </c>
      <c r="H64" s="116"/>
      <c r="I64" s="41" t="s">
        <v>390</v>
      </c>
      <c r="K64" s="41" t="s">
        <v>384</v>
      </c>
      <c r="L64" s="41"/>
      <c r="M64" s="41"/>
      <c r="O64" s="89"/>
      <c r="Q64" s="261">
        <v>7.5768439492549575</v>
      </c>
      <c r="R64" s="261">
        <v>1.6996871154941968</v>
      </c>
      <c r="S64" s="262">
        <v>24154.318938900942</v>
      </c>
      <c r="T64" s="262">
        <v>22038.487697432705</v>
      </c>
      <c r="U64" s="262">
        <v>73474.088579687581</v>
      </c>
      <c r="V64" s="262">
        <v>1597.4760962575651</v>
      </c>
      <c r="W64" s="262">
        <v>236.56123271789346</v>
      </c>
      <c r="X64" s="262">
        <v>16274.274371798014</v>
      </c>
      <c r="Y64" s="262">
        <v>51513.471669787148</v>
      </c>
      <c r="Z64" s="262">
        <v>13313.227822256982</v>
      </c>
      <c r="AA64" s="262">
        <v>462.84002003392146</v>
      </c>
      <c r="AB64" s="261">
        <v>16.301145958859557</v>
      </c>
      <c r="AC64" s="262">
        <v>1512.1438019126433</v>
      </c>
      <c r="AD64" s="262">
        <v>97332.592286046929</v>
      </c>
      <c r="AE64" s="261">
        <v>36.690381229693763</v>
      </c>
      <c r="AF64" s="261">
        <v>12.549186401793484</v>
      </c>
      <c r="AG64" s="261">
        <v>15.828423137910818</v>
      </c>
      <c r="AH64" s="261">
        <v>124.04687348448707</v>
      </c>
      <c r="AI64" s="261">
        <v>18.042425438627291</v>
      </c>
      <c r="AJ64" s="261">
        <v>0.93897646347083408</v>
      </c>
      <c r="AK64" s="261">
        <v>6.6054924536857074E-2</v>
      </c>
      <c r="AL64" s="261">
        <v>47.636483080804084</v>
      </c>
      <c r="AM64" s="261">
        <v>314.44007389975064</v>
      </c>
      <c r="AN64" s="261">
        <v>34.141079348151848</v>
      </c>
      <c r="AO64" s="261">
        <v>179.40767220837409</v>
      </c>
      <c r="AP64" s="261">
        <v>11.630543291533984</v>
      </c>
      <c r="AQ64" s="261">
        <v>273.97551284774624</v>
      </c>
      <c r="AR64" s="261">
        <v>3.9688129252908481E-2</v>
      </c>
      <c r="AS64" s="261">
        <v>0.27104525956704001</v>
      </c>
      <c r="AT64" s="261">
        <v>1.9852404775917332</v>
      </c>
      <c r="AU64" s="261">
        <v>0.31208549766584409</v>
      </c>
      <c r="AV64" s="261">
        <v>1.1671704700657346</v>
      </c>
      <c r="AW64" s="262">
        <v>648.73091963480101</v>
      </c>
      <c r="AX64" s="261">
        <v>24.372142407384988</v>
      </c>
      <c r="AY64" s="261">
        <v>50.059156341018266</v>
      </c>
      <c r="AZ64" s="261">
        <v>6.4418210467886663</v>
      </c>
      <c r="BA64" s="261">
        <v>27.79234850489285</v>
      </c>
      <c r="BB64" s="261">
        <v>6.5822635529264852</v>
      </c>
      <c r="BC64" s="261">
        <v>1.9866290739569441</v>
      </c>
      <c r="BD64" s="261">
        <v>6.4592570793905537</v>
      </c>
      <c r="BE64" s="261">
        <v>1.0612688273420783</v>
      </c>
      <c r="BF64" s="261">
        <v>6.3230717782873631</v>
      </c>
      <c r="BG64" s="261">
        <v>1.2864218968275212</v>
      </c>
      <c r="BH64" s="261">
        <v>3.6193832989494967</v>
      </c>
      <c r="BI64" s="261">
        <v>0.52869534719591949</v>
      </c>
      <c r="BJ64" s="261">
        <v>3.3480722888481647</v>
      </c>
      <c r="BK64" s="261">
        <v>0.49934001143599421</v>
      </c>
      <c r="BL64" s="261">
        <v>5.2352615812822281</v>
      </c>
      <c r="BM64" s="261">
        <v>0.7334623367343166</v>
      </c>
      <c r="BN64" s="261">
        <v>0.48160497261597479</v>
      </c>
      <c r="BO64" s="261">
        <v>0.25840234325661715</v>
      </c>
      <c r="BP64" s="261">
        <v>9.8198598810835254</v>
      </c>
      <c r="BQ64" s="261">
        <v>5.4073812370881352E-2</v>
      </c>
      <c r="BR64" s="261">
        <v>5.6654797389928842</v>
      </c>
      <c r="BS64" s="261">
        <v>1.6575859176859729</v>
      </c>
      <c r="BT64" s="258"/>
    </row>
    <row r="65" spans="1:72" s="43" customFormat="1">
      <c r="A65" s="47"/>
      <c r="C65" s="47"/>
      <c r="D65" s="47"/>
      <c r="E65" s="47"/>
      <c r="F65" s="47" t="s">
        <v>376</v>
      </c>
      <c r="G65" s="47"/>
      <c r="H65" s="83"/>
      <c r="I65" s="93"/>
      <c r="J65" s="39"/>
      <c r="P65" s="47"/>
      <c r="Q65" s="269">
        <f>AVERAGE(Q59:Q64)</f>
        <v>8.3450436425711043</v>
      </c>
      <c r="R65" s="269">
        <f t="shared" ref="R65:BS65" si="4">AVERAGE(R59:R64)</f>
        <v>1.6803814056866508</v>
      </c>
      <c r="S65" s="267">
        <f t="shared" si="4"/>
        <v>23485.734604570116</v>
      </c>
      <c r="T65" s="267">
        <f t="shared" si="4"/>
        <v>21458.367622569589</v>
      </c>
      <c r="U65" s="267">
        <f t="shared" si="4"/>
        <v>68076.279741251536</v>
      </c>
      <c r="V65" s="267">
        <f t="shared" si="4"/>
        <v>1578.0614978504475</v>
      </c>
      <c r="W65" s="267">
        <f t="shared" si="4"/>
        <v>241.8256765709724</v>
      </c>
      <c r="X65" s="267">
        <f t="shared" si="4"/>
        <v>15500.979508104285</v>
      </c>
      <c r="Y65" s="267">
        <f t="shared" si="4"/>
        <v>49984.273366814799</v>
      </c>
      <c r="Z65" s="267">
        <f t="shared" si="4"/>
        <v>13169.363855570818</v>
      </c>
      <c r="AA65" s="267">
        <f t="shared" si="4"/>
        <v>446.27091800941474</v>
      </c>
      <c r="AB65" s="269">
        <f t="shared" si="4"/>
        <v>15.2365577793634</v>
      </c>
      <c r="AC65" s="267">
        <f t="shared" si="4"/>
        <v>1540.9359455428678</v>
      </c>
      <c r="AD65" s="267">
        <f t="shared" si="4"/>
        <v>98502.593752831235</v>
      </c>
      <c r="AE65" s="269">
        <f t="shared" si="4"/>
        <v>36.957234248828456</v>
      </c>
      <c r="AF65" s="269">
        <f t="shared" si="4"/>
        <v>11.739827791350379</v>
      </c>
      <c r="AG65" s="269">
        <f t="shared" si="4"/>
        <v>16.127391342060559</v>
      </c>
      <c r="AH65" s="269">
        <f t="shared" si="4"/>
        <v>131.22565871262029</v>
      </c>
      <c r="AI65" s="269">
        <f t="shared" si="4"/>
        <v>18.809509502052425</v>
      </c>
      <c r="AJ65" s="269">
        <f t="shared" si="4"/>
        <v>0.71532457989156584</v>
      </c>
      <c r="AK65" s="269">
        <f t="shared" si="4"/>
        <v>6.6795827959629323E-2</v>
      </c>
      <c r="AL65" s="269">
        <f t="shared" si="4"/>
        <v>47.349697705886825</v>
      </c>
      <c r="AM65" s="269">
        <f t="shared" si="4"/>
        <v>316.0103378259094</v>
      </c>
      <c r="AN65" s="269">
        <f t="shared" si="4"/>
        <v>32.779124750219957</v>
      </c>
      <c r="AO65" s="269">
        <f t="shared" si="4"/>
        <v>177.97783339313801</v>
      </c>
      <c r="AP65" s="269">
        <f t="shared" si="4"/>
        <v>11.511154436602098</v>
      </c>
      <c r="AQ65" s="269">
        <f t="shared" si="4"/>
        <v>271.70482315168096</v>
      </c>
      <c r="AR65" s="269">
        <f t="shared" si="4"/>
        <v>4.6424127442960463E-2</v>
      </c>
      <c r="AS65" s="269">
        <f t="shared" si="4"/>
        <v>0.27011155936156367</v>
      </c>
      <c r="AT65" s="269">
        <f t="shared" si="4"/>
        <v>2.1411517671004678</v>
      </c>
      <c r="AU65" s="269">
        <f t="shared" si="4"/>
        <v>0.32145664361098497</v>
      </c>
      <c r="AV65" s="269">
        <f t="shared" si="4"/>
        <v>1.1489681054516734</v>
      </c>
      <c r="AW65" s="267">
        <f t="shared" si="4"/>
        <v>647.04448129667264</v>
      </c>
      <c r="AX65" s="269">
        <f t="shared" si="4"/>
        <v>24.120907336757977</v>
      </c>
      <c r="AY65" s="269">
        <f t="shared" si="4"/>
        <v>49.355139319727641</v>
      </c>
      <c r="AZ65" s="269">
        <f t="shared" si="4"/>
        <v>6.40337628011945</v>
      </c>
      <c r="BA65" s="269">
        <f t="shared" si="4"/>
        <v>27.606827387548815</v>
      </c>
      <c r="BB65" s="269">
        <f t="shared" si="4"/>
        <v>6.4666461789882215</v>
      </c>
      <c r="BC65" s="269">
        <f t="shared" si="4"/>
        <v>1.9349350106000944</v>
      </c>
      <c r="BD65" s="269">
        <f t="shared" si="4"/>
        <v>6.4717942229568708</v>
      </c>
      <c r="BE65" s="269">
        <f t="shared" si="4"/>
        <v>1.0209631469377947</v>
      </c>
      <c r="BF65" s="269">
        <f t="shared" si="4"/>
        <v>6.2626047293818017</v>
      </c>
      <c r="BG65" s="269">
        <f t="shared" si="4"/>
        <v>1.263517550344605</v>
      </c>
      <c r="BH65" s="269">
        <f t="shared" si="4"/>
        <v>3.5619714154135251</v>
      </c>
      <c r="BI65" s="269">
        <f t="shared" si="4"/>
        <v>0.52027391036619874</v>
      </c>
      <c r="BJ65" s="269">
        <f t="shared" si="4"/>
        <v>3.3017410351985568</v>
      </c>
      <c r="BK65" s="269">
        <f t="shared" si="4"/>
        <v>0.49731966895659907</v>
      </c>
      <c r="BL65" s="269">
        <f t="shared" si="4"/>
        <v>5.068552364967112</v>
      </c>
      <c r="BM65" s="269">
        <f t="shared" si="4"/>
        <v>0.7197878960267966</v>
      </c>
      <c r="BN65" s="269">
        <f t="shared" si="4"/>
        <v>0.46935032865283371</v>
      </c>
      <c r="BO65" s="269">
        <f t="shared" si="4"/>
        <v>0.25745166357310384</v>
      </c>
      <c r="BP65" s="269">
        <f t="shared" si="4"/>
        <v>9.7566217545699114</v>
      </c>
      <c r="BQ65" s="269">
        <f t="shared" si="4"/>
        <v>5.4537725349469011E-2</v>
      </c>
      <c r="BR65" s="269">
        <f t="shared" si="4"/>
        <v>5.4893832633979907</v>
      </c>
      <c r="BS65" s="269">
        <f t="shared" si="4"/>
        <v>1.6191975793776094</v>
      </c>
      <c r="BT65" s="265"/>
    </row>
    <row r="66" spans="1:72" s="39" customFormat="1">
      <c r="A66" s="53"/>
      <c r="C66" s="53"/>
      <c r="D66" s="53"/>
      <c r="E66" s="53"/>
      <c r="F66" s="47" t="s">
        <v>718</v>
      </c>
      <c r="G66" s="53"/>
      <c r="H66" s="116"/>
      <c r="I66" s="41"/>
      <c r="P66" s="47"/>
      <c r="Q66" s="267">
        <f>(Q65/Q58)*100</f>
        <v>92.722707139678946</v>
      </c>
      <c r="R66" s="267">
        <f t="shared" ref="R66:BS66" si="5">(R65/R58)*100</f>
        <v>104.17739650878181</v>
      </c>
      <c r="S66" s="267">
        <f t="shared" si="5"/>
        <v>100.36638719901758</v>
      </c>
      <c r="T66" s="267">
        <f t="shared" si="5"/>
        <v>99.344294548933291</v>
      </c>
      <c r="U66" s="267">
        <f t="shared" si="5"/>
        <v>95.34492960959598</v>
      </c>
      <c r="V66" s="267">
        <f t="shared" si="5"/>
        <v>105.2040998566965</v>
      </c>
      <c r="W66" s="267">
        <f t="shared" si="5"/>
        <v>44.404763286222838</v>
      </c>
      <c r="X66" s="267">
        <f t="shared" si="5"/>
        <v>104.03341951747842</v>
      </c>
      <c r="Y66" s="267">
        <f t="shared" si="5"/>
        <v>98.200929993742236</v>
      </c>
      <c r="Z66" s="267">
        <f t="shared" si="5"/>
        <v>97.550843374598657</v>
      </c>
      <c r="AA66" s="267">
        <f t="shared" si="5"/>
        <v>107.2766629830324</v>
      </c>
      <c r="AB66" s="269">
        <f t="shared" si="5"/>
        <v>84.647543218685556</v>
      </c>
      <c r="AC66" s="267">
        <f t="shared" si="5"/>
        <v>101.37736483834657</v>
      </c>
      <c r="AD66" s="267">
        <f t="shared" si="5"/>
        <v>101.9695587503429</v>
      </c>
      <c r="AE66" s="267">
        <f t="shared" si="5"/>
        <v>99.884416888725553</v>
      </c>
      <c r="AF66" s="267">
        <f t="shared" si="5"/>
        <v>98.587737582720692</v>
      </c>
      <c r="AG66" s="267">
        <f t="shared" si="5"/>
        <v>84.881007063476616</v>
      </c>
      <c r="AH66" s="267">
        <f t="shared" si="5"/>
        <v>103.32729032489787</v>
      </c>
      <c r="AI66" s="267">
        <f t="shared" si="5"/>
        <v>81.780476095880104</v>
      </c>
      <c r="AJ66" s="267">
        <f t="shared" si="5"/>
        <v>128.19436915619457</v>
      </c>
      <c r="AK66" s="267">
        <f t="shared" si="5"/>
        <v>63.615074247266023</v>
      </c>
      <c r="AL66" s="267">
        <f t="shared" si="5"/>
        <v>98.645203553930884</v>
      </c>
      <c r="AM66" s="267">
        <f t="shared" si="5"/>
        <v>91.332467579742598</v>
      </c>
      <c r="AN66" s="267">
        <f t="shared" si="5"/>
        <v>88.592229054648527</v>
      </c>
      <c r="AO66" s="267">
        <f t="shared" si="5"/>
        <v>94.669060315498939</v>
      </c>
      <c r="AP66" s="267">
        <f t="shared" si="5"/>
        <v>99.620548996989172</v>
      </c>
      <c r="AQ66" s="267">
        <f t="shared" si="5"/>
        <v>109.55839643212941</v>
      </c>
      <c r="AR66" s="267">
        <f t="shared" si="5"/>
        <v>89.277168159539357</v>
      </c>
      <c r="AS66" s="267">
        <f t="shared" si="5"/>
        <v>102.3149846066529</v>
      </c>
      <c r="AT66" s="267">
        <f t="shared" si="5"/>
        <v>101.38029200286304</v>
      </c>
      <c r="AU66" s="267">
        <f t="shared" si="5"/>
        <v>105.7423169772977</v>
      </c>
      <c r="AV66" s="267">
        <f t="shared" si="5"/>
        <v>104.45164595015213</v>
      </c>
      <c r="AW66" s="267">
        <f t="shared" si="5"/>
        <v>101.41763029728412</v>
      </c>
      <c r="AX66" s="267">
        <f t="shared" si="5"/>
        <v>96.483629347031908</v>
      </c>
      <c r="AY66" s="267">
        <f t="shared" si="5"/>
        <v>93.122904376844602</v>
      </c>
      <c r="AZ66" s="267">
        <f t="shared" si="5"/>
        <v>94.16729823705073</v>
      </c>
      <c r="BA66" s="267">
        <f t="shared" si="5"/>
        <v>98.59581209838862</v>
      </c>
      <c r="BB66" s="267">
        <f t="shared" si="5"/>
        <v>96.51710714907793</v>
      </c>
      <c r="BC66" s="267">
        <f t="shared" si="5"/>
        <v>96.746750530004718</v>
      </c>
      <c r="BD66" s="267">
        <f t="shared" si="5"/>
        <v>95.173444455248102</v>
      </c>
      <c r="BE66" s="267">
        <f t="shared" si="5"/>
        <v>95.417116536242489</v>
      </c>
      <c r="BF66" s="267">
        <f t="shared" si="5"/>
        <v>97.853198896590641</v>
      </c>
      <c r="BG66" s="267">
        <f t="shared" si="5"/>
        <v>95.001319574782329</v>
      </c>
      <c r="BH66" s="267">
        <f t="shared" si="5"/>
        <v>97.295040027684379</v>
      </c>
      <c r="BI66" s="267">
        <f t="shared" si="5"/>
        <v>96.347020438184956</v>
      </c>
      <c r="BJ66" s="267">
        <f t="shared" si="5"/>
        <v>94.335458148530194</v>
      </c>
      <c r="BK66" s="267">
        <f t="shared" si="5"/>
        <v>97.513660579725297</v>
      </c>
      <c r="BL66" s="267">
        <f t="shared" si="5"/>
        <v>105.59484093681483</v>
      </c>
      <c r="BM66" s="267">
        <f t="shared" si="5"/>
        <v>98.60108164750639</v>
      </c>
      <c r="BN66" s="267">
        <f t="shared" si="5"/>
        <v>97.781318469340363</v>
      </c>
      <c r="BO66" s="267">
        <f t="shared" si="5"/>
        <v>100.17574458097425</v>
      </c>
      <c r="BP66" s="267">
        <f t="shared" si="5"/>
        <v>88.696561405181015</v>
      </c>
      <c r="BQ66" s="267">
        <f t="shared" si="5"/>
        <v>97.388795266908943</v>
      </c>
      <c r="BR66" s="267">
        <f t="shared" si="5"/>
        <v>88.538439732225655</v>
      </c>
      <c r="BS66" s="267">
        <f t="shared" si="5"/>
        <v>95.810507655479853</v>
      </c>
      <c r="BT66" s="54"/>
    </row>
    <row r="67" spans="1:72" s="39" customFormat="1">
      <c r="A67" s="53"/>
      <c r="C67" s="53"/>
      <c r="D67" s="53"/>
      <c r="E67" s="53"/>
      <c r="F67" s="47" t="s">
        <v>719</v>
      </c>
      <c r="G67" s="53"/>
      <c r="H67" s="116"/>
      <c r="I67" s="41"/>
      <c r="P67" s="47"/>
      <c r="Q67" s="269">
        <f>STDEV(Q59:Q64)</f>
        <v>0.98183911358599918</v>
      </c>
      <c r="R67" s="269">
        <f t="shared" ref="R67:BS67" si="6">STDEV(R59:R64)</f>
        <v>0.1647837555495695</v>
      </c>
      <c r="S67" s="267">
        <f t="shared" si="6"/>
        <v>1061.3467542499211</v>
      </c>
      <c r="T67" s="267">
        <f t="shared" si="6"/>
        <v>1037.3163245143242</v>
      </c>
      <c r="U67" s="267">
        <f t="shared" si="6"/>
        <v>5092.7588592408611</v>
      </c>
      <c r="V67" s="267">
        <f t="shared" si="6"/>
        <v>70.568633561581962</v>
      </c>
      <c r="W67" s="267">
        <f t="shared" si="6"/>
        <v>4.6343707180228604</v>
      </c>
      <c r="X67" s="267">
        <f t="shared" si="6"/>
        <v>613.15309141439036</v>
      </c>
      <c r="Y67" s="267">
        <f t="shared" si="6"/>
        <v>1657.404460830988</v>
      </c>
      <c r="Z67" s="267">
        <f t="shared" si="6"/>
        <v>556.34780190437493</v>
      </c>
      <c r="AA67" s="267">
        <f t="shared" si="6"/>
        <v>23.746802432303848</v>
      </c>
      <c r="AB67" s="269">
        <f t="shared" si="6"/>
        <v>0.85204954677418154</v>
      </c>
      <c r="AC67" s="267">
        <f t="shared" si="6"/>
        <v>72.955195579201416</v>
      </c>
      <c r="AD67" s="267">
        <f t="shared" si="6"/>
        <v>4497.5257948552617</v>
      </c>
      <c r="AE67" s="269">
        <f t="shared" si="6"/>
        <v>0.46324213450585483</v>
      </c>
      <c r="AF67" s="269">
        <f t="shared" si="6"/>
        <v>0.44333879936783888</v>
      </c>
      <c r="AG67" s="269">
        <f t="shared" si="6"/>
        <v>0.30097847980871562</v>
      </c>
      <c r="AH67" s="269">
        <f t="shared" si="6"/>
        <v>8.9394182330500502</v>
      </c>
      <c r="AI67" s="269">
        <f t="shared" si="6"/>
        <v>1.1781529518540019</v>
      </c>
      <c r="AJ67" s="269">
        <f t="shared" si="6"/>
        <v>0.38764164731100781</v>
      </c>
      <c r="AK67" s="269">
        <f t="shared" si="6"/>
        <v>2.043605100114524E-2</v>
      </c>
      <c r="AL67" s="269">
        <f t="shared" si="6"/>
        <v>1.2124587967677687</v>
      </c>
      <c r="AM67" s="269">
        <f t="shared" si="6"/>
        <v>6.9469822676782593</v>
      </c>
      <c r="AN67" s="269">
        <f t="shared" si="6"/>
        <v>1.1060056098527407</v>
      </c>
      <c r="AO67" s="269">
        <f t="shared" si="6"/>
        <v>2.454693581457231</v>
      </c>
      <c r="AP67" s="269">
        <f t="shared" si="6"/>
        <v>0.19352791238903658</v>
      </c>
      <c r="AQ67" s="269">
        <f t="shared" si="6"/>
        <v>7.2028066328200335</v>
      </c>
      <c r="AR67" s="269">
        <f t="shared" si="6"/>
        <v>5.6377330334901323E-3</v>
      </c>
      <c r="AS67" s="269">
        <f t="shared" si="6"/>
        <v>2.3889084390758032E-2</v>
      </c>
      <c r="AT67" s="269">
        <f t="shared" si="6"/>
        <v>9.1590963221085481E-2</v>
      </c>
      <c r="AU67" s="269">
        <f t="shared" si="6"/>
        <v>2.7307511426837003E-2</v>
      </c>
      <c r="AV67" s="269">
        <f t="shared" si="6"/>
        <v>3.8095699203878841E-2</v>
      </c>
      <c r="AW67" s="267">
        <f t="shared" si="6"/>
        <v>19.389665249946237</v>
      </c>
      <c r="AX67" s="269">
        <f t="shared" si="6"/>
        <v>0.37791350912381161</v>
      </c>
      <c r="AY67" s="269">
        <f t="shared" si="6"/>
        <v>0.85903117059880052</v>
      </c>
      <c r="AZ67" s="269">
        <f t="shared" si="6"/>
        <v>0.11867115580904687</v>
      </c>
      <c r="BA67" s="269">
        <f t="shared" si="6"/>
        <v>0.81053775215380353</v>
      </c>
      <c r="BB67" s="269">
        <f t="shared" si="6"/>
        <v>0.18122031850449544</v>
      </c>
      <c r="BC67" s="269">
        <f t="shared" si="6"/>
        <v>5.8778636023864468E-2</v>
      </c>
      <c r="BD67" s="269">
        <f t="shared" si="6"/>
        <v>0.24544993094325518</v>
      </c>
      <c r="BE67" s="269">
        <f t="shared" si="6"/>
        <v>3.3475574067873548E-2</v>
      </c>
      <c r="BF67" s="269">
        <f t="shared" si="6"/>
        <v>0.18424020084206555</v>
      </c>
      <c r="BG67" s="269">
        <f t="shared" si="6"/>
        <v>2.4441428226183344E-2</v>
      </c>
      <c r="BH67" s="269">
        <f t="shared" si="6"/>
        <v>0.10072768898573303</v>
      </c>
      <c r="BI67" s="269">
        <f t="shared" si="6"/>
        <v>1.2704291628509229E-2</v>
      </c>
      <c r="BJ67" s="269">
        <f t="shared" si="6"/>
        <v>0.10365206077003014</v>
      </c>
      <c r="BK67" s="269">
        <f t="shared" si="6"/>
        <v>8.8739114547643719E-3</v>
      </c>
      <c r="BL67" s="269">
        <f t="shared" si="6"/>
        <v>0.1555029907177462</v>
      </c>
      <c r="BM67" s="269">
        <f t="shared" si="6"/>
        <v>1.5551092831299861E-2</v>
      </c>
      <c r="BN67" s="269">
        <f t="shared" si="6"/>
        <v>1.3496965025892486E-2</v>
      </c>
      <c r="BO67" s="269">
        <f t="shared" si="6"/>
        <v>9.4881513941649856E-3</v>
      </c>
      <c r="BP67" s="269">
        <f t="shared" si="6"/>
        <v>0.17113835589832307</v>
      </c>
      <c r="BQ67" s="269">
        <f t="shared" si="6"/>
        <v>4.391942877997974E-3</v>
      </c>
      <c r="BR67" s="269">
        <f t="shared" si="6"/>
        <v>0.11957492142730379</v>
      </c>
      <c r="BS67" s="269">
        <f t="shared" si="6"/>
        <v>3.7674598275141649E-2</v>
      </c>
      <c r="BT67" s="258"/>
    </row>
    <row r="68" spans="1:72" s="39" customFormat="1">
      <c r="A68" s="53"/>
      <c r="C68" s="53"/>
      <c r="D68" s="53"/>
      <c r="E68" s="53"/>
      <c r="F68" s="47" t="s">
        <v>720</v>
      </c>
      <c r="G68" s="53"/>
      <c r="H68" s="116"/>
      <c r="I68" s="41"/>
      <c r="P68" s="47"/>
      <c r="Q68" s="267">
        <f>(Q67/Q65)*100</f>
        <v>11.765535995249691</v>
      </c>
      <c r="R68" s="267">
        <f t="shared" ref="R68:BS68" si="7">(R67/R65)*100</f>
        <v>9.8063305742325948</v>
      </c>
      <c r="S68" s="267">
        <f t="shared" si="7"/>
        <v>4.5191124404658494</v>
      </c>
      <c r="T68" s="267">
        <f t="shared" si="7"/>
        <v>4.8340877682759542</v>
      </c>
      <c r="U68" s="267">
        <f t="shared" si="7"/>
        <v>7.4809594158166819</v>
      </c>
      <c r="V68" s="267">
        <f t="shared" si="7"/>
        <v>4.4718557329804227</v>
      </c>
      <c r="W68" s="267">
        <f t="shared" si="7"/>
        <v>1.9164096979845473</v>
      </c>
      <c r="X68" s="267">
        <f t="shared" si="7"/>
        <v>3.9555764272433178</v>
      </c>
      <c r="Y68" s="267">
        <f t="shared" si="7"/>
        <v>3.3158518653816422</v>
      </c>
      <c r="Z68" s="267">
        <f t="shared" si="7"/>
        <v>4.2245609431546862</v>
      </c>
      <c r="AA68" s="267">
        <f t="shared" si="7"/>
        <v>5.3211628797650841</v>
      </c>
      <c r="AB68" s="269">
        <f t="shared" si="7"/>
        <v>5.5921393736858924</v>
      </c>
      <c r="AC68" s="267">
        <f t="shared" si="7"/>
        <v>4.7344729539357644</v>
      </c>
      <c r="AD68" s="267">
        <f t="shared" si="7"/>
        <v>4.5658958038615003</v>
      </c>
      <c r="AE68" s="267">
        <f t="shared" si="7"/>
        <v>1.2534545507028563</v>
      </c>
      <c r="AF68" s="267">
        <f t="shared" si="7"/>
        <v>3.7763654394869417</v>
      </c>
      <c r="AG68" s="267">
        <f t="shared" si="7"/>
        <v>1.8662564417579286</v>
      </c>
      <c r="AH68" s="267">
        <f t="shared" si="7"/>
        <v>6.8122487025400051</v>
      </c>
      <c r="AI68" s="267">
        <f t="shared" si="7"/>
        <v>6.2636027362938203</v>
      </c>
      <c r="AJ68" s="267">
        <f t="shared" si="7"/>
        <v>54.191014569885098</v>
      </c>
      <c r="AK68" s="267">
        <f t="shared" si="7"/>
        <v>30.594801539845527</v>
      </c>
      <c r="AL68" s="267">
        <f t="shared" si="7"/>
        <v>2.5606473863866457</v>
      </c>
      <c r="AM68" s="267">
        <f t="shared" si="7"/>
        <v>2.1983401921190828</v>
      </c>
      <c r="AN68" s="267">
        <f t="shared" si="7"/>
        <v>3.3741157467766709</v>
      </c>
      <c r="AO68" s="267">
        <f t="shared" si="7"/>
        <v>1.3792130933715885</v>
      </c>
      <c r="AP68" s="267">
        <f t="shared" si="7"/>
        <v>1.6812207103544239</v>
      </c>
      <c r="AQ68" s="267">
        <f t="shared" si="7"/>
        <v>2.6509675276537217</v>
      </c>
      <c r="AR68" s="267">
        <f t="shared" si="7"/>
        <v>12.14397199046336</v>
      </c>
      <c r="AS68" s="267">
        <f t="shared" si="7"/>
        <v>8.8441547807958791</v>
      </c>
      <c r="AT68" s="267">
        <f t="shared" si="7"/>
        <v>4.2776492833629121</v>
      </c>
      <c r="AU68" s="267">
        <f t="shared" si="7"/>
        <v>8.4949283113537231</v>
      </c>
      <c r="AV68" s="267">
        <f t="shared" si="7"/>
        <v>3.3156446226070795</v>
      </c>
      <c r="AW68" s="267">
        <f t="shared" si="7"/>
        <v>2.9966510511131297</v>
      </c>
      <c r="AX68" s="267">
        <f t="shared" si="7"/>
        <v>1.5667466561173147</v>
      </c>
      <c r="AY68" s="267">
        <f t="shared" si="7"/>
        <v>1.7405100713704984</v>
      </c>
      <c r="AZ68" s="267">
        <f t="shared" si="7"/>
        <v>1.8532591342083859</v>
      </c>
      <c r="BA68" s="267">
        <f t="shared" si="7"/>
        <v>2.9360047091806387</v>
      </c>
      <c r="BB68" s="267">
        <f t="shared" si="7"/>
        <v>2.8023849378573757</v>
      </c>
      <c r="BC68" s="267">
        <f t="shared" si="7"/>
        <v>3.0377576353654923</v>
      </c>
      <c r="BD68" s="267">
        <f t="shared" si="7"/>
        <v>3.7926102482151016</v>
      </c>
      <c r="BE68" s="267">
        <f t="shared" si="7"/>
        <v>3.2788229593083593</v>
      </c>
      <c r="BF68" s="267">
        <f t="shared" si="7"/>
        <v>2.9419100965717884</v>
      </c>
      <c r="BG68" s="267">
        <f t="shared" si="7"/>
        <v>1.9343956258872161</v>
      </c>
      <c r="BH68" s="267">
        <f t="shared" si="7"/>
        <v>2.8278634845260013</v>
      </c>
      <c r="BI68" s="267">
        <f t="shared" si="7"/>
        <v>2.441846760981579</v>
      </c>
      <c r="BJ68" s="267">
        <f t="shared" si="7"/>
        <v>3.1393152783648528</v>
      </c>
      <c r="BK68" s="267">
        <f t="shared" si="7"/>
        <v>1.7843475753497287</v>
      </c>
      <c r="BL68" s="267">
        <f t="shared" si="7"/>
        <v>3.0679961361858239</v>
      </c>
      <c r="BM68" s="267">
        <f t="shared" si="7"/>
        <v>2.1605104666445958</v>
      </c>
      <c r="BN68" s="267">
        <f t="shared" si="7"/>
        <v>2.8756696654783513</v>
      </c>
      <c r="BO68" s="267">
        <f t="shared" si="7"/>
        <v>3.6854107922556922</v>
      </c>
      <c r="BP68" s="267">
        <f t="shared" si="7"/>
        <v>1.7540739018417257</v>
      </c>
      <c r="BQ68" s="267">
        <f t="shared" si="7"/>
        <v>8.053036407101887</v>
      </c>
      <c r="BR68" s="267">
        <f t="shared" si="7"/>
        <v>2.178294276236882</v>
      </c>
      <c r="BS68" s="267">
        <f t="shared" si="7"/>
        <v>2.3267449726316345</v>
      </c>
      <c r="BT68" s="258"/>
    </row>
    <row r="69" spans="1:72" s="39" customFormat="1">
      <c r="A69" s="53"/>
      <c r="C69" s="53"/>
      <c r="D69" s="53"/>
      <c r="E69" s="53"/>
      <c r="F69" s="47"/>
      <c r="G69" s="53"/>
      <c r="H69" s="116"/>
      <c r="I69" s="41"/>
      <c r="Q69" s="269"/>
      <c r="R69" s="269"/>
      <c r="S69" s="269"/>
      <c r="T69" s="269"/>
      <c r="U69" s="269"/>
      <c r="V69" s="269"/>
      <c r="W69" s="269"/>
      <c r="X69" s="269"/>
      <c r="Y69" s="269"/>
      <c r="Z69" s="269"/>
      <c r="AA69" s="269"/>
      <c r="AB69" s="269"/>
      <c r="AC69" s="269"/>
      <c r="AD69" s="269"/>
      <c r="AE69" s="269"/>
      <c r="AF69" s="269"/>
      <c r="AG69" s="269"/>
      <c r="AH69" s="269"/>
      <c r="AI69" s="269"/>
      <c r="AJ69" s="269"/>
      <c r="AK69" s="269"/>
      <c r="AL69" s="269"/>
      <c r="AM69" s="269"/>
      <c r="AN69" s="269"/>
      <c r="AO69" s="269"/>
      <c r="AP69" s="269"/>
      <c r="AQ69" s="269"/>
      <c r="AR69" s="269"/>
      <c r="AS69" s="269"/>
      <c r="AT69" s="269"/>
      <c r="AU69" s="269"/>
      <c r="AV69" s="269"/>
      <c r="AW69" s="269"/>
      <c r="AX69" s="269"/>
      <c r="AY69" s="269"/>
      <c r="AZ69" s="269"/>
      <c r="BA69" s="269"/>
      <c r="BB69" s="269"/>
      <c r="BC69" s="269"/>
      <c r="BD69" s="269"/>
      <c r="BE69" s="269"/>
      <c r="BF69" s="269"/>
      <c r="BG69" s="269"/>
      <c r="BH69" s="269"/>
      <c r="BI69" s="269"/>
      <c r="BJ69" s="269"/>
      <c r="BK69" s="269"/>
      <c r="BL69" s="269"/>
      <c r="BM69" s="269"/>
      <c r="BN69" s="269"/>
      <c r="BO69" s="269"/>
      <c r="BP69" s="269"/>
      <c r="BQ69" s="269"/>
      <c r="BR69" s="269"/>
      <c r="BS69" s="269"/>
      <c r="BT69" s="258"/>
    </row>
    <row r="70" spans="1:72" s="39" customFormat="1">
      <c r="A70" s="53"/>
      <c r="C70" s="53"/>
      <c r="D70" s="53"/>
      <c r="E70" s="53"/>
      <c r="F70" s="41"/>
      <c r="G70" s="53"/>
      <c r="H70" s="116"/>
      <c r="I70" s="41"/>
      <c r="J70" s="249"/>
      <c r="Q70" s="259"/>
      <c r="R70" s="259"/>
      <c r="S70" s="259"/>
      <c r="T70" s="259"/>
      <c r="U70" s="259"/>
      <c r="V70" s="259"/>
      <c r="W70" s="259"/>
      <c r="X70" s="259"/>
      <c r="Y70" s="259"/>
      <c r="Z70" s="259"/>
      <c r="AA70" s="268"/>
      <c r="AB70" s="268"/>
      <c r="AC70" s="259"/>
      <c r="AD70" s="259"/>
      <c r="AE70" s="259"/>
      <c r="AF70" s="259"/>
      <c r="AG70" s="259"/>
      <c r="AH70" s="259"/>
      <c r="AI70" s="259"/>
      <c r="AJ70" s="259"/>
      <c r="AK70" s="259"/>
      <c r="AL70" s="259"/>
      <c r="AM70" s="259"/>
      <c r="AN70" s="259"/>
      <c r="AO70" s="259"/>
      <c r="AP70" s="259"/>
      <c r="AQ70" s="259"/>
      <c r="AR70" s="259"/>
      <c r="AS70" s="259"/>
      <c r="AT70" s="259"/>
      <c r="AU70" s="259"/>
      <c r="AV70" s="259"/>
      <c r="AW70" s="259"/>
      <c r="AX70" s="259"/>
      <c r="AY70" s="259"/>
      <c r="AZ70" s="259"/>
      <c r="BA70" s="259"/>
      <c r="BB70" s="259"/>
      <c r="BC70" s="259"/>
      <c r="BD70" s="259"/>
      <c r="BE70" s="259"/>
      <c r="BF70" s="259"/>
      <c r="BG70" s="259"/>
      <c r="BH70" s="259"/>
      <c r="BI70" s="259"/>
      <c r="BJ70" s="259"/>
      <c r="BK70" s="259"/>
      <c r="BL70" s="259"/>
      <c r="BM70" s="259"/>
      <c r="BN70" s="259"/>
      <c r="BO70" s="259"/>
      <c r="BP70" s="259"/>
      <c r="BQ70" s="259"/>
      <c r="BR70" s="259"/>
      <c r="BS70" s="259"/>
      <c r="BT70" s="258"/>
    </row>
    <row r="71" spans="1:72" s="39" customFormat="1">
      <c r="A71" s="25" t="s">
        <v>374</v>
      </c>
      <c r="B71" s="53"/>
      <c r="C71" s="53"/>
      <c r="D71" s="53"/>
      <c r="E71" s="53"/>
      <c r="F71" s="90" t="s">
        <v>388</v>
      </c>
      <c r="G71" s="53"/>
      <c r="H71" s="116"/>
      <c r="I71" s="41"/>
      <c r="J71" s="41"/>
      <c r="Q71" s="265" t="s">
        <v>4</v>
      </c>
      <c r="R71" s="265" t="s">
        <v>5</v>
      </c>
      <c r="S71" s="269" t="s">
        <v>6</v>
      </c>
      <c r="T71" s="269" t="s">
        <v>7</v>
      </c>
      <c r="U71" s="269" t="s">
        <v>8</v>
      </c>
      <c r="V71" s="269" t="s">
        <v>9</v>
      </c>
      <c r="W71" s="269" t="s">
        <v>10</v>
      </c>
      <c r="X71" s="269" t="s">
        <v>11</v>
      </c>
      <c r="Y71" s="269" t="s">
        <v>12</v>
      </c>
      <c r="Z71" s="269" t="s">
        <v>13</v>
      </c>
      <c r="AA71" s="269" t="s">
        <v>14</v>
      </c>
      <c r="AB71" s="269" t="s">
        <v>15</v>
      </c>
      <c r="AC71" s="269" t="s">
        <v>16</v>
      </c>
      <c r="AD71" s="269" t="s">
        <v>17</v>
      </c>
      <c r="AE71" s="265" t="s">
        <v>18</v>
      </c>
      <c r="AF71" s="269" t="s">
        <v>19</v>
      </c>
      <c r="AG71" s="269" t="s">
        <v>20</v>
      </c>
      <c r="AH71" s="265" t="s">
        <v>21</v>
      </c>
      <c r="AI71" s="265" t="s">
        <v>22</v>
      </c>
      <c r="AJ71" s="265" t="s">
        <v>23</v>
      </c>
      <c r="AK71" s="265" t="s">
        <v>24</v>
      </c>
      <c r="AL71" s="265" t="s">
        <v>25</v>
      </c>
      <c r="AM71" s="269" t="s">
        <v>26</v>
      </c>
      <c r="AN71" s="265" t="s">
        <v>27</v>
      </c>
      <c r="AO71" s="269" t="s">
        <v>28</v>
      </c>
      <c r="AP71" s="265" t="s">
        <v>29</v>
      </c>
      <c r="AQ71" s="269" t="s">
        <v>30</v>
      </c>
      <c r="AR71" s="265" t="s">
        <v>31</v>
      </c>
      <c r="AS71" s="265" t="s">
        <v>32</v>
      </c>
      <c r="AT71" s="269" t="s">
        <v>33</v>
      </c>
      <c r="AU71" s="265" t="s">
        <v>34</v>
      </c>
      <c r="AV71" s="265" t="s">
        <v>35</v>
      </c>
      <c r="AW71" s="269" t="s">
        <v>36</v>
      </c>
      <c r="AX71" s="265" t="s">
        <v>37</v>
      </c>
      <c r="AY71" s="265" t="s">
        <v>38</v>
      </c>
      <c r="AZ71" s="265" t="s">
        <v>39</v>
      </c>
      <c r="BA71" s="265" t="s">
        <v>40</v>
      </c>
      <c r="BB71" s="265" t="s">
        <v>41</v>
      </c>
      <c r="BC71" s="265" t="s">
        <v>42</v>
      </c>
      <c r="BD71" s="265" t="s">
        <v>43</v>
      </c>
      <c r="BE71" s="265" t="s">
        <v>44</v>
      </c>
      <c r="BF71" s="265" t="s">
        <v>45</v>
      </c>
      <c r="BG71" s="265" t="s">
        <v>46</v>
      </c>
      <c r="BH71" s="265" t="s">
        <v>47</v>
      </c>
      <c r="BI71" s="265" t="s">
        <v>48</v>
      </c>
      <c r="BJ71" s="265" t="s">
        <v>49</v>
      </c>
      <c r="BK71" s="265" t="s">
        <v>50</v>
      </c>
      <c r="BL71" s="265" t="s">
        <v>51</v>
      </c>
      <c r="BM71" s="269" t="s">
        <v>52</v>
      </c>
      <c r="BN71" s="269" t="s">
        <v>53</v>
      </c>
      <c r="BO71" s="269" t="s">
        <v>54</v>
      </c>
      <c r="BP71" s="269" t="s">
        <v>55</v>
      </c>
      <c r="BQ71" s="269" t="s">
        <v>56</v>
      </c>
      <c r="BR71" s="265" t="s">
        <v>57</v>
      </c>
      <c r="BS71" s="265" t="s">
        <v>58</v>
      </c>
      <c r="BT71" s="258"/>
    </row>
    <row r="72" spans="1:72" s="40" customFormat="1">
      <c r="A72" s="270"/>
      <c r="B72" s="270"/>
      <c r="C72" s="270"/>
      <c r="D72" s="270"/>
      <c r="E72" s="270"/>
      <c r="F72" s="90" t="s">
        <v>399</v>
      </c>
      <c r="G72" s="270"/>
      <c r="H72" s="271"/>
      <c r="I72" s="272"/>
      <c r="J72" s="272"/>
      <c r="Q72" s="273">
        <v>44.204000000000001</v>
      </c>
      <c r="R72" s="273">
        <v>2.823</v>
      </c>
      <c r="S72" s="279">
        <v>1115.9880000000001</v>
      </c>
      <c r="T72" s="279">
        <v>3740.924</v>
      </c>
      <c r="U72" s="279">
        <v>37961.786</v>
      </c>
      <c r="V72" s="279">
        <v>2810.8939999999998</v>
      </c>
      <c r="W72" s="279">
        <v>1011.051</v>
      </c>
      <c r="X72" s="275">
        <v>11700</v>
      </c>
      <c r="Y72" s="275">
        <v>28100</v>
      </c>
      <c r="Z72" s="279">
        <v>1372.36</v>
      </c>
      <c r="AA72" s="275">
        <v>356</v>
      </c>
      <c r="AB72" s="275">
        <v>225</v>
      </c>
      <c r="AC72" s="275">
        <v>7330</v>
      </c>
      <c r="AD72" s="275">
        <v>132000</v>
      </c>
      <c r="AE72" s="255">
        <v>40</v>
      </c>
      <c r="AF72" s="255">
        <v>79.400000000000006</v>
      </c>
      <c r="AG72" s="255">
        <v>26</v>
      </c>
      <c r="AH72" s="255">
        <v>191</v>
      </c>
      <c r="AI72" s="273">
        <v>8.5079999999999991</v>
      </c>
      <c r="AJ72" s="255">
        <v>104</v>
      </c>
      <c r="AK72" s="273">
        <v>0.53800000000000003</v>
      </c>
      <c r="AL72" s="273">
        <v>58.408000000000001</v>
      </c>
      <c r="AM72" s="273">
        <v>65.39</v>
      </c>
      <c r="AN72" s="273">
        <v>32.860999999999997</v>
      </c>
      <c r="AO72" s="273">
        <v>69.492000000000004</v>
      </c>
      <c r="AP72" s="273">
        <v>5.58</v>
      </c>
      <c r="AQ72" s="273">
        <v>7.0110000000000001</v>
      </c>
      <c r="AR72" s="273">
        <v>0.122</v>
      </c>
      <c r="AS72" s="255">
        <v>0.27500000000000002</v>
      </c>
      <c r="AT72" s="280">
        <v>2.7120000000000002</v>
      </c>
      <c r="AU72" s="273">
        <v>1.3959999999999999</v>
      </c>
      <c r="AV72" s="273">
        <v>2.9940000000000002</v>
      </c>
      <c r="AW72" s="279">
        <v>262.55799999999999</v>
      </c>
      <c r="AX72" s="273">
        <v>36.901000000000003</v>
      </c>
      <c r="AY72" s="273">
        <v>96.921999999999997</v>
      </c>
      <c r="AZ72" s="273">
        <v>10.516999999999999</v>
      </c>
      <c r="BA72" s="273">
        <v>42.863</v>
      </c>
      <c r="BB72" s="273">
        <v>9.2119999999999997</v>
      </c>
      <c r="BC72" s="273">
        <v>2.028</v>
      </c>
      <c r="BD72" s="273">
        <v>8.4930000000000003</v>
      </c>
      <c r="BE72" s="273">
        <v>1.3069999999999999</v>
      </c>
      <c r="BF72" s="273">
        <v>7.6369999999999996</v>
      </c>
      <c r="BG72" s="273">
        <v>1.4239999999999999</v>
      </c>
      <c r="BH72" s="273">
        <v>4.0419999999999998</v>
      </c>
      <c r="BI72" s="273">
        <v>0.59499999999999997</v>
      </c>
      <c r="BJ72" s="273">
        <v>3.806</v>
      </c>
      <c r="BK72" s="273">
        <v>0.54300000000000004</v>
      </c>
      <c r="BL72" s="273">
        <v>1.746</v>
      </c>
      <c r="BM72" s="273">
        <v>0.34</v>
      </c>
      <c r="BN72" s="273">
        <v>1.877</v>
      </c>
      <c r="BO72" s="273">
        <v>0.39700000000000002</v>
      </c>
      <c r="BP72" s="255">
        <v>79.400000000000006</v>
      </c>
      <c r="BQ72" s="273">
        <v>0.89700000000000002</v>
      </c>
      <c r="BR72" s="273">
        <v>19.728999999999999</v>
      </c>
      <c r="BS72" s="273">
        <v>2.0609999999999999</v>
      </c>
      <c r="BT72" s="281"/>
    </row>
    <row r="73" spans="1:72" s="39" customFormat="1">
      <c r="A73" s="53">
        <v>14771</v>
      </c>
      <c r="B73" s="53"/>
      <c r="C73" s="53"/>
      <c r="D73" s="53"/>
      <c r="E73" s="53"/>
      <c r="F73" s="41" t="s">
        <v>386</v>
      </c>
      <c r="G73" s="53">
        <v>14771</v>
      </c>
      <c r="H73" s="116"/>
      <c r="I73" s="41" t="s">
        <v>386</v>
      </c>
      <c r="J73" s="41"/>
      <c r="K73" s="39" t="s">
        <v>375</v>
      </c>
      <c r="O73" s="53"/>
      <c r="P73" s="89"/>
      <c r="Q73" s="259">
        <v>47</v>
      </c>
      <c r="R73" s="259">
        <v>3.23</v>
      </c>
      <c r="S73" s="260">
        <v>1134</v>
      </c>
      <c r="T73" s="260">
        <v>3821</v>
      </c>
      <c r="U73" s="260">
        <v>39226</v>
      </c>
      <c r="V73" s="260">
        <v>3095</v>
      </c>
      <c r="W73" s="260">
        <v>478</v>
      </c>
      <c r="X73" s="260">
        <v>10135</v>
      </c>
      <c r="Y73" s="260">
        <v>22273</v>
      </c>
      <c r="Z73" s="260">
        <v>1339</v>
      </c>
      <c r="AA73" s="260">
        <v>327.39999999999998</v>
      </c>
      <c r="AB73" s="260">
        <v>207.5</v>
      </c>
      <c r="AC73" s="260">
        <v>7209</v>
      </c>
      <c r="AD73" s="260">
        <v>156886</v>
      </c>
      <c r="AE73" s="259">
        <v>42.54</v>
      </c>
      <c r="AF73" s="259">
        <v>78.3</v>
      </c>
      <c r="AG73" s="259">
        <v>25.2</v>
      </c>
      <c r="AH73" s="259">
        <v>193.6</v>
      </c>
      <c r="AI73" s="259">
        <v>8.7799999999999994</v>
      </c>
      <c r="AJ73" s="259">
        <v>87</v>
      </c>
      <c r="AK73" s="259">
        <v>0.52</v>
      </c>
      <c r="AL73" s="259">
        <v>58.9</v>
      </c>
      <c r="AM73" s="259">
        <v>64.599999999999994</v>
      </c>
      <c r="AN73" s="259">
        <v>29.798999999999999</v>
      </c>
      <c r="AO73" s="259">
        <v>66.400000000000006</v>
      </c>
      <c r="AP73" s="259">
        <v>5.28</v>
      </c>
      <c r="AQ73" s="259">
        <v>7.01</v>
      </c>
      <c r="AR73" s="259">
        <v>0.111</v>
      </c>
      <c r="AS73" s="259">
        <v>0.35799999999999998</v>
      </c>
      <c r="AT73" s="259">
        <v>2.68</v>
      </c>
      <c r="AU73" s="259">
        <v>1.343</v>
      </c>
      <c r="AV73" s="259">
        <v>2.9049999999999998</v>
      </c>
      <c r="AW73" s="260">
        <v>275.3</v>
      </c>
      <c r="AX73" s="259">
        <v>36.04</v>
      </c>
      <c r="AY73" s="259">
        <v>90.03</v>
      </c>
      <c r="AZ73" s="259">
        <v>10.381</v>
      </c>
      <c r="BA73" s="259">
        <v>42.42</v>
      </c>
      <c r="BB73" s="259">
        <v>9.0470000000000006</v>
      </c>
      <c r="BC73" s="259">
        <v>1.9470000000000001</v>
      </c>
      <c r="BD73" s="259">
        <v>8.3420000000000005</v>
      </c>
      <c r="BE73" s="259">
        <v>1.23</v>
      </c>
      <c r="BF73" s="259">
        <v>7.6130000000000004</v>
      </c>
      <c r="BG73" s="259">
        <v>1.42</v>
      </c>
      <c r="BH73" s="259">
        <v>3.831</v>
      </c>
      <c r="BI73" s="259">
        <v>0.55600000000000005</v>
      </c>
      <c r="BJ73" s="259">
        <v>3.7519999999999998</v>
      </c>
      <c r="BK73" s="259">
        <v>0.52900000000000003</v>
      </c>
      <c r="BL73" s="259">
        <v>1.6</v>
      </c>
      <c r="BM73" s="259">
        <v>0.31900000000000001</v>
      </c>
      <c r="BN73" s="259">
        <v>1.7789999999999999</v>
      </c>
      <c r="BO73" s="259">
        <v>0.38900000000000001</v>
      </c>
      <c r="BP73" s="259">
        <v>76.069999999999993</v>
      </c>
      <c r="BQ73" s="259">
        <v>0.87</v>
      </c>
      <c r="BR73" s="259">
        <v>18.754999999999999</v>
      </c>
      <c r="BS73" s="259">
        <v>1.9970000000000001</v>
      </c>
      <c r="BT73" s="258"/>
    </row>
    <row r="74" spans="1:72" s="39" customFormat="1">
      <c r="A74" s="53">
        <v>14771</v>
      </c>
      <c r="B74" s="53"/>
      <c r="C74" s="53"/>
      <c r="D74" s="53"/>
      <c r="E74" s="53"/>
      <c r="F74" s="41" t="s">
        <v>387</v>
      </c>
      <c r="G74" s="53">
        <v>14771</v>
      </c>
      <c r="H74" s="116"/>
      <c r="I74" s="41" t="s">
        <v>387</v>
      </c>
      <c r="J74" s="41"/>
      <c r="K74" s="39" t="s">
        <v>375</v>
      </c>
      <c r="O74" s="53"/>
      <c r="P74" s="89"/>
      <c r="Q74" s="259">
        <v>48</v>
      </c>
      <c r="R74" s="259">
        <v>2.4300000000000002</v>
      </c>
      <c r="S74" s="260">
        <v>1148</v>
      </c>
      <c r="T74" s="260">
        <v>3895</v>
      </c>
      <c r="U74" s="260">
        <v>38232</v>
      </c>
      <c r="V74" s="260">
        <v>3063</v>
      </c>
      <c r="W74" s="260">
        <v>482</v>
      </c>
      <c r="X74" s="260">
        <v>10446</v>
      </c>
      <c r="Y74" s="260">
        <v>22932</v>
      </c>
      <c r="Z74" s="260">
        <v>1568</v>
      </c>
      <c r="AA74" s="260">
        <v>338.4</v>
      </c>
      <c r="AB74" s="260">
        <v>215.2</v>
      </c>
      <c r="AC74" s="260">
        <v>7257</v>
      </c>
      <c r="AD74" s="260">
        <v>156925</v>
      </c>
      <c r="AE74" s="259">
        <v>43.76</v>
      </c>
      <c r="AF74" s="259">
        <v>81</v>
      </c>
      <c r="AG74" s="259">
        <v>26</v>
      </c>
      <c r="AH74" s="259">
        <v>213.1</v>
      </c>
      <c r="AI74" s="259">
        <v>9.17</v>
      </c>
      <c r="AJ74" s="259">
        <v>93.9</v>
      </c>
      <c r="AK74" s="259">
        <v>0.46</v>
      </c>
      <c r="AL74" s="259">
        <v>59.8</v>
      </c>
      <c r="AM74" s="259">
        <v>68.3</v>
      </c>
      <c r="AN74" s="259">
        <v>31.097000000000001</v>
      </c>
      <c r="AO74" s="259">
        <v>75.099999999999994</v>
      </c>
      <c r="AP74" s="259">
        <v>6.11</v>
      </c>
      <c r="AQ74" s="259">
        <v>7.18</v>
      </c>
      <c r="AR74" s="259">
        <v>0.11899999999999999</v>
      </c>
      <c r="AS74" s="259">
        <v>0.41599999999999998</v>
      </c>
      <c r="AT74" s="259">
        <v>2.76</v>
      </c>
      <c r="AU74" s="259">
        <v>1.4419999999999999</v>
      </c>
      <c r="AV74" s="259">
        <v>3.0059999999999998</v>
      </c>
      <c r="AW74" s="260">
        <v>285</v>
      </c>
      <c r="AX74" s="259">
        <v>36.1</v>
      </c>
      <c r="AY74" s="259">
        <v>95.56</v>
      </c>
      <c r="AZ74" s="259">
        <v>10.483000000000001</v>
      </c>
      <c r="BA74" s="259">
        <v>41.47</v>
      </c>
      <c r="BB74" s="259">
        <v>9.1539999999999999</v>
      </c>
      <c r="BC74" s="259">
        <v>1.984</v>
      </c>
      <c r="BD74" s="259">
        <v>8.5820000000000007</v>
      </c>
      <c r="BE74" s="259">
        <v>1.2629999999999999</v>
      </c>
      <c r="BF74" s="259">
        <v>7.6550000000000002</v>
      </c>
      <c r="BG74" s="259">
        <v>1.4179999999999999</v>
      </c>
      <c r="BH74" s="259">
        <v>3.9449999999999998</v>
      </c>
      <c r="BI74" s="259">
        <v>0.59299999999999997</v>
      </c>
      <c r="BJ74" s="259">
        <v>3.9809999999999999</v>
      </c>
      <c r="BK74" s="259">
        <v>0.56299999999999994</v>
      </c>
      <c r="BL74" s="259">
        <v>1.88</v>
      </c>
      <c r="BM74" s="259">
        <v>0.41899999999999998</v>
      </c>
      <c r="BN74" s="259">
        <v>1.96</v>
      </c>
      <c r="BO74" s="259">
        <v>0.39900000000000002</v>
      </c>
      <c r="BP74" s="259">
        <v>77.55</v>
      </c>
      <c r="BQ74" s="259">
        <v>0.9</v>
      </c>
      <c r="BR74" s="259">
        <v>19.209</v>
      </c>
      <c r="BS74" s="259">
        <v>2.028</v>
      </c>
      <c r="BT74" s="258"/>
    </row>
    <row r="75" spans="1:72" s="39" customFormat="1">
      <c r="A75" s="53">
        <v>14704</v>
      </c>
      <c r="C75" s="243"/>
      <c r="D75" s="243"/>
      <c r="E75" s="243"/>
      <c r="F75" s="41" t="s">
        <v>386</v>
      </c>
      <c r="G75" s="53">
        <v>14704</v>
      </c>
      <c r="H75" s="243"/>
      <c r="I75" s="41" t="s">
        <v>386</v>
      </c>
      <c r="J75" s="41"/>
      <c r="K75" s="41" t="s">
        <v>375</v>
      </c>
      <c r="L75" s="41"/>
      <c r="M75" s="41"/>
      <c r="O75" s="53"/>
      <c r="P75" s="89"/>
      <c r="Q75" s="261">
        <v>42.285174674606118</v>
      </c>
      <c r="R75" s="261">
        <v>2.7294789745446302</v>
      </c>
      <c r="S75" s="262">
        <v>1058.0759985480399</v>
      </c>
      <c r="T75" s="262">
        <v>3534.3208149215507</v>
      </c>
      <c r="U75" s="262">
        <v>33216.115256255718</v>
      </c>
      <c r="V75" s="262">
        <v>3035.8084483532771</v>
      </c>
      <c r="W75" s="262">
        <v>490.23386504826465</v>
      </c>
      <c r="X75" s="262">
        <v>9641.44750984239</v>
      </c>
      <c r="Y75" s="262">
        <v>21735.419899650635</v>
      </c>
      <c r="Z75" s="262">
        <v>1264.1971943927474</v>
      </c>
      <c r="AA75" s="262">
        <v>346.52030568777002</v>
      </c>
      <c r="AB75" s="262">
        <v>213.4240383748803</v>
      </c>
      <c r="AC75" s="262">
        <v>7207.8109949032614</v>
      </c>
      <c r="AD75" s="262">
        <v>149409.58473860679</v>
      </c>
      <c r="AE75" s="261">
        <v>42.882269590148361</v>
      </c>
      <c r="AF75" s="261">
        <v>80.598095625163921</v>
      </c>
      <c r="AG75" s="261">
        <v>25.06551345596413</v>
      </c>
      <c r="AH75" s="261">
        <v>185.51504343491422</v>
      </c>
      <c r="AI75" s="261">
        <v>7.9399804353700638</v>
      </c>
      <c r="AJ75" s="261">
        <v>87.873312998207055</v>
      </c>
      <c r="AK75" s="261">
        <v>0.52660430971117966</v>
      </c>
      <c r="AL75" s="261">
        <v>57.506262701402846</v>
      </c>
      <c r="AM75" s="261">
        <v>66.012438101213633</v>
      </c>
      <c r="AN75" s="261">
        <v>32.105534320944379</v>
      </c>
      <c r="AO75" s="261">
        <v>66.150148173874413</v>
      </c>
      <c r="AP75" s="261">
        <v>5.3086057575811427</v>
      </c>
      <c r="AQ75" s="261">
        <v>6.9199688965881752</v>
      </c>
      <c r="AR75" s="261">
        <v>0.10977709022834843</v>
      </c>
      <c r="AS75" s="261">
        <v>0.38854906885294516</v>
      </c>
      <c r="AT75" s="261">
        <v>2.5748571159285736</v>
      </c>
      <c r="AU75" s="261">
        <v>1.3098273982813304</v>
      </c>
      <c r="AV75" s="261">
        <v>2.9079833923213871</v>
      </c>
      <c r="AW75" s="262">
        <v>255.55519459451699</v>
      </c>
      <c r="AX75" s="261">
        <v>34.636950004874137</v>
      </c>
      <c r="AY75" s="261">
        <v>92.578736634422157</v>
      </c>
      <c r="AZ75" s="261">
        <v>9.7778500914916897</v>
      </c>
      <c r="BA75" s="261">
        <v>39.651943362046524</v>
      </c>
      <c r="BB75" s="261">
        <v>8.781734183127428</v>
      </c>
      <c r="BC75" s="261">
        <v>1.9558645860917232</v>
      </c>
      <c r="BD75" s="261">
        <v>7.7329267963601556</v>
      </c>
      <c r="BE75" s="261">
        <v>1.2631534472141246</v>
      </c>
      <c r="BF75" s="261">
        <v>7.2956574841636961</v>
      </c>
      <c r="BG75" s="261">
        <v>1.3750965858118689</v>
      </c>
      <c r="BH75" s="261">
        <v>3.7737735062986051</v>
      </c>
      <c r="BI75" s="261">
        <v>0.57821034952556261</v>
      </c>
      <c r="BJ75" s="261">
        <v>3.5799590350333714</v>
      </c>
      <c r="BK75" s="261">
        <v>0.50749144896914256</v>
      </c>
      <c r="BL75" s="261">
        <v>1.6697139015220523</v>
      </c>
      <c r="BM75" s="261">
        <v>0.32637229877349194</v>
      </c>
      <c r="BN75" s="261">
        <v>1.7976064190242589</v>
      </c>
      <c r="BO75" s="261">
        <v>0.38023823483240943</v>
      </c>
      <c r="BP75" s="261">
        <v>75.215327217577538</v>
      </c>
      <c r="BQ75" s="261">
        <v>0.87624755222118555</v>
      </c>
      <c r="BR75" s="261">
        <v>18.410160899775551</v>
      </c>
      <c r="BS75" s="261">
        <v>1.979311944077019</v>
      </c>
      <c r="BT75" s="258"/>
    </row>
    <row r="76" spans="1:72" s="39" customFormat="1">
      <c r="A76" s="53">
        <v>14704</v>
      </c>
      <c r="C76" s="243"/>
      <c r="D76" s="243"/>
      <c r="E76" s="243"/>
      <c r="F76" s="41" t="s">
        <v>387</v>
      </c>
      <c r="G76" s="53">
        <v>14704</v>
      </c>
      <c r="H76" s="243"/>
      <c r="I76" s="41" t="s">
        <v>387</v>
      </c>
      <c r="J76" s="41"/>
      <c r="K76" s="41" t="s">
        <v>375</v>
      </c>
      <c r="L76" s="41"/>
      <c r="M76" s="41"/>
      <c r="O76" s="53"/>
      <c r="P76" s="89"/>
      <c r="Q76" s="261">
        <v>40.799720000660663</v>
      </c>
      <c r="R76" s="261">
        <v>3.0148347761155461</v>
      </c>
      <c r="S76" s="262">
        <v>1145.8073762338684</v>
      </c>
      <c r="T76" s="262">
        <v>3862.1935113533264</v>
      </c>
      <c r="U76" s="262">
        <v>38480.414250256646</v>
      </c>
      <c r="V76" s="262">
        <v>3123.8307241569178</v>
      </c>
      <c r="W76" s="262">
        <v>517.26338252242033</v>
      </c>
      <c r="X76" s="262">
        <v>10174.2746456563</v>
      </c>
      <c r="Y76" s="262">
        <v>22719.857237773871</v>
      </c>
      <c r="Z76" s="262">
        <v>1360.8424058317696</v>
      </c>
      <c r="AA76" s="262">
        <v>359.0388085102378</v>
      </c>
      <c r="AB76" s="262">
        <v>221.41305320684421</v>
      </c>
      <c r="AC76" s="262">
        <v>7349.898740546706</v>
      </c>
      <c r="AD76" s="262">
        <v>153429.44190140508</v>
      </c>
      <c r="AE76" s="261">
        <v>44.093900351570518</v>
      </c>
      <c r="AF76" s="261">
        <v>81.734192718206202</v>
      </c>
      <c r="AG76" s="261">
        <v>30.932983301308049</v>
      </c>
      <c r="AH76" s="261">
        <v>183.85704518233857</v>
      </c>
      <c r="AI76" s="261">
        <v>7.925890762731413</v>
      </c>
      <c r="AJ76" s="261">
        <v>89.671584729572871</v>
      </c>
      <c r="AK76" s="261">
        <v>0.5681720860338566</v>
      </c>
      <c r="AL76" s="261">
        <v>59.988476655162579</v>
      </c>
      <c r="AM76" s="261">
        <v>68.203305597338556</v>
      </c>
      <c r="AN76" s="261">
        <v>33.330425894903478</v>
      </c>
      <c r="AO76" s="261">
        <v>71.848527045816752</v>
      </c>
      <c r="AP76" s="261">
        <v>5.756112732335148</v>
      </c>
      <c r="AQ76" s="261">
        <v>7.3066262666208219</v>
      </c>
      <c r="AR76" s="261">
        <v>0.12922025825522351</v>
      </c>
      <c r="AS76" s="261">
        <v>0.42521369824145716</v>
      </c>
      <c r="AT76" s="261">
        <v>2.7906234434648645</v>
      </c>
      <c r="AU76" s="261">
        <v>1.4612492630542244</v>
      </c>
      <c r="AV76" s="261">
        <v>3.0372709217631613</v>
      </c>
      <c r="AW76" s="262">
        <v>265.63446174875298</v>
      </c>
      <c r="AX76" s="261">
        <v>36.323361278684779</v>
      </c>
      <c r="AY76" s="261">
        <v>98.5297800462411</v>
      </c>
      <c r="AZ76" s="261">
        <v>10.154095737333185</v>
      </c>
      <c r="BA76" s="261">
        <v>41.654978835922506</v>
      </c>
      <c r="BB76" s="261">
        <v>9.499383369183958</v>
      </c>
      <c r="BC76" s="261">
        <v>2.0330569505732878</v>
      </c>
      <c r="BD76" s="261">
        <v>8.1843949479852665</v>
      </c>
      <c r="BE76" s="261">
        <v>1.3251856222806502</v>
      </c>
      <c r="BF76" s="261">
        <v>7.5781776757477983</v>
      </c>
      <c r="BG76" s="261">
        <v>1.44935983463588</v>
      </c>
      <c r="BH76" s="261">
        <v>3.989198034249982</v>
      </c>
      <c r="BI76" s="261">
        <v>0.61733786678659408</v>
      </c>
      <c r="BJ76" s="261">
        <v>3.7792111859963509</v>
      </c>
      <c r="BK76" s="261">
        <v>0.53822140349017233</v>
      </c>
      <c r="BL76" s="261">
        <v>1.8486101420711392</v>
      </c>
      <c r="BM76" s="261">
        <v>0.34868041847840786</v>
      </c>
      <c r="BN76" s="261">
        <v>1.900920661012943</v>
      </c>
      <c r="BO76" s="261">
        <v>0.4039458159041408</v>
      </c>
      <c r="BP76" s="261">
        <v>80.293047431513969</v>
      </c>
      <c r="BQ76" s="261">
        <v>0.91326921679289474</v>
      </c>
      <c r="BR76" s="261">
        <v>19.658956056926797</v>
      </c>
      <c r="BS76" s="261">
        <v>2.0940284111871446</v>
      </c>
      <c r="BT76" s="258"/>
    </row>
    <row r="77" spans="1:72" s="39" customFormat="1">
      <c r="A77" s="53">
        <v>14704</v>
      </c>
      <c r="C77" s="243"/>
      <c r="D77" s="243"/>
      <c r="E77" s="243"/>
      <c r="F77" s="41" t="s">
        <v>392</v>
      </c>
      <c r="G77" s="53">
        <v>14704</v>
      </c>
      <c r="H77" s="243"/>
      <c r="I77" s="41" t="s">
        <v>392</v>
      </c>
      <c r="J77" s="41"/>
      <c r="K77" s="41" t="s">
        <v>375</v>
      </c>
      <c r="L77" s="41"/>
      <c r="M77" s="41"/>
      <c r="O77" s="53"/>
      <c r="P77" s="89"/>
      <c r="Q77" s="261">
        <v>42.270425594669661</v>
      </c>
      <c r="R77" s="261">
        <v>2.8578865118927252</v>
      </c>
      <c r="S77" s="262">
        <v>1148.276313225374</v>
      </c>
      <c r="T77" s="262">
        <v>3784.7690376314217</v>
      </c>
      <c r="U77" s="262">
        <v>37598.887360494176</v>
      </c>
      <c r="V77" s="262">
        <v>3043.9368205743517</v>
      </c>
      <c r="W77" s="262">
        <v>508.20990043469914</v>
      </c>
      <c r="X77" s="262">
        <v>10133.191848807672</v>
      </c>
      <c r="Y77" s="262">
        <v>22702.69794418522</v>
      </c>
      <c r="Z77" s="262">
        <v>1346.0354365894534</v>
      </c>
      <c r="AA77" s="262">
        <v>356.22922334560076</v>
      </c>
      <c r="AB77" s="262">
        <v>216.25773618083434</v>
      </c>
      <c r="AC77" s="262">
        <v>7315.0391935511316</v>
      </c>
      <c r="AD77" s="262">
        <v>151781.29977577119</v>
      </c>
      <c r="AE77" s="261">
        <v>43.858460340940866</v>
      </c>
      <c r="AF77" s="261">
        <v>82.70623337783428</v>
      </c>
      <c r="AG77" s="261">
        <v>25.29769934575576</v>
      </c>
      <c r="AH77" s="261">
        <v>179.61374175695181</v>
      </c>
      <c r="AI77" s="261">
        <v>7.6828203555402474</v>
      </c>
      <c r="AJ77" s="261">
        <v>86.977640245168885</v>
      </c>
      <c r="AK77" s="261">
        <v>0.54875579996766044</v>
      </c>
      <c r="AL77" s="261">
        <v>59.107016207711567</v>
      </c>
      <c r="AM77" s="261">
        <v>67.793612627318524</v>
      </c>
      <c r="AN77" s="261">
        <v>32.971878969741489</v>
      </c>
      <c r="AO77" s="261">
        <v>70.863192335879731</v>
      </c>
      <c r="AP77" s="261">
        <v>5.6155048994362948</v>
      </c>
      <c r="AQ77" s="261">
        <v>7.2329972531927851</v>
      </c>
      <c r="AR77" s="261">
        <v>0.11355724234589148</v>
      </c>
      <c r="AS77" s="261">
        <v>0.39471571702371266</v>
      </c>
      <c r="AT77" s="261">
        <v>2.7011369878370912</v>
      </c>
      <c r="AU77" s="261">
        <v>1.4283797613088045</v>
      </c>
      <c r="AV77" s="261">
        <v>3.1287755122749283</v>
      </c>
      <c r="AW77" s="262">
        <v>261.54843989448256</v>
      </c>
      <c r="AX77" s="261">
        <v>37.334258106101956</v>
      </c>
      <c r="AY77" s="261">
        <v>101.58822886594049</v>
      </c>
      <c r="AZ77" s="261">
        <v>10.476646964776652</v>
      </c>
      <c r="BA77" s="261">
        <v>42.541443559921028</v>
      </c>
      <c r="BB77" s="261">
        <v>9.5327893545878055</v>
      </c>
      <c r="BC77" s="261">
        <v>2.1061378245527087</v>
      </c>
      <c r="BD77" s="261">
        <v>8.2709385787030865</v>
      </c>
      <c r="BE77" s="261">
        <v>1.3351312784940603</v>
      </c>
      <c r="BF77" s="261">
        <v>7.4892496274710227</v>
      </c>
      <c r="BG77" s="261">
        <v>1.4419597879383823</v>
      </c>
      <c r="BH77" s="261">
        <v>3.9682808753401821</v>
      </c>
      <c r="BI77" s="261">
        <v>0.61057454735303285</v>
      </c>
      <c r="BJ77" s="261">
        <v>3.7911781239699098</v>
      </c>
      <c r="BK77" s="261">
        <v>0.545356548673537</v>
      </c>
      <c r="BL77" s="261">
        <v>1.8258178132804523</v>
      </c>
      <c r="BM77" s="261">
        <v>0.35122028647105297</v>
      </c>
      <c r="BN77" s="261">
        <v>1.8906407515347496</v>
      </c>
      <c r="BO77" s="261">
        <v>0.41328330844738459</v>
      </c>
      <c r="BP77" s="261">
        <v>78.999368834631014</v>
      </c>
      <c r="BQ77" s="261">
        <v>0.92051213462563342</v>
      </c>
      <c r="BR77" s="261">
        <v>19.987224099722489</v>
      </c>
      <c r="BS77" s="261">
        <v>2.2334881631341252</v>
      </c>
      <c r="BT77" s="258"/>
    </row>
    <row r="78" spans="1:72" s="39" customFormat="1">
      <c r="A78" s="53">
        <v>14704</v>
      </c>
      <c r="C78" s="243"/>
      <c r="D78" s="243"/>
      <c r="E78" s="243"/>
      <c r="F78" s="41" t="s">
        <v>393</v>
      </c>
      <c r="G78" s="53">
        <v>14704</v>
      </c>
      <c r="H78" s="243"/>
      <c r="I78" s="41" t="s">
        <v>393</v>
      </c>
      <c r="J78" s="41"/>
      <c r="K78" s="41" t="s">
        <v>375</v>
      </c>
      <c r="L78" s="41"/>
      <c r="M78" s="41"/>
      <c r="O78" s="53"/>
      <c r="P78" s="89"/>
      <c r="Q78" s="261">
        <v>42.846847017662775</v>
      </c>
      <c r="R78" s="261">
        <v>2.7529724118392962</v>
      </c>
      <c r="S78" s="262">
        <v>1131.9472759305804</v>
      </c>
      <c r="T78" s="262">
        <v>3757.8768883276098</v>
      </c>
      <c r="U78" s="262">
        <v>38494.837907168789</v>
      </c>
      <c r="V78" s="262">
        <v>3014.0077635310631</v>
      </c>
      <c r="W78" s="262">
        <v>496.47207143244924</v>
      </c>
      <c r="X78" s="262">
        <v>10161.52033395169</v>
      </c>
      <c r="Y78" s="262">
        <v>23195.620446348847</v>
      </c>
      <c r="Z78" s="262">
        <v>1334.2355268631236</v>
      </c>
      <c r="AA78" s="262">
        <v>352.65586482757232</v>
      </c>
      <c r="AB78" s="262">
        <v>216.9426258905124</v>
      </c>
      <c r="AC78" s="262">
        <v>7064.6451442650869</v>
      </c>
      <c r="AD78" s="262">
        <v>151474.16906097336</v>
      </c>
      <c r="AE78" s="261">
        <v>42.963676234407224</v>
      </c>
      <c r="AF78" s="261">
        <v>80.794398223186761</v>
      </c>
      <c r="AG78" s="261">
        <v>25.104775085621569</v>
      </c>
      <c r="AH78" s="261">
        <v>173.6450345957052</v>
      </c>
      <c r="AI78" s="261">
        <v>7.3855029582201412</v>
      </c>
      <c r="AJ78" s="261">
        <v>83.90476832874721</v>
      </c>
      <c r="AK78" s="261">
        <v>0.53859295034451304</v>
      </c>
      <c r="AL78" s="261">
        <v>57.740036062233479</v>
      </c>
      <c r="AM78" s="261">
        <v>65.225903182058005</v>
      </c>
      <c r="AN78" s="261">
        <v>32.656309234740206</v>
      </c>
      <c r="AO78" s="261">
        <v>68.081995961407813</v>
      </c>
      <c r="AP78" s="261">
        <v>5.5296549571561746</v>
      </c>
      <c r="AQ78" s="261">
        <v>7.0518791746737195</v>
      </c>
      <c r="AR78" s="261">
        <v>0.11894095587346599</v>
      </c>
      <c r="AS78" s="261">
        <v>0.38605929185611204</v>
      </c>
      <c r="AT78" s="261">
        <v>2.5486193029114705</v>
      </c>
      <c r="AU78" s="261">
        <v>1.4317677148681089</v>
      </c>
      <c r="AV78" s="261">
        <v>3.0019665513572065</v>
      </c>
      <c r="AW78" s="262">
        <v>255.2342835442274</v>
      </c>
      <c r="AX78" s="261">
        <v>35.337797332440026</v>
      </c>
      <c r="AY78" s="261">
        <v>96.765254143772452</v>
      </c>
      <c r="AZ78" s="261">
        <v>10.025209041544645</v>
      </c>
      <c r="BA78" s="261">
        <v>40.714530189504174</v>
      </c>
      <c r="BB78" s="261">
        <v>9.2620490304463523</v>
      </c>
      <c r="BC78" s="261">
        <v>2.0176569730027594</v>
      </c>
      <c r="BD78" s="261">
        <v>7.9425591457736964</v>
      </c>
      <c r="BE78" s="261">
        <v>1.3187376506097803</v>
      </c>
      <c r="BF78" s="261">
        <v>7.2789139862496226</v>
      </c>
      <c r="BG78" s="261">
        <v>1.4335216758684164</v>
      </c>
      <c r="BH78" s="261">
        <v>3.9538058333124688</v>
      </c>
      <c r="BI78" s="261">
        <v>0.59361883565733276</v>
      </c>
      <c r="BJ78" s="261">
        <v>3.7773131062853653</v>
      </c>
      <c r="BK78" s="261">
        <v>0.54647106004775958</v>
      </c>
      <c r="BL78" s="261">
        <v>1.7643938427689094</v>
      </c>
      <c r="BM78" s="261">
        <v>0.33875043114251141</v>
      </c>
      <c r="BN78" s="261">
        <v>1.8658146183513005</v>
      </c>
      <c r="BO78" s="261">
        <v>0.39856797239008274</v>
      </c>
      <c r="BP78" s="261">
        <v>77.40306481778947</v>
      </c>
      <c r="BQ78" s="261">
        <v>0.88230662650228842</v>
      </c>
      <c r="BR78" s="261">
        <v>19.277302874542634</v>
      </c>
      <c r="BS78" s="261">
        <v>2.0565902494791306</v>
      </c>
      <c r="BT78" s="258"/>
    </row>
    <row r="79" spans="1:72" s="39" customFormat="1">
      <c r="C79" s="243"/>
      <c r="D79" s="243"/>
      <c r="E79" s="243"/>
      <c r="F79" s="47" t="s">
        <v>376</v>
      </c>
      <c r="G79" s="243"/>
      <c r="H79" s="243"/>
      <c r="I79" s="243"/>
      <c r="J79" s="243"/>
      <c r="K79" s="243"/>
      <c r="L79" s="243"/>
      <c r="M79" s="243"/>
      <c r="O79" s="53"/>
      <c r="P79" s="47"/>
      <c r="Q79" s="282">
        <f>AVERAGE(Q73:Q78)</f>
        <v>43.86702788126653</v>
      </c>
      <c r="R79" s="282">
        <f t="shared" ref="R79:BS79" si="8">AVERAGE(R73:R78)</f>
        <v>2.8358621123986993</v>
      </c>
      <c r="S79" s="266">
        <f t="shared" si="8"/>
        <v>1127.6844939896437</v>
      </c>
      <c r="T79" s="266">
        <f t="shared" si="8"/>
        <v>3775.8600420389844</v>
      </c>
      <c r="U79" s="266">
        <f t="shared" si="8"/>
        <v>37541.375795695887</v>
      </c>
      <c r="V79" s="266">
        <f t="shared" si="8"/>
        <v>3062.5972927692687</v>
      </c>
      <c r="W79" s="266">
        <f t="shared" si="8"/>
        <v>495.36320323963895</v>
      </c>
      <c r="X79" s="266">
        <f t="shared" si="8"/>
        <v>10115.239056376342</v>
      </c>
      <c r="Y79" s="266">
        <f t="shared" si="8"/>
        <v>22593.099254659759</v>
      </c>
      <c r="Z79" s="266">
        <f t="shared" si="8"/>
        <v>1368.7184272795157</v>
      </c>
      <c r="AA79" s="266">
        <f t="shared" si="8"/>
        <v>346.70736706186352</v>
      </c>
      <c r="AB79" s="266">
        <f t="shared" si="8"/>
        <v>215.1229089421785</v>
      </c>
      <c r="AC79" s="266">
        <f t="shared" si="8"/>
        <v>7233.8990122110308</v>
      </c>
      <c r="AD79" s="266">
        <f t="shared" si="8"/>
        <v>153317.58257945941</v>
      </c>
      <c r="AE79" s="282">
        <f t="shared" si="8"/>
        <v>43.349717752844498</v>
      </c>
      <c r="AF79" s="282">
        <f t="shared" si="8"/>
        <v>80.855486657398529</v>
      </c>
      <c r="AG79" s="282">
        <f t="shared" si="8"/>
        <v>26.266828531441586</v>
      </c>
      <c r="AH79" s="282">
        <f t="shared" si="8"/>
        <v>188.2218108283183</v>
      </c>
      <c r="AI79" s="282">
        <f t="shared" si="8"/>
        <v>8.1473657519769773</v>
      </c>
      <c r="AJ79" s="282">
        <f t="shared" si="8"/>
        <v>88.22121771694934</v>
      </c>
      <c r="AK79" s="282">
        <f t="shared" si="8"/>
        <v>0.52702085767620155</v>
      </c>
      <c r="AL79" s="282">
        <f t="shared" si="8"/>
        <v>58.8402986044184</v>
      </c>
      <c r="AM79" s="282">
        <f t="shared" si="8"/>
        <v>66.689209917988109</v>
      </c>
      <c r="AN79" s="282">
        <f t="shared" si="8"/>
        <v>31.993358070054924</v>
      </c>
      <c r="AO79" s="282">
        <f t="shared" si="8"/>
        <v>69.740643919496449</v>
      </c>
      <c r="AP79" s="282">
        <f t="shared" si="8"/>
        <v>5.5999797244181266</v>
      </c>
      <c r="AQ79" s="282">
        <f t="shared" si="8"/>
        <v>7.1169119318459169</v>
      </c>
      <c r="AR79" s="282">
        <f t="shared" si="8"/>
        <v>0.11691592445048822</v>
      </c>
      <c r="AS79" s="282">
        <f t="shared" si="8"/>
        <v>0.3947562959957045</v>
      </c>
      <c r="AT79" s="282">
        <f t="shared" si="8"/>
        <v>2.6758728083570005</v>
      </c>
      <c r="AU79" s="282">
        <f t="shared" si="8"/>
        <v>1.4027040229187444</v>
      </c>
      <c r="AV79" s="282">
        <f t="shared" si="8"/>
        <v>2.9978327296194469</v>
      </c>
      <c r="AW79" s="266">
        <f t="shared" si="8"/>
        <v>266.37872996366326</v>
      </c>
      <c r="AX79" s="282">
        <f t="shared" si="8"/>
        <v>35.96206112035015</v>
      </c>
      <c r="AY79" s="282">
        <f t="shared" si="8"/>
        <v>95.841999948396037</v>
      </c>
      <c r="AZ79" s="282">
        <f t="shared" si="8"/>
        <v>10.216300305857695</v>
      </c>
      <c r="BA79" s="282">
        <f t="shared" si="8"/>
        <v>41.408815991232366</v>
      </c>
      <c r="BB79" s="282">
        <f t="shared" si="8"/>
        <v>9.2128259895575919</v>
      </c>
      <c r="BC79" s="282">
        <f t="shared" si="8"/>
        <v>2.0072860557034136</v>
      </c>
      <c r="BD79" s="282">
        <f t="shared" si="8"/>
        <v>8.175803244803701</v>
      </c>
      <c r="BE79" s="282">
        <f t="shared" si="8"/>
        <v>1.2892013330997694</v>
      </c>
      <c r="BF79" s="282">
        <f t="shared" si="8"/>
        <v>7.4849997956053569</v>
      </c>
      <c r="BG79" s="282">
        <f t="shared" si="8"/>
        <v>1.4229896473757577</v>
      </c>
      <c r="BH79" s="282">
        <f t="shared" si="8"/>
        <v>3.910176374866873</v>
      </c>
      <c r="BI79" s="282">
        <f t="shared" si="8"/>
        <v>0.59145693322042037</v>
      </c>
      <c r="BJ79" s="282">
        <f t="shared" si="8"/>
        <v>3.7767769085474998</v>
      </c>
      <c r="BK79" s="282">
        <f t="shared" si="8"/>
        <v>0.53825674353010189</v>
      </c>
      <c r="BL79" s="282">
        <f t="shared" si="8"/>
        <v>1.7647559499404253</v>
      </c>
      <c r="BM79" s="282">
        <f t="shared" si="8"/>
        <v>0.35050390581091068</v>
      </c>
      <c r="BN79" s="282">
        <f t="shared" si="8"/>
        <v>1.8656637416538755</v>
      </c>
      <c r="BO79" s="282">
        <f t="shared" si="8"/>
        <v>0.39733922192900289</v>
      </c>
      <c r="BP79" s="282">
        <f t="shared" si="8"/>
        <v>77.58846805025199</v>
      </c>
      <c r="BQ79" s="282">
        <f t="shared" si="8"/>
        <v>0.89372258835700036</v>
      </c>
      <c r="BR79" s="282">
        <f t="shared" si="8"/>
        <v>19.216273988494578</v>
      </c>
      <c r="BS79" s="282">
        <f t="shared" si="8"/>
        <v>2.0647364613129033</v>
      </c>
      <c r="BT79" s="258"/>
    </row>
    <row r="80" spans="1:72" s="39" customFormat="1">
      <c r="C80" s="243"/>
      <c r="D80" s="243"/>
      <c r="E80" s="243"/>
      <c r="F80" s="47" t="s">
        <v>718</v>
      </c>
      <c r="G80" s="243"/>
      <c r="H80" s="243"/>
      <c r="I80" s="243"/>
      <c r="J80" s="243"/>
      <c r="K80" s="243"/>
      <c r="L80" s="243"/>
      <c r="M80" s="243"/>
      <c r="O80" s="205"/>
      <c r="P80" s="47"/>
      <c r="Q80" s="267">
        <f>(Q79/Q72)*100</f>
        <v>99.237688628328939</v>
      </c>
      <c r="R80" s="267">
        <f t="shared" ref="R80:BS80" si="9">(R79/R72)*100</f>
        <v>100.45561857593692</v>
      </c>
      <c r="S80" s="267">
        <f t="shared" si="9"/>
        <v>101.04808420786277</v>
      </c>
      <c r="T80" s="267">
        <f t="shared" si="9"/>
        <v>100.93388804581393</v>
      </c>
      <c r="U80" s="267">
        <f t="shared" si="9"/>
        <v>98.892543664030683</v>
      </c>
      <c r="V80" s="267">
        <f t="shared" si="9"/>
        <v>108.9545636644167</v>
      </c>
      <c r="W80" s="267">
        <f t="shared" si="9"/>
        <v>48.994877927981769</v>
      </c>
      <c r="X80" s="267">
        <f t="shared" si="9"/>
        <v>86.455034669883275</v>
      </c>
      <c r="Y80" s="267">
        <f t="shared" si="9"/>
        <v>80.402488450746475</v>
      </c>
      <c r="Z80" s="267">
        <f t="shared" si="9"/>
        <v>99.734648873438147</v>
      </c>
      <c r="AA80" s="267">
        <f t="shared" si="9"/>
        <v>97.389709848838066</v>
      </c>
      <c r="AB80" s="267">
        <f t="shared" si="9"/>
        <v>95.610181752079342</v>
      </c>
      <c r="AC80" s="267">
        <f t="shared" si="9"/>
        <v>98.688936046535218</v>
      </c>
      <c r="AD80" s="267">
        <f t="shared" si="9"/>
        <v>116.14968377231773</v>
      </c>
      <c r="AE80" s="267">
        <f t="shared" si="9"/>
        <v>108.37429438211123</v>
      </c>
      <c r="AF80" s="267">
        <f t="shared" si="9"/>
        <v>101.83310662140872</v>
      </c>
      <c r="AG80" s="267">
        <f t="shared" si="9"/>
        <v>101.02626358246765</v>
      </c>
      <c r="AH80" s="267">
        <f t="shared" si="9"/>
        <v>98.545450695454605</v>
      </c>
      <c r="AI80" s="267">
        <f t="shared" si="9"/>
        <v>95.761233568135623</v>
      </c>
      <c r="AJ80" s="267">
        <f t="shared" si="9"/>
        <v>84.828093958605137</v>
      </c>
      <c r="AK80" s="267">
        <f t="shared" si="9"/>
        <v>97.959267226059765</v>
      </c>
      <c r="AL80" s="267">
        <f t="shared" si="9"/>
        <v>100.74013594784688</v>
      </c>
      <c r="AM80" s="267">
        <f t="shared" si="9"/>
        <v>101.98686330935634</v>
      </c>
      <c r="AN80" s="267">
        <f t="shared" si="9"/>
        <v>97.359660600879238</v>
      </c>
      <c r="AO80" s="267">
        <f t="shared" si="9"/>
        <v>100.35780222111386</v>
      </c>
      <c r="AP80" s="267">
        <f t="shared" si="9"/>
        <v>100.35805957738577</v>
      </c>
      <c r="AQ80" s="267">
        <f t="shared" si="9"/>
        <v>101.51065371339205</v>
      </c>
      <c r="AR80" s="267">
        <f t="shared" si="9"/>
        <v>95.832724959416566</v>
      </c>
      <c r="AS80" s="267">
        <f t="shared" si="9"/>
        <v>143.54774399843799</v>
      </c>
      <c r="AT80" s="267">
        <f t="shared" si="9"/>
        <v>98.667876414343667</v>
      </c>
      <c r="AU80" s="267">
        <f t="shared" si="9"/>
        <v>100.48023086810491</v>
      </c>
      <c r="AV80" s="267">
        <f t="shared" si="9"/>
        <v>100.12801368134426</v>
      </c>
      <c r="AW80" s="267">
        <f t="shared" si="9"/>
        <v>101.45519464791141</v>
      </c>
      <c r="AX80" s="267">
        <f t="shared" si="9"/>
        <v>97.455519146771479</v>
      </c>
      <c r="AY80" s="267">
        <f t="shared" si="9"/>
        <v>98.885701851381569</v>
      </c>
      <c r="AZ80" s="267">
        <f t="shared" si="9"/>
        <v>97.140822533590338</v>
      </c>
      <c r="BA80" s="267">
        <f t="shared" si="9"/>
        <v>96.607367639298147</v>
      </c>
      <c r="BB80" s="267">
        <f t="shared" si="9"/>
        <v>100.00896645199298</v>
      </c>
      <c r="BC80" s="267">
        <f t="shared" si="9"/>
        <v>98.978602352239335</v>
      </c>
      <c r="BD80" s="267">
        <f t="shared" si="9"/>
        <v>96.265197748777823</v>
      </c>
      <c r="BE80" s="267">
        <f t="shared" si="9"/>
        <v>98.638204521788026</v>
      </c>
      <c r="BF80" s="267">
        <f t="shared" si="9"/>
        <v>98.009686992344598</v>
      </c>
      <c r="BG80" s="267">
        <f t="shared" si="9"/>
        <v>99.929048270769499</v>
      </c>
      <c r="BH80" s="267">
        <f t="shared" si="9"/>
        <v>96.738653509818732</v>
      </c>
      <c r="BI80" s="267">
        <f t="shared" si="9"/>
        <v>99.404526591667292</v>
      </c>
      <c r="BJ80" s="267">
        <f t="shared" si="9"/>
        <v>99.232183619219654</v>
      </c>
      <c r="BK80" s="267">
        <f t="shared" si="9"/>
        <v>99.126472104991137</v>
      </c>
      <c r="BL80" s="267">
        <f t="shared" si="9"/>
        <v>101.07422393702321</v>
      </c>
      <c r="BM80" s="267">
        <f t="shared" si="9"/>
        <v>103.08938406203254</v>
      </c>
      <c r="BN80" s="267">
        <f t="shared" si="9"/>
        <v>99.396043774846859</v>
      </c>
      <c r="BO80" s="267">
        <f t="shared" si="9"/>
        <v>100.08544632972365</v>
      </c>
      <c r="BP80" s="267">
        <f t="shared" si="9"/>
        <v>97.718473614926936</v>
      </c>
      <c r="BQ80" s="267">
        <f t="shared" si="9"/>
        <v>99.634625234894131</v>
      </c>
      <c r="BR80" s="267">
        <f t="shared" si="9"/>
        <v>97.401155600864612</v>
      </c>
      <c r="BS80" s="267">
        <f t="shared" si="9"/>
        <v>100.18129361052419</v>
      </c>
      <c r="BT80" s="54"/>
    </row>
    <row r="81" spans="1:72" s="39" customFormat="1">
      <c r="C81" s="243"/>
      <c r="D81" s="243"/>
      <c r="E81" s="243"/>
      <c r="F81" s="47" t="s">
        <v>719</v>
      </c>
      <c r="G81" s="243"/>
      <c r="H81" s="243"/>
      <c r="I81" s="243"/>
      <c r="J81" s="243"/>
      <c r="K81" s="243"/>
      <c r="L81" s="243"/>
      <c r="M81" s="243"/>
      <c r="O81" s="205"/>
      <c r="P81" s="47"/>
      <c r="Q81" s="269">
        <f>STDEV(Q73:Q78)</f>
        <v>2.9119587184185103</v>
      </c>
      <c r="R81" s="269">
        <f t="shared" ref="R81:BS81" si="10">STDEV(R73:R78)</f>
        <v>0.27231345605130541</v>
      </c>
      <c r="S81" s="267">
        <f t="shared" si="10"/>
        <v>34.838430585829904</v>
      </c>
      <c r="T81" s="267">
        <f t="shared" si="10"/>
        <v>128.39733296909674</v>
      </c>
      <c r="U81" s="267">
        <f t="shared" si="10"/>
        <v>2182.5210208646326</v>
      </c>
      <c r="V81" s="267">
        <f t="shared" si="10"/>
        <v>40.562121462694741</v>
      </c>
      <c r="W81" s="267">
        <f t="shared" si="10"/>
        <v>15.180587656312628</v>
      </c>
      <c r="X81" s="267">
        <f t="shared" si="10"/>
        <v>260.85290356768689</v>
      </c>
      <c r="Y81" s="267">
        <f t="shared" si="10"/>
        <v>518.46742800258255</v>
      </c>
      <c r="Z81" s="267">
        <f t="shared" si="10"/>
        <v>103.23433389304665</v>
      </c>
      <c r="AA81" s="267">
        <f t="shared" si="10"/>
        <v>11.999471515622831</v>
      </c>
      <c r="AB81" s="267">
        <f t="shared" si="10"/>
        <v>4.5861958632472062</v>
      </c>
      <c r="AC81" s="267">
        <f t="shared" si="10"/>
        <v>100.51939007920765</v>
      </c>
      <c r="AD81" s="267">
        <f t="shared" si="10"/>
        <v>3059.0966384963199</v>
      </c>
      <c r="AE81" s="269">
        <f t="shared" si="10"/>
        <v>0.63310930518473107</v>
      </c>
      <c r="AF81" s="269">
        <f t="shared" si="10"/>
        <v>1.4709701470189558</v>
      </c>
      <c r="AG81" s="269">
        <f t="shared" si="10"/>
        <v>2.3114955512436657</v>
      </c>
      <c r="AH81" s="269">
        <f t="shared" si="10"/>
        <v>13.862238221642171</v>
      </c>
      <c r="AI81" s="269">
        <f t="shared" si="10"/>
        <v>0.68327213894147187</v>
      </c>
      <c r="AJ81" s="269">
        <f t="shared" si="10"/>
        <v>3.3509032616397976</v>
      </c>
      <c r="AK81" s="269">
        <f t="shared" si="10"/>
        <v>3.6989203719061628E-2</v>
      </c>
      <c r="AL81" s="269">
        <f t="shared" si="10"/>
        <v>1.0299778243925992</v>
      </c>
      <c r="AM81" s="269">
        <f t="shared" si="10"/>
        <v>1.6168438722233178</v>
      </c>
      <c r="AN81" s="269">
        <f t="shared" si="10"/>
        <v>1.3278558963048355</v>
      </c>
      <c r="AO81" s="269">
        <f t="shared" si="10"/>
        <v>3.4993901858481253</v>
      </c>
      <c r="AP81" s="269">
        <f t="shared" si="10"/>
        <v>0.30885939008054764</v>
      </c>
      <c r="AQ81" s="269">
        <f t="shared" si="10"/>
        <v>0.14689684462756897</v>
      </c>
      <c r="AR81" s="269">
        <f t="shared" si="10"/>
        <v>7.170531572670032E-3</v>
      </c>
      <c r="AS81" s="269">
        <f t="shared" si="10"/>
        <v>2.3850127056954676E-2</v>
      </c>
      <c r="AT81" s="269">
        <f t="shared" si="10"/>
        <v>9.7260505727686228E-2</v>
      </c>
      <c r="AU81" s="269">
        <f t="shared" si="10"/>
        <v>6.1100406619948117E-2</v>
      </c>
      <c r="AV81" s="269">
        <f t="shared" si="10"/>
        <v>8.4233004479540796E-2</v>
      </c>
      <c r="AW81" s="267">
        <f t="shared" si="10"/>
        <v>11.760731253101579</v>
      </c>
      <c r="AX81" s="269">
        <f t="shared" si="10"/>
        <v>0.91478836031653554</v>
      </c>
      <c r="AY81" s="269">
        <f t="shared" si="10"/>
        <v>4.1377158376054526</v>
      </c>
      <c r="AZ81" s="269">
        <f t="shared" si="10"/>
        <v>0.28236818837684541</v>
      </c>
      <c r="BA81" s="269">
        <f t="shared" si="10"/>
        <v>1.0897992611155074</v>
      </c>
      <c r="BB81" s="269">
        <f t="shared" si="10"/>
        <v>0.28415259842751034</v>
      </c>
      <c r="BC81" s="269">
        <f t="shared" si="10"/>
        <v>5.893077904148563E-2</v>
      </c>
      <c r="BD81" s="269">
        <f t="shared" si="10"/>
        <v>0.30076039393769122</v>
      </c>
      <c r="BE81" s="269">
        <f t="shared" si="10"/>
        <v>4.2770604531464092E-2</v>
      </c>
      <c r="BF81" s="269">
        <f t="shared" si="10"/>
        <v>0.1626690947647374</v>
      </c>
      <c r="BG81" s="269">
        <f t="shared" si="10"/>
        <v>2.6433904560613265E-2</v>
      </c>
      <c r="BH81" s="269">
        <f t="shared" si="10"/>
        <v>8.6731091344791886E-2</v>
      </c>
      <c r="BI81" s="269">
        <f t="shared" si="10"/>
        <v>2.2248716199346645E-2</v>
      </c>
      <c r="BJ81" s="269">
        <f t="shared" si="10"/>
        <v>0.12749262710805326</v>
      </c>
      <c r="BK81" s="269">
        <f t="shared" si="10"/>
        <v>1.877393335870383E-2</v>
      </c>
      <c r="BL81" s="269">
        <f t="shared" si="10"/>
        <v>0.10974416877130233</v>
      </c>
      <c r="BM81" s="269">
        <f t="shared" si="10"/>
        <v>3.5800916001673615E-2</v>
      </c>
      <c r="BN81" s="269">
        <f t="shared" si="10"/>
        <v>6.7688488044522099E-2</v>
      </c>
      <c r="BO81" s="269">
        <f t="shared" si="10"/>
        <v>1.1524889347960761E-2</v>
      </c>
      <c r="BP81" s="269">
        <f t="shared" si="10"/>
        <v>1.8589667793561779</v>
      </c>
      <c r="BQ81" s="269">
        <f t="shared" si="10"/>
        <v>2.0676646927380537E-2</v>
      </c>
      <c r="BR81" s="269">
        <f t="shared" si="10"/>
        <v>0.57562156454053548</v>
      </c>
      <c r="BS81" s="269">
        <f t="shared" si="10"/>
        <v>9.234355406654772E-2</v>
      </c>
      <c r="BT81" s="258"/>
    </row>
    <row r="82" spans="1:72" s="39" customFormat="1">
      <c r="C82" s="243"/>
      <c r="D82" s="243"/>
      <c r="E82" s="243"/>
      <c r="F82" s="47"/>
      <c r="G82" s="243"/>
      <c r="H82" s="243"/>
      <c r="I82" s="243"/>
      <c r="J82" s="243"/>
      <c r="K82" s="243"/>
      <c r="L82" s="243"/>
      <c r="M82" s="243"/>
      <c r="O82" s="53"/>
      <c r="P82" s="47"/>
      <c r="Q82" s="283">
        <f>(Q81/Q79)*100</f>
        <v>6.638149104380207</v>
      </c>
      <c r="R82" s="283">
        <f t="shared" ref="R82:BR82" si="11">(R81/R79)*100</f>
        <v>9.6024928313940645</v>
      </c>
      <c r="S82" s="283">
        <f t="shared" si="11"/>
        <v>3.0893774607625182</v>
      </c>
      <c r="T82" s="283">
        <f t="shared" si="11"/>
        <v>3.4004791369269474</v>
      </c>
      <c r="U82" s="283">
        <f t="shared" si="11"/>
        <v>5.8136415477742256</v>
      </c>
      <c r="V82" s="283">
        <f t="shared" si="11"/>
        <v>1.3244353594402078</v>
      </c>
      <c r="W82" s="283">
        <f t="shared" si="11"/>
        <v>3.0645367998738502</v>
      </c>
      <c r="X82" s="283">
        <f t="shared" si="11"/>
        <v>2.578811060359993</v>
      </c>
      <c r="Y82" s="283">
        <f t="shared" si="11"/>
        <v>2.2948043655216988</v>
      </c>
      <c r="Z82" s="283">
        <f t="shared" si="11"/>
        <v>7.5424084191104734</v>
      </c>
      <c r="AA82" s="283">
        <f t="shared" si="11"/>
        <v>3.4609796778508448</v>
      </c>
      <c r="AB82" s="283">
        <f t="shared" si="11"/>
        <v>2.131895615301437</v>
      </c>
      <c r="AC82" s="283">
        <f t="shared" si="11"/>
        <v>1.3895603174654225</v>
      </c>
      <c r="AD82" s="283">
        <f t="shared" si="11"/>
        <v>1.9952679836384009</v>
      </c>
      <c r="AE82" s="283">
        <f t="shared" si="11"/>
        <v>1.4604692671688457</v>
      </c>
      <c r="AF82" s="283">
        <f t="shared" si="11"/>
        <v>1.8192582938146937</v>
      </c>
      <c r="AG82" s="283">
        <f t="shared" si="11"/>
        <v>8.8000557375123858</v>
      </c>
      <c r="AH82" s="283">
        <f t="shared" si="11"/>
        <v>7.3648415986637472</v>
      </c>
      <c r="AI82" s="283">
        <f t="shared" si="11"/>
        <v>8.3864178894346839</v>
      </c>
      <c r="AJ82" s="283">
        <f t="shared" si="11"/>
        <v>3.7982963150552966</v>
      </c>
      <c r="AK82" s="283">
        <f t="shared" si="11"/>
        <v>7.0185464541495577</v>
      </c>
      <c r="AL82" s="283">
        <f t="shared" si="11"/>
        <v>1.7504632859141487</v>
      </c>
      <c r="AM82" s="283">
        <f t="shared" si="11"/>
        <v>2.4244459849076812</v>
      </c>
      <c r="AN82" s="283">
        <f t="shared" si="11"/>
        <v>4.1504111365779988</v>
      </c>
      <c r="AO82" s="283">
        <f t="shared" si="11"/>
        <v>5.0177199251093354</v>
      </c>
      <c r="AP82" s="283">
        <f t="shared" si="11"/>
        <v>5.515366220591809</v>
      </c>
      <c r="AQ82" s="283">
        <f t="shared" si="11"/>
        <v>2.0640531460035683</v>
      </c>
      <c r="AR82" s="283">
        <f t="shared" si="11"/>
        <v>6.1330666514180638</v>
      </c>
      <c r="AS82" s="283">
        <f t="shared" si="11"/>
        <v>6.0417344318212471</v>
      </c>
      <c r="AT82" s="283">
        <f t="shared" si="11"/>
        <v>3.6347208067563073</v>
      </c>
      <c r="AU82" s="283">
        <f t="shared" si="11"/>
        <v>4.35590157450397</v>
      </c>
      <c r="AV82" s="283">
        <f t="shared" si="11"/>
        <v>2.8097966790239681</v>
      </c>
      <c r="AW82" s="283">
        <f t="shared" si="11"/>
        <v>4.4150414166723673</v>
      </c>
      <c r="AX82" s="283">
        <f t="shared" si="11"/>
        <v>2.5437595394077031</v>
      </c>
      <c r="AY82" s="283">
        <f t="shared" si="11"/>
        <v>4.3172261011177904</v>
      </c>
      <c r="AZ82" s="283">
        <f t="shared" si="11"/>
        <v>2.7638986709792062</v>
      </c>
      <c r="BA82" s="283">
        <f t="shared" si="11"/>
        <v>2.6318049309747336</v>
      </c>
      <c r="BB82" s="283">
        <f t="shared" si="11"/>
        <v>3.084315266017041</v>
      </c>
      <c r="BC82" s="283">
        <f t="shared" si="11"/>
        <v>2.9358435921000061</v>
      </c>
      <c r="BD82" s="283">
        <f t="shared" si="11"/>
        <v>3.6786647737498535</v>
      </c>
      <c r="BE82" s="283">
        <f t="shared" si="11"/>
        <v>3.317604739720986</v>
      </c>
      <c r="BF82" s="283">
        <f t="shared" si="11"/>
        <v>2.1732678584740213</v>
      </c>
      <c r="BG82" s="283">
        <f t="shared" si="11"/>
        <v>1.8576315442183307</v>
      </c>
      <c r="BH82" s="283">
        <f t="shared" si="11"/>
        <v>2.2180864244965104</v>
      </c>
      <c r="BI82" s="283">
        <f t="shared" si="11"/>
        <v>3.7616798366374269</v>
      </c>
      <c r="BJ82" s="283">
        <f t="shared" si="11"/>
        <v>3.37569917935887</v>
      </c>
      <c r="BK82" s="283">
        <f t="shared" si="11"/>
        <v>3.4879141941774674</v>
      </c>
      <c r="BL82" s="283">
        <f t="shared" si="11"/>
        <v>6.218659796840865</v>
      </c>
      <c r="BM82" s="283">
        <f t="shared" si="11"/>
        <v>10.214127548406676</v>
      </c>
      <c r="BN82" s="283">
        <f t="shared" si="11"/>
        <v>3.6281183223573579</v>
      </c>
      <c r="BO82" s="283">
        <f t="shared" si="11"/>
        <v>2.9005164131569279</v>
      </c>
      <c r="BP82" s="283">
        <f t="shared" si="11"/>
        <v>2.3959318002672441</v>
      </c>
      <c r="BQ82" s="283">
        <f t="shared" si="11"/>
        <v>2.3135419420686256</v>
      </c>
      <c r="BR82" s="283">
        <f t="shared" si="11"/>
        <v>2.995489993976872</v>
      </c>
      <c r="BS82" s="283">
        <f>(BS81/BS79)*100</f>
        <v>4.4724135886973801</v>
      </c>
      <c r="BT82" s="258"/>
    </row>
    <row r="83" spans="1:72" s="39" customFormat="1">
      <c r="C83" s="243"/>
      <c r="D83" s="243"/>
      <c r="E83" s="243"/>
      <c r="F83" s="41"/>
      <c r="G83" s="243"/>
      <c r="H83" s="243"/>
      <c r="I83" s="243"/>
      <c r="J83" s="243"/>
      <c r="K83" s="243"/>
      <c r="L83" s="243"/>
      <c r="M83" s="243"/>
      <c r="O83" s="205"/>
      <c r="Q83" s="258"/>
      <c r="R83" s="258"/>
      <c r="S83" s="260"/>
      <c r="T83" s="260"/>
      <c r="U83" s="54"/>
      <c r="V83" s="260"/>
      <c r="W83" s="260"/>
      <c r="X83" s="260"/>
      <c r="Y83" s="260"/>
      <c r="Z83" s="54"/>
      <c r="AA83" s="54"/>
      <c r="AB83" s="54"/>
      <c r="AC83" s="54"/>
      <c r="AD83" s="54"/>
      <c r="AE83" s="258"/>
      <c r="AF83" s="258"/>
      <c r="AG83" s="258"/>
      <c r="AH83" s="258"/>
      <c r="AI83" s="258"/>
      <c r="AJ83" s="258"/>
      <c r="AK83" s="258"/>
      <c r="AL83" s="258"/>
      <c r="AM83" s="258"/>
      <c r="AN83" s="258"/>
      <c r="AO83" s="258"/>
      <c r="AP83" s="258"/>
      <c r="AQ83" s="258"/>
      <c r="AR83" s="258"/>
      <c r="AS83" s="258"/>
      <c r="AT83" s="258"/>
      <c r="AU83" s="258"/>
      <c r="AV83" s="258"/>
      <c r="AW83" s="258"/>
      <c r="AX83" s="258"/>
      <c r="AY83" s="258"/>
      <c r="AZ83" s="258"/>
      <c r="BA83" s="258"/>
      <c r="BB83" s="258"/>
      <c r="BC83" s="258"/>
      <c r="BD83" s="258"/>
      <c r="BE83" s="258"/>
      <c r="BF83" s="258"/>
      <c r="BG83" s="258"/>
      <c r="BH83" s="258"/>
      <c r="BI83" s="258"/>
      <c r="BJ83" s="258"/>
      <c r="BK83" s="258"/>
      <c r="BL83" s="258"/>
      <c r="BM83" s="258"/>
      <c r="BN83" s="258"/>
      <c r="BO83" s="258"/>
      <c r="BP83" s="258"/>
      <c r="BQ83" s="258"/>
      <c r="BR83" s="258"/>
      <c r="BS83" s="258"/>
      <c r="BT83" s="258"/>
    </row>
    <row r="84" spans="1:72" s="53" customFormat="1">
      <c r="A84" s="25" t="s">
        <v>400</v>
      </c>
      <c r="F84" s="90" t="s">
        <v>388</v>
      </c>
      <c r="H84" s="116"/>
      <c r="I84" s="41"/>
      <c r="J84" s="41"/>
      <c r="K84" s="39"/>
      <c r="L84" s="39"/>
      <c r="M84" s="39"/>
      <c r="N84" s="39"/>
      <c r="O84" s="39"/>
      <c r="Q84" s="265" t="s">
        <v>4</v>
      </c>
      <c r="R84" s="265" t="s">
        <v>5</v>
      </c>
      <c r="S84" s="267" t="s">
        <v>6</v>
      </c>
      <c r="T84" s="267" t="s">
        <v>7</v>
      </c>
      <c r="U84" s="267" t="s">
        <v>8</v>
      </c>
      <c r="V84" s="267" t="s">
        <v>9</v>
      </c>
      <c r="W84" s="267" t="s">
        <v>10</v>
      </c>
      <c r="X84" s="267" t="s">
        <v>11</v>
      </c>
      <c r="Y84" s="267" t="s">
        <v>12</v>
      </c>
      <c r="Z84" s="267" t="s">
        <v>13</v>
      </c>
      <c r="AA84" s="267" t="s">
        <v>14</v>
      </c>
      <c r="AB84" s="267" t="s">
        <v>15</v>
      </c>
      <c r="AC84" s="269" t="s">
        <v>16</v>
      </c>
      <c r="AD84" s="269" t="s">
        <v>17</v>
      </c>
      <c r="AE84" s="265" t="s">
        <v>18</v>
      </c>
      <c r="AF84" s="269" t="s">
        <v>19</v>
      </c>
      <c r="AG84" s="269" t="s">
        <v>20</v>
      </c>
      <c r="AH84" s="265" t="s">
        <v>21</v>
      </c>
      <c r="AI84" s="265" t="s">
        <v>22</v>
      </c>
      <c r="AJ84" s="265" t="s">
        <v>23</v>
      </c>
      <c r="AK84" s="265" t="s">
        <v>24</v>
      </c>
      <c r="AL84" s="265" t="s">
        <v>25</v>
      </c>
      <c r="AM84" s="269" t="s">
        <v>26</v>
      </c>
      <c r="AN84" s="265" t="s">
        <v>27</v>
      </c>
      <c r="AO84" s="269" t="s">
        <v>28</v>
      </c>
      <c r="AP84" s="265" t="s">
        <v>29</v>
      </c>
      <c r="AQ84" s="269" t="s">
        <v>30</v>
      </c>
      <c r="AR84" s="265" t="s">
        <v>31</v>
      </c>
      <c r="AS84" s="265" t="s">
        <v>32</v>
      </c>
      <c r="AT84" s="269" t="s">
        <v>33</v>
      </c>
      <c r="AU84" s="265" t="s">
        <v>34</v>
      </c>
      <c r="AV84" s="265" t="s">
        <v>35</v>
      </c>
      <c r="AW84" s="269" t="s">
        <v>36</v>
      </c>
      <c r="AX84" s="265" t="s">
        <v>37</v>
      </c>
      <c r="AY84" s="265" t="s">
        <v>38</v>
      </c>
      <c r="AZ84" s="265" t="s">
        <v>40</v>
      </c>
      <c r="BA84" s="265" t="s">
        <v>41</v>
      </c>
      <c r="BB84" s="265" t="s">
        <v>42</v>
      </c>
      <c r="BC84" s="265" t="s">
        <v>48</v>
      </c>
      <c r="BD84" s="265" t="s">
        <v>49</v>
      </c>
      <c r="BE84" s="265" t="s">
        <v>50</v>
      </c>
      <c r="BF84" s="265" t="s">
        <v>51</v>
      </c>
      <c r="BG84" s="269" t="s">
        <v>52</v>
      </c>
      <c r="BH84" s="269" t="s">
        <v>53</v>
      </c>
      <c r="BI84" s="269" t="s">
        <v>54</v>
      </c>
      <c r="BJ84" s="269" t="s">
        <v>55</v>
      </c>
      <c r="BK84" s="269" t="s">
        <v>56</v>
      </c>
      <c r="BL84" s="265" t="s">
        <v>57</v>
      </c>
      <c r="BM84" s="265" t="s">
        <v>58</v>
      </c>
      <c r="BN84" s="284"/>
      <c r="BO84" s="284"/>
      <c r="BP84" s="284"/>
      <c r="BQ84" s="284"/>
      <c r="BR84" s="284"/>
      <c r="BS84" s="284"/>
      <c r="BT84" s="284"/>
    </row>
    <row r="85" spans="1:72" s="47" customFormat="1">
      <c r="A85" s="90"/>
      <c r="B85" s="90"/>
      <c r="C85" s="90"/>
      <c r="D85" s="90"/>
      <c r="E85" s="90"/>
      <c r="F85" s="90" t="s">
        <v>401</v>
      </c>
      <c r="G85" s="90"/>
      <c r="H85" s="252"/>
      <c r="I85" s="285"/>
      <c r="J85" s="285"/>
      <c r="K85" s="49"/>
      <c r="L85" s="49"/>
      <c r="M85" s="49"/>
      <c r="N85" s="49"/>
      <c r="O85" s="49"/>
      <c r="P85" s="49"/>
      <c r="Q85" s="255">
        <v>65.3</v>
      </c>
      <c r="R85" s="255">
        <v>2.09</v>
      </c>
      <c r="S85" s="275">
        <v>12600</v>
      </c>
      <c r="T85" s="275">
        <v>15800</v>
      </c>
      <c r="U85" s="275">
        <v>79100</v>
      </c>
      <c r="V85" s="275">
        <v>1040</v>
      </c>
      <c r="W85" s="275">
        <v>1580</v>
      </c>
      <c r="X85" s="275">
        <v>23800</v>
      </c>
      <c r="Y85" s="275">
        <v>13100</v>
      </c>
      <c r="Z85" s="275">
        <v>3840</v>
      </c>
      <c r="AA85" s="275">
        <v>216</v>
      </c>
      <c r="AB85" s="275">
        <v>94.3</v>
      </c>
      <c r="AC85" s="275">
        <v>298</v>
      </c>
      <c r="AD85" s="275">
        <v>37900</v>
      </c>
      <c r="AE85" s="255">
        <v>13</v>
      </c>
      <c r="AF85" s="255">
        <v>42.8</v>
      </c>
      <c r="AG85" s="255">
        <v>32.9</v>
      </c>
      <c r="AH85" s="275">
        <v>147</v>
      </c>
      <c r="AI85" s="255">
        <v>18</v>
      </c>
      <c r="AJ85" s="255">
        <v>21.7</v>
      </c>
      <c r="AK85" s="255">
        <v>1.5</v>
      </c>
      <c r="AL85" s="275">
        <v>180</v>
      </c>
      <c r="AM85" s="275">
        <v>132</v>
      </c>
      <c r="AN85" s="255">
        <v>20</v>
      </c>
      <c r="AO85" s="255">
        <v>96</v>
      </c>
      <c r="AP85" s="255">
        <v>12</v>
      </c>
      <c r="AQ85" s="255">
        <v>2.5299999999999998</v>
      </c>
      <c r="AR85" s="255">
        <v>0.161</v>
      </c>
      <c r="AS85" s="255">
        <v>0.28000000000000003</v>
      </c>
      <c r="AT85" s="255">
        <v>2.35</v>
      </c>
      <c r="AU85" s="255">
        <v>1.07</v>
      </c>
      <c r="AV85" s="255">
        <v>10</v>
      </c>
      <c r="AW85" s="275">
        <v>920</v>
      </c>
      <c r="AX85" s="255">
        <v>35</v>
      </c>
      <c r="AY85" s="255">
        <v>72</v>
      </c>
      <c r="AZ85" s="255">
        <v>42.8</v>
      </c>
      <c r="BA85" s="255">
        <v>5.5</v>
      </c>
      <c r="BB85" s="255">
        <v>1.3</v>
      </c>
      <c r="BC85" s="255">
        <v>0.85</v>
      </c>
      <c r="BD85" s="255">
        <v>2</v>
      </c>
      <c r="BE85" s="255">
        <v>0.11</v>
      </c>
      <c r="BF85" s="255">
        <v>3</v>
      </c>
      <c r="BG85" s="255">
        <v>1</v>
      </c>
      <c r="BH85" s="255">
        <v>1.3</v>
      </c>
      <c r="BI85" s="255">
        <v>0.85</v>
      </c>
      <c r="BJ85" s="255">
        <v>21.5</v>
      </c>
      <c r="BK85" s="255">
        <v>2.7</v>
      </c>
      <c r="BL85" s="255">
        <v>12</v>
      </c>
      <c r="BM85" s="255">
        <v>3.4</v>
      </c>
      <c r="BN85" s="286"/>
      <c r="BO85" s="286"/>
      <c r="BP85" s="286"/>
      <c r="BQ85" s="286"/>
      <c r="BR85" s="286"/>
      <c r="BS85" s="286"/>
      <c r="BT85" s="286"/>
    </row>
    <row r="86" spans="1:72" s="53" customFormat="1">
      <c r="A86" s="53">
        <v>14705</v>
      </c>
      <c r="B86" s="39" t="s">
        <v>670</v>
      </c>
      <c r="C86" s="39"/>
      <c r="E86" s="39"/>
      <c r="F86" s="41" t="s">
        <v>402</v>
      </c>
      <c r="G86" s="53">
        <v>14705</v>
      </c>
      <c r="H86" s="243"/>
      <c r="I86" s="41" t="s">
        <v>394</v>
      </c>
      <c r="J86" s="41"/>
      <c r="K86" s="41" t="s">
        <v>395</v>
      </c>
      <c r="L86" s="41"/>
      <c r="M86" s="41"/>
      <c r="N86" s="39"/>
      <c r="O86" s="39"/>
      <c r="P86" s="89"/>
      <c r="Q86" s="261">
        <v>57.076840358331346</v>
      </c>
      <c r="R86" s="261">
        <v>2.0626723427854219</v>
      </c>
      <c r="S86" s="262">
        <v>13558.428418201895</v>
      </c>
      <c r="T86" s="262">
        <v>16216.46004644889</v>
      </c>
      <c r="U86" s="262">
        <v>81277.323031604115</v>
      </c>
      <c r="V86" s="262">
        <v>1073.6169733968393</v>
      </c>
      <c r="W86" s="262">
        <v>1683.2581143854534</v>
      </c>
      <c r="X86" s="262">
        <v>25340.171572093917</v>
      </c>
      <c r="Y86" s="262">
        <v>14316.333341041956</v>
      </c>
      <c r="Z86" s="262">
        <v>2876.0943692927735</v>
      </c>
      <c r="AA86" s="262">
        <v>221.29866035681161</v>
      </c>
      <c r="AB86" s="262">
        <v>87.488749450463729</v>
      </c>
      <c r="AC86" s="262">
        <v>273.1269713642626</v>
      </c>
      <c r="AD86" s="262">
        <v>37178.843022418892</v>
      </c>
      <c r="AE86" s="261">
        <v>12.209889249114887</v>
      </c>
      <c r="AF86" s="261">
        <v>41.257384353357438</v>
      </c>
      <c r="AG86" s="261">
        <v>30.128835254885917</v>
      </c>
      <c r="AH86" s="262">
        <v>131.99078394734363</v>
      </c>
      <c r="AI86" s="261">
        <v>16.458670953896625</v>
      </c>
      <c r="AJ86" s="261">
        <v>19.176844976404936</v>
      </c>
      <c r="AK86" s="261">
        <v>0.73224845545895101</v>
      </c>
      <c r="AL86" s="262">
        <v>128.70090859915021</v>
      </c>
      <c r="AM86" s="262">
        <v>126.1953490379465</v>
      </c>
      <c r="AN86" s="261">
        <v>17.614768245626895</v>
      </c>
      <c r="AO86" s="261">
        <v>74.630837913311311</v>
      </c>
      <c r="AP86" s="261">
        <v>10.111064094684201</v>
      </c>
      <c r="AQ86" s="261">
        <v>2.6227099564033161</v>
      </c>
      <c r="AR86" s="261">
        <v>0.16180266858512546</v>
      </c>
      <c r="AS86" s="261">
        <v>0.23601421031291006</v>
      </c>
      <c r="AT86" s="261">
        <v>2.2953319388891931</v>
      </c>
      <c r="AU86" s="261">
        <v>1.065171968049341</v>
      </c>
      <c r="AV86" s="261">
        <v>8.0879960394533761</v>
      </c>
      <c r="AW86" s="262">
        <v>863.36597398830907</v>
      </c>
      <c r="AX86" s="261">
        <v>29.831360145794307</v>
      </c>
      <c r="AY86" s="261">
        <v>57.099063622361619</v>
      </c>
      <c r="AZ86" s="261">
        <v>26.044131960565714</v>
      </c>
      <c r="BA86" s="261">
        <v>5.0580808985302719</v>
      </c>
      <c r="BB86" s="261">
        <v>1.0971073587613944</v>
      </c>
      <c r="BC86" s="261">
        <v>0.28195724928539301</v>
      </c>
      <c r="BD86" s="261">
        <v>1.7221884895845812</v>
      </c>
      <c r="BE86" s="261">
        <v>0.2627851512338763</v>
      </c>
      <c r="BF86" s="261">
        <v>2.4097229081275215</v>
      </c>
      <c r="BG86" s="261">
        <v>0.67074441810544505</v>
      </c>
      <c r="BH86" s="261">
        <v>1.1521634036286872</v>
      </c>
      <c r="BI86" s="261">
        <v>0.82828121006220912</v>
      </c>
      <c r="BJ86" s="261">
        <v>21.056908946753527</v>
      </c>
      <c r="BK86" s="261">
        <v>0.35185333880871844</v>
      </c>
      <c r="BL86" s="261">
        <v>9.622463544306143</v>
      </c>
      <c r="BM86" s="261">
        <v>2.893126083708693</v>
      </c>
      <c r="BN86" s="284"/>
      <c r="BO86" s="284"/>
      <c r="BP86" s="284"/>
      <c r="BQ86" s="284"/>
      <c r="BR86" s="284"/>
      <c r="BS86" s="284"/>
      <c r="BT86" s="284"/>
    </row>
    <row r="87" spans="1:72" s="53" customFormat="1">
      <c r="A87" s="53">
        <v>14705</v>
      </c>
      <c r="B87" s="39" t="s">
        <v>670</v>
      </c>
      <c r="C87" s="39"/>
      <c r="E87" s="39"/>
      <c r="F87" s="41" t="s">
        <v>396</v>
      </c>
      <c r="G87" s="53">
        <v>14705</v>
      </c>
      <c r="H87" s="243"/>
      <c r="I87" s="41" t="s">
        <v>396</v>
      </c>
      <c r="J87" s="41"/>
      <c r="K87" s="41" t="s">
        <v>395</v>
      </c>
      <c r="L87" s="41"/>
      <c r="M87" s="41"/>
      <c r="N87" s="39"/>
      <c r="O87" s="39"/>
      <c r="P87" s="89"/>
      <c r="Q87" s="261">
        <v>56.338016431130157</v>
      </c>
      <c r="R87" s="261">
        <v>1.4419187445606982</v>
      </c>
      <c r="S87" s="262">
        <v>12678.435674141845</v>
      </c>
      <c r="T87" s="262">
        <v>15204.280601186178</v>
      </c>
      <c r="U87" s="262">
        <v>74444.195458864342</v>
      </c>
      <c r="V87" s="262">
        <v>1035.945861447681</v>
      </c>
      <c r="W87" s="262">
        <v>1631.4423280168639</v>
      </c>
      <c r="X87" s="262">
        <v>24275.833808901451</v>
      </c>
      <c r="Y87" s="262">
        <v>13607.49695565597</v>
      </c>
      <c r="Z87" s="262">
        <v>3068.1832081549514</v>
      </c>
      <c r="AA87" s="262">
        <v>211.680721174415</v>
      </c>
      <c r="AB87" s="262">
        <v>84.688532980443924</v>
      </c>
      <c r="AC87" s="262">
        <v>260.11793725387912</v>
      </c>
      <c r="AD87" s="262">
        <v>35538.581808536233</v>
      </c>
      <c r="AE87" s="261">
        <v>11.690862974523213</v>
      </c>
      <c r="AF87" s="261">
        <v>39.840730108531616</v>
      </c>
      <c r="AG87" s="261">
        <v>28.461952733852257</v>
      </c>
      <c r="AH87" s="262">
        <v>142.39584446606972</v>
      </c>
      <c r="AI87" s="261">
        <v>15.504469529150207</v>
      </c>
      <c r="AJ87" s="261">
        <v>18.658712333039887</v>
      </c>
      <c r="AK87" s="261">
        <v>0.6894752465932471</v>
      </c>
      <c r="AL87" s="262">
        <v>122.2271222132279</v>
      </c>
      <c r="AM87" s="262">
        <v>120.08539904509173</v>
      </c>
      <c r="AN87" s="261">
        <v>18.979688019940031</v>
      </c>
      <c r="AO87" s="261">
        <v>94.062982581389434</v>
      </c>
      <c r="AP87" s="261">
        <v>10.914130844114055</v>
      </c>
      <c r="AQ87" s="261">
        <v>2.5345053765870693</v>
      </c>
      <c r="AR87" s="261">
        <v>0.15478640903522378</v>
      </c>
      <c r="AS87" s="261">
        <v>0.21806246566369494</v>
      </c>
      <c r="AT87" s="261">
        <v>2.2526121092989762</v>
      </c>
      <c r="AU87" s="261">
        <v>1.0114201180142608</v>
      </c>
      <c r="AV87" s="261">
        <v>7.7252460048345277</v>
      </c>
      <c r="AW87" s="262">
        <v>816.78141564892996</v>
      </c>
      <c r="AX87" s="261">
        <v>31.945619358756943</v>
      </c>
      <c r="AY87" s="261">
        <v>58.148419680586507</v>
      </c>
      <c r="AZ87" s="261">
        <v>26.586406770465327</v>
      </c>
      <c r="BA87" s="261">
        <v>5.1691754280045634</v>
      </c>
      <c r="BB87" s="261">
        <v>1.1004868502844958</v>
      </c>
      <c r="BC87" s="261">
        <v>0.30207571448091636</v>
      </c>
      <c r="BD87" s="261">
        <v>1.916814969724485</v>
      </c>
      <c r="BE87" s="261">
        <v>0.32290941744513552</v>
      </c>
      <c r="BF87" s="261">
        <v>2.8553741635683156</v>
      </c>
      <c r="BG87" s="261">
        <v>0.73947115976569522</v>
      </c>
      <c r="BH87" s="261">
        <v>1.3012284898706894</v>
      </c>
      <c r="BI87" s="261">
        <v>0.77064447116395973</v>
      </c>
      <c r="BJ87" s="261">
        <v>20.169186082844007</v>
      </c>
      <c r="BK87" s="261">
        <v>0.35924588352797121</v>
      </c>
      <c r="BL87" s="261">
        <v>9.759340635340978</v>
      </c>
      <c r="BM87" s="261">
        <v>3.1196596514783592</v>
      </c>
      <c r="BN87" s="284"/>
      <c r="BO87" s="284"/>
      <c r="BP87" s="284"/>
      <c r="BQ87" s="284"/>
      <c r="BR87" s="284"/>
      <c r="BS87" s="284"/>
      <c r="BT87" s="284"/>
    </row>
    <row r="88" spans="1:72" s="53" customFormat="1">
      <c r="F88" s="47" t="s">
        <v>376</v>
      </c>
      <c r="P88" s="47"/>
      <c r="Q88" s="286">
        <f>AVERAGE(Q86:Q87)</f>
        <v>56.707428394730755</v>
      </c>
      <c r="R88" s="286">
        <f t="shared" ref="R88:BM88" si="12">AVERAGE(R86:R87)</f>
        <v>1.7522955436730601</v>
      </c>
      <c r="S88" s="287">
        <f t="shared" si="12"/>
        <v>13118.432046171871</v>
      </c>
      <c r="T88" s="287">
        <f t="shared" si="12"/>
        <v>15710.370323817533</v>
      </c>
      <c r="U88" s="287">
        <f t="shared" si="12"/>
        <v>77860.759245234221</v>
      </c>
      <c r="V88" s="287">
        <f t="shared" si="12"/>
        <v>1054.7814174222601</v>
      </c>
      <c r="W88" s="287">
        <f t="shared" si="12"/>
        <v>1657.3502212011585</v>
      </c>
      <c r="X88" s="287">
        <f t="shared" si="12"/>
        <v>24808.002690497684</v>
      </c>
      <c r="Y88" s="287">
        <f t="shared" si="12"/>
        <v>13961.915148348962</v>
      </c>
      <c r="Z88" s="287">
        <f t="shared" si="12"/>
        <v>2972.1387887238625</v>
      </c>
      <c r="AA88" s="287">
        <f t="shared" si="12"/>
        <v>216.48969076561332</v>
      </c>
      <c r="AB88" s="287">
        <f t="shared" si="12"/>
        <v>86.088641215453833</v>
      </c>
      <c r="AC88" s="287">
        <f t="shared" si="12"/>
        <v>266.62245430907086</v>
      </c>
      <c r="AD88" s="287">
        <f t="shared" si="12"/>
        <v>36358.712415477567</v>
      </c>
      <c r="AE88" s="286">
        <f t="shared" si="12"/>
        <v>11.95037611181905</v>
      </c>
      <c r="AF88" s="286">
        <f t="shared" si="12"/>
        <v>40.549057230944527</v>
      </c>
      <c r="AG88" s="286">
        <f t="shared" si="12"/>
        <v>29.295393994369086</v>
      </c>
      <c r="AH88" s="287">
        <f t="shared" si="12"/>
        <v>137.19331420670667</v>
      </c>
      <c r="AI88" s="286">
        <f t="shared" si="12"/>
        <v>15.981570241523416</v>
      </c>
      <c r="AJ88" s="286">
        <f t="shared" si="12"/>
        <v>18.917778654722412</v>
      </c>
      <c r="AK88" s="286">
        <f t="shared" si="12"/>
        <v>0.71086185102609911</v>
      </c>
      <c r="AL88" s="287">
        <f t="shared" si="12"/>
        <v>125.46401540618905</v>
      </c>
      <c r="AM88" s="287">
        <f t="shared" si="12"/>
        <v>123.14037404151912</v>
      </c>
      <c r="AN88" s="286">
        <f t="shared" si="12"/>
        <v>18.297228132783463</v>
      </c>
      <c r="AO88" s="286">
        <f t="shared" si="12"/>
        <v>84.346910247350365</v>
      </c>
      <c r="AP88" s="286">
        <f t="shared" si="12"/>
        <v>10.512597469399129</v>
      </c>
      <c r="AQ88" s="286">
        <f t="shared" si="12"/>
        <v>2.5786076664951927</v>
      </c>
      <c r="AR88" s="286">
        <f t="shared" si="12"/>
        <v>0.15829453881017463</v>
      </c>
      <c r="AS88" s="286">
        <f t="shared" si="12"/>
        <v>0.2270383379883025</v>
      </c>
      <c r="AT88" s="286">
        <f t="shared" si="12"/>
        <v>2.2739720240940846</v>
      </c>
      <c r="AU88" s="286">
        <f t="shared" si="12"/>
        <v>1.0382960430318009</v>
      </c>
      <c r="AV88" s="286">
        <f t="shared" si="12"/>
        <v>7.9066210221439519</v>
      </c>
      <c r="AW88" s="287">
        <f t="shared" si="12"/>
        <v>840.07369481861951</v>
      </c>
      <c r="AX88" s="286">
        <f t="shared" si="12"/>
        <v>30.888489752275625</v>
      </c>
      <c r="AY88" s="286">
        <f t="shared" si="12"/>
        <v>57.623741651474063</v>
      </c>
      <c r="AZ88" s="286">
        <f t="shared" si="12"/>
        <v>26.315269365515519</v>
      </c>
      <c r="BA88" s="286">
        <f t="shared" si="12"/>
        <v>5.1136281632674176</v>
      </c>
      <c r="BB88" s="286">
        <f t="shared" si="12"/>
        <v>1.0987971045229452</v>
      </c>
      <c r="BC88" s="286">
        <f t="shared" si="12"/>
        <v>0.29201648188315465</v>
      </c>
      <c r="BD88" s="286">
        <f t="shared" si="12"/>
        <v>1.8195017296545331</v>
      </c>
      <c r="BE88" s="286">
        <f t="shared" si="12"/>
        <v>0.29284728433950591</v>
      </c>
      <c r="BF88" s="286">
        <f t="shared" si="12"/>
        <v>2.6325485358479188</v>
      </c>
      <c r="BG88" s="286">
        <f t="shared" si="12"/>
        <v>0.70510778893557013</v>
      </c>
      <c r="BH88" s="286">
        <f t="shared" si="12"/>
        <v>1.2266959467496883</v>
      </c>
      <c r="BI88" s="286">
        <f t="shared" si="12"/>
        <v>0.79946284061308437</v>
      </c>
      <c r="BJ88" s="286">
        <f t="shared" si="12"/>
        <v>20.613047514798765</v>
      </c>
      <c r="BK88" s="286">
        <f t="shared" si="12"/>
        <v>0.35554961116834483</v>
      </c>
      <c r="BL88" s="286">
        <f t="shared" si="12"/>
        <v>9.6909020898235596</v>
      </c>
      <c r="BM88" s="286">
        <f t="shared" si="12"/>
        <v>3.0063928675935259</v>
      </c>
      <c r="BN88" s="284"/>
      <c r="BO88" s="284"/>
      <c r="BP88" s="284"/>
      <c r="BQ88" s="284"/>
      <c r="BR88" s="284"/>
      <c r="BS88" s="284"/>
      <c r="BT88" s="284"/>
    </row>
    <row r="89" spans="1:72" s="53" customFormat="1">
      <c r="F89" s="47" t="s">
        <v>718</v>
      </c>
      <c r="P89" s="47"/>
      <c r="Q89" s="287">
        <f>(Q88/Q85)*100</f>
        <v>86.841391109848018</v>
      </c>
      <c r="R89" s="287">
        <f t="shared" ref="R89:BM89" si="13">(R88/R85)*100</f>
        <v>83.841892041773207</v>
      </c>
      <c r="S89" s="287">
        <f t="shared" si="13"/>
        <v>104.1145400489831</v>
      </c>
      <c r="T89" s="287">
        <f t="shared" si="13"/>
        <v>99.432723568465391</v>
      </c>
      <c r="U89" s="287">
        <f t="shared" si="13"/>
        <v>98.433323950991436</v>
      </c>
      <c r="V89" s="287">
        <f t="shared" si="13"/>
        <v>101.42129013675579</v>
      </c>
      <c r="W89" s="287">
        <f t="shared" si="13"/>
        <v>104.89558362032649</v>
      </c>
      <c r="X89" s="287">
        <f t="shared" si="13"/>
        <v>104.23530542225919</v>
      </c>
      <c r="Y89" s="287">
        <f t="shared" si="13"/>
        <v>106.57950494922872</v>
      </c>
      <c r="Z89" s="287">
        <f t="shared" si="13"/>
        <v>77.399447623017252</v>
      </c>
      <c r="AA89" s="287">
        <f t="shared" si="13"/>
        <v>100.22670868778394</v>
      </c>
      <c r="AB89" s="287">
        <f t="shared" si="13"/>
        <v>91.29230245541234</v>
      </c>
      <c r="AC89" s="287">
        <f t="shared" si="13"/>
        <v>89.470622251366066</v>
      </c>
      <c r="AD89" s="287">
        <f t="shared" si="13"/>
        <v>95.933278141101766</v>
      </c>
      <c r="AE89" s="287">
        <f t="shared" si="13"/>
        <v>91.925970090915783</v>
      </c>
      <c r="AF89" s="287">
        <f t="shared" si="13"/>
        <v>94.740787922767595</v>
      </c>
      <c r="AG89" s="287">
        <f t="shared" si="13"/>
        <v>89.04375074276318</v>
      </c>
      <c r="AH89" s="287">
        <f t="shared" si="13"/>
        <v>93.328785174630397</v>
      </c>
      <c r="AI89" s="287">
        <f t="shared" si="13"/>
        <v>88.78650134179675</v>
      </c>
      <c r="AJ89" s="287">
        <f t="shared" si="13"/>
        <v>87.178703477983461</v>
      </c>
      <c r="AK89" s="287">
        <f t="shared" si="13"/>
        <v>47.390790068406609</v>
      </c>
      <c r="AL89" s="287">
        <f t="shared" si="13"/>
        <v>69.70223078121613</v>
      </c>
      <c r="AM89" s="287">
        <f t="shared" si="13"/>
        <v>93.288162152666004</v>
      </c>
      <c r="AN89" s="287">
        <f t="shared" si="13"/>
        <v>91.486140663917311</v>
      </c>
      <c r="AO89" s="287">
        <f t="shared" si="13"/>
        <v>87.861364840989964</v>
      </c>
      <c r="AP89" s="287">
        <f t="shared" si="13"/>
        <v>87.604978911659401</v>
      </c>
      <c r="AQ89" s="287">
        <f t="shared" si="13"/>
        <v>101.9212516401262</v>
      </c>
      <c r="AR89" s="287">
        <f t="shared" si="13"/>
        <v>98.319589323089829</v>
      </c>
      <c r="AS89" s="287">
        <f t="shared" si="13"/>
        <v>81.085120710108029</v>
      </c>
      <c r="AT89" s="287">
        <f t="shared" si="13"/>
        <v>96.764766982726997</v>
      </c>
      <c r="AU89" s="287">
        <f t="shared" si="13"/>
        <v>97.03701336745803</v>
      </c>
      <c r="AV89" s="287">
        <f t="shared" si="13"/>
        <v>79.066210221439519</v>
      </c>
      <c r="AW89" s="287">
        <f t="shared" si="13"/>
        <v>91.312358132458641</v>
      </c>
      <c r="AX89" s="287">
        <f t="shared" si="13"/>
        <v>88.25282786364464</v>
      </c>
      <c r="AY89" s="287">
        <f t="shared" si="13"/>
        <v>80.032974515936189</v>
      </c>
      <c r="AZ89" s="287">
        <f t="shared" si="13"/>
        <v>61.484274218494207</v>
      </c>
      <c r="BA89" s="287">
        <f t="shared" si="13"/>
        <v>92.975057513953047</v>
      </c>
      <c r="BB89" s="287">
        <f t="shared" si="13"/>
        <v>84.522854194072707</v>
      </c>
      <c r="BC89" s="287">
        <f t="shared" si="13"/>
        <v>34.35488022154761</v>
      </c>
      <c r="BD89" s="287">
        <f t="shared" si="13"/>
        <v>90.975086482726653</v>
      </c>
      <c r="BE89" s="287">
        <f t="shared" si="13"/>
        <v>266.22480394500536</v>
      </c>
      <c r="BF89" s="287">
        <f t="shared" si="13"/>
        <v>87.751617861597296</v>
      </c>
      <c r="BG89" s="287">
        <f t="shared" si="13"/>
        <v>70.510778893557017</v>
      </c>
      <c r="BH89" s="287">
        <f t="shared" si="13"/>
        <v>94.36122667305294</v>
      </c>
      <c r="BI89" s="287">
        <f t="shared" si="13"/>
        <v>94.054451836833451</v>
      </c>
      <c r="BJ89" s="287">
        <f t="shared" si="13"/>
        <v>95.874639603715181</v>
      </c>
      <c r="BK89" s="287">
        <f t="shared" si="13"/>
        <v>13.168504117346103</v>
      </c>
      <c r="BL89" s="287">
        <f t="shared" si="13"/>
        <v>80.757517415196332</v>
      </c>
      <c r="BM89" s="287">
        <f t="shared" si="13"/>
        <v>88.423319635103709</v>
      </c>
      <c r="BN89" s="284"/>
      <c r="BO89" s="284"/>
      <c r="BP89" s="284"/>
      <c r="BQ89" s="284"/>
      <c r="BR89" s="284"/>
      <c r="BS89" s="284"/>
      <c r="BT89" s="284"/>
    </row>
    <row r="90" spans="1:72">
      <c r="F90" s="47" t="s">
        <v>719</v>
      </c>
      <c r="P90" s="47"/>
      <c r="Q90" s="263">
        <f>STDEV(Q86:Q87)</f>
        <v>0.52242740902683671</v>
      </c>
      <c r="R90" s="263">
        <f t="shared" ref="R90:BM90" si="14">STDEV(R86:R87)</f>
        <v>0.43893907875065213</v>
      </c>
      <c r="S90" s="264">
        <f t="shared" si="14"/>
        <v>622.248836719819</v>
      </c>
      <c r="T90" s="264">
        <f t="shared" si="14"/>
        <v>715.71894952290211</v>
      </c>
      <c r="U90" s="264">
        <f t="shared" si="14"/>
        <v>4831.7508433970679</v>
      </c>
      <c r="V90" s="264">
        <f t="shared" si="14"/>
        <v>26.637498714087435</v>
      </c>
      <c r="W90" s="264">
        <f t="shared" si="14"/>
        <v>36.639293913743067</v>
      </c>
      <c r="X90" s="264">
        <f t="shared" si="14"/>
        <v>752.60044982631507</v>
      </c>
      <c r="Y90" s="264">
        <f t="shared" si="14"/>
        <v>501.22301485819196</v>
      </c>
      <c r="Z90" s="264">
        <f t="shared" si="14"/>
        <v>135.82732054969603</v>
      </c>
      <c r="AA90" s="264">
        <f t="shared" si="14"/>
        <v>6.8009100169124421</v>
      </c>
      <c r="AB90" s="264">
        <f t="shared" si="14"/>
        <v>1.9800520547412608</v>
      </c>
      <c r="AC90" s="264">
        <f t="shared" si="14"/>
        <v>9.1987762361392651</v>
      </c>
      <c r="AD90" s="264">
        <f t="shared" si="14"/>
        <v>1159.8398272537061</v>
      </c>
      <c r="AE90" s="263">
        <f t="shared" si="14"/>
        <v>0.36700699837776379</v>
      </c>
      <c r="AF90" s="263">
        <f t="shared" si="14"/>
        <v>1.0017258231130457</v>
      </c>
      <c r="AG90" s="263">
        <f t="shared" si="14"/>
        <v>1.1786639340642289</v>
      </c>
      <c r="AH90" s="264">
        <f t="shared" si="14"/>
        <v>7.3574888514476333</v>
      </c>
      <c r="AI90" s="263">
        <f t="shared" si="14"/>
        <v>0.67472229805605777</v>
      </c>
      <c r="AJ90" s="263">
        <f t="shared" si="14"/>
        <v>0.36637510567753767</v>
      </c>
      <c r="AK90" s="263">
        <f t="shared" si="14"/>
        <v>3.0245226042047785E-2</v>
      </c>
      <c r="AL90" s="264">
        <f t="shared" si="14"/>
        <v>4.577658253438817</v>
      </c>
      <c r="AM90" s="264">
        <f t="shared" si="14"/>
        <v>4.3203870726583027</v>
      </c>
      <c r="AN90" s="263">
        <f t="shared" si="14"/>
        <v>0.96514402819243095</v>
      </c>
      <c r="AO90" s="263">
        <f t="shared" si="14"/>
        <v>13.740601267796102</v>
      </c>
      <c r="AP90" s="263">
        <f t="shared" si="14"/>
        <v>0.56785394426728808</v>
      </c>
      <c r="AQ90" s="263">
        <f t="shared" si="14"/>
        <v>6.2370056519778151E-2</v>
      </c>
      <c r="AR90" s="263">
        <f t="shared" si="14"/>
        <v>4.961244706300349E-3</v>
      </c>
      <c r="AS90" s="263">
        <f t="shared" si="14"/>
        <v>1.269380037558933E-2</v>
      </c>
      <c r="AT90" s="263">
        <f t="shared" si="14"/>
        <v>3.0207481194376114E-2</v>
      </c>
      <c r="AU90" s="263">
        <f t="shared" si="14"/>
        <v>3.800829766112758E-2</v>
      </c>
      <c r="AV90" s="263">
        <f t="shared" si="14"/>
        <v>0.25650300935464254</v>
      </c>
      <c r="AW90" s="264">
        <f t="shared" si="14"/>
        <v>32.940257100355296</v>
      </c>
      <c r="AX90" s="263">
        <f t="shared" si="14"/>
        <v>1.4950070266720132</v>
      </c>
      <c r="AY90" s="263">
        <f t="shared" si="14"/>
        <v>0.74200678465000358</v>
      </c>
      <c r="AZ90" s="263">
        <f t="shared" si="14"/>
        <v>0.38344619534666236</v>
      </c>
      <c r="BA90" s="263">
        <f t="shared" si="14"/>
        <v>7.855569514400032E-2</v>
      </c>
      <c r="BB90" s="263">
        <f t="shared" si="14"/>
        <v>2.3896613729474203E-3</v>
      </c>
      <c r="BC90" s="263">
        <f t="shared" si="14"/>
        <v>1.4225903166820101E-2</v>
      </c>
      <c r="BD90" s="263">
        <f t="shared" si="14"/>
        <v>0.13762170390539491</v>
      </c>
      <c r="BE90" s="263">
        <f t="shared" si="14"/>
        <v>4.2514276351846805E-2</v>
      </c>
      <c r="BF90" s="263">
        <f t="shared" si="14"/>
        <v>0.31512302476648379</v>
      </c>
      <c r="BG90" s="263">
        <f t="shared" si="14"/>
        <v>4.8597145076818893E-2</v>
      </c>
      <c r="BH90" s="263">
        <f t="shared" si="14"/>
        <v>0.1054049333198773</v>
      </c>
      <c r="BI90" s="263">
        <f t="shared" si="14"/>
        <v>4.07553289204306E-2</v>
      </c>
      <c r="BJ90" s="263">
        <f t="shared" si="14"/>
        <v>0.62771485688476425</v>
      </c>
      <c r="BK90" s="263">
        <f t="shared" si="14"/>
        <v>5.2273185012084358E-3</v>
      </c>
      <c r="BL90" s="263">
        <f t="shared" si="14"/>
        <v>9.6786719259820159E-2</v>
      </c>
      <c r="BM90" s="263">
        <f t="shared" si="14"/>
        <v>0.16018342193631335</v>
      </c>
      <c r="BN90" s="263"/>
      <c r="BO90" s="263"/>
      <c r="BP90" s="263"/>
      <c r="BQ90" s="263"/>
      <c r="BR90" s="263"/>
      <c r="BS90" s="263"/>
      <c r="BT90" s="263"/>
    </row>
    <row r="91" spans="1:72" s="39" customFormat="1">
      <c r="C91" s="243"/>
      <c r="D91" s="243"/>
      <c r="E91" s="243"/>
      <c r="F91" s="47" t="s">
        <v>720</v>
      </c>
      <c r="G91" s="243"/>
      <c r="H91" s="243"/>
      <c r="I91" s="243"/>
      <c r="J91" s="243"/>
      <c r="K91" s="243"/>
      <c r="L91" s="243"/>
      <c r="M91" s="243"/>
      <c r="O91" s="205"/>
      <c r="P91" s="47"/>
      <c r="Q91" s="283">
        <f>(Q90/Q88)*100</f>
        <v>0.92126803104226207</v>
      </c>
      <c r="R91" s="283">
        <f t="shared" ref="R91:BM91" si="15">(R90/R88)*100</f>
        <v>25.049374823528542</v>
      </c>
      <c r="S91" s="283">
        <f t="shared" si="15"/>
        <v>4.7433171474284483</v>
      </c>
      <c r="T91" s="283">
        <f t="shared" si="15"/>
        <v>4.5557102396106117</v>
      </c>
      <c r="U91" s="283">
        <f t="shared" si="15"/>
        <v>6.2056302690020511</v>
      </c>
      <c r="V91" s="283">
        <f t="shared" si="15"/>
        <v>2.5254046264093084</v>
      </c>
      <c r="W91" s="283">
        <f t="shared" si="15"/>
        <v>2.2107152396063201</v>
      </c>
      <c r="X91" s="283">
        <f t="shared" si="15"/>
        <v>3.0337002910540107</v>
      </c>
      <c r="Y91" s="283">
        <f t="shared" si="15"/>
        <v>3.5899302461916416</v>
      </c>
      <c r="Z91" s="283">
        <f t="shared" si="15"/>
        <v>4.5700194440790485</v>
      </c>
      <c r="AA91" s="283">
        <f t="shared" si="15"/>
        <v>3.141447517829187</v>
      </c>
      <c r="AB91" s="283">
        <f t="shared" si="15"/>
        <v>2.3000154570749807</v>
      </c>
      <c r="AC91" s="283">
        <f t="shared" si="15"/>
        <v>3.4501131046809621</v>
      </c>
      <c r="AD91" s="283">
        <f t="shared" si="15"/>
        <v>3.1899914771458544</v>
      </c>
      <c r="AE91" s="283">
        <f t="shared" si="15"/>
        <v>3.0710916120438245</v>
      </c>
      <c r="AF91" s="283">
        <f t="shared" si="15"/>
        <v>2.4704047184322468</v>
      </c>
      <c r="AG91" s="283">
        <f t="shared" si="15"/>
        <v>4.0233762832846072</v>
      </c>
      <c r="AH91" s="283">
        <f t="shared" si="15"/>
        <v>5.3628625374282004</v>
      </c>
      <c r="AI91" s="283">
        <f t="shared" si="15"/>
        <v>4.2218773741205355</v>
      </c>
      <c r="AJ91" s="283">
        <f t="shared" si="15"/>
        <v>1.9366708553072118</v>
      </c>
      <c r="AK91" s="283">
        <f t="shared" si="15"/>
        <v>4.2547262873074532</v>
      </c>
      <c r="AL91" s="283">
        <f t="shared" si="15"/>
        <v>3.6485826144003712</v>
      </c>
      <c r="AM91" s="283">
        <f t="shared" si="15"/>
        <v>3.5085057246956244</v>
      </c>
      <c r="AN91" s="283">
        <f t="shared" si="15"/>
        <v>5.274810048759055</v>
      </c>
      <c r="AO91" s="283">
        <f t="shared" si="15"/>
        <v>16.290580446279883</v>
      </c>
      <c r="AP91" s="283">
        <f t="shared" si="15"/>
        <v>5.4016521218494349</v>
      </c>
      <c r="AQ91" s="283">
        <f t="shared" si="15"/>
        <v>2.4187493634714374</v>
      </c>
      <c r="AR91" s="283">
        <f t="shared" si="15"/>
        <v>3.1341856412682869</v>
      </c>
      <c r="AS91" s="283">
        <f t="shared" si="15"/>
        <v>5.5910382748852498</v>
      </c>
      <c r="AT91" s="283">
        <f t="shared" si="15"/>
        <v>1.328401619470684</v>
      </c>
      <c r="AU91" s="283">
        <f t="shared" si="15"/>
        <v>3.6606416750028452</v>
      </c>
      <c r="AV91" s="283">
        <f t="shared" si="15"/>
        <v>3.2441545969670043</v>
      </c>
      <c r="AW91" s="283">
        <f t="shared" si="15"/>
        <v>3.9211151716240131</v>
      </c>
      <c r="AX91" s="283">
        <f t="shared" si="15"/>
        <v>4.8400133469195357</v>
      </c>
      <c r="AY91" s="283">
        <f t="shared" si="15"/>
        <v>1.2876754674104409</v>
      </c>
      <c r="AZ91" s="283">
        <f t="shared" si="15"/>
        <v>1.4571243410836756</v>
      </c>
      <c r="BA91" s="283">
        <f t="shared" si="15"/>
        <v>1.5362027240910328</v>
      </c>
      <c r="BB91" s="283">
        <f t="shared" si="15"/>
        <v>0.21747976611067957</v>
      </c>
      <c r="BC91" s="283">
        <f t="shared" si="15"/>
        <v>4.8716096691118791</v>
      </c>
      <c r="BD91" s="283">
        <f t="shared" si="15"/>
        <v>7.5637028348153859</v>
      </c>
      <c r="BE91" s="283">
        <f t="shared" si="15"/>
        <v>14.51755868173216</v>
      </c>
      <c r="BF91" s="283">
        <f t="shared" si="15"/>
        <v>11.970264573488127</v>
      </c>
      <c r="BG91" s="283">
        <f t="shared" si="15"/>
        <v>6.8921583110266136</v>
      </c>
      <c r="BH91" s="283">
        <f t="shared" si="15"/>
        <v>8.5925883752337491</v>
      </c>
      <c r="BI91" s="283">
        <f t="shared" si="15"/>
        <v>5.0978390551806694</v>
      </c>
      <c r="BJ91" s="283">
        <f t="shared" si="15"/>
        <v>3.0452307279363118</v>
      </c>
      <c r="BK91" s="283">
        <f t="shared" si="15"/>
        <v>1.4702079082666799</v>
      </c>
      <c r="BL91" s="283">
        <f t="shared" si="15"/>
        <v>0.99873797467684799</v>
      </c>
      <c r="BM91" s="283">
        <f t="shared" si="15"/>
        <v>5.3280934658593884</v>
      </c>
      <c r="BN91" s="258"/>
      <c r="BO91" s="258"/>
      <c r="BP91" s="258"/>
      <c r="BQ91" s="258"/>
      <c r="BR91" s="258"/>
      <c r="BS91" s="258"/>
      <c r="BT91" s="258"/>
    </row>
  </sheetData>
  <pageMargins left="0.7" right="0.7" top="0.75" bottom="0.75" header="0.3" footer="0.3"/>
  <pageSetup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BH54"/>
  <sheetViews>
    <sheetView workbookViewId="0"/>
  </sheetViews>
  <sheetFormatPr defaultColWidth="8.7109375" defaultRowHeight="15.75"/>
  <cols>
    <col min="1" max="1" width="21.28515625" style="53" customWidth="1"/>
    <col min="2" max="2" width="8.7109375" style="53"/>
    <col min="3" max="7" width="12.5703125" style="53" bestFit="1" customWidth="1"/>
    <col min="8" max="9" width="15.7109375" style="53" bestFit="1" customWidth="1"/>
    <col min="10" max="10" width="16.7109375" style="53" bestFit="1" customWidth="1"/>
    <col min="11" max="12" width="14.7109375" style="53" bestFit="1" customWidth="1"/>
    <col min="13" max="13" width="16.7109375" style="53" bestFit="1" customWidth="1"/>
    <col min="14" max="15" width="15.7109375" style="53" bestFit="1" customWidth="1"/>
    <col min="16" max="16" width="13.7109375" style="53" bestFit="1" customWidth="1"/>
    <col min="17" max="17" width="14.7109375" style="53" bestFit="1" customWidth="1"/>
    <col min="18" max="18" width="15.7109375" style="53" bestFit="1" customWidth="1"/>
    <col min="19" max="19" width="16.7109375" style="53" bestFit="1" customWidth="1"/>
    <col min="20" max="22" width="13.7109375" style="53" bestFit="1" customWidth="1"/>
    <col min="23" max="23" width="14.7109375" style="53" bestFit="1" customWidth="1"/>
    <col min="24" max="24" width="12.5703125" style="53" bestFit="1" customWidth="1"/>
    <col min="25" max="25" width="14.7109375" style="53" bestFit="1" customWidth="1"/>
    <col min="26" max="26" width="12.5703125" style="53" bestFit="1" customWidth="1"/>
    <col min="27" max="30" width="13.7109375" style="53" bestFit="1" customWidth="1"/>
    <col min="31" max="37" width="12.5703125" style="53" bestFit="1" customWidth="1"/>
    <col min="38" max="38" width="14.7109375" style="53" bestFit="1" customWidth="1"/>
    <col min="39" max="40" width="13.7109375" style="53" bestFit="1" customWidth="1"/>
    <col min="41" max="41" width="12.5703125" style="53" bestFit="1" customWidth="1"/>
    <col min="42" max="42" width="13.7109375" style="53" bestFit="1" customWidth="1"/>
    <col min="43" max="54" width="12.5703125" style="53" bestFit="1" customWidth="1"/>
    <col min="55" max="55" width="13.7109375" style="53" bestFit="1" customWidth="1"/>
    <col min="56" max="56" width="12.5703125" style="53" bestFit="1" customWidth="1"/>
    <col min="57" max="57" width="14.7109375" style="53" bestFit="1" customWidth="1"/>
    <col min="58" max="60" width="12.5703125" style="53" bestFit="1" customWidth="1"/>
    <col min="61" max="16384" width="8.7109375" style="53"/>
  </cols>
  <sheetData>
    <row r="1" spans="1:60">
      <c r="A1" s="25" t="s">
        <v>716</v>
      </c>
    </row>
    <row r="2" spans="1:60">
      <c r="B2" s="47"/>
    </row>
    <row r="3" spans="1:60" ht="78.75">
      <c r="B3" s="77" t="s">
        <v>705</v>
      </c>
      <c r="C3" s="53" t="s">
        <v>706</v>
      </c>
      <c r="D3" s="53" t="s">
        <v>706</v>
      </c>
      <c r="E3" s="53" t="s">
        <v>706</v>
      </c>
      <c r="F3" s="53" t="s">
        <v>706</v>
      </c>
      <c r="G3" s="53" t="s">
        <v>706</v>
      </c>
      <c r="H3" s="53" t="s">
        <v>706</v>
      </c>
      <c r="I3" s="53" t="s">
        <v>706</v>
      </c>
      <c r="J3" s="53" t="s">
        <v>706</v>
      </c>
      <c r="K3" s="53" t="s">
        <v>706</v>
      </c>
      <c r="L3" s="53" t="s">
        <v>706</v>
      </c>
      <c r="M3" s="53" t="s">
        <v>706</v>
      </c>
      <c r="N3" s="53" t="s">
        <v>706</v>
      </c>
      <c r="O3" s="53" t="s">
        <v>706</v>
      </c>
      <c r="P3" s="53" t="s">
        <v>706</v>
      </c>
      <c r="Q3" s="53" t="s">
        <v>706</v>
      </c>
      <c r="R3" s="53" t="s">
        <v>706</v>
      </c>
      <c r="S3" s="53" t="s">
        <v>706</v>
      </c>
      <c r="T3" s="53" t="s">
        <v>706</v>
      </c>
      <c r="U3" s="53" t="s">
        <v>706</v>
      </c>
      <c r="V3" s="53" t="s">
        <v>706</v>
      </c>
      <c r="W3" s="53" t="s">
        <v>706</v>
      </c>
      <c r="X3" s="53" t="s">
        <v>706</v>
      </c>
      <c r="Y3" s="53" t="s">
        <v>706</v>
      </c>
      <c r="Z3" s="53" t="s">
        <v>706</v>
      </c>
      <c r="AA3" s="53" t="s">
        <v>706</v>
      </c>
      <c r="AB3" s="53" t="s">
        <v>706</v>
      </c>
      <c r="AC3" s="53" t="s">
        <v>706</v>
      </c>
      <c r="AD3" s="53" t="s">
        <v>706</v>
      </c>
      <c r="AE3" s="53" t="s">
        <v>706</v>
      </c>
      <c r="AF3" s="53" t="s">
        <v>706</v>
      </c>
      <c r="AG3" s="53" t="s">
        <v>706</v>
      </c>
      <c r="AH3" s="53" t="s">
        <v>706</v>
      </c>
      <c r="AI3" s="53" t="s">
        <v>706</v>
      </c>
      <c r="AJ3" s="53" t="s">
        <v>706</v>
      </c>
      <c r="AK3" s="53" t="s">
        <v>706</v>
      </c>
      <c r="AL3" s="53" t="s">
        <v>706</v>
      </c>
      <c r="AM3" s="53" t="s">
        <v>706</v>
      </c>
      <c r="AN3" s="53" t="s">
        <v>706</v>
      </c>
      <c r="AO3" s="53" t="s">
        <v>706</v>
      </c>
      <c r="AP3" s="53" t="s">
        <v>706</v>
      </c>
      <c r="AQ3" s="53" t="s">
        <v>706</v>
      </c>
      <c r="AR3" s="53" t="s">
        <v>706</v>
      </c>
      <c r="AS3" s="53" t="s">
        <v>706</v>
      </c>
      <c r="AT3" s="53" t="s">
        <v>706</v>
      </c>
      <c r="AU3" s="53" t="s">
        <v>706</v>
      </c>
      <c r="AV3" s="53" t="s">
        <v>706</v>
      </c>
      <c r="AW3" s="53" t="s">
        <v>706</v>
      </c>
      <c r="AX3" s="53" t="s">
        <v>706</v>
      </c>
      <c r="AY3" s="53" t="s">
        <v>706</v>
      </c>
      <c r="AZ3" s="53" t="s">
        <v>706</v>
      </c>
      <c r="BA3" s="53" t="s">
        <v>706</v>
      </c>
      <c r="BB3" s="53" t="s">
        <v>706</v>
      </c>
      <c r="BC3" s="53" t="s">
        <v>706</v>
      </c>
      <c r="BD3" s="53" t="s">
        <v>706</v>
      </c>
      <c r="BE3" s="53" t="s">
        <v>706</v>
      </c>
      <c r="BF3" s="53" t="s">
        <v>706</v>
      </c>
      <c r="BG3" s="53" t="s">
        <v>706</v>
      </c>
      <c r="BH3" s="53" t="s">
        <v>706</v>
      </c>
    </row>
    <row r="4" spans="1:60">
      <c r="B4" s="47" t="s">
        <v>694</v>
      </c>
      <c r="C4" s="26" t="s">
        <v>299</v>
      </c>
      <c r="D4" s="69" t="s">
        <v>2</v>
      </c>
      <c r="E4" s="69" t="s">
        <v>3</v>
      </c>
      <c r="F4" s="57" t="s">
        <v>4</v>
      </c>
      <c r="G4" s="57" t="s">
        <v>5</v>
      </c>
      <c r="H4" s="70" t="s">
        <v>6</v>
      </c>
      <c r="I4" s="70" t="s">
        <v>7</v>
      </c>
      <c r="J4" s="71" t="s">
        <v>8</v>
      </c>
      <c r="K4" s="70" t="s">
        <v>9</v>
      </c>
      <c r="L4" s="70" t="s">
        <v>10</v>
      </c>
      <c r="M4" s="70" t="s">
        <v>11</v>
      </c>
      <c r="N4" s="70" t="s">
        <v>12</v>
      </c>
      <c r="O4" s="70" t="s">
        <v>13</v>
      </c>
      <c r="P4" s="70" t="s">
        <v>14</v>
      </c>
      <c r="Q4" s="70" t="s">
        <v>15</v>
      </c>
      <c r="R4" s="70" t="s">
        <v>16</v>
      </c>
      <c r="S4" s="71" t="s">
        <v>17</v>
      </c>
      <c r="T4" s="57" t="s">
        <v>18</v>
      </c>
      <c r="U4" s="70" t="s">
        <v>19</v>
      </c>
      <c r="V4" s="70" t="s">
        <v>20</v>
      </c>
      <c r="W4" s="57" t="s">
        <v>21</v>
      </c>
      <c r="X4" s="57" t="s">
        <v>22</v>
      </c>
      <c r="Y4" s="57" t="s">
        <v>23</v>
      </c>
      <c r="Z4" s="57" t="s">
        <v>24</v>
      </c>
      <c r="AA4" s="57" t="s">
        <v>25</v>
      </c>
      <c r="AB4" s="70" t="s">
        <v>26</v>
      </c>
      <c r="AC4" s="57" t="s">
        <v>27</v>
      </c>
      <c r="AD4" s="70" t="s">
        <v>28</v>
      </c>
      <c r="AE4" s="57" t="s">
        <v>29</v>
      </c>
      <c r="AF4" s="70" t="s">
        <v>30</v>
      </c>
      <c r="AG4" s="57" t="s">
        <v>31</v>
      </c>
      <c r="AH4" s="57" t="s">
        <v>32</v>
      </c>
      <c r="AI4" s="70" t="s">
        <v>33</v>
      </c>
      <c r="AJ4" s="57" t="s">
        <v>34</v>
      </c>
      <c r="AK4" s="57" t="s">
        <v>35</v>
      </c>
      <c r="AL4" s="70" t="s">
        <v>36</v>
      </c>
      <c r="AM4" s="57" t="s">
        <v>37</v>
      </c>
      <c r="AN4" s="57" t="s">
        <v>38</v>
      </c>
      <c r="AO4" s="57" t="s">
        <v>39</v>
      </c>
      <c r="AP4" s="57" t="s">
        <v>40</v>
      </c>
      <c r="AQ4" s="57" t="s">
        <v>41</v>
      </c>
      <c r="AR4" s="57" t="s">
        <v>42</v>
      </c>
      <c r="AS4" s="57" t="s">
        <v>43</v>
      </c>
      <c r="AT4" s="57" t="s">
        <v>44</v>
      </c>
      <c r="AU4" s="57" t="s">
        <v>45</v>
      </c>
      <c r="AV4" s="57" t="s">
        <v>46</v>
      </c>
      <c r="AW4" s="57" t="s">
        <v>47</v>
      </c>
      <c r="AX4" s="57" t="s">
        <v>48</v>
      </c>
      <c r="AY4" s="57" t="s">
        <v>49</v>
      </c>
      <c r="AZ4" s="57" t="s">
        <v>50</v>
      </c>
      <c r="BA4" s="57" t="s">
        <v>51</v>
      </c>
      <c r="BB4" s="70" t="s">
        <v>52</v>
      </c>
      <c r="BC4" s="70" t="s">
        <v>53</v>
      </c>
      <c r="BD4" s="70" t="s">
        <v>54</v>
      </c>
      <c r="BE4" s="70" t="s">
        <v>55</v>
      </c>
      <c r="BF4" s="70" t="s">
        <v>56</v>
      </c>
      <c r="BG4" s="57" t="s">
        <v>57</v>
      </c>
      <c r="BH4" s="57" t="s">
        <v>58</v>
      </c>
    </row>
    <row r="5" spans="1:60" ht="18">
      <c r="C5" s="27" t="s">
        <v>298</v>
      </c>
      <c r="D5" s="8"/>
      <c r="E5" s="8" t="s">
        <v>403</v>
      </c>
      <c r="F5" s="8" t="s">
        <v>403</v>
      </c>
      <c r="G5" s="8" t="s">
        <v>403</v>
      </c>
      <c r="H5" s="8" t="s">
        <v>403</v>
      </c>
      <c r="I5" s="8" t="s">
        <v>403</v>
      </c>
      <c r="J5" s="8" t="s">
        <v>403</v>
      </c>
      <c r="K5" s="8" t="s">
        <v>403</v>
      </c>
      <c r="L5" s="8" t="s">
        <v>403</v>
      </c>
      <c r="M5" s="8" t="s">
        <v>403</v>
      </c>
      <c r="N5" s="8" t="s">
        <v>403</v>
      </c>
      <c r="O5" s="8" t="s">
        <v>403</v>
      </c>
      <c r="P5" s="8" t="s">
        <v>403</v>
      </c>
      <c r="Q5" s="8" t="s">
        <v>403</v>
      </c>
      <c r="R5" s="8" t="s">
        <v>403</v>
      </c>
      <c r="S5" s="8" t="s">
        <v>403</v>
      </c>
      <c r="T5" s="8" t="s">
        <v>403</v>
      </c>
      <c r="U5" s="8" t="s">
        <v>403</v>
      </c>
      <c r="V5" s="8" t="s">
        <v>403</v>
      </c>
      <c r="W5" s="8" t="s">
        <v>403</v>
      </c>
      <c r="X5" s="8" t="s">
        <v>403</v>
      </c>
      <c r="Y5" s="8" t="s">
        <v>403</v>
      </c>
      <c r="Z5" s="8" t="s">
        <v>403</v>
      </c>
      <c r="AA5" s="8" t="s">
        <v>403</v>
      </c>
      <c r="AB5" s="8" t="s">
        <v>403</v>
      </c>
      <c r="AC5" s="8" t="s">
        <v>403</v>
      </c>
      <c r="AD5" s="8" t="s">
        <v>403</v>
      </c>
      <c r="AE5" s="8" t="s">
        <v>403</v>
      </c>
      <c r="AF5" s="8" t="s">
        <v>403</v>
      </c>
      <c r="AG5" s="8" t="s">
        <v>403</v>
      </c>
      <c r="AH5" s="8" t="s">
        <v>403</v>
      </c>
      <c r="AI5" s="8" t="s">
        <v>403</v>
      </c>
      <c r="AJ5" s="8" t="s">
        <v>403</v>
      </c>
      <c r="AK5" s="8" t="s">
        <v>403</v>
      </c>
      <c r="AL5" s="8" t="s">
        <v>403</v>
      </c>
      <c r="AM5" s="8" t="s">
        <v>403</v>
      </c>
      <c r="AN5" s="8" t="s">
        <v>403</v>
      </c>
      <c r="AO5" s="8" t="s">
        <v>403</v>
      </c>
      <c r="AP5" s="8" t="s">
        <v>403</v>
      </c>
      <c r="AQ5" s="8" t="s">
        <v>403</v>
      </c>
      <c r="AR5" s="8" t="s">
        <v>403</v>
      </c>
      <c r="AS5" s="8" t="s">
        <v>403</v>
      </c>
      <c r="AT5" s="8" t="s">
        <v>403</v>
      </c>
      <c r="AU5" s="8" t="s">
        <v>403</v>
      </c>
      <c r="AV5" s="8" t="s">
        <v>403</v>
      </c>
      <c r="AW5" s="8" t="s">
        <v>403</v>
      </c>
      <c r="AX5" s="8" t="s">
        <v>403</v>
      </c>
      <c r="AY5" s="8" t="s">
        <v>403</v>
      </c>
      <c r="AZ5" s="8" t="s">
        <v>403</v>
      </c>
      <c r="BA5" s="8" t="s">
        <v>403</v>
      </c>
      <c r="BB5" s="8" t="s">
        <v>403</v>
      </c>
      <c r="BC5" s="8" t="s">
        <v>403</v>
      </c>
      <c r="BD5" s="8" t="s">
        <v>403</v>
      </c>
      <c r="BE5" s="8" t="s">
        <v>403</v>
      </c>
      <c r="BF5" s="8" t="s">
        <v>403</v>
      </c>
      <c r="BG5" s="8" t="s">
        <v>403</v>
      </c>
      <c r="BH5" s="8" t="s">
        <v>403</v>
      </c>
    </row>
    <row r="6" spans="1:60">
      <c r="A6" s="25" t="s">
        <v>723</v>
      </c>
      <c r="B6" s="47" t="s">
        <v>697</v>
      </c>
      <c r="C6" s="72">
        <v>0.24903780846750892</v>
      </c>
      <c r="D6" s="74">
        <v>4.76</v>
      </c>
      <c r="E6" s="72">
        <v>0.72155999999999998</v>
      </c>
      <c r="F6" s="75">
        <v>6</v>
      </c>
      <c r="G6" s="72">
        <v>0.22</v>
      </c>
      <c r="H6" s="246">
        <v>831</v>
      </c>
      <c r="I6" s="36">
        <v>1229</v>
      </c>
      <c r="J6" s="246">
        <v>14554</v>
      </c>
      <c r="K6" s="36">
        <v>48</v>
      </c>
      <c r="L6" s="246">
        <v>58</v>
      </c>
      <c r="M6" s="36">
        <v>4791</v>
      </c>
      <c r="N6" s="36">
        <v>1416</v>
      </c>
      <c r="O6" s="36">
        <v>337.3</v>
      </c>
      <c r="P6" s="36">
        <v>7.7</v>
      </c>
      <c r="Q6" s="36">
        <v>57.6</v>
      </c>
      <c r="R6" s="36">
        <v>49.1</v>
      </c>
      <c r="S6" s="36">
        <v>3632</v>
      </c>
      <c r="T6" s="72">
        <v>1.43</v>
      </c>
      <c r="U6" s="72">
        <v>3.15</v>
      </c>
      <c r="V6" s="72">
        <v>4.8499999999999996</v>
      </c>
      <c r="W6" s="72">
        <v>12</v>
      </c>
      <c r="X6" s="72">
        <v>2.54</v>
      </c>
      <c r="Y6" s="130">
        <v>9.6</v>
      </c>
      <c r="Z6" s="72">
        <v>0.05</v>
      </c>
      <c r="AA6" s="72">
        <v>18.97</v>
      </c>
      <c r="AB6" s="72">
        <v>25.12</v>
      </c>
      <c r="AC6" s="72">
        <v>2.4220000000000002</v>
      </c>
      <c r="AD6" s="72">
        <v>17.02</v>
      </c>
      <c r="AE6" s="72">
        <v>1.129</v>
      </c>
      <c r="AF6" s="72">
        <v>0.55000000000000004</v>
      </c>
      <c r="AG6" s="72">
        <v>7.4999999999999997E-2</v>
      </c>
      <c r="AH6" s="72">
        <v>5.6000000000000001E-2</v>
      </c>
      <c r="AI6" s="72">
        <v>0.28999999999999998</v>
      </c>
      <c r="AJ6" s="72">
        <v>0.49299999999999999</v>
      </c>
      <c r="AK6" s="72">
        <v>0.78800000000000003</v>
      </c>
      <c r="AL6" s="130">
        <v>125.97</v>
      </c>
      <c r="AM6" s="72">
        <v>9.3239999999999998</v>
      </c>
      <c r="AN6" s="72">
        <v>16.888000000000002</v>
      </c>
      <c r="AO6" s="72">
        <v>1.7889999999999999</v>
      </c>
      <c r="AP6" s="72">
        <v>6.07</v>
      </c>
      <c r="AQ6" s="72">
        <v>0.89900000000000002</v>
      </c>
      <c r="AR6" s="72">
        <v>0.188</v>
      </c>
      <c r="AS6" s="72">
        <v>0.60399999999999998</v>
      </c>
      <c r="AT6" s="72">
        <v>8.8999999999999996E-2</v>
      </c>
      <c r="AU6" s="72">
        <v>0.441</v>
      </c>
      <c r="AV6" s="72">
        <v>9.0999999999999998E-2</v>
      </c>
      <c r="AW6" s="72">
        <v>0.24199999999999999</v>
      </c>
      <c r="AX6" s="72">
        <v>3.9E-2</v>
      </c>
      <c r="AY6" s="72">
        <v>0.23</v>
      </c>
      <c r="AZ6" s="72">
        <v>3.7999999999999999E-2</v>
      </c>
      <c r="BA6" s="72">
        <v>0.54300000000000004</v>
      </c>
      <c r="BB6" s="72">
        <v>8.8999999999999996E-2</v>
      </c>
      <c r="BC6" s="72">
        <v>1.4079999999999999</v>
      </c>
      <c r="BD6" s="72">
        <v>0.13500000000000001</v>
      </c>
      <c r="BE6" s="72">
        <v>16.7</v>
      </c>
      <c r="BF6" s="72">
        <v>0.14000000000000001</v>
      </c>
      <c r="BG6" s="72">
        <v>1.8440000000000001</v>
      </c>
      <c r="BH6" s="72">
        <v>0.65</v>
      </c>
    </row>
    <row r="7" spans="1:60">
      <c r="B7" s="47" t="s">
        <v>698</v>
      </c>
      <c r="C7" s="72">
        <v>8.4208175117264314</v>
      </c>
      <c r="D7" s="74">
        <v>7.65</v>
      </c>
      <c r="E7" s="72">
        <v>11.98624</v>
      </c>
      <c r="F7" s="75">
        <v>51</v>
      </c>
      <c r="G7" s="72">
        <v>2.2400000000000002</v>
      </c>
      <c r="H7" s="246">
        <v>24843</v>
      </c>
      <c r="I7" s="36">
        <v>22133</v>
      </c>
      <c r="J7" s="246">
        <v>94109</v>
      </c>
      <c r="K7" s="36">
        <v>936</v>
      </c>
      <c r="L7" s="246">
        <v>5708</v>
      </c>
      <c r="M7" s="36">
        <v>25274</v>
      </c>
      <c r="N7" s="36">
        <v>32851</v>
      </c>
      <c r="O7" s="36">
        <v>4755.6000000000004</v>
      </c>
      <c r="P7" s="36">
        <v>201.4</v>
      </c>
      <c r="Q7" s="36">
        <v>1807.1</v>
      </c>
      <c r="R7" s="36">
        <v>1839.2</v>
      </c>
      <c r="S7" s="36">
        <v>77548</v>
      </c>
      <c r="T7" s="72">
        <v>116.17400000000001</v>
      </c>
      <c r="U7" s="72">
        <v>210.4</v>
      </c>
      <c r="V7" s="72">
        <v>250.26</v>
      </c>
      <c r="W7" s="72">
        <v>170</v>
      </c>
      <c r="X7" s="72">
        <v>18.88</v>
      </c>
      <c r="Y7" s="130">
        <v>6462.7</v>
      </c>
      <c r="Z7" s="72">
        <v>0.83</v>
      </c>
      <c r="AA7" s="72">
        <v>74.2</v>
      </c>
      <c r="AB7" s="72">
        <v>340.86</v>
      </c>
      <c r="AC7" s="72">
        <v>38.831000000000003</v>
      </c>
      <c r="AD7" s="72">
        <v>172.12</v>
      </c>
      <c r="AE7" s="72">
        <v>29.495000000000001</v>
      </c>
      <c r="AF7" s="72">
        <v>4.74</v>
      </c>
      <c r="AG7" s="72">
        <v>5.5720000000000001</v>
      </c>
      <c r="AH7" s="72">
        <v>1.208</v>
      </c>
      <c r="AI7" s="72">
        <v>15.62</v>
      </c>
      <c r="AJ7" s="72">
        <v>7.5519999999999996</v>
      </c>
      <c r="AK7" s="72">
        <v>5.157</v>
      </c>
      <c r="AL7" s="130">
        <v>607.33000000000004</v>
      </c>
      <c r="AM7" s="72">
        <v>61.997</v>
      </c>
      <c r="AN7" s="72">
        <v>122.729</v>
      </c>
      <c r="AO7" s="72">
        <v>13.565</v>
      </c>
      <c r="AP7" s="72">
        <v>51.02</v>
      </c>
      <c r="AQ7" s="72">
        <v>9.5190000000000001</v>
      </c>
      <c r="AR7" s="72">
        <v>2.0390000000000001</v>
      </c>
      <c r="AS7" s="72">
        <v>7.7069999999999999</v>
      </c>
      <c r="AT7" s="72">
        <v>1.222</v>
      </c>
      <c r="AU7" s="72">
        <v>6.5419999999999998</v>
      </c>
      <c r="AV7" s="72">
        <v>1.393</v>
      </c>
      <c r="AW7" s="72">
        <v>3.77</v>
      </c>
      <c r="AX7" s="72">
        <v>0.53600000000000003</v>
      </c>
      <c r="AY7" s="72">
        <v>3.274</v>
      </c>
      <c r="AZ7" s="72">
        <v>0.501</v>
      </c>
      <c r="BA7" s="72">
        <v>4.7850000000000001</v>
      </c>
      <c r="BB7" s="72">
        <v>1.6040000000000001</v>
      </c>
      <c r="BC7" s="72">
        <v>22.603000000000002</v>
      </c>
      <c r="BD7" s="72">
        <v>0.749</v>
      </c>
      <c r="BE7" s="72">
        <v>326.2</v>
      </c>
      <c r="BF7" s="72">
        <v>20.58</v>
      </c>
      <c r="BG7" s="72">
        <v>11.377000000000001</v>
      </c>
      <c r="BH7" s="72">
        <v>5.0999999999999996</v>
      </c>
    </row>
    <row r="8" spans="1:60">
      <c r="B8" s="47" t="s">
        <v>699</v>
      </c>
      <c r="C8" s="72">
        <v>1.1141209617504346</v>
      </c>
      <c r="D8" s="74">
        <v>6.3149999999999995</v>
      </c>
      <c r="E8" s="72">
        <v>2.6928099999999997</v>
      </c>
      <c r="F8" s="75">
        <v>13</v>
      </c>
      <c r="G8" s="72">
        <v>1.02</v>
      </c>
      <c r="H8" s="246">
        <v>5066</v>
      </c>
      <c r="I8" s="36">
        <v>2404</v>
      </c>
      <c r="J8" s="246">
        <v>51180</v>
      </c>
      <c r="K8" s="36">
        <v>301</v>
      </c>
      <c r="L8" s="246">
        <v>184</v>
      </c>
      <c r="M8" s="36">
        <v>11643</v>
      </c>
      <c r="N8" s="36">
        <v>3195</v>
      </c>
      <c r="O8" s="36">
        <v>1760.6</v>
      </c>
      <c r="P8" s="36">
        <v>96.8</v>
      </c>
      <c r="Q8" s="36">
        <v>194.6</v>
      </c>
      <c r="R8" s="36">
        <v>843.7</v>
      </c>
      <c r="S8" s="36">
        <v>34327</v>
      </c>
      <c r="T8" s="72">
        <v>25.606999999999999</v>
      </c>
      <c r="U8" s="72">
        <v>65.41</v>
      </c>
      <c r="V8" s="72">
        <v>41.39</v>
      </c>
      <c r="W8" s="72">
        <v>83</v>
      </c>
      <c r="X8" s="72">
        <v>10.96</v>
      </c>
      <c r="Y8" s="130">
        <v>193.6</v>
      </c>
      <c r="Z8" s="72">
        <v>0.21</v>
      </c>
      <c r="AA8" s="72">
        <v>43.9</v>
      </c>
      <c r="AB8" s="72">
        <v>99.29</v>
      </c>
      <c r="AC8" s="72">
        <v>10.077999999999999</v>
      </c>
      <c r="AD8" s="72">
        <v>61.45</v>
      </c>
      <c r="AE8" s="72">
        <v>5.3789999999999996</v>
      </c>
      <c r="AF8" s="72">
        <v>1.6</v>
      </c>
      <c r="AG8" s="72">
        <v>0.215</v>
      </c>
      <c r="AH8" s="72">
        <v>0.11899999999999999</v>
      </c>
      <c r="AI8" s="72">
        <v>1.06</v>
      </c>
      <c r="AJ8" s="72">
        <v>0.61799999999999999</v>
      </c>
      <c r="AK8" s="72">
        <v>1.494</v>
      </c>
      <c r="AL8" s="130">
        <v>358.27</v>
      </c>
      <c r="AM8" s="72">
        <v>20.149000000000001</v>
      </c>
      <c r="AN8" s="72">
        <v>53.139000000000003</v>
      </c>
      <c r="AO8" s="72">
        <v>3.8079999999999998</v>
      </c>
      <c r="AP8" s="72">
        <v>14.4</v>
      </c>
      <c r="AQ8" s="72">
        <v>2.8889999999999998</v>
      </c>
      <c r="AR8" s="72">
        <v>0.70699999999999996</v>
      </c>
      <c r="AS8" s="72">
        <v>2.36</v>
      </c>
      <c r="AT8" s="72">
        <v>0.376</v>
      </c>
      <c r="AU8" s="72">
        <v>2.0579999999999998</v>
      </c>
      <c r="AV8" s="72">
        <v>0.39700000000000002</v>
      </c>
      <c r="AW8" s="72">
        <v>0.93799999999999994</v>
      </c>
      <c r="AX8" s="72">
        <v>0.14199999999999999</v>
      </c>
      <c r="AY8" s="72">
        <v>0.90400000000000003</v>
      </c>
      <c r="AZ8" s="72">
        <v>0.14099999999999999</v>
      </c>
      <c r="BA8" s="72">
        <v>1.913</v>
      </c>
      <c r="BB8" s="72">
        <v>0.315</v>
      </c>
      <c r="BC8" s="72">
        <v>3.903</v>
      </c>
      <c r="BD8" s="72">
        <v>0.252</v>
      </c>
      <c r="BE8" s="72">
        <v>18.100000000000001</v>
      </c>
      <c r="BF8" s="72">
        <v>0.9</v>
      </c>
      <c r="BG8" s="72">
        <v>4.2119999999999997</v>
      </c>
      <c r="BH8" s="72">
        <v>1.1519999999999999</v>
      </c>
    </row>
    <row r="9" spans="1:60">
      <c r="B9" s="47" t="s">
        <v>700</v>
      </c>
      <c r="C9" s="72">
        <v>1.6770189883696562</v>
      </c>
      <c r="D9" s="74">
        <v>6.91</v>
      </c>
      <c r="E9" s="72">
        <v>6.1072900000000008</v>
      </c>
      <c r="F9" s="75">
        <v>16.100000000000001</v>
      </c>
      <c r="G9" s="72">
        <v>1.36</v>
      </c>
      <c r="H9" s="246">
        <v>6612</v>
      </c>
      <c r="I9" s="36">
        <v>11280</v>
      </c>
      <c r="J9" s="246">
        <v>76270</v>
      </c>
      <c r="K9" s="36">
        <v>426</v>
      </c>
      <c r="L9" s="246">
        <v>500</v>
      </c>
      <c r="M9" s="36">
        <v>13377</v>
      </c>
      <c r="N9" s="36">
        <v>10727</v>
      </c>
      <c r="O9" s="36">
        <v>3567.6</v>
      </c>
      <c r="P9" s="36">
        <v>136.6</v>
      </c>
      <c r="Q9" s="36">
        <v>227.5</v>
      </c>
      <c r="R9" s="36">
        <v>1096.8</v>
      </c>
      <c r="S9" s="36">
        <v>43817</v>
      </c>
      <c r="T9" s="72">
        <v>37.145000000000003</v>
      </c>
      <c r="U9" s="72">
        <v>101.99</v>
      </c>
      <c r="V9" s="72">
        <v>50.51</v>
      </c>
      <c r="W9" s="72">
        <v>97</v>
      </c>
      <c r="X9" s="72">
        <v>14.55</v>
      </c>
      <c r="Y9" s="130">
        <v>345</v>
      </c>
      <c r="Z9" s="72">
        <v>0.34</v>
      </c>
      <c r="AA9" s="72">
        <v>49.27</v>
      </c>
      <c r="AB9" s="72">
        <v>158.88</v>
      </c>
      <c r="AC9" s="72">
        <v>14.217000000000001</v>
      </c>
      <c r="AD9" s="72">
        <v>106.23</v>
      </c>
      <c r="AE9" s="72">
        <v>8.7100000000000009</v>
      </c>
      <c r="AF9" s="72">
        <v>2.13</v>
      </c>
      <c r="AG9" s="72">
        <v>0.32</v>
      </c>
      <c r="AH9" s="72">
        <v>0.17399999999999999</v>
      </c>
      <c r="AI9" s="72">
        <v>1.26</v>
      </c>
      <c r="AJ9" s="72">
        <v>0.77200000000000002</v>
      </c>
      <c r="AK9" s="72">
        <v>1.863</v>
      </c>
      <c r="AL9" s="130">
        <v>470.79</v>
      </c>
      <c r="AM9" s="72">
        <v>24.04</v>
      </c>
      <c r="AN9" s="72">
        <v>60.960999999999999</v>
      </c>
      <c r="AO9" s="72">
        <v>5.8849999999999998</v>
      </c>
      <c r="AP9" s="72">
        <v>23.41</v>
      </c>
      <c r="AQ9" s="72">
        <v>4.5019999999999998</v>
      </c>
      <c r="AR9" s="72">
        <v>1.0780000000000001</v>
      </c>
      <c r="AS9" s="72">
        <v>3.415</v>
      </c>
      <c r="AT9" s="72">
        <v>0.48599999999999999</v>
      </c>
      <c r="AU9" s="72">
        <v>2.69</v>
      </c>
      <c r="AV9" s="72">
        <v>0.54800000000000004</v>
      </c>
      <c r="AW9" s="72">
        <v>1.482</v>
      </c>
      <c r="AX9" s="72">
        <v>0.224</v>
      </c>
      <c r="AY9" s="72">
        <v>1.3819999999999999</v>
      </c>
      <c r="AZ9" s="72">
        <v>0.21099999999999999</v>
      </c>
      <c r="BA9" s="72">
        <v>2.996</v>
      </c>
      <c r="BB9" s="72">
        <v>0.54</v>
      </c>
      <c r="BC9" s="72">
        <v>7.7679999999999998</v>
      </c>
      <c r="BD9" s="72">
        <v>0.35599999999999998</v>
      </c>
      <c r="BE9" s="72">
        <v>20.100000000000001</v>
      </c>
      <c r="BF9" s="72">
        <v>2.71</v>
      </c>
      <c r="BG9" s="72">
        <v>6.4580000000000002</v>
      </c>
      <c r="BH9" s="72">
        <v>1.571</v>
      </c>
    </row>
    <row r="10" spans="1:60">
      <c r="B10" s="47" t="s">
        <v>701</v>
      </c>
      <c r="C10" s="72">
        <v>6.5569172766451054</v>
      </c>
      <c r="D10" s="74">
        <v>7.5525000000000002</v>
      </c>
      <c r="E10" s="72">
        <v>10.303767000000001</v>
      </c>
      <c r="F10" s="75">
        <v>50.68</v>
      </c>
      <c r="G10" s="72">
        <v>2.1760000000000002</v>
      </c>
      <c r="H10" s="246">
        <v>24454.2</v>
      </c>
      <c r="I10" s="36">
        <v>21570.6</v>
      </c>
      <c r="J10" s="246">
        <v>91624.2</v>
      </c>
      <c r="K10" s="36">
        <v>925.6</v>
      </c>
      <c r="L10" s="246">
        <v>2794.3999999999974</v>
      </c>
      <c r="M10" s="36">
        <v>19747.599999999995</v>
      </c>
      <c r="N10" s="36">
        <v>29275.799999999996</v>
      </c>
      <c r="O10" s="36">
        <v>4626.88</v>
      </c>
      <c r="P10" s="36">
        <v>174.75999999999996</v>
      </c>
      <c r="Q10" s="36">
        <v>971.73999999999921</v>
      </c>
      <c r="R10" s="36">
        <v>1816.16</v>
      </c>
      <c r="S10" s="36">
        <v>70827.199999999997</v>
      </c>
      <c r="T10" s="72">
        <v>109.44359999999999</v>
      </c>
      <c r="U10" s="72">
        <v>190.07999999999998</v>
      </c>
      <c r="V10" s="72">
        <v>128.45199999999988</v>
      </c>
      <c r="W10" s="72">
        <v>130.79999999999995</v>
      </c>
      <c r="X10" s="72">
        <v>18.463999999999999</v>
      </c>
      <c r="Y10" s="130">
        <v>2680.1399999999967</v>
      </c>
      <c r="Z10" s="72">
        <v>0.67799999999999983</v>
      </c>
      <c r="AA10" s="72">
        <v>73.888000000000005</v>
      </c>
      <c r="AB10" s="72">
        <v>285.5</v>
      </c>
      <c r="AC10" s="72">
        <v>38.598199999999999</v>
      </c>
      <c r="AD10" s="72">
        <v>171.10399999999998</v>
      </c>
      <c r="AE10" s="72">
        <v>28.736599999999999</v>
      </c>
      <c r="AF10" s="72">
        <v>4.6279999999999992</v>
      </c>
      <c r="AG10" s="72">
        <v>4.1615999999999991</v>
      </c>
      <c r="AH10" s="72">
        <v>0.65919999999999956</v>
      </c>
      <c r="AI10" s="72">
        <v>7.1879999999999926</v>
      </c>
      <c r="AJ10" s="72">
        <v>6.2255999999999991</v>
      </c>
      <c r="AK10" s="72">
        <v>5.0602</v>
      </c>
      <c r="AL10" s="130">
        <v>563.18599999999992</v>
      </c>
      <c r="AM10" s="72">
        <v>60.760199999999998</v>
      </c>
      <c r="AN10" s="72">
        <v>121.1434</v>
      </c>
      <c r="AO10" s="72">
        <v>13.481</v>
      </c>
      <c r="AP10" s="72">
        <v>50.86</v>
      </c>
      <c r="AQ10" s="72">
        <v>9.4382000000000001</v>
      </c>
      <c r="AR10" s="72">
        <v>2.0294000000000003</v>
      </c>
      <c r="AS10" s="72">
        <v>7.6829999999999998</v>
      </c>
      <c r="AT10" s="72">
        <v>1.1771999999999998</v>
      </c>
      <c r="AU10" s="72">
        <v>6.4508000000000001</v>
      </c>
      <c r="AV10" s="72">
        <v>1.3714000000000002</v>
      </c>
      <c r="AW10" s="72">
        <v>3.7412000000000001</v>
      </c>
      <c r="AX10" s="72">
        <v>0.53200000000000003</v>
      </c>
      <c r="AY10" s="72">
        <v>3.19</v>
      </c>
      <c r="AZ10" s="72">
        <v>0.48099999999999998</v>
      </c>
      <c r="BA10" s="72">
        <v>4.6874000000000002</v>
      </c>
      <c r="BB10" s="72">
        <v>1.5960000000000001</v>
      </c>
      <c r="BC10" s="72">
        <v>21.610199999999999</v>
      </c>
      <c r="BD10" s="72">
        <v>0.74180000000000001</v>
      </c>
      <c r="BE10" s="72">
        <v>154.51999999999984</v>
      </c>
      <c r="BF10" s="72">
        <v>20.315999999999999</v>
      </c>
      <c r="BG10" s="72">
        <v>10.448199999999998</v>
      </c>
      <c r="BH10" s="72">
        <v>5.0712000000000002</v>
      </c>
    </row>
    <row r="11" spans="1:60">
      <c r="B11" s="47" t="s">
        <v>702</v>
      </c>
      <c r="C11" s="72">
        <v>1.7093870598659129</v>
      </c>
      <c r="D11" s="74">
        <v>6.599817327686913</v>
      </c>
      <c r="E11" s="72">
        <v>4.0772557007185588</v>
      </c>
      <c r="F11" s="75">
        <v>16.825161693624171</v>
      </c>
      <c r="G11" s="72">
        <v>1.1770244442798283</v>
      </c>
      <c r="H11" s="246">
        <v>6568.6610430010933</v>
      </c>
      <c r="I11" s="36">
        <v>7151.3130604623475</v>
      </c>
      <c r="J11" s="246">
        <v>60032.182762044285</v>
      </c>
      <c r="K11" s="36">
        <v>397.49548004188176</v>
      </c>
      <c r="L11" s="246">
        <v>550.97373460376537</v>
      </c>
      <c r="M11" s="36">
        <v>12427.636255994441</v>
      </c>
      <c r="N11" s="36">
        <v>7591.0926750393683</v>
      </c>
      <c r="O11" s="36">
        <v>2343.598851696107</v>
      </c>
      <c r="P11" s="36">
        <v>96.88448451242165</v>
      </c>
      <c r="Q11" s="36">
        <v>296.5013509212896</v>
      </c>
      <c r="R11" s="36">
        <v>827.06292896847333</v>
      </c>
      <c r="S11" s="36">
        <v>37151.687493644189</v>
      </c>
      <c r="T11" s="72">
        <v>32.16195523782536</v>
      </c>
      <c r="U11" s="72">
        <v>73.135550474705525</v>
      </c>
      <c r="V11" s="72">
        <v>48.091650108570704</v>
      </c>
      <c r="W11" s="72">
        <v>78.678320457939463</v>
      </c>
      <c r="X11" s="72">
        <v>11.868683659923695</v>
      </c>
      <c r="Y11" s="130">
        <v>268.91164900957301</v>
      </c>
      <c r="Z11" s="72">
        <v>0.30121715784244446</v>
      </c>
      <c r="AA11" s="72">
        <v>49.370708089184483</v>
      </c>
      <c r="AB11" s="72">
        <v>114.95526244364538</v>
      </c>
      <c r="AC11" s="72">
        <v>12.865608388087406</v>
      </c>
      <c r="AD11" s="72">
        <v>87.890821268503686</v>
      </c>
      <c r="AE11" s="72">
        <v>8.854654298486631</v>
      </c>
      <c r="AF11" s="72">
        <v>1.9964523927663447</v>
      </c>
      <c r="AG11" s="72">
        <v>0.44199269099573679</v>
      </c>
      <c r="AH11" s="72">
        <v>0.1849323268702675</v>
      </c>
      <c r="AI11" s="72">
        <v>1.4579970357850029</v>
      </c>
      <c r="AJ11" s="72">
        <v>1.2924409328021829</v>
      </c>
      <c r="AK11" s="72">
        <v>2.0587123213286138</v>
      </c>
      <c r="AL11" s="130">
        <v>380.30532759042211</v>
      </c>
      <c r="AM11" s="72">
        <v>25.09217620090778</v>
      </c>
      <c r="AN11" s="72">
        <v>59.520153260949044</v>
      </c>
      <c r="AO11" s="72">
        <v>5.6028427018333149</v>
      </c>
      <c r="AP11" s="72">
        <v>21.382943883140427</v>
      </c>
      <c r="AQ11" s="72">
        <v>3.942334930002104</v>
      </c>
      <c r="AR11" s="72">
        <v>0.92048636182747157</v>
      </c>
      <c r="AS11" s="72">
        <v>3.0185268751410246</v>
      </c>
      <c r="AT11" s="72">
        <v>0.44651259088453338</v>
      </c>
      <c r="AU11" s="72">
        <v>2.4107070534414077</v>
      </c>
      <c r="AV11" s="72">
        <v>0.48866079498644249</v>
      </c>
      <c r="AW11" s="72">
        <v>1.3507749880706181</v>
      </c>
      <c r="AX11" s="72">
        <v>0.20037013831719136</v>
      </c>
      <c r="AY11" s="72">
        <v>1.2427511647891958</v>
      </c>
      <c r="AZ11" s="72">
        <v>0.19341885425407868</v>
      </c>
      <c r="BA11" s="72">
        <v>2.562111278931936</v>
      </c>
      <c r="BB11" s="72">
        <v>0.52460012963973635</v>
      </c>
      <c r="BC11" s="72">
        <v>6.5764054907349552</v>
      </c>
      <c r="BD11" s="72">
        <v>0.33854502019420596</v>
      </c>
      <c r="BE11" s="72">
        <v>34.074571769661723</v>
      </c>
      <c r="BF11" s="72">
        <v>2.1876001934405753</v>
      </c>
      <c r="BG11" s="72">
        <v>5.6516333817644231</v>
      </c>
      <c r="BH11" s="72">
        <v>1.6784665492875281</v>
      </c>
    </row>
    <row r="12" spans="1:60">
      <c r="B12" s="47" t="s">
        <v>703</v>
      </c>
      <c r="C12" s="72">
        <v>2.449405365386764</v>
      </c>
      <c r="D12" s="72">
        <v>6.6614285714285719</v>
      </c>
      <c r="E12" s="72">
        <v>5.3576821428571435</v>
      </c>
      <c r="F12" s="72">
        <v>20.470588235294116</v>
      </c>
      <c r="G12" s="72">
        <v>1.3388235294117647</v>
      </c>
      <c r="H12" s="36">
        <v>8728.4117647058829</v>
      </c>
      <c r="I12" s="36">
        <v>10774.176470588236</v>
      </c>
      <c r="J12" s="36">
        <v>66581.76470588235</v>
      </c>
      <c r="K12" s="36">
        <v>509.76470588235293</v>
      </c>
      <c r="L12" s="36">
        <v>1060.5294117647059</v>
      </c>
      <c r="M12" s="36">
        <v>13355.117647058823</v>
      </c>
      <c r="N12" s="36">
        <v>12277.35294117647</v>
      </c>
      <c r="O12" s="36">
        <v>2927.9588235294118</v>
      </c>
      <c r="P12" s="36">
        <v>120.52352941176471</v>
      </c>
      <c r="Q12" s="36">
        <v>413.25294117647064</v>
      </c>
      <c r="R12" s="36">
        <v>1067.7352941176468</v>
      </c>
      <c r="S12" s="36">
        <v>45083.647058823532</v>
      </c>
      <c r="T12" s="72">
        <v>46.478588235294119</v>
      </c>
      <c r="U12" s="72">
        <v>105.49</v>
      </c>
      <c r="V12" s="72">
        <v>66.940588235294101</v>
      </c>
      <c r="W12" s="72">
        <v>89.529411764705884</v>
      </c>
      <c r="X12" s="72">
        <v>13.145294117647056</v>
      </c>
      <c r="Y12" s="130">
        <v>759.30000000000007</v>
      </c>
      <c r="Z12" s="72">
        <v>0.35882352941176471</v>
      </c>
      <c r="AA12" s="72">
        <v>52.767647058823535</v>
      </c>
      <c r="AB12" s="72">
        <v>150.43764705882353</v>
      </c>
      <c r="AC12" s="72">
        <v>16.004764705882355</v>
      </c>
      <c r="AD12" s="72">
        <v>102.53647058823529</v>
      </c>
      <c r="AE12" s="72">
        <v>12.12405882352941</v>
      </c>
      <c r="AF12" s="72">
        <v>2.3005882352941178</v>
      </c>
      <c r="AG12" s="72">
        <v>0.94952941176470607</v>
      </c>
      <c r="AH12" s="72">
        <v>0.25799999999999995</v>
      </c>
      <c r="AI12" s="72">
        <v>2.3441176470588236</v>
      </c>
      <c r="AJ12" s="72">
        <v>2.0518235294117648</v>
      </c>
      <c r="AK12" s="72">
        <v>2.4097058823529407</v>
      </c>
      <c r="AL12" s="130">
        <v>410.5170588235294</v>
      </c>
      <c r="AM12" s="72">
        <v>28.904764705882354</v>
      </c>
      <c r="AN12" s="72">
        <v>66.275294117647064</v>
      </c>
      <c r="AO12" s="72">
        <v>6.4782352941176473</v>
      </c>
      <c r="AP12" s="72">
        <v>24.891764705882348</v>
      </c>
      <c r="AQ12" s="72">
        <v>4.6427058823529412</v>
      </c>
      <c r="AR12" s="72">
        <v>1.0803529411764705</v>
      </c>
      <c r="AS12" s="72">
        <v>3.6216470588235299</v>
      </c>
      <c r="AT12" s="72">
        <v>0.53817647058823526</v>
      </c>
      <c r="AU12" s="72">
        <v>2.91535294117647</v>
      </c>
      <c r="AV12" s="72">
        <v>0.59635294117647053</v>
      </c>
      <c r="AW12" s="72">
        <v>1.6457058823529414</v>
      </c>
      <c r="AX12" s="72">
        <v>0.2414705882352941</v>
      </c>
      <c r="AY12" s="72">
        <v>1.4901764705882352</v>
      </c>
      <c r="AZ12" s="72">
        <v>0.23147058823529407</v>
      </c>
      <c r="BA12" s="72">
        <v>2.9405882352941175</v>
      </c>
      <c r="BB12" s="72">
        <v>0.69005882352941161</v>
      </c>
      <c r="BC12" s="72">
        <v>8.7349411764705884</v>
      </c>
      <c r="BD12" s="72">
        <v>0.37629411764705883</v>
      </c>
      <c r="BE12" s="72">
        <v>54.699999999999996</v>
      </c>
      <c r="BF12" s="72">
        <v>6.1352941176470575</v>
      </c>
      <c r="BG12" s="72">
        <v>6.2237647058823526</v>
      </c>
      <c r="BH12" s="72">
        <v>2.0118823529411767</v>
      </c>
    </row>
    <row r="13" spans="1:60">
      <c r="H13" s="36"/>
      <c r="I13" s="36"/>
      <c r="J13" s="36"/>
      <c r="K13" s="36"/>
      <c r="L13" s="36"/>
      <c r="M13" s="36"/>
      <c r="N13" s="36"/>
      <c r="O13" s="36"/>
      <c r="P13" s="36"/>
      <c r="Q13" s="36"/>
      <c r="R13" s="36"/>
      <c r="S13" s="36"/>
      <c r="Y13" s="130"/>
      <c r="AL13" s="130"/>
    </row>
    <row r="14" spans="1:60">
      <c r="A14" s="17" t="s">
        <v>895</v>
      </c>
      <c r="B14" s="47" t="s">
        <v>697</v>
      </c>
      <c r="C14" s="72">
        <v>1.2065011466746696</v>
      </c>
      <c r="D14" s="72">
        <v>6.64</v>
      </c>
      <c r="E14" s="72">
        <v>1.20129</v>
      </c>
      <c r="F14" s="72">
        <v>2.7</v>
      </c>
      <c r="G14" s="72">
        <v>0.96</v>
      </c>
      <c r="H14" s="36">
        <v>1583</v>
      </c>
      <c r="I14" s="36">
        <v>2186</v>
      </c>
      <c r="J14" s="36">
        <v>26908</v>
      </c>
      <c r="K14" s="36">
        <v>264</v>
      </c>
      <c r="L14" s="36">
        <v>181</v>
      </c>
      <c r="M14" s="36">
        <v>10358</v>
      </c>
      <c r="N14" s="36">
        <v>2152</v>
      </c>
      <c r="O14" s="36">
        <v>1070.7</v>
      </c>
      <c r="P14" s="36">
        <v>71.900000000000006</v>
      </c>
      <c r="Q14" s="36">
        <v>155.80000000000001</v>
      </c>
      <c r="R14" s="36">
        <v>774.6</v>
      </c>
      <c r="S14" s="36">
        <v>35672</v>
      </c>
      <c r="T14" s="72">
        <v>20.312999999999999</v>
      </c>
      <c r="U14" s="72">
        <v>23.01</v>
      </c>
      <c r="V14" s="72">
        <v>37.380000000000003</v>
      </c>
      <c r="W14" s="72">
        <v>86</v>
      </c>
      <c r="X14" s="72">
        <v>6.3</v>
      </c>
      <c r="Y14" s="130">
        <v>831.4</v>
      </c>
      <c r="Z14" s="72">
        <v>0.21</v>
      </c>
      <c r="AA14" s="72">
        <v>38.93</v>
      </c>
      <c r="AB14" s="72">
        <v>34.56</v>
      </c>
      <c r="AC14" s="72">
        <v>6.2590000000000003</v>
      </c>
      <c r="AD14" s="72">
        <v>58.93</v>
      </c>
      <c r="AE14" s="72">
        <v>6.8319999999999999</v>
      </c>
      <c r="AF14" s="72">
        <v>1.7</v>
      </c>
      <c r="AG14" s="72">
        <v>1.7210000000000001</v>
      </c>
      <c r="AH14" s="72">
        <v>0.56599999999999995</v>
      </c>
      <c r="AI14" s="72">
        <v>0.78</v>
      </c>
      <c r="AJ14" s="72">
        <v>2.3839999999999999</v>
      </c>
      <c r="AK14" s="72">
        <v>1.171</v>
      </c>
      <c r="AL14" s="130">
        <v>333.3</v>
      </c>
      <c r="AM14" s="72">
        <v>15.85</v>
      </c>
      <c r="AN14" s="72">
        <v>50.033999999999999</v>
      </c>
      <c r="AO14" s="72">
        <v>3.4660000000000002</v>
      </c>
      <c r="AP14" s="72">
        <v>12.77</v>
      </c>
      <c r="AQ14" s="72">
        <v>2.0819999999999999</v>
      </c>
      <c r="AR14" s="72">
        <v>0.51600000000000001</v>
      </c>
      <c r="AS14" s="72">
        <v>1.4930000000000001</v>
      </c>
      <c r="AT14" s="72">
        <v>0.218</v>
      </c>
      <c r="AU14" s="72">
        <v>1.1890000000000001</v>
      </c>
      <c r="AV14" s="72">
        <v>0.24099999999999999</v>
      </c>
      <c r="AW14" s="72">
        <v>0.70399999999999996</v>
      </c>
      <c r="AX14" s="72">
        <v>0.10199999999999999</v>
      </c>
      <c r="AY14" s="72">
        <v>0.67300000000000004</v>
      </c>
      <c r="AZ14" s="72">
        <v>0.10199999999999999</v>
      </c>
      <c r="BA14" s="72">
        <v>1.5660000000000001</v>
      </c>
      <c r="BB14" s="72">
        <v>0.371</v>
      </c>
      <c r="BC14" s="72">
        <v>12.932</v>
      </c>
      <c r="BD14" s="72">
        <v>0.22</v>
      </c>
      <c r="BE14" s="72">
        <v>74</v>
      </c>
      <c r="BF14" s="72">
        <v>0.45</v>
      </c>
      <c r="BG14" s="72">
        <v>3.63</v>
      </c>
      <c r="BH14" s="72">
        <v>1.153</v>
      </c>
    </row>
    <row r="15" spans="1:60">
      <c r="B15" s="47" t="s">
        <v>698</v>
      </c>
      <c r="C15" s="72">
        <v>2.0172055769801656</v>
      </c>
      <c r="D15" s="72">
        <v>6.89</v>
      </c>
      <c r="E15" s="72">
        <v>3.57619</v>
      </c>
      <c r="F15" s="72">
        <v>8.1</v>
      </c>
      <c r="G15" s="72">
        <v>1.42</v>
      </c>
      <c r="H15" s="36">
        <v>1858</v>
      </c>
      <c r="I15" s="36">
        <v>4515</v>
      </c>
      <c r="J15" s="36">
        <v>39179</v>
      </c>
      <c r="K15" s="36">
        <v>505</v>
      </c>
      <c r="L15" s="36">
        <v>430</v>
      </c>
      <c r="M15" s="36">
        <v>12672</v>
      </c>
      <c r="N15" s="36">
        <v>2613</v>
      </c>
      <c r="O15" s="36">
        <v>1214.4000000000001</v>
      </c>
      <c r="P15" s="36">
        <v>92.4</v>
      </c>
      <c r="Q15" s="36">
        <v>235</v>
      </c>
      <c r="R15" s="36">
        <v>1800.7</v>
      </c>
      <c r="S15" s="36">
        <v>37501</v>
      </c>
      <c r="T15" s="72">
        <v>35.146999999999998</v>
      </c>
      <c r="U15" s="72">
        <v>43.46</v>
      </c>
      <c r="V15" s="72">
        <v>70.69</v>
      </c>
      <c r="W15" s="72">
        <v>305</v>
      </c>
      <c r="X15" s="72">
        <v>8.7200000000000006</v>
      </c>
      <c r="Y15" s="130">
        <v>982.4</v>
      </c>
      <c r="Z15" s="72">
        <v>0.39</v>
      </c>
      <c r="AA15" s="72">
        <v>50.44</v>
      </c>
      <c r="AB15" s="72">
        <v>37.28</v>
      </c>
      <c r="AC15" s="72">
        <v>11.1</v>
      </c>
      <c r="AD15" s="72">
        <v>88.31</v>
      </c>
      <c r="AE15" s="72">
        <v>7.1740000000000004</v>
      </c>
      <c r="AF15" s="72">
        <v>2.64</v>
      </c>
      <c r="AG15" s="72">
        <v>4.7480000000000002</v>
      </c>
      <c r="AH15" s="72">
        <v>1.4179999999999999</v>
      </c>
      <c r="AI15" s="72">
        <v>3.4</v>
      </c>
      <c r="AJ15" s="72">
        <v>3.4740000000000002</v>
      </c>
      <c r="AK15" s="72">
        <v>2.419</v>
      </c>
      <c r="AL15" s="130">
        <v>362.95</v>
      </c>
      <c r="AM15" s="72">
        <v>33.061999999999998</v>
      </c>
      <c r="AN15" s="72">
        <v>67.991</v>
      </c>
      <c r="AO15" s="72">
        <v>6.6929999999999996</v>
      </c>
      <c r="AP15" s="72">
        <v>25.41</v>
      </c>
      <c r="AQ15" s="72">
        <v>4.21</v>
      </c>
      <c r="AR15" s="72">
        <v>1.17</v>
      </c>
      <c r="AS15" s="72">
        <v>3.0070000000000001</v>
      </c>
      <c r="AT15" s="72">
        <v>0.42</v>
      </c>
      <c r="AU15" s="72">
        <v>2.1269999999999998</v>
      </c>
      <c r="AV15" s="72">
        <v>0.42899999999999999</v>
      </c>
      <c r="AW15" s="72">
        <v>1.179</v>
      </c>
      <c r="AX15" s="72">
        <v>0.17599999999999999</v>
      </c>
      <c r="AY15" s="72">
        <v>1.081</v>
      </c>
      <c r="AZ15" s="72">
        <v>0.16500000000000001</v>
      </c>
      <c r="BA15" s="72">
        <v>2.3170000000000002</v>
      </c>
      <c r="BB15" s="72">
        <v>0.52100000000000002</v>
      </c>
      <c r="BC15" s="72">
        <v>34.186</v>
      </c>
      <c r="BD15" s="72">
        <v>0.24199999999999999</v>
      </c>
      <c r="BE15" s="72">
        <v>699.8</v>
      </c>
      <c r="BF15" s="72">
        <v>0.8</v>
      </c>
      <c r="BG15" s="72">
        <v>4.2140000000000004</v>
      </c>
      <c r="BH15" s="72">
        <v>1.7929999999999999</v>
      </c>
    </row>
    <row r="16" spans="1:60">
      <c r="B16" s="47" t="s">
        <v>699</v>
      </c>
      <c r="C16" s="72">
        <v>1.4091772542510435</v>
      </c>
      <c r="D16" s="72">
        <v>6.7024999999999997</v>
      </c>
      <c r="E16" s="72">
        <v>1.795015</v>
      </c>
      <c r="F16" s="72">
        <v>4.05</v>
      </c>
      <c r="G16" s="72">
        <v>1.075</v>
      </c>
      <c r="H16" s="36">
        <v>1651.75</v>
      </c>
      <c r="I16" s="36">
        <v>2768.25</v>
      </c>
      <c r="J16" s="36">
        <v>29975.75</v>
      </c>
      <c r="K16" s="36">
        <v>324.25</v>
      </c>
      <c r="L16" s="36">
        <v>243.25</v>
      </c>
      <c r="M16" s="36">
        <v>10936.5</v>
      </c>
      <c r="N16" s="36">
        <v>2267.25</v>
      </c>
      <c r="O16" s="36">
        <v>1106.625</v>
      </c>
      <c r="P16" s="36">
        <v>77.025000000000006</v>
      </c>
      <c r="Q16" s="36">
        <v>175.60000000000002</v>
      </c>
      <c r="R16" s="36">
        <v>1031.125</v>
      </c>
      <c r="S16" s="36">
        <v>36129.25</v>
      </c>
      <c r="T16" s="72">
        <v>24.0215</v>
      </c>
      <c r="U16" s="72">
        <v>28.122500000000002</v>
      </c>
      <c r="V16" s="72">
        <v>45.707500000000003</v>
      </c>
      <c r="W16" s="72">
        <v>140.75</v>
      </c>
      <c r="X16" s="72">
        <v>6.9050000000000002</v>
      </c>
      <c r="Y16" s="130">
        <v>869.15</v>
      </c>
      <c r="Z16" s="72">
        <v>0.255</v>
      </c>
      <c r="AA16" s="72">
        <v>41.807499999999997</v>
      </c>
      <c r="AB16" s="72">
        <v>35.24</v>
      </c>
      <c r="AC16" s="72">
        <v>7.4692500000000006</v>
      </c>
      <c r="AD16" s="72">
        <v>66.275000000000006</v>
      </c>
      <c r="AE16" s="72">
        <v>6.9175000000000004</v>
      </c>
      <c r="AF16" s="72">
        <v>1.9350000000000001</v>
      </c>
      <c r="AG16" s="72">
        <v>2.4777500000000003</v>
      </c>
      <c r="AH16" s="72">
        <v>0.77899999999999991</v>
      </c>
      <c r="AI16" s="72">
        <v>1.4350000000000001</v>
      </c>
      <c r="AJ16" s="72">
        <v>2.6564999999999999</v>
      </c>
      <c r="AK16" s="72">
        <v>1.4830000000000001</v>
      </c>
      <c r="AL16" s="130">
        <v>340.71249999999998</v>
      </c>
      <c r="AM16" s="72">
        <v>20.152999999999999</v>
      </c>
      <c r="AN16" s="72">
        <v>54.523249999999997</v>
      </c>
      <c r="AO16" s="72">
        <v>4.2727500000000003</v>
      </c>
      <c r="AP16" s="72">
        <v>15.93</v>
      </c>
      <c r="AQ16" s="72">
        <v>2.6139999999999999</v>
      </c>
      <c r="AR16" s="72">
        <v>0.67949999999999999</v>
      </c>
      <c r="AS16" s="72">
        <v>1.8715000000000002</v>
      </c>
      <c r="AT16" s="72">
        <v>0.26850000000000002</v>
      </c>
      <c r="AU16" s="72">
        <v>1.4235</v>
      </c>
      <c r="AV16" s="72">
        <v>0.28799999999999998</v>
      </c>
      <c r="AW16" s="72">
        <v>0.82274999999999998</v>
      </c>
      <c r="AX16" s="72">
        <v>0.1205</v>
      </c>
      <c r="AY16" s="72">
        <v>0.77500000000000002</v>
      </c>
      <c r="AZ16" s="72">
        <v>0.11774999999999999</v>
      </c>
      <c r="BA16" s="72">
        <v>1.7537500000000001</v>
      </c>
      <c r="BB16" s="72">
        <v>0.40849999999999997</v>
      </c>
      <c r="BC16" s="72">
        <v>18.2455</v>
      </c>
      <c r="BD16" s="72">
        <v>0.22550000000000001</v>
      </c>
      <c r="BE16" s="72">
        <v>230.45</v>
      </c>
      <c r="BF16" s="72">
        <v>0.53749999999999998</v>
      </c>
      <c r="BG16" s="72">
        <v>3.7759999999999998</v>
      </c>
      <c r="BH16" s="72">
        <v>1.3129999999999999</v>
      </c>
    </row>
    <row r="17" spans="1:60">
      <c r="B17" s="47" t="s">
        <v>700</v>
      </c>
      <c r="C17" s="72">
        <v>1.6118533618274176</v>
      </c>
      <c r="D17" s="72">
        <v>6.7649999999999997</v>
      </c>
      <c r="E17" s="72">
        <v>2.3887400000000003</v>
      </c>
      <c r="F17" s="72">
        <v>5.4</v>
      </c>
      <c r="G17" s="72">
        <v>1.19</v>
      </c>
      <c r="H17" s="36">
        <v>1720.5</v>
      </c>
      <c r="I17" s="36">
        <v>3350.5</v>
      </c>
      <c r="J17" s="36">
        <v>33043.5</v>
      </c>
      <c r="K17" s="36">
        <v>384.5</v>
      </c>
      <c r="L17" s="36">
        <v>305.5</v>
      </c>
      <c r="M17" s="36">
        <v>11515</v>
      </c>
      <c r="N17" s="36">
        <v>2382.5</v>
      </c>
      <c r="O17" s="36">
        <v>1142.5500000000002</v>
      </c>
      <c r="P17" s="36">
        <v>82.15</v>
      </c>
      <c r="Q17" s="36">
        <v>195.4</v>
      </c>
      <c r="R17" s="36">
        <v>1287.6500000000001</v>
      </c>
      <c r="S17" s="36">
        <v>36586.5</v>
      </c>
      <c r="T17" s="72">
        <v>27.729999999999997</v>
      </c>
      <c r="U17" s="72">
        <v>33.234999999999999</v>
      </c>
      <c r="V17" s="72">
        <v>54.034999999999997</v>
      </c>
      <c r="W17" s="72">
        <v>195.5</v>
      </c>
      <c r="X17" s="72">
        <v>7.51</v>
      </c>
      <c r="Y17" s="130">
        <v>906.9</v>
      </c>
      <c r="Z17" s="72">
        <v>0.3</v>
      </c>
      <c r="AA17" s="72">
        <v>44.685000000000002</v>
      </c>
      <c r="AB17" s="72">
        <v>35.92</v>
      </c>
      <c r="AC17" s="72">
        <v>8.6795000000000009</v>
      </c>
      <c r="AD17" s="72">
        <v>73.62</v>
      </c>
      <c r="AE17" s="72">
        <v>7.0030000000000001</v>
      </c>
      <c r="AF17" s="72">
        <v>2.17</v>
      </c>
      <c r="AG17" s="72">
        <v>3.2345000000000002</v>
      </c>
      <c r="AH17" s="72">
        <v>0.99199999999999999</v>
      </c>
      <c r="AI17" s="72">
        <v>2.09</v>
      </c>
      <c r="AJ17" s="72">
        <v>2.9290000000000003</v>
      </c>
      <c r="AK17" s="72">
        <v>1.7949999999999999</v>
      </c>
      <c r="AL17" s="130">
        <v>348.125</v>
      </c>
      <c r="AM17" s="72">
        <v>24.455999999999996</v>
      </c>
      <c r="AN17" s="72">
        <v>59.012500000000003</v>
      </c>
      <c r="AO17" s="72">
        <v>5.0794999999999995</v>
      </c>
      <c r="AP17" s="72">
        <v>19.09</v>
      </c>
      <c r="AQ17" s="72">
        <v>3.1459999999999999</v>
      </c>
      <c r="AR17" s="72">
        <v>0.84299999999999997</v>
      </c>
      <c r="AS17" s="72">
        <v>2.25</v>
      </c>
      <c r="AT17" s="72">
        <v>0.31900000000000001</v>
      </c>
      <c r="AU17" s="72">
        <v>1.6579999999999999</v>
      </c>
      <c r="AV17" s="72">
        <v>0.33499999999999996</v>
      </c>
      <c r="AW17" s="72">
        <v>0.9415</v>
      </c>
      <c r="AX17" s="72">
        <v>0.13899999999999998</v>
      </c>
      <c r="AY17" s="72">
        <v>0.877</v>
      </c>
      <c r="AZ17" s="72">
        <v>0.13350000000000001</v>
      </c>
      <c r="BA17" s="72">
        <v>1.9415</v>
      </c>
      <c r="BB17" s="72">
        <v>0.44600000000000001</v>
      </c>
      <c r="BC17" s="72">
        <v>23.558999999999997</v>
      </c>
      <c r="BD17" s="72">
        <v>0.23099999999999998</v>
      </c>
      <c r="BE17" s="72">
        <v>386.9</v>
      </c>
      <c r="BF17" s="72">
        <v>0.625</v>
      </c>
      <c r="BG17" s="72">
        <v>3.9220000000000002</v>
      </c>
      <c r="BH17" s="72">
        <v>1.4729999999999999</v>
      </c>
    </row>
    <row r="18" spans="1:60">
      <c r="B18" s="47" t="s">
        <v>701</v>
      </c>
      <c r="C18" s="72">
        <v>1.9766703554648908</v>
      </c>
      <c r="D18" s="72">
        <v>6.8774999999999995</v>
      </c>
      <c r="E18" s="72">
        <v>3.4574449999999999</v>
      </c>
      <c r="F18" s="72">
        <v>7.8299999999999992</v>
      </c>
      <c r="G18" s="72">
        <v>1.3969999999999998</v>
      </c>
      <c r="H18" s="36">
        <v>1844.25</v>
      </c>
      <c r="I18" s="36">
        <v>4398.5499999999993</v>
      </c>
      <c r="J18" s="36">
        <v>38565.449999999997</v>
      </c>
      <c r="K18" s="36">
        <v>492.95</v>
      </c>
      <c r="L18" s="36">
        <v>417.54999999999995</v>
      </c>
      <c r="M18" s="36">
        <v>12556.3</v>
      </c>
      <c r="N18" s="36">
        <v>2589.9499999999998</v>
      </c>
      <c r="O18" s="36">
        <v>1207.2150000000001</v>
      </c>
      <c r="P18" s="36">
        <v>91.375</v>
      </c>
      <c r="Q18" s="36">
        <v>231.04</v>
      </c>
      <c r="R18" s="36">
        <v>1749.395</v>
      </c>
      <c r="S18" s="36">
        <v>37409.550000000003</v>
      </c>
      <c r="T18" s="72">
        <v>34.405299999999997</v>
      </c>
      <c r="U18" s="72">
        <v>42.4375</v>
      </c>
      <c r="V18" s="72">
        <v>69.024499999999989</v>
      </c>
      <c r="W18" s="72">
        <v>294.04999999999995</v>
      </c>
      <c r="X18" s="72">
        <v>8.5990000000000002</v>
      </c>
      <c r="Y18" s="130">
        <v>974.84999999999991</v>
      </c>
      <c r="Z18" s="72">
        <v>0.38100000000000001</v>
      </c>
      <c r="AA18" s="72">
        <v>49.8645</v>
      </c>
      <c r="AB18" s="72">
        <v>37.143999999999998</v>
      </c>
      <c r="AC18" s="72">
        <v>10.857949999999999</v>
      </c>
      <c r="AD18" s="72">
        <v>86.841000000000008</v>
      </c>
      <c r="AE18" s="72">
        <v>7.1569000000000003</v>
      </c>
      <c r="AF18" s="72">
        <v>2.593</v>
      </c>
      <c r="AG18" s="72">
        <v>4.5966500000000003</v>
      </c>
      <c r="AH18" s="72">
        <v>1.3754</v>
      </c>
      <c r="AI18" s="72">
        <v>3.2690000000000001</v>
      </c>
      <c r="AJ18" s="72">
        <v>3.4195000000000002</v>
      </c>
      <c r="AK18" s="72">
        <v>2.3566000000000003</v>
      </c>
      <c r="AL18" s="130">
        <v>361.46749999999997</v>
      </c>
      <c r="AM18" s="72">
        <v>32.201399999999992</v>
      </c>
      <c r="AN18" s="72">
        <v>67.093149999999994</v>
      </c>
      <c r="AO18" s="72">
        <v>6.5316499999999991</v>
      </c>
      <c r="AP18" s="72">
        <v>24.777999999999999</v>
      </c>
      <c r="AQ18" s="72">
        <v>4.1036000000000001</v>
      </c>
      <c r="AR18" s="72">
        <v>1.1372999999999998</v>
      </c>
      <c r="AS18" s="72">
        <v>2.9313000000000002</v>
      </c>
      <c r="AT18" s="72">
        <v>0.40989999999999999</v>
      </c>
      <c r="AU18" s="72">
        <v>2.0800999999999998</v>
      </c>
      <c r="AV18" s="72">
        <v>0.41959999999999997</v>
      </c>
      <c r="AW18" s="72">
        <v>1.1552500000000001</v>
      </c>
      <c r="AX18" s="72">
        <v>0.17229999999999998</v>
      </c>
      <c r="AY18" s="72">
        <v>1.0606</v>
      </c>
      <c r="AZ18" s="72">
        <v>0.16184999999999999</v>
      </c>
      <c r="BA18" s="72">
        <v>2.2794500000000002</v>
      </c>
      <c r="BB18" s="72">
        <v>0.51350000000000007</v>
      </c>
      <c r="BC18" s="72">
        <v>33.1233</v>
      </c>
      <c r="BD18" s="72">
        <v>0.2409</v>
      </c>
      <c r="BE18" s="72">
        <v>668.50999999999988</v>
      </c>
      <c r="BF18" s="72">
        <v>0.78249999999999997</v>
      </c>
      <c r="BG18" s="72">
        <v>4.1848000000000001</v>
      </c>
      <c r="BH18" s="72">
        <v>1.7609999999999999</v>
      </c>
    </row>
    <row r="19" spans="1:60">
      <c r="B19" s="47" t="s">
        <v>702</v>
      </c>
      <c r="C19" s="72">
        <v>1.5600515509767965</v>
      </c>
      <c r="D19" s="72">
        <v>6.7638450603188716</v>
      </c>
      <c r="E19" s="72">
        <v>2.0726893846160355</v>
      </c>
      <c r="F19" s="72">
        <v>4.676537180435969</v>
      </c>
      <c r="G19" s="72">
        <v>1.1675615615461139</v>
      </c>
      <c r="H19" s="36">
        <v>1714.996792999917</v>
      </c>
      <c r="I19" s="36">
        <v>3141.6221924349848</v>
      </c>
      <c r="J19" s="36">
        <v>32468.885598369401</v>
      </c>
      <c r="K19" s="36">
        <v>365.13011379506895</v>
      </c>
      <c r="L19" s="36">
        <v>278.98028604186356</v>
      </c>
      <c r="M19" s="36">
        <v>11456.726233964047</v>
      </c>
      <c r="N19" s="36">
        <v>2371.3236809849473</v>
      </c>
      <c r="O19" s="36">
        <v>1140.2885950495165</v>
      </c>
      <c r="P19" s="36">
        <v>81.508036413595448</v>
      </c>
      <c r="Q19" s="36">
        <v>191.34523772490394</v>
      </c>
      <c r="R19" s="36">
        <v>1181.0259184285499</v>
      </c>
      <c r="S19" s="36">
        <v>36575.068995150235</v>
      </c>
      <c r="T19" s="72">
        <v>26.719674605054603</v>
      </c>
      <c r="U19" s="72">
        <v>31.623007447110403</v>
      </c>
      <c r="V19" s="72">
        <v>51.404204108224455</v>
      </c>
      <c r="W19" s="72">
        <v>161.95678435928517</v>
      </c>
      <c r="X19" s="72">
        <v>7.4118823520074848</v>
      </c>
      <c r="Y19" s="130">
        <v>903.75182434117391</v>
      </c>
      <c r="Z19" s="72">
        <v>0.2861817604250837</v>
      </c>
      <c r="AA19" s="72">
        <v>44.312855922406989</v>
      </c>
      <c r="AB19" s="72">
        <v>35.894244664012646</v>
      </c>
      <c r="AC19" s="72">
        <v>8.33516046636176</v>
      </c>
      <c r="AD19" s="72">
        <v>72.13950582032011</v>
      </c>
      <c r="AE19" s="72">
        <v>7.0009119405974527</v>
      </c>
      <c r="AF19" s="72">
        <v>2.1184900282984578</v>
      </c>
      <c r="AG19" s="72">
        <v>2.85854998207133</v>
      </c>
      <c r="AH19" s="72">
        <v>0.8958727588223675</v>
      </c>
      <c r="AI19" s="72">
        <v>1.6284962388657827</v>
      </c>
      <c r="AJ19" s="72">
        <v>2.8778491968829778</v>
      </c>
      <c r="AK19" s="72">
        <v>1.6830475334939297</v>
      </c>
      <c r="AL19" s="130">
        <v>347.80919338050853</v>
      </c>
      <c r="AM19" s="72">
        <v>22.891760526442695</v>
      </c>
      <c r="AN19" s="72">
        <v>58.32548065811374</v>
      </c>
      <c r="AO19" s="72">
        <v>4.8164237770362357</v>
      </c>
      <c r="AP19" s="72">
        <v>18.013486614201039</v>
      </c>
      <c r="AQ19" s="72">
        <v>2.9606114233380914</v>
      </c>
      <c r="AR19" s="72">
        <v>0.77699420847262435</v>
      </c>
      <c r="AS19" s="72">
        <v>2.118832461522147</v>
      </c>
      <c r="AT19" s="72">
        <v>0.3025888299326332</v>
      </c>
      <c r="AU19" s="72">
        <v>1.5902839369118962</v>
      </c>
      <c r="AV19" s="72">
        <v>0.32154159917497455</v>
      </c>
      <c r="AW19" s="72">
        <v>0.91105213901291071</v>
      </c>
      <c r="AX19" s="72">
        <v>0.1339850737955538</v>
      </c>
      <c r="AY19" s="72">
        <v>0.85294372616251768</v>
      </c>
      <c r="AZ19" s="72">
        <v>0.12973048986263794</v>
      </c>
      <c r="BA19" s="72">
        <v>1.9048417257084644</v>
      </c>
      <c r="BB19" s="72">
        <v>0.43964872341450056</v>
      </c>
      <c r="BC19" s="72">
        <v>21.026016075329153</v>
      </c>
      <c r="BD19" s="72">
        <v>0.23073794659743332</v>
      </c>
      <c r="BE19" s="72">
        <v>227.56361747871736</v>
      </c>
      <c r="BF19" s="72">
        <v>0.6</v>
      </c>
      <c r="BG19" s="72">
        <v>3.911114930553691</v>
      </c>
      <c r="BH19" s="72">
        <v>1.4378209206990973</v>
      </c>
    </row>
    <row r="20" spans="1:60">
      <c r="B20" s="47" t="s">
        <v>703</v>
      </c>
      <c r="C20" s="72">
        <v>1.6118533618274176</v>
      </c>
      <c r="D20" s="72">
        <v>6.7649999999999997</v>
      </c>
      <c r="E20" s="72">
        <v>2.3887399999999999</v>
      </c>
      <c r="F20" s="72">
        <v>5.4</v>
      </c>
      <c r="G20" s="72">
        <v>1.19</v>
      </c>
      <c r="H20" s="36">
        <v>1720.5</v>
      </c>
      <c r="I20" s="36">
        <v>3350.5</v>
      </c>
      <c r="J20" s="36">
        <v>33043.5</v>
      </c>
      <c r="K20" s="36">
        <v>384.5</v>
      </c>
      <c r="L20" s="36">
        <v>305.5</v>
      </c>
      <c r="M20" s="36">
        <v>11515</v>
      </c>
      <c r="N20" s="36">
        <v>2382.5</v>
      </c>
      <c r="O20" s="36">
        <v>1142.5500000000002</v>
      </c>
      <c r="P20" s="36">
        <v>82.15</v>
      </c>
      <c r="Q20" s="36">
        <v>195.4</v>
      </c>
      <c r="R20" s="36">
        <v>1287.6500000000001</v>
      </c>
      <c r="S20" s="36">
        <v>36586.5</v>
      </c>
      <c r="T20" s="72">
        <v>27.729999999999997</v>
      </c>
      <c r="U20" s="72">
        <v>33.234999999999999</v>
      </c>
      <c r="V20" s="72">
        <v>54.034999999999997</v>
      </c>
      <c r="W20" s="72">
        <v>195.5</v>
      </c>
      <c r="X20" s="72">
        <v>7.51</v>
      </c>
      <c r="Y20" s="130">
        <v>906.9</v>
      </c>
      <c r="Z20" s="72">
        <v>0.3</v>
      </c>
      <c r="AA20" s="72">
        <v>44.685000000000002</v>
      </c>
      <c r="AB20" s="72">
        <v>35.92</v>
      </c>
      <c r="AC20" s="72">
        <v>8.6795000000000009</v>
      </c>
      <c r="AD20" s="72">
        <v>73.62</v>
      </c>
      <c r="AE20" s="72">
        <v>7.0030000000000001</v>
      </c>
      <c r="AF20" s="72">
        <v>2.17</v>
      </c>
      <c r="AG20" s="72">
        <v>3.2345000000000002</v>
      </c>
      <c r="AH20" s="72">
        <v>0.99199999999999999</v>
      </c>
      <c r="AI20" s="72">
        <v>2.09</v>
      </c>
      <c r="AJ20" s="72">
        <v>2.9290000000000003</v>
      </c>
      <c r="AK20" s="72">
        <v>1.7949999999999999</v>
      </c>
      <c r="AL20" s="130">
        <v>348.125</v>
      </c>
      <c r="AM20" s="72">
        <v>24.456</v>
      </c>
      <c r="AN20" s="72">
        <v>59.012500000000003</v>
      </c>
      <c r="AO20" s="72">
        <v>5.0794999999999995</v>
      </c>
      <c r="AP20" s="72">
        <v>19.09</v>
      </c>
      <c r="AQ20" s="72">
        <v>3.1459999999999999</v>
      </c>
      <c r="AR20" s="72">
        <v>0.84299999999999997</v>
      </c>
      <c r="AS20" s="72">
        <v>2.25</v>
      </c>
      <c r="AT20" s="72">
        <v>0.31900000000000001</v>
      </c>
      <c r="AU20" s="72">
        <v>1.6579999999999999</v>
      </c>
      <c r="AV20" s="72">
        <v>0.33499999999999996</v>
      </c>
      <c r="AW20" s="72">
        <v>0.9415</v>
      </c>
      <c r="AX20" s="72">
        <v>0.13899999999999998</v>
      </c>
      <c r="AY20" s="72">
        <v>0.877</v>
      </c>
      <c r="AZ20" s="72">
        <v>0.13350000000000001</v>
      </c>
      <c r="BA20" s="72">
        <v>1.9415</v>
      </c>
      <c r="BB20" s="72">
        <v>0.44600000000000001</v>
      </c>
      <c r="BC20" s="72">
        <v>23.559000000000001</v>
      </c>
      <c r="BD20" s="72">
        <v>0.23099999999999998</v>
      </c>
      <c r="BE20" s="72">
        <v>386.9</v>
      </c>
      <c r="BF20" s="72">
        <v>0.625</v>
      </c>
      <c r="BG20" s="72">
        <v>3.9220000000000002</v>
      </c>
      <c r="BH20" s="72">
        <v>1.4729999999999999</v>
      </c>
    </row>
    <row r="21" spans="1:60">
      <c r="H21" s="36"/>
      <c r="I21" s="36"/>
      <c r="J21" s="36"/>
      <c r="K21" s="36"/>
      <c r="L21" s="36"/>
      <c r="M21" s="36"/>
      <c r="N21" s="36"/>
      <c r="O21" s="36"/>
      <c r="P21" s="36"/>
      <c r="Q21" s="36"/>
      <c r="R21" s="36"/>
      <c r="S21" s="36"/>
      <c r="AL21" s="130"/>
    </row>
    <row r="22" spans="1:60">
      <c r="A22" s="25" t="s">
        <v>896</v>
      </c>
      <c r="B22" s="47" t="s">
        <v>697</v>
      </c>
      <c r="C22" s="72">
        <v>5.1883643299953341</v>
      </c>
      <c r="D22" s="72">
        <v>4.45</v>
      </c>
      <c r="E22" s="72">
        <v>2.4247799999999997</v>
      </c>
      <c r="F22" s="72">
        <v>9.8000000000000007</v>
      </c>
      <c r="G22" s="72">
        <v>1.83</v>
      </c>
      <c r="H22" s="36">
        <v>5530</v>
      </c>
      <c r="I22" s="36">
        <v>2597</v>
      </c>
      <c r="J22" s="36">
        <v>76687</v>
      </c>
      <c r="K22" s="36">
        <v>417</v>
      </c>
      <c r="L22" s="36">
        <v>191</v>
      </c>
      <c r="M22" s="36">
        <v>10271</v>
      </c>
      <c r="N22" s="36">
        <v>2558</v>
      </c>
      <c r="O22" s="36">
        <v>3270.1</v>
      </c>
      <c r="P22" s="36">
        <v>70.599999999999994</v>
      </c>
      <c r="Q22" s="36">
        <v>71.400000000000006</v>
      </c>
      <c r="R22" s="36">
        <v>388.6</v>
      </c>
      <c r="S22" s="36">
        <v>28861</v>
      </c>
      <c r="T22" s="72">
        <v>13.715</v>
      </c>
      <c r="U22" s="72">
        <v>23.23</v>
      </c>
      <c r="V22" s="72">
        <v>45.99</v>
      </c>
      <c r="W22" s="72">
        <v>50</v>
      </c>
      <c r="X22" s="72">
        <v>15.2</v>
      </c>
      <c r="Y22" s="72">
        <v>5.9</v>
      </c>
      <c r="Z22" s="72">
        <v>0.44</v>
      </c>
      <c r="AA22" s="72">
        <v>57.02</v>
      </c>
      <c r="AB22" s="130">
        <v>110.9</v>
      </c>
      <c r="AC22" s="72">
        <v>15.212</v>
      </c>
      <c r="AD22" s="72">
        <v>132.01</v>
      </c>
      <c r="AE22" s="72">
        <v>19.445</v>
      </c>
      <c r="AF22" s="72">
        <v>1.47</v>
      </c>
      <c r="AG22" s="72">
        <v>6.3E-2</v>
      </c>
      <c r="AH22" s="72">
        <v>7.4999999999999997E-2</v>
      </c>
      <c r="AI22" s="72">
        <v>1.86</v>
      </c>
      <c r="AJ22" s="72">
        <v>0.26200000000000001</v>
      </c>
      <c r="AK22" s="72">
        <v>3.4950000000000001</v>
      </c>
      <c r="AL22" s="130">
        <v>474.41</v>
      </c>
      <c r="AM22" s="72">
        <v>35.173000000000002</v>
      </c>
      <c r="AN22" s="72">
        <v>85.415999999999997</v>
      </c>
      <c r="AO22" s="72">
        <v>6.8789999999999996</v>
      </c>
      <c r="AP22" s="72">
        <v>25.19</v>
      </c>
      <c r="AQ22" s="72">
        <v>4.3150000000000004</v>
      </c>
      <c r="AR22" s="72">
        <v>0.94299999999999995</v>
      </c>
      <c r="AS22" s="72">
        <v>3.2320000000000002</v>
      </c>
      <c r="AT22" s="72">
        <v>0.48499999999999999</v>
      </c>
      <c r="AU22" s="72">
        <v>2.5459999999999998</v>
      </c>
      <c r="AV22" s="72">
        <v>0.52900000000000003</v>
      </c>
      <c r="AW22" s="72">
        <v>1.552</v>
      </c>
      <c r="AX22" s="72">
        <v>0.223</v>
      </c>
      <c r="AY22" s="72">
        <v>1.391</v>
      </c>
      <c r="AZ22" s="72">
        <v>0.22800000000000001</v>
      </c>
      <c r="BA22" s="72">
        <v>3.8820000000000001</v>
      </c>
      <c r="BB22" s="72">
        <v>1.131</v>
      </c>
      <c r="BC22" s="72">
        <v>1.5149999999999999</v>
      </c>
      <c r="BD22" s="72">
        <v>0.40899999999999997</v>
      </c>
      <c r="BE22" s="72">
        <v>13.8</v>
      </c>
      <c r="BF22" s="72">
        <v>0.28999999999999998</v>
      </c>
      <c r="BG22" s="72">
        <v>6.851</v>
      </c>
      <c r="BH22" s="72">
        <v>1.8779999999999999</v>
      </c>
    </row>
    <row r="23" spans="1:60">
      <c r="B23" s="47" t="s">
        <v>698</v>
      </c>
      <c r="C23" s="72">
        <v>6.8126520681266012</v>
      </c>
      <c r="D23" s="72">
        <v>5.49</v>
      </c>
      <c r="E23" s="72">
        <v>2.4613400000000003</v>
      </c>
      <c r="F23" s="72">
        <v>17</v>
      </c>
      <c r="G23" s="72">
        <v>2.2799999999999998</v>
      </c>
      <c r="H23" s="36">
        <v>9486</v>
      </c>
      <c r="I23" s="36">
        <v>27611</v>
      </c>
      <c r="J23" s="36">
        <v>80398</v>
      </c>
      <c r="K23" s="36">
        <v>648</v>
      </c>
      <c r="L23" s="36">
        <v>204</v>
      </c>
      <c r="M23" s="36">
        <v>18023</v>
      </c>
      <c r="N23" s="36">
        <v>15566</v>
      </c>
      <c r="O23" s="36">
        <v>4840.8999999999996</v>
      </c>
      <c r="P23" s="36">
        <v>162.80000000000001</v>
      </c>
      <c r="Q23" s="36">
        <v>1092.7</v>
      </c>
      <c r="R23" s="36">
        <v>1078.2</v>
      </c>
      <c r="S23" s="36">
        <v>78004</v>
      </c>
      <c r="T23" s="72">
        <v>70.893000000000001</v>
      </c>
      <c r="U23" s="72">
        <v>382.75</v>
      </c>
      <c r="V23" s="72">
        <v>52.57</v>
      </c>
      <c r="W23" s="72">
        <v>89</v>
      </c>
      <c r="X23" s="72">
        <v>15.76</v>
      </c>
      <c r="Y23" s="72">
        <v>14.3</v>
      </c>
      <c r="Z23" s="72">
        <v>0.52</v>
      </c>
      <c r="AA23" s="72">
        <v>79.33</v>
      </c>
      <c r="AB23" s="130">
        <v>165.2</v>
      </c>
      <c r="AC23" s="72">
        <v>21.606999999999999</v>
      </c>
      <c r="AD23" s="72">
        <v>199.46</v>
      </c>
      <c r="AE23" s="72">
        <v>34.723999999999997</v>
      </c>
      <c r="AF23" s="72">
        <v>1.69</v>
      </c>
      <c r="AG23" s="72">
        <v>0.111</v>
      </c>
      <c r="AH23" s="72">
        <v>0.115</v>
      </c>
      <c r="AI23" s="72">
        <v>1.92</v>
      </c>
      <c r="AJ23" s="72">
        <v>1.004</v>
      </c>
      <c r="AK23" s="72">
        <v>3.6909999999999998</v>
      </c>
      <c r="AL23" s="130">
        <v>622.69000000000005</v>
      </c>
      <c r="AM23" s="72">
        <v>35.569000000000003</v>
      </c>
      <c r="AN23" s="72">
        <v>103.152</v>
      </c>
      <c r="AO23" s="72">
        <v>7.306</v>
      </c>
      <c r="AP23" s="72">
        <v>27.93</v>
      </c>
      <c r="AQ23" s="72">
        <v>5.4210000000000003</v>
      </c>
      <c r="AR23" s="72">
        <v>1.1910000000000001</v>
      </c>
      <c r="AS23" s="72">
        <v>4.2910000000000004</v>
      </c>
      <c r="AT23" s="72">
        <v>0.67800000000000005</v>
      </c>
      <c r="AU23" s="72">
        <v>3.9689999999999999</v>
      </c>
      <c r="AV23" s="72">
        <v>0.79</v>
      </c>
      <c r="AW23" s="72">
        <v>2.286</v>
      </c>
      <c r="AX23" s="72">
        <v>0.33800000000000002</v>
      </c>
      <c r="AY23" s="72">
        <v>2.2069999999999999</v>
      </c>
      <c r="AZ23" s="72">
        <v>0.318</v>
      </c>
      <c r="BA23" s="72">
        <v>5.1959999999999997</v>
      </c>
      <c r="BB23" s="72">
        <v>1.9239999999999999</v>
      </c>
      <c r="BC23" s="72">
        <v>2.2429999999999999</v>
      </c>
      <c r="BD23" s="72">
        <v>0.44700000000000001</v>
      </c>
      <c r="BE23" s="72">
        <v>15.4</v>
      </c>
      <c r="BF23" s="72">
        <v>0.55000000000000004</v>
      </c>
      <c r="BG23" s="72">
        <v>10.606</v>
      </c>
      <c r="BH23" s="72">
        <v>2.5739999999999998</v>
      </c>
    </row>
    <row r="24" spans="1:60">
      <c r="B24" s="47" t="s">
        <v>699</v>
      </c>
      <c r="C24" s="72">
        <v>5.5944362645281505</v>
      </c>
      <c r="D24" s="72">
        <v>4.71</v>
      </c>
      <c r="E24" s="72">
        <v>2.4339199999999996</v>
      </c>
      <c r="F24" s="72">
        <v>11.600000000000001</v>
      </c>
      <c r="G24" s="72">
        <v>1.9424999999999999</v>
      </c>
      <c r="H24" s="36">
        <v>6519</v>
      </c>
      <c r="I24" s="36">
        <v>8850.5</v>
      </c>
      <c r="J24" s="36">
        <v>77614.75</v>
      </c>
      <c r="K24" s="36">
        <v>474.75</v>
      </c>
      <c r="L24" s="36">
        <v>194.25</v>
      </c>
      <c r="M24" s="36">
        <v>12209</v>
      </c>
      <c r="N24" s="36">
        <v>5810</v>
      </c>
      <c r="O24" s="36">
        <v>3662.7999999999997</v>
      </c>
      <c r="P24" s="36">
        <v>93.65</v>
      </c>
      <c r="Q24" s="36">
        <v>326.72500000000002</v>
      </c>
      <c r="R24" s="36">
        <v>561</v>
      </c>
      <c r="S24" s="36">
        <v>41146.75</v>
      </c>
      <c r="T24" s="72">
        <v>28.009499999999999</v>
      </c>
      <c r="U24" s="72">
        <v>113.11</v>
      </c>
      <c r="V24" s="72">
        <v>47.635000000000005</v>
      </c>
      <c r="W24" s="72">
        <v>59.75</v>
      </c>
      <c r="X24" s="72">
        <v>15.34</v>
      </c>
      <c r="Y24" s="72">
        <v>8</v>
      </c>
      <c r="Z24" s="72">
        <v>0.46</v>
      </c>
      <c r="AA24" s="72">
        <v>62.597500000000004</v>
      </c>
      <c r="AB24" s="130">
        <v>124.47499999999999</v>
      </c>
      <c r="AC24" s="72">
        <v>16.810749999999999</v>
      </c>
      <c r="AD24" s="72">
        <v>148.8725</v>
      </c>
      <c r="AE24" s="72">
        <v>23.264749999999999</v>
      </c>
      <c r="AF24" s="72">
        <v>1.5249999999999999</v>
      </c>
      <c r="AG24" s="72">
        <v>7.4999999999999997E-2</v>
      </c>
      <c r="AH24" s="72">
        <v>8.4999999999999992E-2</v>
      </c>
      <c r="AI24" s="72">
        <v>1.875</v>
      </c>
      <c r="AJ24" s="72">
        <v>0.44750000000000001</v>
      </c>
      <c r="AK24" s="72">
        <v>3.544</v>
      </c>
      <c r="AL24" s="130">
        <v>511.48</v>
      </c>
      <c r="AM24" s="72">
        <v>35.272000000000006</v>
      </c>
      <c r="AN24" s="72">
        <v>89.85</v>
      </c>
      <c r="AO24" s="72">
        <v>6.9857499999999995</v>
      </c>
      <c r="AP24" s="72">
        <v>25.875</v>
      </c>
      <c r="AQ24" s="72">
        <v>4.5914999999999999</v>
      </c>
      <c r="AR24" s="72">
        <v>1.0049999999999999</v>
      </c>
      <c r="AS24" s="72">
        <v>3.4967500000000005</v>
      </c>
      <c r="AT24" s="72">
        <v>0.53325</v>
      </c>
      <c r="AU24" s="72">
        <v>2.9017499999999998</v>
      </c>
      <c r="AV24" s="72">
        <v>0.59425000000000006</v>
      </c>
      <c r="AW24" s="72">
        <v>1.7355</v>
      </c>
      <c r="AX24" s="72">
        <v>0.25175000000000003</v>
      </c>
      <c r="AY24" s="72">
        <v>1.595</v>
      </c>
      <c r="AZ24" s="72">
        <v>0.2505</v>
      </c>
      <c r="BA24" s="72">
        <v>4.2104999999999997</v>
      </c>
      <c r="BB24" s="72">
        <v>1.32925</v>
      </c>
      <c r="BC24" s="72">
        <v>1.6969999999999998</v>
      </c>
      <c r="BD24" s="72">
        <v>0.41849999999999998</v>
      </c>
      <c r="BE24" s="72">
        <v>14.200000000000001</v>
      </c>
      <c r="BF24" s="72">
        <v>0.35499999999999998</v>
      </c>
      <c r="BG24" s="72">
        <v>7.7897499999999997</v>
      </c>
      <c r="BH24" s="72">
        <v>2.052</v>
      </c>
    </row>
    <row r="25" spans="1:60">
      <c r="B25" s="47" t="s">
        <v>700</v>
      </c>
      <c r="C25" s="72">
        <v>6.0005081990609677</v>
      </c>
      <c r="D25" s="72">
        <v>4.9700000000000006</v>
      </c>
      <c r="E25" s="72">
        <v>2.44306</v>
      </c>
      <c r="F25" s="72">
        <v>13.4</v>
      </c>
      <c r="G25" s="72">
        <v>2.0549999999999997</v>
      </c>
      <c r="H25" s="36">
        <v>7508</v>
      </c>
      <c r="I25" s="36">
        <v>15104</v>
      </c>
      <c r="J25" s="36">
        <v>78542.5</v>
      </c>
      <c r="K25" s="36">
        <v>532.5</v>
      </c>
      <c r="L25" s="36">
        <v>197.5</v>
      </c>
      <c r="M25" s="36">
        <v>14147</v>
      </c>
      <c r="N25" s="36">
        <v>9062</v>
      </c>
      <c r="O25" s="36">
        <v>4055.5</v>
      </c>
      <c r="P25" s="36">
        <v>116.7</v>
      </c>
      <c r="Q25" s="36">
        <v>582.05000000000007</v>
      </c>
      <c r="R25" s="36">
        <v>733.40000000000009</v>
      </c>
      <c r="S25" s="36">
        <v>53432.5</v>
      </c>
      <c r="T25" s="72">
        <v>42.304000000000002</v>
      </c>
      <c r="U25" s="72">
        <v>202.98999999999998</v>
      </c>
      <c r="V25" s="72">
        <v>49.28</v>
      </c>
      <c r="W25" s="72">
        <v>69.5</v>
      </c>
      <c r="X25" s="72">
        <v>15.48</v>
      </c>
      <c r="Y25" s="72">
        <v>10.100000000000001</v>
      </c>
      <c r="Z25" s="72">
        <v>0.48</v>
      </c>
      <c r="AA25" s="72">
        <v>68.174999999999997</v>
      </c>
      <c r="AB25" s="130">
        <v>138.05000000000001</v>
      </c>
      <c r="AC25" s="72">
        <v>18.409500000000001</v>
      </c>
      <c r="AD25" s="72">
        <v>165.73500000000001</v>
      </c>
      <c r="AE25" s="72">
        <v>27.084499999999998</v>
      </c>
      <c r="AF25" s="72">
        <v>1.58</v>
      </c>
      <c r="AG25" s="72">
        <v>8.6999999999999994E-2</v>
      </c>
      <c r="AH25" s="72">
        <v>9.5000000000000001E-2</v>
      </c>
      <c r="AI25" s="72">
        <v>1.8900000000000001</v>
      </c>
      <c r="AJ25" s="72">
        <v>0.63300000000000001</v>
      </c>
      <c r="AK25" s="72">
        <v>3.593</v>
      </c>
      <c r="AL25" s="130">
        <v>548.55000000000007</v>
      </c>
      <c r="AM25" s="72">
        <v>35.371000000000002</v>
      </c>
      <c r="AN25" s="72">
        <v>94.283999999999992</v>
      </c>
      <c r="AO25" s="72">
        <v>7.0924999999999994</v>
      </c>
      <c r="AP25" s="72">
        <v>26.560000000000002</v>
      </c>
      <c r="AQ25" s="72">
        <v>4.8680000000000003</v>
      </c>
      <c r="AR25" s="72">
        <v>1.0669999999999999</v>
      </c>
      <c r="AS25" s="72">
        <v>3.7615000000000003</v>
      </c>
      <c r="AT25" s="72">
        <v>0.58150000000000002</v>
      </c>
      <c r="AU25" s="72">
        <v>3.2574999999999998</v>
      </c>
      <c r="AV25" s="72">
        <v>0.65949999999999998</v>
      </c>
      <c r="AW25" s="72">
        <v>1.919</v>
      </c>
      <c r="AX25" s="72">
        <v>0.28050000000000003</v>
      </c>
      <c r="AY25" s="72">
        <v>1.7989999999999999</v>
      </c>
      <c r="AZ25" s="72">
        <v>0.27300000000000002</v>
      </c>
      <c r="BA25" s="72">
        <v>4.5389999999999997</v>
      </c>
      <c r="BB25" s="72">
        <v>1.5274999999999999</v>
      </c>
      <c r="BC25" s="72">
        <v>1.879</v>
      </c>
      <c r="BD25" s="72">
        <v>0.42799999999999999</v>
      </c>
      <c r="BE25" s="72">
        <v>14.600000000000001</v>
      </c>
      <c r="BF25" s="72">
        <v>0.42000000000000004</v>
      </c>
      <c r="BG25" s="72">
        <v>8.7285000000000004</v>
      </c>
      <c r="BH25" s="72">
        <v>2.226</v>
      </c>
    </row>
    <row r="26" spans="1:60">
      <c r="B26" s="47" t="s">
        <v>701</v>
      </c>
      <c r="C26" s="72">
        <v>6.7314376812200383</v>
      </c>
      <c r="D26" s="72">
        <v>5.4380000000000006</v>
      </c>
      <c r="E26" s="72">
        <v>2.4595120000000001</v>
      </c>
      <c r="F26" s="72">
        <v>16.64</v>
      </c>
      <c r="G26" s="72">
        <v>2.2574999999999998</v>
      </c>
      <c r="H26" s="36">
        <v>9288.2000000000007</v>
      </c>
      <c r="I26" s="36">
        <v>26360.3</v>
      </c>
      <c r="J26" s="36">
        <v>80212.45</v>
      </c>
      <c r="K26" s="36">
        <v>636.45000000000005</v>
      </c>
      <c r="L26" s="36">
        <v>203.35</v>
      </c>
      <c r="M26" s="36">
        <v>17635.400000000001</v>
      </c>
      <c r="N26" s="36">
        <v>14915.599999999999</v>
      </c>
      <c r="O26" s="36">
        <v>4762.3599999999997</v>
      </c>
      <c r="P26" s="36">
        <v>158.19</v>
      </c>
      <c r="Q26" s="36">
        <v>1041.635</v>
      </c>
      <c r="R26" s="36">
        <v>1043.72</v>
      </c>
      <c r="S26" s="36">
        <v>75546.850000000006</v>
      </c>
      <c r="T26" s="72">
        <v>68.034099999999995</v>
      </c>
      <c r="U26" s="72">
        <v>364.774</v>
      </c>
      <c r="V26" s="72">
        <v>52.241</v>
      </c>
      <c r="W26" s="72">
        <v>87.05</v>
      </c>
      <c r="X26" s="72">
        <v>15.731999999999999</v>
      </c>
      <c r="Y26" s="72">
        <v>13.879999999999999</v>
      </c>
      <c r="Z26" s="72">
        <v>0.51600000000000001</v>
      </c>
      <c r="AA26" s="72">
        <v>78.214500000000001</v>
      </c>
      <c r="AB26" s="130">
        <v>162.48499999999999</v>
      </c>
      <c r="AC26" s="72">
        <v>21.28725</v>
      </c>
      <c r="AD26" s="72">
        <v>196.08750000000001</v>
      </c>
      <c r="AE26" s="72">
        <v>33.960049999999995</v>
      </c>
      <c r="AF26" s="72">
        <v>1.6789999999999998</v>
      </c>
      <c r="AG26" s="72">
        <v>0.1086</v>
      </c>
      <c r="AH26" s="72">
        <v>0.113</v>
      </c>
      <c r="AI26" s="72">
        <v>1.917</v>
      </c>
      <c r="AJ26" s="72">
        <v>0.96689999999999998</v>
      </c>
      <c r="AK26" s="72">
        <v>3.6812</v>
      </c>
      <c r="AL26" s="130">
        <v>615.27600000000007</v>
      </c>
      <c r="AM26" s="72">
        <v>35.549199999999999</v>
      </c>
      <c r="AN26" s="72">
        <v>102.26519999999999</v>
      </c>
      <c r="AO26" s="72">
        <v>7.2846500000000001</v>
      </c>
      <c r="AP26" s="72">
        <v>27.792999999999999</v>
      </c>
      <c r="AQ26" s="72">
        <v>5.3657000000000004</v>
      </c>
      <c r="AR26" s="72">
        <v>1.1786000000000001</v>
      </c>
      <c r="AS26" s="72">
        <v>4.2380500000000003</v>
      </c>
      <c r="AT26" s="72">
        <v>0.66835</v>
      </c>
      <c r="AU26" s="72">
        <v>3.89785</v>
      </c>
      <c r="AV26" s="72">
        <v>0.77695000000000003</v>
      </c>
      <c r="AW26" s="72">
        <v>2.2492999999999999</v>
      </c>
      <c r="AX26" s="72">
        <v>0.33225000000000005</v>
      </c>
      <c r="AY26" s="72">
        <v>2.1661999999999999</v>
      </c>
      <c r="AZ26" s="72">
        <v>0.3135</v>
      </c>
      <c r="BA26" s="72">
        <v>5.1303000000000001</v>
      </c>
      <c r="BB26" s="72">
        <v>1.88435</v>
      </c>
      <c r="BC26" s="72">
        <v>2.2065999999999999</v>
      </c>
      <c r="BD26" s="72">
        <v>0.4451</v>
      </c>
      <c r="BE26" s="72">
        <v>15.32</v>
      </c>
      <c r="BF26" s="72">
        <v>0.53700000000000003</v>
      </c>
      <c r="BG26" s="72">
        <v>10.41825</v>
      </c>
      <c r="BH26" s="72">
        <v>2.5391999999999997</v>
      </c>
    </row>
    <row r="27" spans="1:60">
      <c r="B27" s="47" t="s">
        <v>702</v>
      </c>
      <c r="C27" s="72">
        <v>5.945294019889765</v>
      </c>
      <c r="D27" s="72">
        <v>4.9427219221801266</v>
      </c>
      <c r="E27" s="72">
        <v>2.4429916097277125</v>
      </c>
      <c r="F27" s="72">
        <v>12.907362240210043</v>
      </c>
      <c r="G27" s="72">
        <v>2.042645343665904</v>
      </c>
      <c r="H27" s="36">
        <v>7242.7605234468438</v>
      </c>
      <c r="I27" s="36">
        <v>8467.9257790795491</v>
      </c>
      <c r="J27" s="36">
        <v>78520.579633622168</v>
      </c>
      <c r="K27" s="36">
        <v>519.82304681497146</v>
      </c>
      <c r="L27" s="36">
        <v>197.39300899474631</v>
      </c>
      <c r="M27" s="36">
        <v>13605.669149292144</v>
      </c>
      <c r="N27" s="36">
        <v>6310.1369240294616</v>
      </c>
      <c r="O27" s="36">
        <v>3978.7217909775995</v>
      </c>
      <c r="P27" s="36">
        <v>107.2085817460524</v>
      </c>
      <c r="Q27" s="36">
        <v>279.31842044519732</v>
      </c>
      <c r="R27" s="36">
        <v>647.29322567133363</v>
      </c>
      <c r="S27" s="36">
        <v>47447.586282128199</v>
      </c>
      <c r="T27" s="72">
        <v>31.181685249517866</v>
      </c>
      <c r="U27" s="72">
        <v>94.293597343616071</v>
      </c>
      <c r="V27" s="72">
        <v>49.170054911500763</v>
      </c>
      <c r="W27" s="72">
        <v>66.708320320631671</v>
      </c>
      <c r="X27" s="72">
        <v>15.477467493101059</v>
      </c>
      <c r="Y27" s="72">
        <v>9.1853143658777405</v>
      </c>
      <c r="Z27" s="72">
        <v>0.47833042972405593</v>
      </c>
      <c r="AA27" s="72">
        <v>67.256201201078852</v>
      </c>
      <c r="AB27" s="130">
        <v>135.35390648222904</v>
      </c>
      <c r="AC27" s="72">
        <v>18.129690675794773</v>
      </c>
      <c r="AD27" s="72">
        <v>162.26741693882971</v>
      </c>
      <c r="AE27" s="72">
        <v>25.984768230638501</v>
      </c>
      <c r="AF27" s="72">
        <v>1.5761662348876782</v>
      </c>
      <c r="AG27" s="72">
        <v>8.3624159188598127E-2</v>
      </c>
      <c r="AH27" s="72">
        <v>9.2870878105033555E-2</v>
      </c>
      <c r="AI27" s="72">
        <v>1.8897618897628345</v>
      </c>
      <c r="AJ27" s="72">
        <v>0.51288205271777643</v>
      </c>
      <c r="AK27" s="72">
        <v>3.5916632637261525</v>
      </c>
      <c r="AL27" s="130">
        <v>543.5166629460407</v>
      </c>
      <c r="AM27" s="72">
        <v>35.370445812853418</v>
      </c>
      <c r="AN27" s="72">
        <v>93.866028103888581</v>
      </c>
      <c r="AO27" s="72">
        <v>7.0892858596617474</v>
      </c>
      <c r="AP27" s="72">
        <v>26.524643258675507</v>
      </c>
      <c r="AQ27" s="72">
        <v>4.8364878786160519</v>
      </c>
      <c r="AR27" s="72">
        <v>1.0597702581220139</v>
      </c>
      <c r="AS27" s="72">
        <v>3.7240451125087088</v>
      </c>
      <c r="AT27" s="72">
        <v>0.57343700613057758</v>
      </c>
      <c r="AU27" s="72">
        <v>3.1788479045088014</v>
      </c>
      <c r="AV27" s="72">
        <v>0.64645958883753907</v>
      </c>
      <c r="AW27" s="72">
        <v>1.8835795709234056</v>
      </c>
      <c r="AX27" s="72">
        <v>0.2745432570652574</v>
      </c>
      <c r="AY27" s="72">
        <v>1.7521235687017054</v>
      </c>
      <c r="AZ27" s="72">
        <v>0.2692656680678025</v>
      </c>
      <c r="BA27" s="72">
        <v>4.4911993943711739</v>
      </c>
      <c r="BB27" s="72">
        <v>1.4751420270604454</v>
      </c>
      <c r="BC27" s="72">
        <v>1.8434058153320445</v>
      </c>
      <c r="BD27" s="72">
        <v>0.42757806304814094</v>
      </c>
      <c r="BE27" s="72">
        <v>14.578065715313537</v>
      </c>
      <c r="BF27" s="72">
        <v>0.39937451095431714</v>
      </c>
      <c r="BG27" s="72">
        <v>8.5241835972719411</v>
      </c>
      <c r="BH27" s="72">
        <v>2.1986295731659755</v>
      </c>
    </row>
    <row r="28" spans="1:60">
      <c r="B28" s="47" t="s">
        <v>703</v>
      </c>
      <c r="C28" s="72">
        <v>6.0005081990609677</v>
      </c>
      <c r="D28" s="72">
        <v>4.9700000000000006</v>
      </c>
      <c r="E28" s="72">
        <v>2.44306</v>
      </c>
      <c r="F28" s="72">
        <v>13.4</v>
      </c>
      <c r="G28" s="72">
        <v>2.0549999999999997</v>
      </c>
      <c r="H28" s="36">
        <v>7508</v>
      </c>
      <c r="I28" s="36">
        <v>15104</v>
      </c>
      <c r="J28" s="36">
        <v>78542.5</v>
      </c>
      <c r="K28" s="36">
        <v>532.5</v>
      </c>
      <c r="L28" s="36">
        <v>197.5</v>
      </c>
      <c r="M28" s="36">
        <v>14147</v>
      </c>
      <c r="N28" s="36">
        <v>9062</v>
      </c>
      <c r="O28" s="36">
        <v>4055.5</v>
      </c>
      <c r="P28" s="36">
        <v>116.7</v>
      </c>
      <c r="Q28" s="36">
        <v>582.05000000000007</v>
      </c>
      <c r="R28" s="36">
        <v>733.40000000000009</v>
      </c>
      <c r="S28" s="36">
        <v>53432.5</v>
      </c>
      <c r="T28" s="72">
        <v>42.304000000000002</v>
      </c>
      <c r="U28" s="72">
        <v>202.99</v>
      </c>
      <c r="V28" s="72">
        <v>49.28</v>
      </c>
      <c r="W28" s="72">
        <v>69.5</v>
      </c>
      <c r="X28" s="72">
        <v>15.48</v>
      </c>
      <c r="Y28" s="72">
        <v>10.100000000000001</v>
      </c>
      <c r="Z28" s="72">
        <v>0.48</v>
      </c>
      <c r="AA28" s="72">
        <v>68.174999999999997</v>
      </c>
      <c r="AB28" s="130">
        <v>138.05000000000001</v>
      </c>
      <c r="AC28" s="72">
        <v>18.409500000000001</v>
      </c>
      <c r="AD28" s="72">
        <v>165.73500000000001</v>
      </c>
      <c r="AE28" s="72">
        <v>27.084499999999998</v>
      </c>
      <c r="AF28" s="72">
        <v>1.58</v>
      </c>
      <c r="AG28" s="72">
        <v>8.6999999999999994E-2</v>
      </c>
      <c r="AH28" s="72">
        <v>9.5000000000000001E-2</v>
      </c>
      <c r="AI28" s="72">
        <v>1.8900000000000001</v>
      </c>
      <c r="AJ28" s="72">
        <v>0.63300000000000001</v>
      </c>
      <c r="AK28" s="72">
        <v>3.593</v>
      </c>
      <c r="AL28" s="130">
        <v>548.55000000000007</v>
      </c>
      <c r="AM28" s="72">
        <v>35.371000000000002</v>
      </c>
      <c r="AN28" s="72">
        <v>94.283999999999992</v>
      </c>
      <c r="AO28" s="72">
        <v>7.0924999999999994</v>
      </c>
      <c r="AP28" s="72">
        <v>26.560000000000002</v>
      </c>
      <c r="AQ28" s="72">
        <v>4.8680000000000003</v>
      </c>
      <c r="AR28" s="72">
        <v>1.0669999999999999</v>
      </c>
      <c r="AS28" s="72">
        <v>3.7615000000000003</v>
      </c>
      <c r="AT28" s="72">
        <v>0.58150000000000002</v>
      </c>
      <c r="AU28" s="72">
        <v>3.2574999999999998</v>
      </c>
      <c r="AV28" s="72">
        <v>0.65949999999999998</v>
      </c>
      <c r="AW28" s="72">
        <v>1.919</v>
      </c>
      <c r="AX28" s="72">
        <v>0.28050000000000003</v>
      </c>
      <c r="AY28" s="72">
        <v>1.7989999999999999</v>
      </c>
      <c r="AZ28" s="72">
        <v>0.27300000000000002</v>
      </c>
      <c r="BA28" s="72">
        <v>4.5389999999999997</v>
      </c>
      <c r="BB28" s="72">
        <v>1.5274999999999999</v>
      </c>
      <c r="BC28" s="72">
        <v>1.879</v>
      </c>
      <c r="BD28" s="72">
        <v>0.42799999999999999</v>
      </c>
      <c r="BE28" s="72">
        <v>14.600000000000001</v>
      </c>
      <c r="BF28" s="72">
        <v>0.42000000000000004</v>
      </c>
      <c r="BG28" s="72">
        <v>8.7285000000000004</v>
      </c>
      <c r="BH28" s="72">
        <v>2.226</v>
      </c>
    </row>
    <row r="29" spans="1:60">
      <c r="B29" s="47"/>
      <c r="H29" s="36"/>
      <c r="I29" s="36"/>
      <c r="J29" s="36"/>
      <c r="K29" s="36"/>
      <c r="L29" s="36"/>
      <c r="M29" s="36"/>
      <c r="N29" s="36"/>
      <c r="O29" s="36"/>
      <c r="P29" s="36"/>
      <c r="Q29" s="36"/>
      <c r="R29" s="36"/>
      <c r="S29" s="36"/>
      <c r="AL29" s="130"/>
    </row>
    <row r="30" spans="1:60">
      <c r="A30" s="25" t="s">
        <v>897</v>
      </c>
      <c r="B30" s="47" t="s">
        <v>697</v>
      </c>
      <c r="C30" s="72">
        <v>0.47403349836723541</v>
      </c>
      <c r="D30" s="72">
        <v>5.8</v>
      </c>
      <c r="E30" s="72">
        <v>3.0255999999999998</v>
      </c>
      <c r="F30" s="72">
        <v>6.6</v>
      </c>
      <c r="G30" s="72">
        <v>0.45</v>
      </c>
      <c r="H30" s="36">
        <v>2653</v>
      </c>
      <c r="I30" s="36">
        <v>1295</v>
      </c>
      <c r="J30" s="36">
        <v>13904</v>
      </c>
      <c r="K30" s="36">
        <v>98</v>
      </c>
      <c r="L30" s="36">
        <v>28</v>
      </c>
      <c r="M30" s="36">
        <v>3927</v>
      </c>
      <c r="N30" s="36">
        <v>1521</v>
      </c>
      <c r="O30" s="36">
        <v>770.2</v>
      </c>
      <c r="P30" s="36">
        <v>23.7</v>
      </c>
      <c r="Q30" s="36">
        <v>51.6</v>
      </c>
      <c r="R30" s="36">
        <v>159.5</v>
      </c>
      <c r="S30" s="36">
        <v>10716</v>
      </c>
      <c r="T30" s="72">
        <v>9.7769999999999992</v>
      </c>
      <c r="U30" s="72">
        <v>11.44</v>
      </c>
      <c r="V30" s="72">
        <v>8.83</v>
      </c>
      <c r="W30" s="72">
        <v>21</v>
      </c>
      <c r="X30" s="72">
        <v>2.71</v>
      </c>
      <c r="Y30" s="72">
        <v>10.199999999999999</v>
      </c>
      <c r="Z30" s="72">
        <v>0.06</v>
      </c>
      <c r="AA30" s="72">
        <v>15.58</v>
      </c>
      <c r="AB30" s="72">
        <v>33.950000000000003</v>
      </c>
      <c r="AC30" s="72">
        <v>3.5030000000000001</v>
      </c>
      <c r="AD30" s="72">
        <v>28.21</v>
      </c>
      <c r="AE30" s="72">
        <v>5.694</v>
      </c>
      <c r="AF30" s="72">
        <v>0.8</v>
      </c>
      <c r="AG30" s="72">
        <v>4.8000000000000001E-2</v>
      </c>
      <c r="AH30" s="72">
        <v>3.9E-2</v>
      </c>
      <c r="AI30" s="72">
        <v>0.28000000000000003</v>
      </c>
      <c r="AJ30" s="72">
        <v>0.218</v>
      </c>
      <c r="AK30" s="72">
        <v>0.53800000000000003</v>
      </c>
      <c r="AL30" s="130">
        <v>161.80000000000001</v>
      </c>
      <c r="AM30" s="72">
        <v>7.4429999999999996</v>
      </c>
      <c r="AN30" s="72">
        <v>27.907</v>
      </c>
      <c r="AO30" s="72">
        <v>1.659</v>
      </c>
      <c r="AP30" s="72">
        <v>6.21</v>
      </c>
      <c r="AQ30" s="72">
        <v>1.1619999999999999</v>
      </c>
      <c r="AR30" s="72">
        <v>0.25700000000000001</v>
      </c>
      <c r="AS30" s="72">
        <v>0.91</v>
      </c>
      <c r="AT30" s="72">
        <v>0.13400000000000001</v>
      </c>
      <c r="AU30" s="72">
        <v>0.72799999999999998</v>
      </c>
      <c r="AV30" s="72">
        <v>0.13500000000000001</v>
      </c>
      <c r="AW30" s="72">
        <v>0.38800000000000001</v>
      </c>
      <c r="AX30" s="72">
        <v>0.06</v>
      </c>
      <c r="AY30" s="72">
        <v>0.376</v>
      </c>
      <c r="AZ30" s="72">
        <v>4.7E-2</v>
      </c>
      <c r="BA30" s="72">
        <v>0.77900000000000003</v>
      </c>
      <c r="BB30" s="72">
        <v>0.41799999999999998</v>
      </c>
      <c r="BC30" s="72">
        <v>0.94399999999999995</v>
      </c>
      <c r="BD30" s="72">
        <v>0.128</v>
      </c>
      <c r="BE30" s="72">
        <v>13.6</v>
      </c>
      <c r="BF30" s="72">
        <v>0.2</v>
      </c>
      <c r="BG30" s="72">
        <v>2.355</v>
      </c>
      <c r="BH30" s="72">
        <v>0.64100000000000001</v>
      </c>
    </row>
    <row r="31" spans="1:60">
      <c r="B31" s="47" t="s">
        <v>698</v>
      </c>
      <c r="C31" s="72">
        <v>4.8529095984540733</v>
      </c>
      <c r="D31" s="72">
        <v>6.93</v>
      </c>
      <c r="E31" s="72">
        <v>7.2234099999999994</v>
      </c>
      <c r="F31" s="72">
        <v>16.399999999999999</v>
      </c>
      <c r="G31" s="72">
        <v>2.2000000000000002</v>
      </c>
      <c r="H31" s="36">
        <v>23183</v>
      </c>
      <c r="I31" s="36">
        <v>15629</v>
      </c>
      <c r="J31" s="36">
        <v>84086</v>
      </c>
      <c r="K31" s="36">
        <v>709</v>
      </c>
      <c r="L31" s="36">
        <v>382</v>
      </c>
      <c r="M31" s="36">
        <v>17467</v>
      </c>
      <c r="N31" s="36">
        <v>10825</v>
      </c>
      <c r="O31" s="36">
        <v>4056.9</v>
      </c>
      <c r="P31" s="36">
        <v>184.9</v>
      </c>
      <c r="Q31" s="36">
        <v>1150</v>
      </c>
      <c r="R31" s="36">
        <v>1945.2</v>
      </c>
      <c r="S31" s="36">
        <v>77997</v>
      </c>
      <c r="T31" s="72">
        <v>72.795000000000002</v>
      </c>
      <c r="U31" s="72">
        <v>204.55</v>
      </c>
      <c r="V31" s="72">
        <v>57.04</v>
      </c>
      <c r="W31" s="72">
        <v>86</v>
      </c>
      <c r="X31" s="72">
        <v>15.03</v>
      </c>
      <c r="Y31" s="72">
        <v>169.6</v>
      </c>
      <c r="Z31" s="72">
        <v>0.55000000000000004</v>
      </c>
      <c r="AA31" s="72">
        <v>66.819999999999993</v>
      </c>
      <c r="AB31" s="72">
        <v>276.41000000000003</v>
      </c>
      <c r="AC31" s="72">
        <v>18.420000000000002</v>
      </c>
      <c r="AD31" s="72">
        <v>172.59</v>
      </c>
      <c r="AE31" s="72">
        <v>31.7</v>
      </c>
      <c r="AF31" s="72">
        <v>2.71</v>
      </c>
      <c r="AG31" s="72">
        <v>0.78700000000000003</v>
      </c>
      <c r="AH31" s="72">
        <v>0.158</v>
      </c>
      <c r="AI31" s="72">
        <v>4.08</v>
      </c>
      <c r="AJ31" s="72">
        <v>1.1339999999999999</v>
      </c>
      <c r="AK31" s="72">
        <v>2.3879999999999999</v>
      </c>
      <c r="AL31" s="130">
        <v>750.63</v>
      </c>
      <c r="AM31" s="72">
        <v>38.485999999999997</v>
      </c>
      <c r="AN31" s="72">
        <v>104.923</v>
      </c>
      <c r="AO31" s="72">
        <v>9.1440000000000001</v>
      </c>
      <c r="AP31" s="72">
        <v>35.04</v>
      </c>
      <c r="AQ31" s="72">
        <v>6.1820000000000004</v>
      </c>
      <c r="AR31" s="72">
        <v>1.452</v>
      </c>
      <c r="AS31" s="72">
        <v>4.1689999999999996</v>
      </c>
      <c r="AT31" s="72">
        <v>0.58099999999999996</v>
      </c>
      <c r="AU31" s="72">
        <v>3.3610000000000002</v>
      </c>
      <c r="AV31" s="72">
        <v>0.70599999999999996</v>
      </c>
      <c r="AW31" s="72">
        <v>1.9410000000000001</v>
      </c>
      <c r="AX31" s="72">
        <v>0.29699999999999999</v>
      </c>
      <c r="AY31" s="72">
        <v>1.8839999999999999</v>
      </c>
      <c r="AZ31" s="72">
        <v>0.28199999999999997</v>
      </c>
      <c r="BA31" s="72">
        <v>4.4649999999999999</v>
      </c>
      <c r="BB31" s="72">
        <v>1.696</v>
      </c>
      <c r="BC31" s="72">
        <v>10.016</v>
      </c>
      <c r="BD31" s="72">
        <v>0.442</v>
      </c>
      <c r="BE31" s="72">
        <v>41.8</v>
      </c>
      <c r="BF31" s="72">
        <v>3.81</v>
      </c>
      <c r="BG31" s="72">
        <v>6.94</v>
      </c>
      <c r="BH31" s="72">
        <v>2.125</v>
      </c>
    </row>
    <row r="32" spans="1:60">
      <c r="B32" s="47" t="s">
        <v>699</v>
      </c>
      <c r="C32" s="72">
        <v>0.84953607284116328</v>
      </c>
      <c r="D32" s="72">
        <v>5.9749999999999996</v>
      </c>
      <c r="E32" s="72">
        <v>3.2181487500000001</v>
      </c>
      <c r="F32" s="72">
        <v>9.9250000000000007</v>
      </c>
      <c r="G32" s="72">
        <v>0.57499999999999996</v>
      </c>
      <c r="H32" s="36">
        <v>3482.75</v>
      </c>
      <c r="I32" s="36">
        <v>2341</v>
      </c>
      <c r="J32" s="36">
        <v>29552.25</v>
      </c>
      <c r="K32" s="36">
        <v>148.5</v>
      </c>
      <c r="L32" s="36">
        <v>50.25</v>
      </c>
      <c r="M32" s="36">
        <v>10058.5</v>
      </c>
      <c r="N32" s="36">
        <v>3808</v>
      </c>
      <c r="O32" s="36">
        <v>1107.325</v>
      </c>
      <c r="P32" s="36">
        <v>36.375</v>
      </c>
      <c r="Q32" s="36">
        <v>111</v>
      </c>
      <c r="R32" s="36">
        <v>841.25</v>
      </c>
      <c r="S32" s="36">
        <v>15688.5</v>
      </c>
      <c r="T32" s="72">
        <v>23.232999999999997</v>
      </c>
      <c r="U32" s="72">
        <v>39.864999999999995</v>
      </c>
      <c r="V32" s="72">
        <v>13.8125</v>
      </c>
      <c r="W32" s="72">
        <v>26.25</v>
      </c>
      <c r="X32" s="72">
        <v>5.7925000000000004</v>
      </c>
      <c r="Y32" s="72">
        <v>17.024999999999999</v>
      </c>
      <c r="Z32" s="72">
        <v>0.10500000000000001</v>
      </c>
      <c r="AA32" s="72">
        <v>38.702500000000001</v>
      </c>
      <c r="AB32" s="72">
        <v>69.88</v>
      </c>
      <c r="AC32" s="72">
        <v>5.6489999999999991</v>
      </c>
      <c r="AD32" s="72">
        <v>52.005000000000003</v>
      </c>
      <c r="AE32" s="72">
        <v>6.1047499999999992</v>
      </c>
      <c r="AF32" s="72">
        <v>0.88</v>
      </c>
      <c r="AG32" s="72">
        <v>0.16299999999999998</v>
      </c>
      <c r="AH32" s="72">
        <v>5.475E-2</v>
      </c>
      <c r="AI32" s="72">
        <v>0.60499999999999998</v>
      </c>
      <c r="AJ32" s="72">
        <v>0.30700000000000005</v>
      </c>
      <c r="AK32" s="72">
        <v>1.31325</v>
      </c>
      <c r="AL32" s="130">
        <v>289.41000000000003</v>
      </c>
      <c r="AM32" s="72">
        <v>15.4125</v>
      </c>
      <c r="AN32" s="72">
        <v>43.865000000000002</v>
      </c>
      <c r="AO32" s="72">
        <v>3.1470000000000002</v>
      </c>
      <c r="AP32" s="72">
        <v>11.212499999999999</v>
      </c>
      <c r="AQ32" s="72">
        <v>2.0077500000000001</v>
      </c>
      <c r="AR32" s="72">
        <v>0.38650000000000001</v>
      </c>
      <c r="AS32" s="72">
        <v>1.4225000000000001</v>
      </c>
      <c r="AT32" s="72">
        <v>0.21124999999999999</v>
      </c>
      <c r="AU32" s="72">
        <v>1.10175</v>
      </c>
      <c r="AV32" s="72">
        <v>0.22450000000000001</v>
      </c>
      <c r="AW32" s="72">
        <v>0.62725000000000009</v>
      </c>
      <c r="AX32" s="72">
        <v>9.5750000000000002E-2</v>
      </c>
      <c r="AY32" s="72">
        <v>0.66425000000000001</v>
      </c>
      <c r="AZ32" s="72">
        <v>0.107</v>
      </c>
      <c r="BA32" s="72">
        <v>1.5782499999999999</v>
      </c>
      <c r="BB32" s="72">
        <v>0.44424999999999998</v>
      </c>
      <c r="BC32" s="72">
        <v>1.4972500000000002</v>
      </c>
      <c r="BD32" s="72">
        <v>0.24425000000000002</v>
      </c>
      <c r="BE32" s="72">
        <v>15.025</v>
      </c>
      <c r="BF32" s="72">
        <v>0.41249999999999998</v>
      </c>
      <c r="BG32" s="72">
        <v>5.1895000000000007</v>
      </c>
      <c r="BH32" s="72">
        <v>1.415</v>
      </c>
    </row>
    <row r="33" spans="1:60">
      <c r="B33" s="47" t="s">
        <v>700</v>
      </c>
      <c r="C33" s="72">
        <v>1.4611530099357553</v>
      </c>
      <c r="D33" s="72">
        <v>6.3049999999999997</v>
      </c>
      <c r="E33" s="72">
        <v>3.8589725000000001</v>
      </c>
      <c r="F33" s="72">
        <v>12.35</v>
      </c>
      <c r="G33" s="72">
        <v>1.3399999999999999</v>
      </c>
      <c r="H33" s="36">
        <v>6958</v>
      </c>
      <c r="I33" s="36">
        <v>7873</v>
      </c>
      <c r="J33" s="36">
        <v>55742.5</v>
      </c>
      <c r="K33" s="36">
        <v>375</v>
      </c>
      <c r="L33" s="36">
        <v>91.5</v>
      </c>
      <c r="M33" s="36">
        <v>15601</v>
      </c>
      <c r="N33" s="36">
        <v>7572</v>
      </c>
      <c r="O33" s="36">
        <v>2588</v>
      </c>
      <c r="P33" s="36">
        <v>98.85</v>
      </c>
      <c r="Q33" s="36">
        <v>212.75</v>
      </c>
      <c r="R33" s="36">
        <v>1165.3499999999999</v>
      </c>
      <c r="S33" s="36">
        <v>35715.5</v>
      </c>
      <c r="T33" s="72">
        <v>42.361999999999995</v>
      </c>
      <c r="U33" s="72">
        <v>76.58</v>
      </c>
      <c r="V33" s="72">
        <v>35.61</v>
      </c>
      <c r="W33" s="72">
        <v>54.5</v>
      </c>
      <c r="X33" s="72">
        <v>10.86</v>
      </c>
      <c r="Y33" s="72">
        <v>62.4</v>
      </c>
      <c r="Z33" s="72">
        <v>0.125</v>
      </c>
      <c r="AA33" s="72">
        <v>58.120000000000005</v>
      </c>
      <c r="AB33" s="72">
        <v>156.69</v>
      </c>
      <c r="AC33" s="72">
        <v>11.199</v>
      </c>
      <c r="AD33" s="72">
        <v>91.84</v>
      </c>
      <c r="AE33" s="72">
        <v>9.2134999999999998</v>
      </c>
      <c r="AF33" s="72">
        <v>1.04</v>
      </c>
      <c r="AG33" s="72">
        <v>0.247</v>
      </c>
      <c r="AH33" s="72">
        <v>7.5999999999999998E-2</v>
      </c>
      <c r="AI33" s="72">
        <v>0.91</v>
      </c>
      <c r="AJ33" s="72">
        <v>0.52</v>
      </c>
      <c r="AK33" s="72">
        <v>1.5979999999999999</v>
      </c>
      <c r="AL33" s="130">
        <v>520.67499999999995</v>
      </c>
      <c r="AM33" s="72">
        <v>23.904</v>
      </c>
      <c r="AN33" s="72">
        <v>72.437000000000012</v>
      </c>
      <c r="AO33" s="72">
        <v>5.2095000000000002</v>
      </c>
      <c r="AP33" s="72">
        <v>19.655000000000001</v>
      </c>
      <c r="AQ33" s="72">
        <v>3.5990000000000002</v>
      </c>
      <c r="AR33" s="72">
        <v>0.79699999999999993</v>
      </c>
      <c r="AS33" s="72">
        <v>2.6225000000000001</v>
      </c>
      <c r="AT33" s="72">
        <v>0.39500000000000002</v>
      </c>
      <c r="AU33" s="72">
        <v>2.0699999999999998</v>
      </c>
      <c r="AV33" s="72">
        <v>0.42600000000000005</v>
      </c>
      <c r="AW33" s="72">
        <v>1.1815</v>
      </c>
      <c r="AX33" s="72">
        <v>0.18099999999999999</v>
      </c>
      <c r="AY33" s="72">
        <v>1.1125</v>
      </c>
      <c r="AZ33" s="72">
        <v>0.17449999999999999</v>
      </c>
      <c r="BA33" s="72">
        <v>2.613</v>
      </c>
      <c r="BB33" s="72">
        <v>0.58299999999999996</v>
      </c>
      <c r="BC33" s="72">
        <v>3.1820000000000004</v>
      </c>
      <c r="BD33" s="72">
        <v>0.30500000000000005</v>
      </c>
      <c r="BE33" s="72">
        <v>17.95</v>
      </c>
      <c r="BF33" s="72">
        <v>0.56000000000000005</v>
      </c>
      <c r="BG33" s="72">
        <v>6.3109999999999999</v>
      </c>
      <c r="BH33" s="72">
        <v>1.5705</v>
      </c>
    </row>
    <row r="34" spans="1:60">
      <c r="B34" s="47" t="s">
        <v>701</v>
      </c>
      <c r="C34" s="72">
        <v>4.4312249102728103</v>
      </c>
      <c r="D34" s="72">
        <v>6.8574999999999999</v>
      </c>
      <c r="E34" s="72">
        <v>6.9035049999999991</v>
      </c>
      <c r="F34" s="72">
        <v>15.875</v>
      </c>
      <c r="G34" s="72">
        <v>2.145</v>
      </c>
      <c r="H34" s="36">
        <v>20763.25</v>
      </c>
      <c r="I34" s="36">
        <v>15346.75</v>
      </c>
      <c r="J34" s="36">
        <v>80831.75</v>
      </c>
      <c r="K34" s="36">
        <v>663.75</v>
      </c>
      <c r="L34" s="36">
        <v>322</v>
      </c>
      <c r="M34" s="36">
        <v>17194</v>
      </c>
      <c r="N34" s="36">
        <v>10601</v>
      </c>
      <c r="O34" s="36">
        <v>4007.625</v>
      </c>
      <c r="P34" s="36">
        <v>173.375</v>
      </c>
      <c r="Q34" s="36">
        <v>927.8</v>
      </c>
      <c r="R34" s="36">
        <v>1850.325</v>
      </c>
      <c r="S34" s="36">
        <v>71055.5</v>
      </c>
      <c r="T34" s="72">
        <v>67.993750000000006</v>
      </c>
      <c r="U34" s="72">
        <v>184.05</v>
      </c>
      <c r="V34" s="72">
        <v>56.8675</v>
      </c>
      <c r="W34" s="72">
        <v>85.75</v>
      </c>
      <c r="X34" s="72">
        <v>14.844999999999999</v>
      </c>
      <c r="Y34" s="72">
        <v>155.39999999999998</v>
      </c>
      <c r="Z34" s="72">
        <v>0.47250000000000003</v>
      </c>
      <c r="AA34" s="72">
        <v>66.41749999999999</v>
      </c>
      <c r="AB34" s="72">
        <v>261.18</v>
      </c>
      <c r="AC34" s="72">
        <v>17.401500000000002</v>
      </c>
      <c r="AD34" s="72">
        <v>160.30500000000001</v>
      </c>
      <c r="AE34" s="72">
        <v>26.71275</v>
      </c>
      <c r="AF34" s="72">
        <v>2.3025000000000002</v>
      </c>
      <c r="AG34" s="72">
        <v>0.73575000000000002</v>
      </c>
      <c r="AH34" s="72">
        <v>0.14724999999999999</v>
      </c>
      <c r="AI34" s="72">
        <v>3.3574999999999999</v>
      </c>
      <c r="AJ34" s="72">
        <v>1.0562499999999999</v>
      </c>
      <c r="AK34" s="72">
        <v>2.2309999999999999</v>
      </c>
      <c r="AL34" s="130">
        <v>727.06</v>
      </c>
      <c r="AM34" s="72">
        <v>36.734749999999998</v>
      </c>
      <c r="AN34" s="72">
        <v>103.18925</v>
      </c>
      <c r="AO34" s="72">
        <v>8.5287500000000005</v>
      </c>
      <c r="AP34" s="72">
        <v>32.717500000000001</v>
      </c>
      <c r="AQ34" s="72">
        <v>5.7940000000000005</v>
      </c>
      <c r="AR34" s="72">
        <v>1.369</v>
      </c>
      <c r="AS34" s="72">
        <v>4.0729999999999995</v>
      </c>
      <c r="AT34" s="72">
        <v>0.57199999999999995</v>
      </c>
      <c r="AU34" s="72">
        <v>3.21475</v>
      </c>
      <c r="AV34" s="72">
        <v>0.66300000000000003</v>
      </c>
      <c r="AW34" s="72">
        <v>1.8322500000000002</v>
      </c>
      <c r="AX34" s="72">
        <v>0.27775</v>
      </c>
      <c r="AY34" s="72">
        <v>1.7607499999999998</v>
      </c>
      <c r="AZ34" s="72">
        <v>0.26174999999999998</v>
      </c>
      <c r="BA34" s="72">
        <v>4.2577499999999997</v>
      </c>
      <c r="BB34" s="72">
        <v>1.4722499999999998</v>
      </c>
      <c r="BC34" s="72">
        <v>9.1374999999999993</v>
      </c>
      <c r="BD34" s="72">
        <v>0.42125000000000001</v>
      </c>
      <c r="BE34" s="72">
        <v>40.474999999999994</v>
      </c>
      <c r="BF34" s="72">
        <v>3.0999999999999996</v>
      </c>
      <c r="BG34" s="72">
        <v>6.9072500000000003</v>
      </c>
      <c r="BH34" s="72">
        <v>2.0910000000000002</v>
      </c>
    </row>
    <row r="35" spans="1:60">
      <c r="B35" s="47" t="s">
        <v>702</v>
      </c>
      <c r="C35" s="72">
        <v>1.4959411920737762</v>
      </c>
      <c r="D35" s="72">
        <v>6.3055517545525754</v>
      </c>
      <c r="E35" s="72">
        <v>4.2547746441926471</v>
      </c>
      <c r="F35" s="72">
        <v>11.411793587808143</v>
      </c>
      <c r="G35" s="72">
        <v>1.0669016356625403</v>
      </c>
      <c r="H35" s="36">
        <v>6915.8437329710041</v>
      </c>
      <c r="I35" s="36">
        <v>5393.3107031007185</v>
      </c>
      <c r="J35" s="36">
        <v>42821.928099346995</v>
      </c>
      <c r="K35" s="36">
        <v>284.76447070437621</v>
      </c>
      <c r="L35" s="36">
        <v>89.38464428911</v>
      </c>
      <c r="M35" s="36">
        <v>11490.35050780971</v>
      </c>
      <c r="N35" s="36">
        <v>5429.2534859420421</v>
      </c>
      <c r="O35" s="36">
        <v>2004.5511700581621</v>
      </c>
      <c r="P35" s="36">
        <v>72.315024825086013</v>
      </c>
      <c r="Q35" s="36">
        <v>194.63656302087645</v>
      </c>
      <c r="R35" s="36">
        <v>894.56987489902622</v>
      </c>
      <c r="S35" s="36">
        <v>29079.83538279713</v>
      </c>
      <c r="T35" s="72">
        <v>32.860758898279826</v>
      </c>
      <c r="U35" s="72">
        <v>61.404958266861186</v>
      </c>
      <c r="V35" s="72">
        <v>26.19188308873462</v>
      </c>
      <c r="W35" s="72">
        <v>45.468916574480509</v>
      </c>
      <c r="X35" s="72">
        <v>8.2876684515747154</v>
      </c>
      <c r="Y35" s="72">
        <v>43.277912732855498</v>
      </c>
      <c r="Z35" s="72">
        <v>0.15204598740976008</v>
      </c>
      <c r="AA35" s="72">
        <v>44.32398127908894</v>
      </c>
      <c r="AB35" s="72">
        <v>114.27256420113262</v>
      </c>
      <c r="AC35" s="72">
        <v>8.954041117437173</v>
      </c>
      <c r="AD35" s="72">
        <v>77.73722967157552</v>
      </c>
      <c r="AE35" s="72">
        <v>9.9739713640127512</v>
      </c>
      <c r="AF35" s="72">
        <v>1.1317867577487217</v>
      </c>
      <c r="AG35" s="72">
        <v>0.23957698141571396</v>
      </c>
      <c r="AH35" s="72">
        <v>7.6925198547150492E-2</v>
      </c>
      <c r="AI35" s="72">
        <v>0.92109315838294825</v>
      </c>
      <c r="AJ35" s="72">
        <v>0.49321978156233082</v>
      </c>
      <c r="AK35" s="72">
        <v>1.3866534078520005</v>
      </c>
      <c r="AL35" s="130">
        <v>411.07467666233833</v>
      </c>
      <c r="AM35" s="72">
        <v>20.320449126021913</v>
      </c>
      <c r="AN35" s="72">
        <v>61.291371210674043</v>
      </c>
      <c r="AO35" s="72">
        <v>4.4210953938265245</v>
      </c>
      <c r="AP35" s="72">
        <v>16.531008988149122</v>
      </c>
      <c r="AQ35" s="72">
        <v>2.9935121493186605</v>
      </c>
      <c r="AR35" s="72">
        <v>0.65551929200765713</v>
      </c>
      <c r="AS35" s="72">
        <v>2.2064415994758675</v>
      </c>
      <c r="AT35" s="72">
        <v>0.32312423130651607</v>
      </c>
      <c r="AU35" s="72">
        <v>1.7193253050801365</v>
      </c>
      <c r="AV35" s="72">
        <v>0.34427158447215334</v>
      </c>
      <c r="AW35" s="72">
        <v>0.96268038036909231</v>
      </c>
      <c r="AX35" s="72">
        <v>0.14604896238462423</v>
      </c>
      <c r="AY35" s="72">
        <v>0.93708165573824842</v>
      </c>
      <c r="AZ35" s="72">
        <v>0.13907401665845948</v>
      </c>
      <c r="BA35" s="72">
        <v>2.2133255049581053</v>
      </c>
      <c r="BB35" s="72">
        <v>0.65720849231712619</v>
      </c>
      <c r="BC35" s="72">
        <v>2.9803361468178791</v>
      </c>
      <c r="BD35" s="72">
        <v>0.27532954372344248</v>
      </c>
      <c r="BE35" s="72">
        <v>21.457452055827169</v>
      </c>
      <c r="BF35" s="72">
        <v>0.66393418515223435</v>
      </c>
      <c r="BG35" s="72">
        <v>5.2690267286448167</v>
      </c>
      <c r="BH35" s="72">
        <v>1.4515359219893236</v>
      </c>
    </row>
    <row r="36" spans="1:60">
      <c r="B36" s="47" t="s">
        <v>703</v>
      </c>
      <c r="C36" s="72">
        <v>2.0339462735231089</v>
      </c>
      <c r="D36" s="72">
        <v>6.3183333333333325</v>
      </c>
      <c r="E36" s="72">
        <v>4.4978791666666664</v>
      </c>
      <c r="F36" s="72">
        <v>11.9</v>
      </c>
      <c r="G36" s="72">
        <v>1.3</v>
      </c>
      <c r="H36" s="36">
        <v>9359.1666666666661</v>
      </c>
      <c r="I36" s="36">
        <v>8155.833333333333</v>
      </c>
      <c r="J36" s="36">
        <v>51006.5</v>
      </c>
      <c r="K36" s="36">
        <v>368.16666666666669</v>
      </c>
      <c r="L36" s="36">
        <v>129.33333333333334</v>
      </c>
      <c r="M36" s="36">
        <v>12900.833333333334</v>
      </c>
      <c r="N36" s="36">
        <v>6694.666666666667</v>
      </c>
      <c r="O36" s="36">
        <v>2462.6833333333338</v>
      </c>
      <c r="P36" s="36">
        <v>95.566666666666663</v>
      </c>
      <c r="Q36" s="36">
        <v>327.63333333333333</v>
      </c>
      <c r="R36" s="36">
        <v>1133.8499999999999</v>
      </c>
      <c r="S36" s="36">
        <v>37081.333333333336</v>
      </c>
      <c r="T36" s="72">
        <v>39.93483333333333</v>
      </c>
      <c r="U36" s="72">
        <v>87.613333333333344</v>
      </c>
      <c r="V36" s="72">
        <v>34.463333333333331</v>
      </c>
      <c r="W36" s="72">
        <v>54.5</v>
      </c>
      <c r="X36" s="72">
        <v>9.8183333333333334</v>
      </c>
      <c r="Y36" s="72">
        <v>72.233333333333334</v>
      </c>
      <c r="Z36" s="72">
        <v>0.20000000000000004</v>
      </c>
      <c r="AA36" s="72">
        <v>49.498333333333328</v>
      </c>
      <c r="AB36" s="72">
        <v>147.39500000000001</v>
      </c>
      <c r="AC36" s="72">
        <v>10.568</v>
      </c>
      <c r="AD36" s="72">
        <v>92.771666666666661</v>
      </c>
      <c r="AE36" s="72">
        <v>12.244999999999999</v>
      </c>
      <c r="AF36" s="72">
        <v>1.25</v>
      </c>
      <c r="AG36" s="72">
        <v>0.34216666666666667</v>
      </c>
      <c r="AH36" s="72">
        <v>8.6333333333333331E-2</v>
      </c>
      <c r="AI36" s="72">
        <v>1.3233333333333335</v>
      </c>
      <c r="AJ36" s="72">
        <v>0.58216666666666661</v>
      </c>
      <c r="AK36" s="72">
        <v>1.5189999999999999</v>
      </c>
      <c r="AL36" s="130">
        <v>472.41500000000002</v>
      </c>
      <c r="AM36" s="72">
        <v>23.301333333333332</v>
      </c>
      <c r="AN36" s="72">
        <v>68.492999999999995</v>
      </c>
      <c r="AO36" s="72">
        <v>5.1358333333333333</v>
      </c>
      <c r="AP36" s="72">
        <v>19.416666666666664</v>
      </c>
      <c r="AQ36" s="72">
        <v>3.4961666666666669</v>
      </c>
      <c r="AR36" s="72">
        <v>0.79133333333333333</v>
      </c>
      <c r="AS36" s="72">
        <v>2.5634999999999999</v>
      </c>
      <c r="AT36" s="72">
        <v>0.3725</v>
      </c>
      <c r="AU36" s="72">
        <v>1.9901666666666664</v>
      </c>
      <c r="AV36" s="72">
        <v>0.40299999999999986</v>
      </c>
      <c r="AW36" s="72">
        <v>1.1208333333333333</v>
      </c>
      <c r="AX36" s="72">
        <v>0.16949999999999998</v>
      </c>
      <c r="AY36" s="72">
        <v>1.0736666666666668</v>
      </c>
      <c r="AZ36" s="72">
        <v>0.1615</v>
      </c>
      <c r="BA36" s="72">
        <v>2.5963333333333334</v>
      </c>
      <c r="BB36" s="72">
        <v>0.7513333333333333</v>
      </c>
      <c r="BC36" s="72">
        <v>4.1711666666666671</v>
      </c>
      <c r="BD36" s="72">
        <v>0.29516666666666663</v>
      </c>
      <c r="BE36" s="72">
        <v>23.783333333333335</v>
      </c>
      <c r="BF36" s="72">
        <v>1.0783333333333334</v>
      </c>
      <c r="BG36" s="72">
        <v>5.5923333333333334</v>
      </c>
      <c r="BH36" s="72">
        <v>1.5513333333333332</v>
      </c>
    </row>
    <row r="37" spans="1:60">
      <c r="B37" s="47"/>
      <c r="C37" s="72"/>
      <c r="D37" s="72"/>
      <c r="E37" s="72"/>
      <c r="F37" s="72"/>
      <c r="G37" s="72"/>
      <c r="H37" s="36"/>
      <c r="I37" s="36"/>
      <c r="J37" s="36"/>
      <c r="K37" s="36"/>
      <c r="L37" s="36"/>
      <c r="M37" s="36"/>
      <c r="N37" s="36"/>
      <c r="O37" s="36"/>
      <c r="P37" s="36"/>
      <c r="Q37" s="36"/>
      <c r="R37" s="36"/>
      <c r="S37" s="36"/>
      <c r="T37" s="72"/>
      <c r="U37" s="72"/>
      <c r="V37" s="72"/>
      <c r="W37" s="72"/>
      <c r="X37" s="72"/>
      <c r="Y37" s="72"/>
      <c r="Z37" s="72"/>
      <c r="AA37" s="72"/>
      <c r="AB37" s="72"/>
      <c r="AC37" s="72"/>
      <c r="AD37" s="72"/>
      <c r="AE37" s="72"/>
      <c r="AF37" s="72"/>
      <c r="AG37" s="72"/>
      <c r="AH37" s="72"/>
      <c r="AI37" s="72"/>
      <c r="AJ37" s="72"/>
      <c r="AK37" s="72"/>
      <c r="AL37" s="130"/>
      <c r="AM37" s="72"/>
      <c r="AN37" s="72"/>
      <c r="AO37" s="72"/>
      <c r="AP37" s="72"/>
      <c r="AQ37" s="72"/>
      <c r="AR37" s="72"/>
      <c r="AS37" s="72"/>
      <c r="AT37" s="72"/>
      <c r="AU37" s="72"/>
      <c r="AV37" s="72"/>
      <c r="AW37" s="72"/>
      <c r="AX37" s="72"/>
      <c r="AY37" s="72"/>
      <c r="AZ37" s="72"/>
      <c r="BA37" s="72"/>
      <c r="BB37" s="72"/>
      <c r="BC37" s="72"/>
      <c r="BD37" s="72"/>
      <c r="BE37" s="72"/>
      <c r="BF37" s="72"/>
      <c r="BG37" s="72"/>
      <c r="BH37" s="72"/>
    </row>
    <row r="38" spans="1:60">
      <c r="A38" s="25" t="s">
        <v>898</v>
      </c>
      <c r="B38" s="47" t="s">
        <v>697</v>
      </c>
      <c r="C38" s="138">
        <v>1.5968248107810872</v>
      </c>
      <c r="D38" s="138">
        <v>4.57</v>
      </c>
      <c r="E38" s="138">
        <v>1.6597500000000001</v>
      </c>
      <c r="F38" s="138">
        <v>4.5999999999999996</v>
      </c>
      <c r="G38" s="138">
        <v>0.96</v>
      </c>
      <c r="H38" s="301">
        <v>5615</v>
      </c>
      <c r="I38" s="301">
        <v>1945</v>
      </c>
      <c r="J38" s="301">
        <v>29459</v>
      </c>
      <c r="K38" s="301">
        <v>169</v>
      </c>
      <c r="L38" s="301">
        <v>39</v>
      </c>
      <c r="M38" s="301">
        <v>11707</v>
      </c>
      <c r="N38" s="301">
        <v>2397</v>
      </c>
      <c r="O38" s="301">
        <v>1395.7</v>
      </c>
      <c r="P38" s="301">
        <v>57</v>
      </c>
      <c r="Q38" s="301">
        <v>55.5</v>
      </c>
      <c r="R38" s="301">
        <v>327.8</v>
      </c>
      <c r="S38" s="301">
        <v>21155</v>
      </c>
      <c r="T38" s="138">
        <v>9.6280000000000001</v>
      </c>
      <c r="U38" s="138">
        <v>13.42</v>
      </c>
      <c r="V38" s="138">
        <v>10.84</v>
      </c>
      <c r="W38" s="138">
        <v>23</v>
      </c>
      <c r="X38" s="138">
        <v>5.87</v>
      </c>
      <c r="Y38" s="138">
        <v>1.7</v>
      </c>
      <c r="Z38" s="138">
        <v>0.21</v>
      </c>
      <c r="AA38" s="138">
        <v>37.19</v>
      </c>
      <c r="AB38" s="300">
        <v>82.74</v>
      </c>
      <c r="AC38" s="138">
        <v>6.9729999999999999</v>
      </c>
      <c r="AD38" s="300">
        <v>68.94</v>
      </c>
      <c r="AE38" s="138">
        <v>5.484</v>
      </c>
      <c r="AF38" s="138">
        <v>1</v>
      </c>
      <c r="AG38" s="138">
        <v>4.9000000000000002E-2</v>
      </c>
      <c r="AH38" s="138">
        <v>2.7E-2</v>
      </c>
      <c r="AI38" s="138">
        <v>0.74</v>
      </c>
      <c r="AJ38" s="138">
        <v>0.13600000000000001</v>
      </c>
      <c r="AK38" s="138">
        <v>1.5269999999999999</v>
      </c>
      <c r="AL38" s="300">
        <v>442.83</v>
      </c>
      <c r="AM38" s="138">
        <v>14.076000000000001</v>
      </c>
      <c r="AN38" s="138">
        <v>47.774999999999999</v>
      </c>
      <c r="AO38" s="138">
        <v>2.9940000000000002</v>
      </c>
      <c r="AP38" s="138">
        <v>11.14</v>
      </c>
      <c r="AQ38" s="138">
        <v>2.081</v>
      </c>
      <c r="AR38" s="138">
        <v>0.44900000000000001</v>
      </c>
      <c r="AS38" s="138">
        <v>1.431</v>
      </c>
      <c r="AT38" s="138">
        <v>0.23899999999999999</v>
      </c>
      <c r="AU38" s="138">
        <v>1.2609999999999999</v>
      </c>
      <c r="AV38" s="138">
        <v>0.26900000000000002</v>
      </c>
      <c r="AW38" s="138">
        <v>0.78200000000000003</v>
      </c>
      <c r="AX38" s="138">
        <v>0.124</v>
      </c>
      <c r="AY38" s="138">
        <v>0.79400000000000004</v>
      </c>
      <c r="AZ38" s="138">
        <v>0.14000000000000001</v>
      </c>
      <c r="BA38" s="138">
        <v>2.0350000000000001</v>
      </c>
      <c r="BB38" s="138">
        <v>0.33300000000000002</v>
      </c>
      <c r="BC38" s="138">
        <v>0.89100000000000001</v>
      </c>
      <c r="BD38" s="138">
        <v>0.21299999999999999</v>
      </c>
      <c r="BE38" s="138">
        <v>11.2</v>
      </c>
      <c r="BF38" s="138">
        <v>0.28000000000000003</v>
      </c>
      <c r="BG38" s="138">
        <v>4.0410000000000004</v>
      </c>
      <c r="BH38" s="138">
        <v>1.4330000000000001</v>
      </c>
    </row>
    <row r="39" spans="1:60">
      <c r="B39" s="47" t="s">
        <v>698</v>
      </c>
      <c r="C39" s="138">
        <v>3.2616037826883493</v>
      </c>
      <c r="D39" s="138">
        <v>6.05</v>
      </c>
      <c r="E39" s="138">
        <v>12.73893</v>
      </c>
      <c r="F39" s="138">
        <v>23.9</v>
      </c>
      <c r="G39" s="138">
        <v>2.23</v>
      </c>
      <c r="H39" s="301">
        <v>20925</v>
      </c>
      <c r="I39" s="301">
        <v>7942</v>
      </c>
      <c r="J39" s="301">
        <v>95403</v>
      </c>
      <c r="K39" s="301">
        <v>634</v>
      </c>
      <c r="L39" s="301">
        <v>1038</v>
      </c>
      <c r="M39" s="301">
        <v>21716</v>
      </c>
      <c r="N39" s="301">
        <v>12902</v>
      </c>
      <c r="O39" s="301">
        <v>3428</v>
      </c>
      <c r="P39" s="301">
        <v>131.4</v>
      </c>
      <c r="Q39" s="301">
        <v>210.9</v>
      </c>
      <c r="R39" s="301">
        <v>621.4</v>
      </c>
      <c r="S39" s="301">
        <v>41952</v>
      </c>
      <c r="T39" s="138">
        <v>35.706000000000003</v>
      </c>
      <c r="U39" s="138">
        <v>58.79</v>
      </c>
      <c r="V39" s="138">
        <v>100.62</v>
      </c>
      <c r="W39" s="138">
        <v>68</v>
      </c>
      <c r="X39" s="138">
        <v>19.45</v>
      </c>
      <c r="Y39" s="138">
        <v>74.5</v>
      </c>
      <c r="Z39" s="138">
        <v>0.48</v>
      </c>
      <c r="AA39" s="138">
        <v>74.67</v>
      </c>
      <c r="AB39" s="300">
        <v>413.78</v>
      </c>
      <c r="AC39" s="138">
        <v>12.548</v>
      </c>
      <c r="AD39" s="300">
        <v>124.01</v>
      </c>
      <c r="AE39" s="138">
        <v>20.667999999999999</v>
      </c>
      <c r="AF39" s="138">
        <v>1.87</v>
      </c>
      <c r="AG39" s="138">
        <v>0.98499999999999999</v>
      </c>
      <c r="AH39" s="138">
        <v>0.122</v>
      </c>
      <c r="AI39" s="138">
        <v>1.9</v>
      </c>
      <c r="AJ39" s="138">
        <v>2.5640000000000001</v>
      </c>
      <c r="AK39" s="138">
        <v>3.1280000000000001</v>
      </c>
      <c r="AL39" s="300">
        <v>1015.34</v>
      </c>
      <c r="AM39" s="138">
        <v>29.448</v>
      </c>
      <c r="AN39" s="138">
        <v>76.350999999999999</v>
      </c>
      <c r="AO39" s="138">
        <v>6.0659999999999998</v>
      </c>
      <c r="AP39" s="138">
        <v>23.5</v>
      </c>
      <c r="AQ39" s="138">
        <v>4.1689999999999996</v>
      </c>
      <c r="AR39" s="138">
        <v>1.006</v>
      </c>
      <c r="AS39" s="138">
        <v>2.8849999999999998</v>
      </c>
      <c r="AT39" s="138">
        <v>0.39900000000000002</v>
      </c>
      <c r="AU39" s="138">
        <v>2.2080000000000002</v>
      </c>
      <c r="AV39" s="138">
        <v>0.47399999999999998</v>
      </c>
      <c r="AW39" s="138">
        <v>1.3280000000000001</v>
      </c>
      <c r="AX39" s="138">
        <v>0.20699999999999999</v>
      </c>
      <c r="AY39" s="138">
        <v>1.3120000000000001</v>
      </c>
      <c r="AZ39" s="138">
        <v>0.20599999999999999</v>
      </c>
      <c r="BA39" s="138">
        <v>3.6930000000000001</v>
      </c>
      <c r="BB39" s="138">
        <v>1.286</v>
      </c>
      <c r="BC39" s="138">
        <v>3.714</v>
      </c>
      <c r="BD39" s="138">
        <v>0.40899999999999997</v>
      </c>
      <c r="BE39" s="138">
        <v>38.299999999999997</v>
      </c>
      <c r="BF39" s="138">
        <v>11.14</v>
      </c>
      <c r="BG39" s="138">
        <v>9.6639999999999997</v>
      </c>
      <c r="BH39" s="138">
        <v>2.379</v>
      </c>
    </row>
    <row r="40" spans="1:60">
      <c r="B40" s="47" t="s">
        <v>699</v>
      </c>
      <c r="C40" s="138">
        <v>2.1122714666999642</v>
      </c>
      <c r="D40" s="138">
        <v>5.3875000000000002</v>
      </c>
      <c r="E40" s="138">
        <v>5.6034449999999998</v>
      </c>
      <c r="F40" s="138">
        <v>7.25</v>
      </c>
      <c r="G40" s="138">
        <v>1.1975</v>
      </c>
      <c r="H40" s="301">
        <v>8671</v>
      </c>
      <c r="I40" s="301">
        <v>2415.75</v>
      </c>
      <c r="J40" s="301">
        <v>63982</v>
      </c>
      <c r="K40" s="301">
        <v>275</v>
      </c>
      <c r="L40" s="301">
        <v>83.25</v>
      </c>
      <c r="M40" s="301">
        <v>14024.5</v>
      </c>
      <c r="N40" s="301">
        <v>3699.5</v>
      </c>
      <c r="O40" s="301">
        <v>2734.15</v>
      </c>
      <c r="P40" s="301">
        <v>68.849999999999994</v>
      </c>
      <c r="Q40" s="301">
        <v>65.174999999999997</v>
      </c>
      <c r="R40" s="301">
        <v>389.52499999999998</v>
      </c>
      <c r="S40" s="301">
        <v>27786.5</v>
      </c>
      <c r="T40" s="138">
        <v>10.900499999999999</v>
      </c>
      <c r="U40" s="138">
        <v>18.837499999999999</v>
      </c>
      <c r="V40" s="138">
        <v>38.832499999999996</v>
      </c>
      <c r="W40" s="138">
        <v>36.5</v>
      </c>
      <c r="X40" s="138">
        <v>12.27</v>
      </c>
      <c r="Y40" s="138">
        <v>6.8</v>
      </c>
      <c r="Z40" s="138">
        <v>0.27500000000000002</v>
      </c>
      <c r="AA40" s="138">
        <v>44.022499999999994</v>
      </c>
      <c r="AB40" s="300">
        <v>129.26749999999998</v>
      </c>
      <c r="AC40" s="138">
        <v>9.8197499999999991</v>
      </c>
      <c r="AD40" s="300">
        <v>77.275000000000006</v>
      </c>
      <c r="AE40" s="138">
        <v>9.004249999999999</v>
      </c>
      <c r="AF40" s="138">
        <v>1.0625</v>
      </c>
      <c r="AG40" s="138">
        <v>9.2499999999999999E-2</v>
      </c>
      <c r="AH40" s="138">
        <v>5.525E-2</v>
      </c>
      <c r="AI40" s="138">
        <v>1.0249999999999999</v>
      </c>
      <c r="AJ40" s="138">
        <v>0.37074999999999997</v>
      </c>
      <c r="AK40" s="138">
        <v>1.7805</v>
      </c>
      <c r="AL40" s="300">
        <v>534.18000000000006</v>
      </c>
      <c r="AM40" s="138">
        <v>23.095750000000002</v>
      </c>
      <c r="AN40" s="138">
        <v>53.819500000000005</v>
      </c>
      <c r="AO40" s="138">
        <v>5.0350000000000001</v>
      </c>
      <c r="AP40" s="138">
        <v>19.185000000000002</v>
      </c>
      <c r="AQ40" s="138">
        <v>3.3754999999999997</v>
      </c>
      <c r="AR40" s="138">
        <v>0.78974999999999995</v>
      </c>
      <c r="AS40" s="138">
        <v>2.5034999999999998</v>
      </c>
      <c r="AT40" s="138">
        <v>0.38175000000000003</v>
      </c>
      <c r="AU40" s="138">
        <v>1.96675</v>
      </c>
      <c r="AV40" s="138">
        <v>0.38624999999999998</v>
      </c>
      <c r="AW40" s="138">
        <v>1.03325</v>
      </c>
      <c r="AX40" s="138">
        <v>0.16</v>
      </c>
      <c r="AY40" s="138">
        <v>0.96249999999999991</v>
      </c>
      <c r="AZ40" s="138">
        <v>0.15049999999999999</v>
      </c>
      <c r="BA40" s="138">
        <v>2.2322499999999996</v>
      </c>
      <c r="BB40" s="138">
        <v>0.50649999999999995</v>
      </c>
      <c r="BC40" s="138">
        <v>2.2017499999999997</v>
      </c>
      <c r="BD40" s="138">
        <v>0.24174999999999999</v>
      </c>
      <c r="BE40" s="138">
        <v>13.85</v>
      </c>
      <c r="BF40" s="138">
        <v>1.1325000000000001</v>
      </c>
      <c r="BG40" s="138">
        <v>4.9664999999999999</v>
      </c>
      <c r="BH40" s="138">
        <v>1.5950000000000002</v>
      </c>
    </row>
    <row r="41" spans="1:60">
      <c r="B41" s="47" t="s">
        <v>700</v>
      </c>
      <c r="C41" s="138">
        <v>2.6605365280066966</v>
      </c>
      <c r="D41" s="138">
        <v>5.6449999999999996</v>
      </c>
      <c r="E41" s="138">
        <v>7.1472299999999995</v>
      </c>
      <c r="F41" s="138">
        <v>7.7</v>
      </c>
      <c r="G41" s="138">
        <v>1.46</v>
      </c>
      <c r="H41" s="301">
        <v>17586.5</v>
      </c>
      <c r="I41" s="301">
        <v>4145.5</v>
      </c>
      <c r="J41" s="301">
        <v>70475.5</v>
      </c>
      <c r="K41" s="301">
        <v>324</v>
      </c>
      <c r="L41" s="301">
        <v>95</v>
      </c>
      <c r="M41" s="301">
        <v>16257.5</v>
      </c>
      <c r="N41" s="301">
        <v>7373.5</v>
      </c>
      <c r="O41" s="301">
        <v>3025.4</v>
      </c>
      <c r="P41" s="301">
        <v>75.75</v>
      </c>
      <c r="Q41" s="301">
        <v>98.4</v>
      </c>
      <c r="R41" s="301">
        <v>517.15</v>
      </c>
      <c r="S41" s="301">
        <v>33980</v>
      </c>
      <c r="T41" s="138">
        <v>16.618499999999997</v>
      </c>
      <c r="U41" s="138">
        <v>24.340000000000003</v>
      </c>
      <c r="V41" s="138">
        <v>56</v>
      </c>
      <c r="W41" s="138">
        <v>49</v>
      </c>
      <c r="X41" s="138">
        <v>13.365</v>
      </c>
      <c r="Y41" s="138">
        <v>35.099999999999994</v>
      </c>
      <c r="Z41" s="138">
        <v>0.32</v>
      </c>
      <c r="AA41" s="138">
        <v>55.42</v>
      </c>
      <c r="AB41" s="300">
        <v>239.8</v>
      </c>
      <c r="AC41" s="138">
        <v>10.905000000000001</v>
      </c>
      <c r="AD41" s="300">
        <v>90.375</v>
      </c>
      <c r="AE41" s="138">
        <v>13.403499999999999</v>
      </c>
      <c r="AF41" s="138">
        <v>1.1949999999999998</v>
      </c>
      <c r="AG41" s="138">
        <v>0.26750000000000002</v>
      </c>
      <c r="AH41" s="138">
        <v>5.7000000000000002E-2</v>
      </c>
      <c r="AI41" s="138">
        <v>1.365</v>
      </c>
      <c r="AJ41" s="138">
        <v>1.0825</v>
      </c>
      <c r="AK41" s="138">
        <v>1.9205000000000001</v>
      </c>
      <c r="AL41" s="300">
        <v>593.29500000000007</v>
      </c>
      <c r="AM41" s="138">
        <v>24.910499999999999</v>
      </c>
      <c r="AN41" s="138">
        <v>58.334999999999994</v>
      </c>
      <c r="AO41" s="138">
        <v>5.2914999999999992</v>
      </c>
      <c r="AP41" s="138">
        <v>19.61</v>
      </c>
      <c r="AQ41" s="138">
        <v>3.4169999999999998</v>
      </c>
      <c r="AR41" s="138">
        <v>0.87650000000000006</v>
      </c>
      <c r="AS41" s="138">
        <v>2.6100000000000003</v>
      </c>
      <c r="AT41" s="138">
        <v>0.38750000000000001</v>
      </c>
      <c r="AU41" s="138">
        <v>2.044</v>
      </c>
      <c r="AV41" s="138">
        <v>0.42549999999999999</v>
      </c>
      <c r="AW41" s="138">
        <v>1.161</v>
      </c>
      <c r="AX41" s="138">
        <v>0.17549999999999999</v>
      </c>
      <c r="AY41" s="138">
        <v>1.133</v>
      </c>
      <c r="AZ41" s="138">
        <v>0.17549999999999999</v>
      </c>
      <c r="BA41" s="138">
        <v>2.609</v>
      </c>
      <c r="BB41" s="138">
        <v>0.78849999999999998</v>
      </c>
      <c r="BC41" s="138">
        <v>2.2374999999999998</v>
      </c>
      <c r="BD41" s="138">
        <v>0.29599999999999999</v>
      </c>
      <c r="BE41" s="138">
        <v>17.649999999999999</v>
      </c>
      <c r="BF41" s="138">
        <v>4.0950000000000006</v>
      </c>
      <c r="BG41" s="138">
        <v>5.3439999999999994</v>
      </c>
      <c r="BH41" s="138">
        <v>1.819</v>
      </c>
    </row>
    <row r="42" spans="1:60">
      <c r="B42" s="47" t="s">
        <v>701</v>
      </c>
      <c r="C42" s="138">
        <v>3.1713377990439113</v>
      </c>
      <c r="D42" s="138">
        <v>6.0274999999999999</v>
      </c>
      <c r="E42" s="138">
        <v>12.609548999999999</v>
      </c>
      <c r="F42" s="138">
        <v>21.474999999999998</v>
      </c>
      <c r="G42" s="138">
        <v>2.1074999999999999</v>
      </c>
      <c r="H42" s="301">
        <v>20199</v>
      </c>
      <c r="I42" s="301">
        <v>7450</v>
      </c>
      <c r="J42" s="301">
        <v>92157.75</v>
      </c>
      <c r="K42" s="301">
        <v>571.25</v>
      </c>
      <c r="L42" s="301">
        <v>817.75</v>
      </c>
      <c r="M42" s="301">
        <v>21685.5</v>
      </c>
      <c r="N42" s="301">
        <v>12545.75</v>
      </c>
      <c r="O42" s="301">
        <v>3385.4250000000002</v>
      </c>
      <c r="P42" s="301">
        <v>128.30000000000001</v>
      </c>
      <c r="Q42" s="301">
        <v>208.95</v>
      </c>
      <c r="R42" s="301">
        <v>620.1</v>
      </c>
      <c r="S42" s="301">
        <v>41629.25</v>
      </c>
      <c r="T42" s="138">
        <v>34.737250000000003</v>
      </c>
      <c r="U42" s="138">
        <v>57.82</v>
      </c>
      <c r="V42" s="138">
        <v>93.627499999999998</v>
      </c>
      <c r="W42" s="138">
        <v>68</v>
      </c>
      <c r="X42" s="138">
        <v>18.6675</v>
      </c>
      <c r="Y42" s="138">
        <v>69.400000000000006</v>
      </c>
      <c r="Z42" s="138">
        <v>0.46749999999999997</v>
      </c>
      <c r="AA42" s="138">
        <v>72.797499999999999</v>
      </c>
      <c r="AB42" s="300">
        <v>389.74249999999995</v>
      </c>
      <c r="AC42" s="138">
        <v>12.4815</v>
      </c>
      <c r="AD42" s="300">
        <v>122.565</v>
      </c>
      <c r="AE42" s="138">
        <v>20.41</v>
      </c>
      <c r="AF42" s="138">
        <v>1.7450000000000001</v>
      </c>
      <c r="AG42" s="138">
        <v>0.84424999999999994</v>
      </c>
      <c r="AH42" s="138">
        <v>0.1075</v>
      </c>
      <c r="AI42" s="138">
        <v>1.8624999999999998</v>
      </c>
      <c r="AJ42" s="138">
        <v>2.4732500000000002</v>
      </c>
      <c r="AK42" s="138">
        <v>2.8852500000000001</v>
      </c>
      <c r="AL42" s="300">
        <v>1010.7875</v>
      </c>
      <c r="AM42" s="138">
        <v>28.759</v>
      </c>
      <c r="AN42" s="138">
        <v>74.651499999999999</v>
      </c>
      <c r="AO42" s="138">
        <v>6.0634999999999994</v>
      </c>
      <c r="AP42" s="138">
        <v>23.392499999999998</v>
      </c>
      <c r="AQ42" s="138">
        <v>4.1307499999999999</v>
      </c>
      <c r="AR42" s="138">
        <v>1.0002500000000001</v>
      </c>
      <c r="AS42" s="138">
        <v>2.8494999999999999</v>
      </c>
      <c r="AT42" s="138">
        <v>0.39700000000000002</v>
      </c>
      <c r="AU42" s="138">
        <v>2.2040000000000002</v>
      </c>
      <c r="AV42" s="138">
        <v>0.47275</v>
      </c>
      <c r="AW42" s="138">
        <v>1.3160000000000001</v>
      </c>
      <c r="AX42" s="138">
        <v>0.20399999999999999</v>
      </c>
      <c r="AY42" s="138">
        <v>1.3082500000000001</v>
      </c>
      <c r="AZ42" s="138">
        <v>0.20499999999999999</v>
      </c>
      <c r="BA42" s="138">
        <v>3.6335000000000002</v>
      </c>
      <c r="BB42" s="138">
        <v>1.24675</v>
      </c>
      <c r="BC42" s="138">
        <v>3.3922499999999998</v>
      </c>
      <c r="BD42" s="138">
        <v>0.38974999999999999</v>
      </c>
      <c r="BE42" s="138">
        <v>35.875</v>
      </c>
      <c r="BF42" s="138">
        <v>10.125</v>
      </c>
      <c r="BG42" s="138">
        <v>8.8907500000000006</v>
      </c>
      <c r="BH42" s="138">
        <v>2.3652500000000001</v>
      </c>
    </row>
    <row r="43" spans="1:60">
      <c r="B43" s="47" t="s">
        <v>702</v>
      </c>
      <c r="C43" s="138">
        <v>2.4359334031783093</v>
      </c>
      <c r="D43" s="138">
        <v>5.508322446095117</v>
      </c>
      <c r="E43" s="138">
        <v>6.4640764334576382</v>
      </c>
      <c r="F43" s="138">
        <v>9.3436460846943863</v>
      </c>
      <c r="G43" s="138">
        <v>1.4427145447827929</v>
      </c>
      <c r="H43" s="301">
        <v>12468.901278697469</v>
      </c>
      <c r="I43" s="301">
        <v>3842.255383820187</v>
      </c>
      <c r="J43" s="301">
        <v>64588.050356379092</v>
      </c>
      <c r="K43" s="301">
        <v>322.0525414050968</v>
      </c>
      <c r="L43" s="301">
        <v>128.89944491189516</v>
      </c>
      <c r="M43" s="301">
        <v>16411.540614674064</v>
      </c>
      <c r="N43" s="301">
        <v>6185.3878701568083</v>
      </c>
      <c r="O43" s="301">
        <v>2693.6433832162934</v>
      </c>
      <c r="P43" s="301">
        <v>83.735928098849371</v>
      </c>
      <c r="Q43" s="301">
        <v>105.01902219657373</v>
      </c>
      <c r="R43" s="301">
        <v>480.28619698915031</v>
      </c>
      <c r="S43" s="301">
        <v>32060.827079276605</v>
      </c>
      <c r="T43" s="138">
        <v>17.561194054534095</v>
      </c>
      <c r="U43" s="138">
        <v>27.61663674081062</v>
      </c>
      <c r="V43" s="138">
        <v>45.356313405436737</v>
      </c>
      <c r="W43" s="138">
        <v>45.097722080059171</v>
      </c>
      <c r="X43" s="138">
        <v>12.59030485572705</v>
      </c>
      <c r="Y43" s="138">
        <v>16.459620289230326</v>
      </c>
      <c r="Z43" s="138">
        <v>0.32386726124056586</v>
      </c>
      <c r="AA43" s="138">
        <v>53.579043606424968</v>
      </c>
      <c r="AB43" s="300">
        <v>199.4548572470483</v>
      </c>
      <c r="AC43" s="138">
        <v>10.353621877973969</v>
      </c>
      <c r="AD43" s="300">
        <v>92.014509472678384</v>
      </c>
      <c r="AE43" s="138">
        <v>12.048432915931732</v>
      </c>
      <c r="AF43" s="138">
        <v>1.245417867712352</v>
      </c>
      <c r="AG43" s="138">
        <v>0.20961934264807294</v>
      </c>
      <c r="AH43" s="138">
        <v>5.7895798283241373E-2</v>
      </c>
      <c r="AI43" s="138">
        <v>1.2788230757634951</v>
      </c>
      <c r="AJ43" s="138">
        <v>0.71590022107821816</v>
      </c>
      <c r="AK43" s="138">
        <v>2.0127648867218642</v>
      </c>
      <c r="AL43" s="300">
        <v>658.65757408410195</v>
      </c>
      <c r="AM43" s="138">
        <v>23.181251204218359</v>
      </c>
      <c r="AN43" s="138">
        <v>59.805646720167232</v>
      </c>
      <c r="AO43" s="138">
        <v>4.9913097718901627</v>
      </c>
      <c r="AP43" s="138">
        <v>18.820614387143923</v>
      </c>
      <c r="AQ43" s="138">
        <v>3.3331347481858824</v>
      </c>
      <c r="AR43" s="138">
        <v>0.80013041784172589</v>
      </c>
      <c r="AS43" s="138">
        <v>2.4010920071932356</v>
      </c>
      <c r="AT43" s="138">
        <v>0.35878153635192234</v>
      </c>
      <c r="AU43" s="138">
        <v>1.9181408095040118</v>
      </c>
      <c r="AV43" s="138">
        <v>0.40014078870049963</v>
      </c>
      <c r="AW43" s="138">
        <v>1.1039665792319584</v>
      </c>
      <c r="AX43" s="138">
        <v>0.17029224463736847</v>
      </c>
      <c r="AY43" s="138">
        <v>1.0835803683205378</v>
      </c>
      <c r="AZ43" s="138">
        <v>0.17233516575427096</v>
      </c>
      <c r="BA43" s="138">
        <v>2.6915524222820761</v>
      </c>
      <c r="BB43" s="138">
        <v>0.71075044331000148</v>
      </c>
      <c r="BC43" s="138">
        <v>2.1106319831039828</v>
      </c>
      <c r="BD43" s="138">
        <v>0.28774729286333961</v>
      </c>
      <c r="BE43" s="138">
        <v>19.073916840575489</v>
      </c>
      <c r="BF43" s="138">
        <v>2.4497891258404469</v>
      </c>
      <c r="BG43" s="138">
        <v>5.7380435162684762</v>
      </c>
      <c r="BH43" s="138">
        <v>1.8577686377678702</v>
      </c>
    </row>
    <row r="44" spans="1:60">
      <c r="B44" s="139" t="s">
        <v>703</v>
      </c>
      <c r="C44" s="138">
        <v>2.5059251780348175</v>
      </c>
      <c r="D44" s="138">
        <v>5.5316666666666663</v>
      </c>
      <c r="E44" s="138">
        <v>7.5326249999999995</v>
      </c>
      <c r="F44" s="138">
        <v>10.883333333333333</v>
      </c>
      <c r="G44" s="138">
        <v>1.4983333333333333</v>
      </c>
      <c r="H44" s="301">
        <v>14245.5</v>
      </c>
      <c r="I44" s="301">
        <v>4417</v>
      </c>
      <c r="J44" s="301">
        <v>68602</v>
      </c>
      <c r="K44" s="301">
        <v>348.83333333333331</v>
      </c>
      <c r="L44" s="301">
        <v>250.66666666666666</v>
      </c>
      <c r="M44" s="301">
        <v>16836.166666666668</v>
      </c>
      <c r="N44" s="301">
        <v>7438.666666666667</v>
      </c>
      <c r="O44" s="301">
        <v>2802.5499999999997</v>
      </c>
      <c r="P44" s="301">
        <v>87.733333333333334</v>
      </c>
      <c r="Q44" s="301">
        <v>121.19999999999999</v>
      </c>
      <c r="R44" s="301">
        <v>496.18333333333339</v>
      </c>
      <c r="S44" s="301">
        <v>32970.166666666664</v>
      </c>
      <c r="T44" s="138">
        <v>20.089500000000001</v>
      </c>
      <c r="U44" s="138">
        <v>32.184999999999995</v>
      </c>
      <c r="V44" s="138">
        <v>55.31</v>
      </c>
      <c r="W44" s="138">
        <v>48.333333333333336</v>
      </c>
      <c r="X44" s="138">
        <v>13.39</v>
      </c>
      <c r="Y44" s="138">
        <v>33.93333333333333</v>
      </c>
      <c r="Z44" s="138">
        <v>0.33666666666666667</v>
      </c>
      <c r="AA44" s="138">
        <v>55.226666666666667</v>
      </c>
      <c r="AB44" s="300">
        <v>232.66166666666666</v>
      </c>
      <c r="AC44" s="138">
        <v>10.547666666666666</v>
      </c>
      <c r="AD44" s="300">
        <v>94.24666666666667</v>
      </c>
      <c r="AE44" s="138">
        <v>13.375166666666665</v>
      </c>
      <c r="AF44" s="138">
        <v>1.2750000000000001</v>
      </c>
      <c r="AG44" s="138">
        <v>0.34316666666666668</v>
      </c>
      <c r="AH44" s="138">
        <v>6.3666666666666663E-2</v>
      </c>
      <c r="AI44" s="138">
        <v>1.3483333333333334</v>
      </c>
      <c r="AJ44" s="138">
        <v>1.2026666666666666</v>
      </c>
      <c r="AK44" s="138">
        <v>2.067333333333333</v>
      </c>
      <c r="AL44" s="300">
        <v>693.23333333333346</v>
      </c>
      <c r="AM44" s="138">
        <v>23.773833333333332</v>
      </c>
      <c r="AN44" s="138">
        <v>60.571666666666658</v>
      </c>
      <c r="AO44" s="138">
        <v>5.1218333333333339</v>
      </c>
      <c r="AP44" s="138">
        <v>19.345000000000002</v>
      </c>
      <c r="AQ44" s="138">
        <v>3.4118333333333326</v>
      </c>
      <c r="AR44" s="138">
        <v>0.82683333333333342</v>
      </c>
      <c r="AS44" s="138">
        <v>2.4606666666666666</v>
      </c>
      <c r="AT44" s="138">
        <v>0.36416666666666669</v>
      </c>
      <c r="AU44" s="138">
        <v>1.9504999999999999</v>
      </c>
      <c r="AV44" s="138">
        <v>0.40716666666666668</v>
      </c>
      <c r="AW44" s="138">
        <v>1.121</v>
      </c>
      <c r="AX44" s="138">
        <v>0.17266666666666666</v>
      </c>
      <c r="AY44" s="138">
        <v>1.1018333333333334</v>
      </c>
      <c r="AZ44" s="138">
        <v>0.17433333333333331</v>
      </c>
      <c r="BA44" s="138">
        <v>2.76</v>
      </c>
      <c r="BB44" s="138">
        <v>0.79266666666666674</v>
      </c>
      <c r="BC44" s="138">
        <v>2.2843333333333331</v>
      </c>
      <c r="BD44" s="138">
        <v>0.29499999999999998</v>
      </c>
      <c r="BE44" s="138">
        <v>21</v>
      </c>
      <c r="BF44" s="138">
        <v>4.625</v>
      </c>
      <c r="BG44" s="138">
        <v>5.9726666666666661</v>
      </c>
      <c r="BH44" s="138">
        <v>1.8936666666666666</v>
      </c>
    </row>
    <row r="45" spans="1:60">
      <c r="B45" s="139"/>
      <c r="C45" s="138"/>
      <c r="D45" s="138"/>
      <c r="E45" s="138"/>
      <c r="F45" s="138"/>
      <c r="G45" s="138"/>
      <c r="H45" s="138"/>
      <c r="I45" s="138"/>
      <c r="J45" s="138"/>
      <c r="K45" s="138"/>
      <c r="L45" s="138"/>
      <c r="M45" s="138"/>
      <c r="N45" s="138"/>
      <c r="O45" s="138"/>
      <c r="P45" s="138"/>
      <c r="Q45" s="138"/>
      <c r="R45" s="138"/>
      <c r="S45" s="138"/>
      <c r="T45" s="138"/>
      <c r="U45" s="138"/>
      <c r="V45" s="138"/>
      <c r="W45" s="138"/>
      <c r="X45" s="138"/>
      <c r="Y45" s="138"/>
      <c r="Z45" s="138"/>
      <c r="AA45" s="138"/>
      <c r="AB45" s="138"/>
      <c r="AC45" s="138"/>
      <c r="AD45" s="138"/>
      <c r="AE45" s="138"/>
      <c r="AF45" s="138"/>
      <c r="AG45" s="138"/>
      <c r="AH45" s="138"/>
      <c r="AI45" s="138"/>
      <c r="AJ45" s="138"/>
      <c r="AK45" s="138"/>
      <c r="AL45" s="138"/>
      <c r="AM45" s="138"/>
      <c r="AN45" s="138"/>
      <c r="AO45" s="138"/>
      <c r="AP45" s="138"/>
      <c r="AQ45" s="138"/>
      <c r="AR45" s="138"/>
      <c r="AS45" s="138"/>
      <c r="AT45" s="138"/>
      <c r="AU45" s="138"/>
      <c r="AV45" s="138"/>
      <c r="AW45" s="138"/>
      <c r="AX45" s="138"/>
      <c r="AY45" s="138"/>
      <c r="AZ45" s="138"/>
      <c r="BA45" s="138"/>
      <c r="BB45" s="138"/>
      <c r="BC45" s="138"/>
      <c r="BD45" s="138"/>
      <c r="BE45" s="138"/>
      <c r="BF45" s="138"/>
      <c r="BG45" s="138"/>
      <c r="BH45" s="138"/>
    </row>
    <row r="46" spans="1:60">
      <c r="C46" s="53" t="s">
        <v>707</v>
      </c>
      <c r="D46" s="53" t="s">
        <v>707</v>
      </c>
      <c r="E46" s="53" t="s">
        <v>707</v>
      </c>
      <c r="F46" s="53" t="s">
        <v>707</v>
      </c>
      <c r="G46" s="53" t="s">
        <v>707</v>
      </c>
      <c r="H46" s="53" t="s">
        <v>707</v>
      </c>
      <c r="I46" s="53" t="s">
        <v>707</v>
      </c>
      <c r="J46" s="53" t="s">
        <v>707</v>
      </c>
      <c r="K46" s="53" t="s">
        <v>707</v>
      </c>
      <c r="L46" s="53" t="s">
        <v>707</v>
      </c>
      <c r="M46" s="53" t="s">
        <v>707</v>
      </c>
      <c r="N46" s="53" t="s">
        <v>707</v>
      </c>
      <c r="O46" s="53" t="s">
        <v>707</v>
      </c>
      <c r="P46" s="53" t="s">
        <v>707</v>
      </c>
      <c r="Q46" s="53" t="s">
        <v>707</v>
      </c>
      <c r="R46" s="53" t="s">
        <v>707</v>
      </c>
      <c r="S46" s="53" t="s">
        <v>707</v>
      </c>
      <c r="T46" s="53" t="s">
        <v>707</v>
      </c>
      <c r="U46" s="53" t="s">
        <v>707</v>
      </c>
      <c r="V46" s="53" t="s">
        <v>707</v>
      </c>
      <c r="W46" s="53" t="s">
        <v>707</v>
      </c>
      <c r="X46" s="53" t="s">
        <v>707</v>
      </c>
      <c r="Y46" s="53" t="s">
        <v>707</v>
      </c>
      <c r="Z46" s="53" t="s">
        <v>707</v>
      </c>
      <c r="AA46" s="53" t="s">
        <v>707</v>
      </c>
      <c r="AB46" s="53" t="s">
        <v>707</v>
      </c>
      <c r="AC46" s="53" t="s">
        <v>707</v>
      </c>
      <c r="AD46" s="53" t="s">
        <v>707</v>
      </c>
      <c r="AE46" s="53" t="s">
        <v>707</v>
      </c>
      <c r="AF46" s="53" t="s">
        <v>707</v>
      </c>
      <c r="AG46" s="53" t="s">
        <v>707</v>
      </c>
      <c r="AH46" s="53" t="s">
        <v>707</v>
      </c>
      <c r="AI46" s="53" t="s">
        <v>707</v>
      </c>
      <c r="AJ46" s="53" t="s">
        <v>707</v>
      </c>
      <c r="AK46" s="53" t="s">
        <v>707</v>
      </c>
      <c r="AL46" s="53" t="s">
        <v>707</v>
      </c>
      <c r="AM46" s="53" t="s">
        <v>707</v>
      </c>
      <c r="AN46" s="53" t="s">
        <v>707</v>
      </c>
      <c r="AO46" s="53" t="s">
        <v>707</v>
      </c>
      <c r="AP46" s="53" t="s">
        <v>707</v>
      </c>
      <c r="AQ46" s="53" t="s">
        <v>707</v>
      </c>
      <c r="AR46" s="53" t="s">
        <v>707</v>
      </c>
      <c r="AS46" s="53" t="s">
        <v>707</v>
      </c>
      <c r="AT46" s="53" t="s">
        <v>707</v>
      </c>
      <c r="AU46" s="53" t="s">
        <v>707</v>
      </c>
      <c r="AV46" s="53" t="s">
        <v>707</v>
      </c>
      <c r="AW46" s="53" t="s">
        <v>707</v>
      </c>
      <c r="AX46" s="53" t="s">
        <v>707</v>
      </c>
      <c r="AY46" s="53" t="s">
        <v>707</v>
      </c>
      <c r="AZ46" s="53" t="s">
        <v>707</v>
      </c>
      <c r="BA46" s="53" t="s">
        <v>707</v>
      </c>
      <c r="BB46" s="53" t="s">
        <v>707</v>
      </c>
      <c r="BC46" s="53" t="s">
        <v>707</v>
      </c>
      <c r="BD46" s="53" t="s">
        <v>707</v>
      </c>
      <c r="BE46" s="53" t="s">
        <v>707</v>
      </c>
      <c r="BF46" s="53" t="s">
        <v>707</v>
      </c>
      <c r="BG46" s="53" t="s">
        <v>707</v>
      </c>
      <c r="BH46" s="53" t="s">
        <v>707</v>
      </c>
    </row>
    <row r="47" spans="1:60">
      <c r="A47" s="25" t="s">
        <v>724</v>
      </c>
      <c r="B47" s="47" t="s">
        <v>697</v>
      </c>
      <c r="C47" s="74">
        <v>4.9209749319748086</v>
      </c>
      <c r="D47" s="75">
        <v>6.2</v>
      </c>
      <c r="E47" s="75" t="s">
        <v>304</v>
      </c>
      <c r="F47" s="75">
        <v>16</v>
      </c>
      <c r="G47" s="75">
        <v>2.4</v>
      </c>
      <c r="H47" s="246">
        <v>433</v>
      </c>
      <c r="I47" s="246">
        <v>1262</v>
      </c>
      <c r="J47" s="246">
        <v>61986</v>
      </c>
      <c r="K47" s="246">
        <v>555</v>
      </c>
      <c r="L47" s="246">
        <v>75</v>
      </c>
      <c r="M47" s="246">
        <v>1205</v>
      </c>
      <c r="N47" s="246">
        <v>1813</v>
      </c>
      <c r="O47" s="246">
        <v>4654</v>
      </c>
      <c r="P47" s="246">
        <v>414.5</v>
      </c>
      <c r="Q47" s="246">
        <v>612.6</v>
      </c>
      <c r="R47" s="246">
        <v>1907</v>
      </c>
      <c r="S47" s="246">
        <v>160444</v>
      </c>
      <c r="T47" s="75">
        <v>53.33</v>
      </c>
      <c r="U47" s="75">
        <v>95.1</v>
      </c>
      <c r="V47" s="75">
        <v>94.5</v>
      </c>
      <c r="W47" s="75">
        <v>89.8</v>
      </c>
      <c r="X47" s="75">
        <v>20.07</v>
      </c>
      <c r="Y47" s="75">
        <v>6.2</v>
      </c>
      <c r="Z47" s="75">
        <v>0.64</v>
      </c>
      <c r="AA47" s="75">
        <v>13</v>
      </c>
      <c r="AB47" s="75">
        <v>10.6</v>
      </c>
      <c r="AC47" s="75">
        <v>22.811</v>
      </c>
      <c r="AD47" s="75">
        <v>205.4</v>
      </c>
      <c r="AE47" s="75">
        <v>44.73</v>
      </c>
      <c r="AF47" s="75">
        <v>5.1100000000000003</v>
      </c>
      <c r="AG47" s="75">
        <v>5.3999999999999999E-2</v>
      </c>
      <c r="AH47" s="75">
        <v>0.125</v>
      </c>
      <c r="AI47" s="75">
        <v>2.04</v>
      </c>
      <c r="AJ47" s="75">
        <v>0.52700000000000002</v>
      </c>
      <c r="AK47" s="75">
        <v>1.1639999999999999</v>
      </c>
      <c r="AL47" s="245">
        <v>176.4</v>
      </c>
      <c r="AM47" s="245">
        <v>29.37</v>
      </c>
      <c r="AN47" s="245">
        <v>120.33</v>
      </c>
      <c r="AO47" s="75">
        <v>6.5880000000000001</v>
      </c>
      <c r="AP47" s="75">
        <v>23.83</v>
      </c>
      <c r="AQ47" s="75">
        <v>4.6760000000000002</v>
      </c>
      <c r="AR47" s="75">
        <v>0.99099999999999999</v>
      </c>
      <c r="AS47" s="75">
        <v>4.6609999999999996</v>
      </c>
      <c r="AT47" s="75">
        <v>0.75700000000000001</v>
      </c>
      <c r="AU47" s="75">
        <v>5.1669999999999998</v>
      </c>
      <c r="AV47" s="75">
        <v>0.99099999999999999</v>
      </c>
      <c r="AW47" s="75">
        <v>3.0619999999999998</v>
      </c>
      <c r="AX47" s="75">
        <v>0.46800000000000003</v>
      </c>
      <c r="AY47" s="75">
        <v>3.1789999999999998</v>
      </c>
      <c r="AZ47" s="75">
        <v>0.46400000000000002</v>
      </c>
      <c r="BA47" s="75">
        <v>4.7750000000000004</v>
      </c>
      <c r="BB47" s="75">
        <v>2.4159999999999999</v>
      </c>
      <c r="BC47" s="75">
        <v>1.3109999999999999</v>
      </c>
      <c r="BD47" s="75">
        <v>0.14199999999999999</v>
      </c>
      <c r="BE47" s="75">
        <v>15.82</v>
      </c>
      <c r="BF47" s="75">
        <v>0.12</v>
      </c>
      <c r="BG47" s="75">
        <v>7.5830000000000002</v>
      </c>
      <c r="BH47" s="75">
        <v>2.5390000000000001</v>
      </c>
    </row>
    <row r="48" spans="1:60">
      <c r="B48" s="47" t="s">
        <v>698</v>
      </c>
      <c r="C48" s="74">
        <v>4.9209749319748086</v>
      </c>
      <c r="D48" s="75">
        <v>6.2</v>
      </c>
      <c r="E48" s="75" t="s">
        <v>304</v>
      </c>
      <c r="F48" s="75">
        <v>16</v>
      </c>
      <c r="G48" s="75">
        <v>2.4</v>
      </c>
      <c r="H48" s="246">
        <v>433</v>
      </c>
      <c r="I48" s="246">
        <v>1262</v>
      </c>
      <c r="J48" s="246">
        <v>61986</v>
      </c>
      <c r="K48" s="246">
        <v>555</v>
      </c>
      <c r="L48" s="246">
        <v>75</v>
      </c>
      <c r="M48" s="246">
        <v>1205</v>
      </c>
      <c r="N48" s="246">
        <v>1813</v>
      </c>
      <c r="O48" s="246">
        <v>4654</v>
      </c>
      <c r="P48" s="246">
        <v>414.5</v>
      </c>
      <c r="Q48" s="246">
        <v>612.6</v>
      </c>
      <c r="R48" s="246">
        <v>1907</v>
      </c>
      <c r="S48" s="246">
        <v>160444</v>
      </c>
      <c r="T48" s="75">
        <v>53.33</v>
      </c>
      <c r="U48" s="75">
        <v>95.1</v>
      </c>
      <c r="V48" s="75">
        <v>94.5</v>
      </c>
      <c r="W48" s="75">
        <v>89.8</v>
      </c>
      <c r="X48" s="75">
        <v>20.07</v>
      </c>
      <c r="Y48" s="75">
        <v>6.2</v>
      </c>
      <c r="Z48" s="75">
        <v>0.64</v>
      </c>
      <c r="AA48" s="75">
        <v>13</v>
      </c>
      <c r="AB48" s="75">
        <v>10.6</v>
      </c>
      <c r="AC48" s="75">
        <v>22.811</v>
      </c>
      <c r="AD48" s="75">
        <v>205.4</v>
      </c>
      <c r="AE48" s="75">
        <v>44.73</v>
      </c>
      <c r="AF48" s="75">
        <v>5.1100000000000003</v>
      </c>
      <c r="AG48" s="75">
        <v>5.3999999999999999E-2</v>
      </c>
      <c r="AH48" s="75">
        <v>0.125</v>
      </c>
      <c r="AI48" s="75">
        <v>2.04</v>
      </c>
      <c r="AJ48" s="75">
        <v>0.52700000000000002</v>
      </c>
      <c r="AK48" s="75">
        <v>1.1639999999999999</v>
      </c>
      <c r="AL48" s="245">
        <v>176.4</v>
      </c>
      <c r="AM48" s="245">
        <v>29.37</v>
      </c>
      <c r="AN48" s="245">
        <v>120.33</v>
      </c>
      <c r="AO48" s="75">
        <v>6.5880000000000001</v>
      </c>
      <c r="AP48" s="75">
        <v>23.83</v>
      </c>
      <c r="AQ48" s="75">
        <v>4.6760000000000002</v>
      </c>
      <c r="AR48" s="75">
        <v>0.99099999999999999</v>
      </c>
      <c r="AS48" s="75">
        <v>4.6609999999999996</v>
      </c>
      <c r="AT48" s="75">
        <v>0.75700000000000001</v>
      </c>
      <c r="AU48" s="75">
        <v>5.1669999999999998</v>
      </c>
      <c r="AV48" s="75">
        <v>0.99099999999999999</v>
      </c>
      <c r="AW48" s="75">
        <v>3.0619999999999998</v>
      </c>
      <c r="AX48" s="75">
        <v>0.46800000000000003</v>
      </c>
      <c r="AY48" s="75">
        <v>3.1789999999999998</v>
      </c>
      <c r="AZ48" s="75">
        <v>0.46400000000000002</v>
      </c>
      <c r="BA48" s="75">
        <v>4.7750000000000004</v>
      </c>
      <c r="BB48" s="75">
        <v>2.4159999999999999</v>
      </c>
      <c r="BC48" s="75">
        <v>1.3109999999999999</v>
      </c>
      <c r="BD48" s="75">
        <v>0.14199999999999999</v>
      </c>
      <c r="BE48" s="75">
        <v>15.82</v>
      </c>
      <c r="BF48" s="75">
        <v>0.12</v>
      </c>
      <c r="BG48" s="75">
        <v>7.5830000000000002</v>
      </c>
      <c r="BH48" s="75">
        <v>2.5390000000000001</v>
      </c>
    </row>
    <row r="49" spans="2:60">
      <c r="B49" s="47" t="s">
        <v>699</v>
      </c>
      <c r="C49" s="74">
        <v>4.9209749319748086</v>
      </c>
      <c r="D49" s="75">
        <v>6.2</v>
      </c>
      <c r="E49" s="75" t="s">
        <v>304</v>
      </c>
      <c r="F49" s="75">
        <v>16</v>
      </c>
      <c r="G49" s="75">
        <v>2.4</v>
      </c>
      <c r="H49" s="246">
        <v>433</v>
      </c>
      <c r="I49" s="246">
        <v>1262</v>
      </c>
      <c r="J49" s="246">
        <v>61986</v>
      </c>
      <c r="K49" s="246">
        <v>555</v>
      </c>
      <c r="L49" s="246">
        <v>75</v>
      </c>
      <c r="M49" s="246">
        <v>1205</v>
      </c>
      <c r="N49" s="246">
        <v>1813</v>
      </c>
      <c r="O49" s="246">
        <v>4654</v>
      </c>
      <c r="P49" s="246">
        <v>414.5</v>
      </c>
      <c r="Q49" s="246">
        <v>612.6</v>
      </c>
      <c r="R49" s="246">
        <v>1907</v>
      </c>
      <c r="S49" s="246">
        <v>160444</v>
      </c>
      <c r="T49" s="75">
        <v>53.33</v>
      </c>
      <c r="U49" s="75">
        <v>95.1</v>
      </c>
      <c r="V49" s="75">
        <v>94.5</v>
      </c>
      <c r="W49" s="75">
        <v>89.8</v>
      </c>
      <c r="X49" s="75">
        <v>20.07</v>
      </c>
      <c r="Y49" s="75">
        <v>6.2</v>
      </c>
      <c r="Z49" s="75">
        <v>0.64</v>
      </c>
      <c r="AA49" s="75">
        <v>13</v>
      </c>
      <c r="AB49" s="75">
        <v>10.6</v>
      </c>
      <c r="AC49" s="75">
        <v>22.811</v>
      </c>
      <c r="AD49" s="75">
        <v>205.4</v>
      </c>
      <c r="AE49" s="75">
        <v>44.73</v>
      </c>
      <c r="AF49" s="75">
        <v>5.1100000000000003</v>
      </c>
      <c r="AG49" s="75">
        <v>5.3999999999999999E-2</v>
      </c>
      <c r="AH49" s="75">
        <v>0.125</v>
      </c>
      <c r="AI49" s="75">
        <v>2.04</v>
      </c>
      <c r="AJ49" s="75">
        <v>0.52700000000000002</v>
      </c>
      <c r="AK49" s="75">
        <v>1.1639999999999999</v>
      </c>
      <c r="AL49" s="245">
        <v>176.4</v>
      </c>
      <c r="AM49" s="245">
        <v>29.37</v>
      </c>
      <c r="AN49" s="245">
        <v>120.33</v>
      </c>
      <c r="AO49" s="75">
        <v>6.5880000000000001</v>
      </c>
      <c r="AP49" s="75">
        <v>23.83</v>
      </c>
      <c r="AQ49" s="75">
        <v>4.6760000000000002</v>
      </c>
      <c r="AR49" s="75">
        <v>0.99099999999999999</v>
      </c>
      <c r="AS49" s="75">
        <v>4.6609999999999996</v>
      </c>
      <c r="AT49" s="75">
        <v>0.75700000000000001</v>
      </c>
      <c r="AU49" s="75">
        <v>5.1669999999999998</v>
      </c>
      <c r="AV49" s="75">
        <v>0.99099999999999999</v>
      </c>
      <c r="AW49" s="75">
        <v>3.0619999999999998</v>
      </c>
      <c r="AX49" s="75">
        <v>0.46800000000000003</v>
      </c>
      <c r="AY49" s="75">
        <v>3.1789999999999998</v>
      </c>
      <c r="AZ49" s="75">
        <v>0.46400000000000002</v>
      </c>
      <c r="BA49" s="75">
        <v>4.7750000000000004</v>
      </c>
      <c r="BB49" s="75">
        <v>2.4159999999999999</v>
      </c>
      <c r="BC49" s="75">
        <v>1.3109999999999999</v>
      </c>
      <c r="BD49" s="75">
        <v>0.14199999999999999</v>
      </c>
      <c r="BE49" s="75">
        <v>15.82</v>
      </c>
      <c r="BF49" s="75">
        <v>0.12</v>
      </c>
      <c r="BG49" s="75">
        <v>7.5830000000000002</v>
      </c>
      <c r="BH49" s="75">
        <v>2.5390000000000001</v>
      </c>
    </row>
    <row r="50" spans="2:60">
      <c r="B50" s="47" t="s">
        <v>700</v>
      </c>
      <c r="C50" s="74">
        <v>4.9209749319748086</v>
      </c>
      <c r="D50" s="75">
        <v>6.2</v>
      </c>
      <c r="E50" s="75" t="s">
        <v>304</v>
      </c>
      <c r="F50" s="75">
        <v>16</v>
      </c>
      <c r="G50" s="75">
        <v>2.4</v>
      </c>
      <c r="H50" s="246">
        <v>433</v>
      </c>
      <c r="I50" s="246">
        <v>1262</v>
      </c>
      <c r="J50" s="246">
        <v>61986</v>
      </c>
      <c r="K50" s="246">
        <v>555</v>
      </c>
      <c r="L50" s="246">
        <v>75</v>
      </c>
      <c r="M50" s="246">
        <v>1205</v>
      </c>
      <c r="N50" s="246">
        <v>1813</v>
      </c>
      <c r="O50" s="246">
        <v>4654</v>
      </c>
      <c r="P50" s="246">
        <v>414.5</v>
      </c>
      <c r="Q50" s="246">
        <v>612.6</v>
      </c>
      <c r="R50" s="246">
        <v>1907</v>
      </c>
      <c r="S50" s="246">
        <v>160444</v>
      </c>
      <c r="T50" s="75">
        <v>53.33</v>
      </c>
      <c r="U50" s="75">
        <v>95.1</v>
      </c>
      <c r="V50" s="75">
        <v>94.5</v>
      </c>
      <c r="W50" s="75">
        <v>89.8</v>
      </c>
      <c r="X50" s="75">
        <v>20.07</v>
      </c>
      <c r="Y50" s="75">
        <v>6.2</v>
      </c>
      <c r="Z50" s="75">
        <v>0.64</v>
      </c>
      <c r="AA50" s="75">
        <v>13</v>
      </c>
      <c r="AB50" s="75">
        <v>10.6</v>
      </c>
      <c r="AC50" s="75">
        <v>22.811</v>
      </c>
      <c r="AD50" s="75">
        <v>205.4</v>
      </c>
      <c r="AE50" s="75">
        <v>44.73</v>
      </c>
      <c r="AF50" s="75">
        <v>5.1100000000000003</v>
      </c>
      <c r="AG50" s="75">
        <v>5.3999999999999999E-2</v>
      </c>
      <c r="AH50" s="75">
        <v>0.125</v>
      </c>
      <c r="AI50" s="75">
        <v>2.04</v>
      </c>
      <c r="AJ50" s="75">
        <v>0.52700000000000002</v>
      </c>
      <c r="AK50" s="75">
        <v>1.1639999999999999</v>
      </c>
      <c r="AL50" s="245">
        <v>176.4</v>
      </c>
      <c r="AM50" s="245">
        <v>29.37</v>
      </c>
      <c r="AN50" s="245">
        <v>120.33</v>
      </c>
      <c r="AO50" s="75">
        <v>6.5880000000000001</v>
      </c>
      <c r="AP50" s="75">
        <v>23.83</v>
      </c>
      <c r="AQ50" s="75">
        <v>4.6760000000000002</v>
      </c>
      <c r="AR50" s="75">
        <v>0.99099999999999999</v>
      </c>
      <c r="AS50" s="75">
        <v>4.6609999999999996</v>
      </c>
      <c r="AT50" s="75">
        <v>0.75700000000000001</v>
      </c>
      <c r="AU50" s="75">
        <v>5.1669999999999998</v>
      </c>
      <c r="AV50" s="75">
        <v>0.99099999999999999</v>
      </c>
      <c r="AW50" s="75">
        <v>3.0619999999999998</v>
      </c>
      <c r="AX50" s="75">
        <v>0.46800000000000003</v>
      </c>
      <c r="AY50" s="75">
        <v>3.1789999999999998</v>
      </c>
      <c r="AZ50" s="75">
        <v>0.46400000000000002</v>
      </c>
      <c r="BA50" s="75">
        <v>4.7750000000000004</v>
      </c>
      <c r="BB50" s="75">
        <v>2.4159999999999999</v>
      </c>
      <c r="BC50" s="75">
        <v>1.3109999999999999</v>
      </c>
      <c r="BD50" s="75">
        <v>0.14199999999999999</v>
      </c>
      <c r="BE50" s="75">
        <v>15.82</v>
      </c>
      <c r="BF50" s="75">
        <v>0.12</v>
      </c>
      <c r="BG50" s="75">
        <v>7.5830000000000002</v>
      </c>
      <c r="BH50" s="75">
        <v>2.5390000000000001</v>
      </c>
    </row>
    <row r="51" spans="2:60">
      <c r="B51" s="47" t="s">
        <v>701</v>
      </c>
      <c r="C51" s="74">
        <v>4.9209749319748086</v>
      </c>
      <c r="D51" s="75">
        <v>6.2</v>
      </c>
      <c r="E51" s="75" t="s">
        <v>304</v>
      </c>
      <c r="F51" s="75">
        <v>16</v>
      </c>
      <c r="G51" s="75">
        <v>2.4</v>
      </c>
      <c r="H51" s="246">
        <v>433</v>
      </c>
      <c r="I51" s="246">
        <v>1262</v>
      </c>
      <c r="J51" s="246">
        <v>61986</v>
      </c>
      <c r="K51" s="246">
        <v>555</v>
      </c>
      <c r="L51" s="246">
        <v>75</v>
      </c>
      <c r="M51" s="246">
        <v>1205</v>
      </c>
      <c r="N51" s="246">
        <v>1813</v>
      </c>
      <c r="O51" s="246">
        <v>4654</v>
      </c>
      <c r="P51" s="246">
        <v>414.5</v>
      </c>
      <c r="Q51" s="246">
        <v>612.6</v>
      </c>
      <c r="R51" s="246">
        <v>1907</v>
      </c>
      <c r="S51" s="246">
        <v>160444</v>
      </c>
      <c r="T51" s="75">
        <v>53.33</v>
      </c>
      <c r="U51" s="75">
        <v>95.1</v>
      </c>
      <c r="V51" s="75">
        <v>94.5</v>
      </c>
      <c r="W51" s="75">
        <v>89.8</v>
      </c>
      <c r="X51" s="75">
        <v>20.07</v>
      </c>
      <c r="Y51" s="75">
        <v>6.2</v>
      </c>
      <c r="Z51" s="75">
        <v>0.64</v>
      </c>
      <c r="AA51" s="75">
        <v>13</v>
      </c>
      <c r="AB51" s="75">
        <v>10.6</v>
      </c>
      <c r="AC51" s="75">
        <v>22.811</v>
      </c>
      <c r="AD51" s="75">
        <v>205.4</v>
      </c>
      <c r="AE51" s="75">
        <v>44.73</v>
      </c>
      <c r="AF51" s="75">
        <v>5.1100000000000003</v>
      </c>
      <c r="AG51" s="75">
        <v>5.3999999999999999E-2</v>
      </c>
      <c r="AH51" s="75">
        <v>0.125</v>
      </c>
      <c r="AI51" s="75">
        <v>2.04</v>
      </c>
      <c r="AJ51" s="75">
        <v>0.52700000000000002</v>
      </c>
      <c r="AK51" s="75">
        <v>1.1639999999999999</v>
      </c>
      <c r="AL51" s="245">
        <v>176.4</v>
      </c>
      <c r="AM51" s="245">
        <v>29.37</v>
      </c>
      <c r="AN51" s="245">
        <v>120.33</v>
      </c>
      <c r="AO51" s="75">
        <v>6.5880000000000001</v>
      </c>
      <c r="AP51" s="75">
        <v>23.83</v>
      </c>
      <c r="AQ51" s="75">
        <v>4.6760000000000002</v>
      </c>
      <c r="AR51" s="75">
        <v>0.99099999999999999</v>
      </c>
      <c r="AS51" s="75">
        <v>4.6609999999999996</v>
      </c>
      <c r="AT51" s="75">
        <v>0.75700000000000001</v>
      </c>
      <c r="AU51" s="75">
        <v>5.1669999999999998</v>
      </c>
      <c r="AV51" s="75">
        <v>0.99099999999999999</v>
      </c>
      <c r="AW51" s="75">
        <v>3.0619999999999998</v>
      </c>
      <c r="AX51" s="75">
        <v>0.46800000000000003</v>
      </c>
      <c r="AY51" s="75">
        <v>3.1789999999999998</v>
      </c>
      <c r="AZ51" s="75">
        <v>0.46400000000000002</v>
      </c>
      <c r="BA51" s="75">
        <v>4.7750000000000004</v>
      </c>
      <c r="BB51" s="75">
        <v>2.4159999999999999</v>
      </c>
      <c r="BC51" s="75">
        <v>1.3109999999999999</v>
      </c>
      <c r="BD51" s="75">
        <v>0.14199999999999999</v>
      </c>
      <c r="BE51" s="75">
        <v>15.82</v>
      </c>
      <c r="BF51" s="75">
        <v>0.12</v>
      </c>
      <c r="BG51" s="75">
        <v>7.5830000000000002</v>
      </c>
      <c r="BH51" s="75">
        <v>2.5390000000000001</v>
      </c>
    </row>
    <row r="52" spans="2:60">
      <c r="B52" s="47" t="s">
        <v>702</v>
      </c>
      <c r="C52" s="74">
        <v>4.9209749319748086</v>
      </c>
      <c r="D52" s="75">
        <v>6.2</v>
      </c>
      <c r="E52" s="75" t="s">
        <v>304</v>
      </c>
      <c r="F52" s="75">
        <v>16</v>
      </c>
      <c r="G52" s="75">
        <v>2.4</v>
      </c>
      <c r="H52" s="246">
        <v>433</v>
      </c>
      <c r="I52" s="246">
        <v>1262</v>
      </c>
      <c r="J52" s="246">
        <v>61986</v>
      </c>
      <c r="K52" s="246">
        <v>555</v>
      </c>
      <c r="L52" s="246">
        <v>75</v>
      </c>
      <c r="M52" s="246">
        <v>1205</v>
      </c>
      <c r="N52" s="246">
        <v>1813</v>
      </c>
      <c r="O52" s="246">
        <v>4654</v>
      </c>
      <c r="P52" s="246">
        <v>414.5</v>
      </c>
      <c r="Q52" s="246">
        <v>612.6</v>
      </c>
      <c r="R52" s="246">
        <v>1907</v>
      </c>
      <c r="S52" s="246">
        <v>160444</v>
      </c>
      <c r="T52" s="75">
        <v>53.33</v>
      </c>
      <c r="U52" s="75">
        <v>95.1</v>
      </c>
      <c r="V52" s="75">
        <v>94.5</v>
      </c>
      <c r="W52" s="75">
        <v>89.8</v>
      </c>
      <c r="X52" s="75">
        <v>20.07</v>
      </c>
      <c r="Y52" s="75">
        <v>6.2</v>
      </c>
      <c r="Z52" s="75">
        <v>0.64</v>
      </c>
      <c r="AA52" s="75">
        <v>13</v>
      </c>
      <c r="AB52" s="75">
        <v>10.6</v>
      </c>
      <c r="AC52" s="75">
        <v>22.811</v>
      </c>
      <c r="AD52" s="75">
        <v>205.4</v>
      </c>
      <c r="AE52" s="75">
        <v>44.73</v>
      </c>
      <c r="AF52" s="75">
        <v>5.1100000000000003</v>
      </c>
      <c r="AG52" s="75">
        <v>5.3999999999999999E-2</v>
      </c>
      <c r="AH52" s="75">
        <v>0.125</v>
      </c>
      <c r="AI52" s="75">
        <v>2.04</v>
      </c>
      <c r="AJ52" s="75">
        <v>0.52700000000000002</v>
      </c>
      <c r="AK52" s="75">
        <v>1.1639999999999999</v>
      </c>
      <c r="AL52" s="245">
        <v>176.4</v>
      </c>
      <c r="AM52" s="245">
        <v>29.37</v>
      </c>
      <c r="AN52" s="245">
        <v>120.33</v>
      </c>
      <c r="AO52" s="75">
        <v>6.5880000000000001</v>
      </c>
      <c r="AP52" s="75">
        <v>23.83</v>
      </c>
      <c r="AQ52" s="75">
        <v>4.6760000000000002</v>
      </c>
      <c r="AR52" s="75">
        <v>0.99099999999999999</v>
      </c>
      <c r="AS52" s="75">
        <v>4.6609999999999996</v>
      </c>
      <c r="AT52" s="75">
        <v>0.75700000000000001</v>
      </c>
      <c r="AU52" s="75">
        <v>5.1669999999999998</v>
      </c>
      <c r="AV52" s="75">
        <v>0.99099999999999999</v>
      </c>
      <c r="AW52" s="75">
        <v>3.0619999999999998</v>
      </c>
      <c r="AX52" s="75">
        <v>0.46800000000000003</v>
      </c>
      <c r="AY52" s="75">
        <v>3.1789999999999998</v>
      </c>
      <c r="AZ52" s="75">
        <v>0.46400000000000002</v>
      </c>
      <c r="BA52" s="75">
        <v>4.7750000000000004</v>
      </c>
      <c r="BB52" s="75">
        <v>2.4159999999999999</v>
      </c>
      <c r="BC52" s="75">
        <v>1.3109999999999999</v>
      </c>
      <c r="BD52" s="75">
        <v>0.14199999999999999</v>
      </c>
      <c r="BE52" s="75">
        <v>15.82</v>
      </c>
      <c r="BF52" s="75">
        <v>0.12</v>
      </c>
      <c r="BG52" s="75">
        <v>7.5830000000000002</v>
      </c>
      <c r="BH52" s="75">
        <v>2.5390000000000001</v>
      </c>
    </row>
    <row r="53" spans="2:60">
      <c r="B53" s="47" t="s">
        <v>703</v>
      </c>
      <c r="C53" s="74">
        <v>4.9209749319748086</v>
      </c>
      <c r="D53" s="75">
        <v>6.2</v>
      </c>
      <c r="E53" s="75" t="s">
        <v>304</v>
      </c>
      <c r="F53" s="75">
        <v>16</v>
      </c>
      <c r="G53" s="75">
        <v>2.4</v>
      </c>
      <c r="H53" s="246">
        <v>433</v>
      </c>
      <c r="I53" s="246">
        <v>1262</v>
      </c>
      <c r="J53" s="246">
        <v>61986</v>
      </c>
      <c r="K53" s="246">
        <v>555</v>
      </c>
      <c r="L53" s="246">
        <v>75</v>
      </c>
      <c r="M53" s="246">
        <v>1205</v>
      </c>
      <c r="N53" s="246">
        <v>1813</v>
      </c>
      <c r="O53" s="246">
        <v>4654</v>
      </c>
      <c r="P53" s="246">
        <v>414.5</v>
      </c>
      <c r="Q53" s="246">
        <v>612.6</v>
      </c>
      <c r="R53" s="246">
        <v>1907</v>
      </c>
      <c r="S53" s="246">
        <v>160444</v>
      </c>
      <c r="T53" s="75">
        <v>53.33</v>
      </c>
      <c r="U53" s="75">
        <v>95.1</v>
      </c>
      <c r="V53" s="75">
        <v>94.5</v>
      </c>
      <c r="W53" s="75">
        <v>89.8</v>
      </c>
      <c r="X53" s="75">
        <v>20.07</v>
      </c>
      <c r="Y53" s="75">
        <v>6.2</v>
      </c>
      <c r="Z53" s="75">
        <v>0.64</v>
      </c>
      <c r="AA53" s="75">
        <v>13</v>
      </c>
      <c r="AB53" s="75">
        <v>10.6</v>
      </c>
      <c r="AC53" s="75">
        <v>22.811</v>
      </c>
      <c r="AD53" s="75">
        <v>205.4</v>
      </c>
      <c r="AE53" s="75">
        <v>44.73</v>
      </c>
      <c r="AF53" s="75">
        <v>5.1100000000000003</v>
      </c>
      <c r="AG53" s="75">
        <v>5.3999999999999999E-2</v>
      </c>
      <c r="AH53" s="75">
        <v>0.125</v>
      </c>
      <c r="AI53" s="75">
        <v>2.04</v>
      </c>
      <c r="AJ53" s="75">
        <v>0.52700000000000002</v>
      </c>
      <c r="AK53" s="75">
        <v>1.1639999999999999</v>
      </c>
      <c r="AL53" s="245">
        <v>176.4</v>
      </c>
      <c r="AM53" s="245">
        <v>29.37</v>
      </c>
      <c r="AN53" s="245">
        <v>120.33</v>
      </c>
      <c r="AO53" s="75">
        <v>6.5880000000000001</v>
      </c>
      <c r="AP53" s="75">
        <v>23.83</v>
      </c>
      <c r="AQ53" s="75">
        <v>4.6760000000000002</v>
      </c>
      <c r="AR53" s="75">
        <v>0.99099999999999999</v>
      </c>
      <c r="AS53" s="75">
        <v>4.6609999999999996</v>
      </c>
      <c r="AT53" s="75">
        <v>0.75700000000000001</v>
      </c>
      <c r="AU53" s="75">
        <v>5.1669999999999998</v>
      </c>
      <c r="AV53" s="75">
        <v>0.99099999999999999</v>
      </c>
      <c r="AW53" s="75">
        <v>3.0619999999999998</v>
      </c>
      <c r="AX53" s="75">
        <v>0.46800000000000003</v>
      </c>
      <c r="AY53" s="75">
        <v>3.1789999999999998</v>
      </c>
      <c r="AZ53" s="75">
        <v>0.46400000000000002</v>
      </c>
      <c r="BA53" s="75">
        <v>4.7750000000000004</v>
      </c>
      <c r="BB53" s="75">
        <v>2.4159999999999999</v>
      </c>
      <c r="BC53" s="75">
        <v>1.3109999999999999</v>
      </c>
      <c r="BD53" s="75">
        <v>0.14199999999999999</v>
      </c>
      <c r="BE53" s="75">
        <v>15.82</v>
      </c>
      <c r="BF53" s="75">
        <v>0.12</v>
      </c>
      <c r="BG53" s="75">
        <v>7.5830000000000002</v>
      </c>
      <c r="BH53" s="75">
        <v>2.5390000000000001</v>
      </c>
    </row>
    <row r="54" spans="2:60">
      <c r="AL54" s="130"/>
      <c r="AM54" s="130"/>
      <c r="AN54" s="130"/>
    </row>
  </sheetData>
  <pageMargins left="0.7" right="0.7" top="0.75" bottom="0.75" header="0.3" footer="0.3"/>
  <pageSetup orientation="portrait"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EB71"/>
  <sheetViews>
    <sheetView zoomScale="90" zoomScaleNormal="90" zoomScaleSheetLayoutView="70" workbookViewId="0">
      <pane ySplit="2" topLeftCell="A28" activePane="bottomLeft" state="frozen"/>
      <selection pane="bottomLeft"/>
    </sheetView>
  </sheetViews>
  <sheetFormatPr defaultColWidth="11.42578125" defaultRowHeight="15.75"/>
  <cols>
    <col min="1" max="1" width="17" style="53" bestFit="1" customWidth="1"/>
    <col min="2" max="3" width="17.5703125" style="53" bestFit="1" customWidth="1"/>
    <col min="4" max="10" width="10.7109375" style="53" hidden="1" customWidth="1"/>
    <col min="11" max="11" width="15.28515625" style="53" hidden="1" customWidth="1"/>
    <col min="12" max="12" width="9.5703125" style="53" bestFit="1" customWidth="1"/>
    <col min="13" max="13" width="10.7109375" style="53" bestFit="1" customWidth="1"/>
    <col min="14" max="14" width="18.140625" style="53" bestFit="1" customWidth="1"/>
    <col min="15" max="15" width="9.42578125" style="53" bestFit="1" customWidth="1"/>
    <col min="16" max="16" width="7.5703125" style="53" bestFit="1" customWidth="1"/>
    <col min="17" max="22" width="15.28515625" style="53" customWidth="1"/>
    <col min="23" max="23" width="10.7109375" style="53" customWidth="1"/>
    <col min="24" max="26" width="10.7109375" style="53" hidden="1" customWidth="1"/>
    <col min="27" max="32" width="10.7109375" style="53" customWidth="1"/>
    <col min="33" max="33" width="10.7109375" style="53" hidden="1" customWidth="1"/>
    <col min="34" max="40" width="10.7109375" style="53" customWidth="1"/>
    <col min="41" max="42" width="10.7109375" style="53" hidden="1" customWidth="1"/>
    <col min="43" max="43" width="10.7109375" style="85" customWidth="1"/>
    <col min="44" max="44" width="11.85546875" style="85" bestFit="1" customWidth="1"/>
    <col min="45" max="45" width="11.140625" style="53" customWidth="1"/>
    <col min="46" max="47" width="10.7109375" style="53" hidden="1" customWidth="1"/>
    <col min="48" max="48" width="17.42578125" style="53" hidden="1" customWidth="1"/>
    <col min="49" max="52" width="10.7109375" style="53" customWidth="1"/>
    <col min="53" max="60" width="10.7109375" style="53" hidden="1" customWidth="1"/>
    <col min="61" max="62" width="10.7109375" style="53" customWidth="1"/>
    <col min="63" max="65" width="10.7109375" style="53" hidden="1" customWidth="1"/>
    <col min="66" max="71" width="10.7109375" style="53" customWidth="1"/>
    <col min="72" max="73" width="10.7109375" style="53" hidden="1" customWidth="1"/>
    <col min="74" max="74" width="10.7109375" style="53" customWidth="1"/>
    <col min="75" max="75" width="14.42578125" style="53" customWidth="1"/>
    <col min="76" max="119" width="10.7109375" style="53" customWidth="1"/>
    <col min="120" max="120" width="10.7109375" style="53" hidden="1" customWidth="1"/>
    <col min="121" max="122" width="10.85546875" style="53" hidden="1" customWidth="1"/>
    <col min="123" max="16384" width="11.42578125" style="53"/>
  </cols>
  <sheetData>
    <row r="1" spans="1:122" s="47" customFormat="1">
      <c r="A1" s="25" t="s">
        <v>899</v>
      </c>
      <c r="AQ1" s="84"/>
      <c r="AR1" s="84"/>
    </row>
    <row r="2" spans="1:122" s="47" customFormat="1" ht="19.5">
      <c r="A2" s="47" t="s">
        <v>0</v>
      </c>
      <c r="B2" s="47" t="s">
        <v>405</v>
      </c>
      <c r="C2" s="47" t="s">
        <v>1</v>
      </c>
      <c r="D2" s="47" t="s">
        <v>476</v>
      </c>
      <c r="E2" s="47" t="s">
        <v>477</v>
      </c>
      <c r="F2" s="47" t="s">
        <v>478</v>
      </c>
      <c r="G2" s="47" t="s">
        <v>479</v>
      </c>
      <c r="H2" s="47" t="s">
        <v>638</v>
      </c>
      <c r="I2" s="47" t="s">
        <v>639</v>
      </c>
      <c r="J2" s="47" t="s">
        <v>640</v>
      </c>
      <c r="K2" s="47" t="s">
        <v>480</v>
      </c>
      <c r="L2" s="47" t="s">
        <v>301</v>
      </c>
      <c r="M2" s="47" t="s">
        <v>300</v>
      </c>
      <c r="N2" s="47" t="s">
        <v>664</v>
      </c>
      <c r="O2" s="47" t="s">
        <v>302</v>
      </c>
      <c r="P2" s="47" t="s">
        <v>303</v>
      </c>
      <c r="Q2" s="26" t="s">
        <v>363</v>
      </c>
      <c r="R2" s="26" t="s">
        <v>681</v>
      </c>
      <c r="S2" s="26" t="s">
        <v>680</v>
      </c>
      <c r="T2" s="83" t="s">
        <v>738</v>
      </c>
      <c r="U2" s="83" t="s">
        <v>686</v>
      </c>
      <c r="V2" s="83" t="s">
        <v>693</v>
      </c>
      <c r="W2" s="47" t="s">
        <v>481</v>
      </c>
      <c r="X2" s="47" t="s">
        <v>641</v>
      </c>
      <c r="Y2" s="47" t="s">
        <v>482</v>
      </c>
      <c r="Z2" s="47" t="s">
        <v>483</v>
      </c>
      <c r="AA2" s="47" t="s">
        <v>484</v>
      </c>
      <c r="AB2" s="47" t="s">
        <v>12</v>
      </c>
      <c r="AC2" s="47" t="s">
        <v>7</v>
      </c>
      <c r="AD2" s="47" t="s">
        <v>6</v>
      </c>
      <c r="AE2" s="47" t="s">
        <v>11</v>
      </c>
      <c r="AF2" s="47" t="s">
        <v>642</v>
      </c>
      <c r="AG2" s="47" t="s">
        <v>485</v>
      </c>
      <c r="AH2" s="47" t="s">
        <v>643</v>
      </c>
      <c r="AI2" s="47" t="s">
        <v>644</v>
      </c>
      <c r="AJ2" s="47" t="s">
        <v>645</v>
      </c>
      <c r="AK2" s="47" t="s">
        <v>486</v>
      </c>
      <c r="AL2" s="47" t="s">
        <v>487</v>
      </c>
      <c r="AM2" s="47" t="s">
        <v>488</v>
      </c>
      <c r="AN2" s="47" t="s">
        <v>489</v>
      </c>
      <c r="AO2" s="47" t="s">
        <v>490</v>
      </c>
      <c r="AP2" s="47" t="s">
        <v>491</v>
      </c>
      <c r="AQ2" s="47" t="s">
        <v>492</v>
      </c>
      <c r="AR2" s="47" t="s">
        <v>493</v>
      </c>
      <c r="AS2" s="47" t="s">
        <v>494</v>
      </c>
      <c r="AT2" s="47" t="s">
        <v>495</v>
      </c>
      <c r="AU2" s="47" t="s">
        <v>496</v>
      </c>
      <c r="AV2" s="47" t="s">
        <v>646</v>
      </c>
      <c r="AW2" s="47" t="s">
        <v>647</v>
      </c>
      <c r="AX2" s="47" t="s">
        <v>648</v>
      </c>
      <c r="AY2" s="47" t="s">
        <v>649</v>
      </c>
      <c r="AZ2" s="47" t="s">
        <v>650</v>
      </c>
      <c r="BA2" s="47" t="s">
        <v>651</v>
      </c>
      <c r="BB2" s="47" t="s">
        <v>497</v>
      </c>
      <c r="BC2" s="47" t="s">
        <v>498</v>
      </c>
      <c r="BD2" s="47" t="s">
        <v>499</v>
      </c>
      <c r="BE2" s="47" t="s">
        <v>500</v>
      </c>
      <c r="BF2" s="47" t="s">
        <v>501</v>
      </c>
      <c r="BG2" s="47" t="s">
        <v>502</v>
      </c>
      <c r="BH2" s="47" t="s">
        <v>503</v>
      </c>
      <c r="BI2" s="47" t="s">
        <v>504</v>
      </c>
      <c r="BJ2" s="47" t="s">
        <v>505</v>
      </c>
      <c r="BK2" s="47" t="s">
        <v>506</v>
      </c>
      <c r="BL2" s="47" t="s">
        <v>507</v>
      </c>
      <c r="BM2" s="47" t="s">
        <v>652</v>
      </c>
      <c r="BN2" s="47" t="s">
        <v>508</v>
      </c>
      <c r="BO2" s="47" t="s">
        <v>653</v>
      </c>
      <c r="BP2" s="47" t="s">
        <v>36</v>
      </c>
      <c r="BQ2" s="47" t="s">
        <v>26</v>
      </c>
      <c r="BR2" s="47" t="s">
        <v>16</v>
      </c>
      <c r="BS2" s="47" t="s">
        <v>509</v>
      </c>
      <c r="BT2" s="47" t="s">
        <v>510</v>
      </c>
      <c r="BU2" s="47" t="s">
        <v>511</v>
      </c>
      <c r="BV2" s="47" t="s">
        <v>4</v>
      </c>
      <c r="BW2" s="47" t="s">
        <v>5</v>
      </c>
      <c r="BX2" s="47" t="s">
        <v>512</v>
      </c>
      <c r="BY2" s="47" t="s">
        <v>8</v>
      </c>
      <c r="BZ2" s="47" t="s">
        <v>13</v>
      </c>
      <c r="CA2" s="47" t="s">
        <v>14</v>
      </c>
      <c r="CB2" s="47" t="s">
        <v>15</v>
      </c>
      <c r="CC2" s="47" t="s">
        <v>18</v>
      </c>
      <c r="CD2" s="47" t="s">
        <v>19</v>
      </c>
      <c r="CE2" s="47" t="s">
        <v>20</v>
      </c>
      <c r="CF2" s="47" t="s">
        <v>21</v>
      </c>
      <c r="CG2" s="47" t="s">
        <v>22</v>
      </c>
      <c r="CH2" s="47" t="s">
        <v>23</v>
      </c>
      <c r="CI2" s="47" t="s">
        <v>24</v>
      </c>
      <c r="CJ2" s="47" t="s">
        <v>25</v>
      </c>
      <c r="CK2" s="47" t="s">
        <v>27</v>
      </c>
      <c r="CL2" s="47" t="s">
        <v>28</v>
      </c>
      <c r="CM2" s="47" t="s">
        <v>29</v>
      </c>
      <c r="CN2" s="47" t="s">
        <v>30</v>
      </c>
      <c r="CO2" s="47" t="s">
        <v>31</v>
      </c>
      <c r="CP2" s="47" t="s">
        <v>32</v>
      </c>
      <c r="CQ2" s="47" t="s">
        <v>33</v>
      </c>
      <c r="CR2" s="47" t="s">
        <v>34</v>
      </c>
      <c r="CS2" s="47" t="s">
        <v>35</v>
      </c>
      <c r="CT2" s="47" t="s">
        <v>37</v>
      </c>
      <c r="CU2" s="47" t="s">
        <v>38</v>
      </c>
      <c r="CV2" s="47" t="s">
        <v>39</v>
      </c>
      <c r="CW2" s="47" t="s">
        <v>40</v>
      </c>
      <c r="CX2" s="47" t="s">
        <v>41</v>
      </c>
      <c r="CY2" s="47" t="s">
        <v>42</v>
      </c>
      <c r="CZ2" s="47" t="s">
        <v>43</v>
      </c>
      <c r="DA2" s="47" t="s">
        <v>44</v>
      </c>
      <c r="DB2" s="47" t="s">
        <v>45</v>
      </c>
      <c r="DC2" s="47" t="s">
        <v>46</v>
      </c>
      <c r="DD2" s="47" t="s">
        <v>47</v>
      </c>
      <c r="DE2" s="47" t="s">
        <v>48</v>
      </c>
      <c r="DF2" s="47" t="s">
        <v>49</v>
      </c>
      <c r="DG2" s="47" t="s">
        <v>50</v>
      </c>
      <c r="DH2" s="47" t="s">
        <v>51</v>
      </c>
      <c r="DI2" s="47" t="s">
        <v>52</v>
      </c>
      <c r="DJ2" s="47" t="s">
        <v>53</v>
      </c>
      <c r="DK2" s="47" t="s">
        <v>54</v>
      </c>
      <c r="DL2" s="47" t="s">
        <v>55</v>
      </c>
      <c r="DM2" s="47" t="s">
        <v>56</v>
      </c>
      <c r="DN2" s="47" t="s">
        <v>57</v>
      </c>
      <c r="DO2" s="47" t="s">
        <v>58</v>
      </c>
      <c r="DP2" s="47" t="s">
        <v>3</v>
      </c>
      <c r="DQ2" s="47" t="s">
        <v>513</v>
      </c>
      <c r="DR2" s="47" t="s">
        <v>514</v>
      </c>
    </row>
    <row r="3" spans="1:122" ht="19.5">
      <c r="D3" s="53" t="s">
        <v>515</v>
      </c>
      <c r="E3" s="53" t="s">
        <v>516</v>
      </c>
      <c r="F3" s="53" t="s">
        <v>516</v>
      </c>
      <c r="H3" s="53" t="s">
        <v>517</v>
      </c>
      <c r="J3" s="53" t="s">
        <v>654</v>
      </c>
      <c r="K3" s="53" t="s">
        <v>655</v>
      </c>
      <c r="W3" s="53" t="s">
        <v>655</v>
      </c>
      <c r="X3" s="53" t="s">
        <v>654</v>
      </c>
      <c r="Y3" s="53" t="s">
        <v>654</v>
      </c>
      <c r="AB3" s="53" t="s">
        <v>654</v>
      </c>
      <c r="AC3" s="53" t="s">
        <v>654</v>
      </c>
      <c r="AD3" s="53" t="s">
        <v>654</v>
      </c>
      <c r="AE3" s="53" t="s">
        <v>654</v>
      </c>
      <c r="AF3" s="53" t="s">
        <v>654</v>
      </c>
      <c r="AG3" s="53" t="s">
        <v>656</v>
      </c>
      <c r="AH3" s="53" t="s">
        <v>654</v>
      </c>
      <c r="AI3" s="53" t="s">
        <v>654</v>
      </c>
      <c r="AJ3" s="53" t="s">
        <v>654</v>
      </c>
      <c r="AK3" s="53" t="s">
        <v>657</v>
      </c>
      <c r="AL3" s="53" t="s">
        <v>657</v>
      </c>
      <c r="AM3" s="53" t="s">
        <v>657</v>
      </c>
      <c r="AN3" s="53" t="s">
        <v>657</v>
      </c>
      <c r="AO3" s="53" t="s">
        <v>657</v>
      </c>
      <c r="AP3" s="53" t="s">
        <v>657</v>
      </c>
      <c r="AQ3" s="53" t="s">
        <v>657</v>
      </c>
      <c r="AR3" s="53" t="s">
        <v>657</v>
      </c>
      <c r="AS3" s="53" t="s">
        <v>407</v>
      </c>
      <c r="AT3" s="53" t="s">
        <v>407</v>
      </c>
      <c r="AU3" s="53" t="s">
        <v>407</v>
      </c>
      <c r="AV3" s="53" t="s">
        <v>407</v>
      </c>
      <c r="AW3" s="53" t="s">
        <v>658</v>
      </c>
      <c r="AX3" s="53" t="s">
        <v>654</v>
      </c>
      <c r="AY3" s="53" t="s">
        <v>654</v>
      </c>
      <c r="AZ3" s="53" t="s">
        <v>654</v>
      </c>
      <c r="BA3" s="53" t="s">
        <v>654</v>
      </c>
      <c r="BB3" s="53" t="s">
        <v>659</v>
      </c>
      <c r="BC3" s="53" t="s">
        <v>654</v>
      </c>
      <c r="BD3" s="53" t="s">
        <v>658</v>
      </c>
      <c r="BE3" s="53" t="s">
        <v>658</v>
      </c>
      <c r="BF3" s="53" t="s">
        <v>658</v>
      </c>
      <c r="BG3" s="53" t="s">
        <v>407</v>
      </c>
      <c r="BH3" s="53" t="s">
        <v>407</v>
      </c>
      <c r="BI3" s="53" t="s">
        <v>658</v>
      </c>
      <c r="BJ3" s="53" t="s">
        <v>658</v>
      </c>
      <c r="BK3" s="53" t="s">
        <v>658</v>
      </c>
      <c r="BL3" s="53" t="s">
        <v>407</v>
      </c>
      <c r="BM3" s="53" t="s">
        <v>658</v>
      </c>
      <c r="BN3" s="53" t="s">
        <v>654</v>
      </c>
      <c r="BO3" s="53" t="s">
        <v>654</v>
      </c>
      <c r="BP3" s="53" t="s">
        <v>659</v>
      </c>
      <c r="BQ3" s="53" t="s">
        <v>659</v>
      </c>
      <c r="BR3" s="53" t="s">
        <v>659</v>
      </c>
      <c r="BS3" s="53" t="s">
        <v>659</v>
      </c>
      <c r="BT3" s="53" t="s">
        <v>659</v>
      </c>
      <c r="BU3" s="53" t="s">
        <v>659</v>
      </c>
      <c r="BV3" s="53" t="s">
        <v>659</v>
      </c>
      <c r="BW3" s="53" t="s">
        <v>659</v>
      </c>
      <c r="BX3" s="53" t="s">
        <v>659</v>
      </c>
      <c r="BY3" s="53" t="s">
        <v>659</v>
      </c>
      <c r="BZ3" s="53" t="s">
        <v>659</v>
      </c>
      <c r="CA3" s="53" t="s">
        <v>659</v>
      </c>
      <c r="CB3" s="53" t="s">
        <v>659</v>
      </c>
      <c r="CC3" s="53" t="s">
        <v>659</v>
      </c>
      <c r="CD3" s="53" t="s">
        <v>659</v>
      </c>
      <c r="CE3" s="53" t="s">
        <v>659</v>
      </c>
      <c r="CF3" s="53" t="s">
        <v>659</v>
      </c>
      <c r="CG3" s="53" t="s">
        <v>659</v>
      </c>
      <c r="CH3" s="53" t="s">
        <v>659</v>
      </c>
      <c r="CI3" s="53" t="s">
        <v>659</v>
      </c>
      <c r="CJ3" s="53" t="s">
        <v>659</v>
      </c>
      <c r="CK3" s="53" t="s">
        <v>659</v>
      </c>
      <c r="CL3" s="53" t="s">
        <v>659</v>
      </c>
      <c r="CM3" s="53" t="s">
        <v>659</v>
      </c>
      <c r="CN3" s="53" t="s">
        <v>659</v>
      </c>
      <c r="CO3" s="53" t="s">
        <v>659</v>
      </c>
      <c r="CP3" s="53" t="s">
        <v>659</v>
      </c>
      <c r="CQ3" s="53" t="s">
        <v>659</v>
      </c>
      <c r="CR3" s="53" t="s">
        <v>659</v>
      </c>
      <c r="CS3" s="53" t="s">
        <v>659</v>
      </c>
      <c r="CT3" s="53" t="s">
        <v>659</v>
      </c>
      <c r="CU3" s="53" t="s">
        <v>659</v>
      </c>
      <c r="CV3" s="53" t="s">
        <v>659</v>
      </c>
      <c r="CW3" s="53" t="s">
        <v>659</v>
      </c>
      <c r="CX3" s="53" t="s">
        <v>659</v>
      </c>
      <c r="CY3" s="53" t="s">
        <v>659</v>
      </c>
      <c r="CZ3" s="53" t="s">
        <v>659</v>
      </c>
      <c r="DA3" s="53" t="s">
        <v>659</v>
      </c>
      <c r="DB3" s="53" t="s">
        <v>659</v>
      </c>
      <c r="DC3" s="53" t="s">
        <v>659</v>
      </c>
      <c r="DD3" s="53" t="s">
        <v>659</v>
      </c>
      <c r="DE3" s="53" t="s">
        <v>659</v>
      </c>
      <c r="DF3" s="53" t="s">
        <v>659</v>
      </c>
      <c r="DG3" s="53" t="s">
        <v>659</v>
      </c>
      <c r="DH3" s="53" t="s">
        <v>659</v>
      </c>
      <c r="DI3" s="53" t="s">
        <v>659</v>
      </c>
      <c r="DJ3" s="53" t="s">
        <v>659</v>
      </c>
      <c r="DK3" s="53" t="s">
        <v>659</v>
      </c>
      <c r="DL3" s="53" t="s">
        <v>659</v>
      </c>
      <c r="DM3" s="53" t="s">
        <v>659</v>
      </c>
      <c r="DN3" s="53" t="s">
        <v>659</v>
      </c>
      <c r="DO3" s="53" t="s">
        <v>659</v>
      </c>
      <c r="DP3" s="53" t="s">
        <v>659</v>
      </c>
      <c r="DQ3" s="53" t="s">
        <v>518</v>
      </c>
      <c r="DR3" s="53" t="s">
        <v>518</v>
      </c>
    </row>
    <row r="4" spans="1:122" s="47" customFormat="1">
      <c r="A4" s="25" t="s">
        <v>297</v>
      </c>
      <c r="W4" s="97"/>
      <c r="X4" s="97"/>
      <c r="Y4" s="97"/>
      <c r="Z4" s="97"/>
      <c r="AA4" s="97"/>
      <c r="AB4" s="97" t="s">
        <v>70</v>
      </c>
      <c r="AC4" s="97" t="s">
        <v>86</v>
      </c>
      <c r="AD4" s="97" t="s">
        <v>70</v>
      </c>
      <c r="AE4" s="97" t="s">
        <v>60</v>
      </c>
      <c r="AF4" s="97"/>
      <c r="AG4" s="97"/>
      <c r="AH4" s="97"/>
      <c r="AI4" s="97"/>
      <c r="AJ4" s="97"/>
      <c r="AK4" s="97"/>
      <c r="AL4" s="97"/>
      <c r="AM4" s="97"/>
      <c r="AN4" s="97"/>
      <c r="AO4" s="97"/>
      <c r="AP4" s="97"/>
      <c r="AQ4" s="97"/>
      <c r="AR4" s="97"/>
      <c r="AS4" s="97"/>
      <c r="AT4" s="97"/>
      <c r="AU4" s="97"/>
      <c r="AV4" s="97"/>
      <c r="AW4" s="97"/>
      <c r="AX4" s="97"/>
      <c r="AY4" s="97"/>
      <c r="AZ4" s="97"/>
      <c r="BA4" s="97"/>
      <c r="BB4" s="97"/>
      <c r="BC4" s="97"/>
      <c r="BD4" s="97"/>
      <c r="BE4" s="97"/>
      <c r="BF4" s="97"/>
      <c r="BG4" s="97"/>
      <c r="BH4" s="97"/>
      <c r="BI4" s="97" t="s">
        <v>82</v>
      </c>
      <c r="BJ4" s="97" t="s">
        <v>60</v>
      </c>
      <c r="BK4" s="97"/>
      <c r="BL4" s="97"/>
      <c r="BM4" s="97"/>
      <c r="BN4" s="97">
        <v>4.2000000000000003E-2</v>
      </c>
      <c r="BO4" s="97"/>
      <c r="BP4" s="97" t="s">
        <v>73</v>
      </c>
      <c r="BQ4" s="97" t="s">
        <v>69</v>
      </c>
      <c r="BR4" s="97" t="s">
        <v>69</v>
      </c>
      <c r="BS4" s="97" t="s">
        <v>70</v>
      </c>
      <c r="BT4" s="97">
        <v>0.05</v>
      </c>
      <c r="BU4" s="97"/>
      <c r="BV4" s="97" t="s">
        <v>519</v>
      </c>
      <c r="BW4" s="97" t="s">
        <v>520</v>
      </c>
      <c r="BX4" s="97" t="s">
        <v>521</v>
      </c>
      <c r="BY4" s="97" t="s">
        <v>522</v>
      </c>
      <c r="BZ4" s="97" t="s">
        <v>69</v>
      </c>
      <c r="CA4" s="97" t="s">
        <v>80</v>
      </c>
      <c r="CB4" s="97" t="s">
        <v>520</v>
      </c>
      <c r="CC4" s="97" t="s">
        <v>83</v>
      </c>
      <c r="CD4" s="97" t="s">
        <v>78</v>
      </c>
      <c r="CE4" s="97" t="s">
        <v>69</v>
      </c>
      <c r="CF4" s="97" t="s">
        <v>69</v>
      </c>
      <c r="CG4" s="97" t="s">
        <v>73</v>
      </c>
      <c r="CH4" s="97" t="s">
        <v>60</v>
      </c>
      <c r="CI4" s="97" t="s">
        <v>523</v>
      </c>
      <c r="CJ4" s="97" t="s">
        <v>73</v>
      </c>
      <c r="CK4" s="97" t="s">
        <v>79</v>
      </c>
      <c r="CL4" s="97" t="s">
        <v>76</v>
      </c>
      <c r="CM4" s="97" t="s">
        <v>524</v>
      </c>
      <c r="CN4" s="97" t="s">
        <v>69</v>
      </c>
      <c r="CO4" s="97" t="s">
        <v>73</v>
      </c>
      <c r="CP4" s="97" t="s">
        <v>82</v>
      </c>
      <c r="CQ4" s="97" t="s">
        <v>520</v>
      </c>
      <c r="CR4" s="97" t="s">
        <v>60</v>
      </c>
      <c r="CS4" s="97" t="s">
        <v>60</v>
      </c>
      <c r="CT4" s="97" t="s">
        <v>86</v>
      </c>
      <c r="CU4" s="97" t="s">
        <v>81</v>
      </c>
      <c r="CV4" s="97" t="s">
        <v>86</v>
      </c>
      <c r="CW4" s="97" t="s">
        <v>84</v>
      </c>
      <c r="CX4" s="97" t="s">
        <v>84</v>
      </c>
      <c r="CY4" s="97" t="s">
        <v>86</v>
      </c>
      <c r="CZ4" s="97" t="s">
        <v>84</v>
      </c>
      <c r="DA4" s="97" t="s">
        <v>81</v>
      </c>
      <c r="DB4" s="97" t="s">
        <v>86</v>
      </c>
      <c r="DC4" s="97" t="s">
        <v>86</v>
      </c>
      <c r="DD4" s="97" t="s">
        <v>86</v>
      </c>
      <c r="DE4" s="97" t="s">
        <v>86</v>
      </c>
      <c r="DF4" s="97" t="s">
        <v>79</v>
      </c>
      <c r="DG4" s="97" t="s">
        <v>81</v>
      </c>
      <c r="DH4" s="97" t="s">
        <v>82</v>
      </c>
      <c r="DI4" s="97" t="s">
        <v>83</v>
      </c>
      <c r="DJ4" s="97" t="s">
        <v>74</v>
      </c>
      <c r="DK4" s="97" t="s">
        <v>76</v>
      </c>
      <c r="DL4" s="97" t="s">
        <v>76</v>
      </c>
      <c r="DM4" s="97" t="s">
        <v>520</v>
      </c>
      <c r="DN4" s="97" t="s">
        <v>78</v>
      </c>
      <c r="DO4" s="97" t="s">
        <v>79</v>
      </c>
    </row>
    <row r="5" spans="1:122">
      <c r="A5" s="53" t="s">
        <v>525</v>
      </c>
      <c r="B5" s="53" t="s">
        <v>526</v>
      </c>
      <c r="C5" s="180">
        <v>43887</v>
      </c>
      <c r="L5" s="183">
        <v>0.26076500000000002</v>
      </c>
      <c r="M5" s="183">
        <v>34.720081</v>
      </c>
      <c r="N5" s="53" t="s">
        <v>661</v>
      </c>
      <c r="O5" s="53" t="s">
        <v>330</v>
      </c>
      <c r="P5" s="53" t="s">
        <v>347</v>
      </c>
      <c r="Q5" s="154" t="s">
        <v>371</v>
      </c>
      <c r="R5" s="116" t="s">
        <v>687</v>
      </c>
      <c r="S5" s="53" t="s">
        <v>527</v>
      </c>
      <c r="T5" s="53" t="s">
        <v>740</v>
      </c>
      <c r="U5" s="53" t="s">
        <v>685</v>
      </c>
      <c r="V5" s="53" t="s">
        <v>691</v>
      </c>
      <c r="W5" s="98">
        <v>404.6</v>
      </c>
      <c r="X5" s="99"/>
      <c r="Y5" s="99">
        <f t="shared" ref="Y5:Y41" si="0">AB5+AC5+AD5+AE5+AF5+AH5+AI5+AJ5</f>
        <v>314.20755433836342</v>
      </c>
      <c r="Z5" s="99">
        <f t="shared" ref="Z5:Z14" si="1">Y5/W5</f>
        <v>0.77658812243787301</v>
      </c>
      <c r="AA5" s="98">
        <v>8.0530000000000008</v>
      </c>
      <c r="AB5" s="98">
        <v>40</v>
      </c>
      <c r="AC5" s="98">
        <v>14.574999999999999</v>
      </c>
      <c r="AD5" s="98">
        <v>20.100000000000001</v>
      </c>
      <c r="AE5" s="98">
        <v>4.49</v>
      </c>
      <c r="AF5" s="98">
        <v>186.2</v>
      </c>
      <c r="AG5" s="98"/>
      <c r="AH5" s="98">
        <v>10.762672765274631</v>
      </c>
      <c r="AI5" s="98">
        <v>28.563869349769018</v>
      </c>
      <c r="AJ5" s="98">
        <v>9.5160122233197697</v>
      </c>
      <c r="AK5" s="98">
        <v>4.18458095</v>
      </c>
      <c r="AL5" s="98">
        <v>8.9620027999999987E-3</v>
      </c>
      <c r="AM5" s="98">
        <v>4.1036260357327352</v>
      </c>
      <c r="AN5" s="98">
        <v>4.015163497820378E-2</v>
      </c>
      <c r="AO5" s="98">
        <f t="shared" ref="AO5:AO14" si="2">IF(TIC&gt;0,TIC*0.01639*5.0801,IF(_HCO3&gt;0,_HCO3*0.01639))+IF(Cl&gt;0,Cl*0.02821)+IF(_SO4&gt;0,_SO4*0.02082)+IF(_NO3&gt;0,_NO3*0.01613)</f>
        <v>4.1036260357327352</v>
      </c>
      <c r="AP5" s="98" t="e">
        <f>IF(#REF!&gt;0,#REF!*0.01639)+IF(Cl&gt;0,Cl*0.02821)+IF(_SO4&gt;0,_SO4*0.02082)+IF(_NO3&gt;0,_NO3*0.01613)</f>
        <v>#REF!</v>
      </c>
      <c r="AQ5" s="98">
        <v>4.1935429527999997</v>
      </c>
      <c r="AR5" s="98">
        <v>4.1437776707109393</v>
      </c>
      <c r="AS5" s="98">
        <v>0.59689778450794029</v>
      </c>
      <c r="AT5" s="98">
        <f t="shared" ref="AT5:AT14" si="3">((Cation_Total&lt;(Anion_Total&lt;(_SO4/48)+(Total_S/16)))*100)/(Cation_Total+(Anion_Total&lt;(_SO4/48)+(Total_S/16)))</f>
        <v>23.846184747727619</v>
      </c>
      <c r="AU5" s="98">
        <f t="shared" ref="AU5:AU14" si="4">((Cation_Total&lt;(AN5+AO5))*100)/(Cation_Total+(AN5+AO5))</f>
        <v>0</v>
      </c>
      <c r="AV5" s="98" t="e">
        <f t="shared" ref="AV5:AV14" si="5">((Cation_Total&lt;(AN5+AP5))*100)/(Cation_Total+(AN5+AP5))</f>
        <v>#REF!</v>
      </c>
      <c r="AW5" s="98">
        <v>0.10742437100568746</v>
      </c>
      <c r="AX5" s="98">
        <v>0.77297881598135565</v>
      </c>
      <c r="AY5" s="98" t="s">
        <v>603</v>
      </c>
      <c r="AZ5" s="98">
        <v>0.41797344972982337</v>
      </c>
      <c r="BA5" s="98"/>
      <c r="BB5" s="98"/>
      <c r="BC5" s="98"/>
      <c r="BD5" s="98"/>
      <c r="BE5" s="98"/>
      <c r="BF5" s="98">
        <f t="shared" ref="BF5:BF14" si="6">_HCO3/5.0801</f>
        <v>36.65282179484656</v>
      </c>
      <c r="BG5" s="98" t="e">
        <f t="shared" ref="BG5:BG14" si="7">((TIC&lt;(_HCO3/5.0801))/TIC)*100</f>
        <v>#DIV/0!</v>
      </c>
      <c r="BH5" s="98" t="e">
        <f t="shared" ref="BH5:BH14" si="8">((TIC&lt;(Field_HCO3/5.1))/TIC)*100</f>
        <v>#DIV/0!</v>
      </c>
      <c r="BI5" s="98">
        <v>0.01</v>
      </c>
      <c r="BJ5" s="98">
        <v>10.65</v>
      </c>
      <c r="BK5" s="98"/>
      <c r="BL5" s="98">
        <f t="shared" ref="BL5:BL14" si="9">((Total_S&lt;(_SO4/2.9962))/Total_S)*100</f>
        <v>0</v>
      </c>
      <c r="BM5" s="98"/>
      <c r="BN5" s="98">
        <v>11.23</v>
      </c>
      <c r="BO5" s="98">
        <v>24.024339000000001</v>
      </c>
      <c r="BP5" s="98">
        <v>174.73</v>
      </c>
      <c r="BQ5" s="98">
        <v>263</v>
      </c>
      <c r="BR5" s="98">
        <v>107.7</v>
      </c>
      <c r="BS5" s="98">
        <v>7.7</v>
      </c>
      <c r="BT5" s="98"/>
      <c r="BU5" s="98">
        <f t="shared" ref="BU5:BU14" si="10">IF(Reduced_Fe&gt;0,Total_Fe&lt;Reduced_Fe,Total_Fe*1)</f>
        <v>7.7</v>
      </c>
      <c r="BV5" s="98" t="s">
        <v>604</v>
      </c>
      <c r="BW5" s="98" t="s">
        <v>605</v>
      </c>
      <c r="BX5" s="98">
        <v>77</v>
      </c>
      <c r="BY5" s="98">
        <v>9</v>
      </c>
      <c r="BZ5" s="98" t="s">
        <v>606</v>
      </c>
      <c r="CA5" s="98">
        <v>2.58</v>
      </c>
      <c r="CB5" s="98">
        <v>0.6</v>
      </c>
      <c r="CC5" s="98">
        <v>0.76200000000000001</v>
      </c>
      <c r="CD5" s="98">
        <v>2.79</v>
      </c>
      <c r="CE5" s="98">
        <v>3.2</v>
      </c>
      <c r="CF5" s="98">
        <v>2.7</v>
      </c>
      <c r="CG5" s="98" t="s">
        <v>607</v>
      </c>
      <c r="CH5" s="98">
        <v>1.21</v>
      </c>
      <c r="CI5" s="98">
        <v>0.64</v>
      </c>
      <c r="CJ5" s="98">
        <v>2.14</v>
      </c>
      <c r="CK5" s="98">
        <v>7.9000000000000001E-2</v>
      </c>
      <c r="CL5" s="98" t="s">
        <v>304</v>
      </c>
      <c r="CM5" s="98" t="s">
        <v>603</v>
      </c>
      <c r="CN5" s="98">
        <v>1.5</v>
      </c>
      <c r="CO5" s="98" t="s">
        <v>607</v>
      </c>
      <c r="CP5" s="98">
        <v>2.4E-2</v>
      </c>
      <c r="CQ5" s="98" t="s">
        <v>605</v>
      </c>
      <c r="CR5" s="98">
        <v>0.24</v>
      </c>
      <c r="CS5" s="98" t="s">
        <v>92</v>
      </c>
      <c r="CT5" s="98">
        <v>0.121</v>
      </c>
      <c r="CU5" s="98">
        <v>0.20399999999999999</v>
      </c>
      <c r="CV5" s="98">
        <v>2.3E-2</v>
      </c>
      <c r="CW5" s="98">
        <v>7.8E-2</v>
      </c>
      <c r="CX5" s="98">
        <v>8.9999999999999993E-3</v>
      </c>
      <c r="CY5" s="98" t="s">
        <v>608</v>
      </c>
      <c r="CZ5" s="98">
        <v>1.6E-2</v>
      </c>
      <c r="DA5" s="98" t="s">
        <v>609</v>
      </c>
      <c r="DB5" s="98">
        <v>8.9999999999999993E-3</v>
      </c>
      <c r="DC5" s="98" t="s">
        <v>608</v>
      </c>
      <c r="DD5" s="98">
        <v>4.0000000000000001E-3</v>
      </c>
      <c r="DE5" s="98" t="s">
        <v>608</v>
      </c>
      <c r="DF5" s="98" t="s">
        <v>610</v>
      </c>
      <c r="DG5" s="98" t="s">
        <v>609</v>
      </c>
      <c r="DH5" s="98" t="s">
        <v>611</v>
      </c>
      <c r="DI5" s="98" t="s">
        <v>612</v>
      </c>
      <c r="DJ5" s="98">
        <v>0.06</v>
      </c>
      <c r="DK5" s="98">
        <v>0.04</v>
      </c>
      <c r="DL5" s="98">
        <v>0.11</v>
      </c>
      <c r="DM5" s="98" t="s">
        <v>605</v>
      </c>
      <c r="DN5" s="98" t="s">
        <v>91</v>
      </c>
      <c r="DO5" s="98">
        <v>0.34300000000000003</v>
      </c>
    </row>
    <row r="6" spans="1:122">
      <c r="A6" s="53" t="s">
        <v>528</v>
      </c>
      <c r="B6" s="53" t="s">
        <v>529</v>
      </c>
      <c r="C6" s="180">
        <v>43887</v>
      </c>
      <c r="L6" s="183">
        <v>0.26020300000000002</v>
      </c>
      <c r="M6" s="183">
        <v>34.719721</v>
      </c>
      <c r="N6" s="53" t="s">
        <v>661</v>
      </c>
      <c r="O6" s="53" t="s">
        <v>330</v>
      </c>
      <c r="P6" s="53" t="s">
        <v>347</v>
      </c>
      <c r="Q6" s="154" t="s">
        <v>371</v>
      </c>
      <c r="R6" s="116" t="s">
        <v>687</v>
      </c>
      <c r="S6" s="53" t="s">
        <v>530</v>
      </c>
      <c r="T6" s="53" t="s">
        <v>740</v>
      </c>
      <c r="U6" s="53" t="s">
        <v>684</v>
      </c>
      <c r="V6" s="53" t="s">
        <v>683</v>
      </c>
      <c r="W6" s="98">
        <v>156.5</v>
      </c>
      <c r="X6" s="99"/>
      <c r="Y6" s="99">
        <f t="shared" si="0"/>
        <v>126.61327196089557</v>
      </c>
      <c r="Z6" s="99">
        <f t="shared" si="1"/>
        <v>0.80903049176291097</v>
      </c>
      <c r="AA6" s="98">
        <v>7.8330000000000002</v>
      </c>
      <c r="AB6" s="98">
        <v>8.8000000000000007</v>
      </c>
      <c r="AC6" s="98">
        <v>11.042999999999999</v>
      </c>
      <c r="AD6" s="98">
        <v>6.7</v>
      </c>
      <c r="AE6" s="98">
        <v>1.53</v>
      </c>
      <c r="AF6" s="98">
        <v>93.57</v>
      </c>
      <c r="AG6" s="98"/>
      <c r="AH6" s="98">
        <v>3.5817941165537412</v>
      </c>
      <c r="AI6" s="98">
        <v>1.3281496487772046</v>
      </c>
      <c r="AJ6" s="98">
        <v>6.0328195564643305E-2</v>
      </c>
      <c r="AK6" s="98">
        <v>1.6784358699999999</v>
      </c>
      <c r="AL6" s="98">
        <v>2.2437896599999996E-2</v>
      </c>
      <c r="AM6" s="98">
        <v>1.6632798815099799</v>
      </c>
      <c r="AN6" s="98">
        <v>1.4567012838787471E-2</v>
      </c>
      <c r="AO6" s="98">
        <f t="shared" si="2"/>
        <v>1.6632798815099799</v>
      </c>
      <c r="AP6" s="98" t="e">
        <f>IF(#REF!&gt;0,#REF!*0.01639)+IF(Cl&gt;0,Cl*0.02821)+IF(_SO4&gt;0,_SO4*0.02082)+IF(_NO3&gt;0,_NO3*0.01613)</f>
        <v>#REF!</v>
      </c>
      <c r="AQ6" s="98">
        <v>1.7008737666</v>
      </c>
      <c r="AR6" s="98">
        <v>1.6778468943487672</v>
      </c>
      <c r="AS6" s="98">
        <v>0.68152636935563327</v>
      </c>
      <c r="AT6" s="98">
        <f t="shared" si="3"/>
        <v>58.793310805126509</v>
      </c>
      <c r="AU6" s="98">
        <f t="shared" si="4"/>
        <v>0</v>
      </c>
      <c r="AV6" s="98" t="e">
        <f t="shared" si="5"/>
        <v>#REF!</v>
      </c>
      <c r="AW6" s="98">
        <v>4.8677736573131174E-2</v>
      </c>
      <c r="AX6" s="98" t="s">
        <v>613</v>
      </c>
      <c r="AY6" s="98">
        <v>9.4831448439867655E-2</v>
      </c>
      <c r="AZ6" s="98">
        <v>0.22760790637167602</v>
      </c>
      <c r="BA6" s="98"/>
      <c r="BB6" s="98"/>
      <c r="BC6" s="98"/>
      <c r="BD6" s="98"/>
      <c r="BE6" s="98"/>
      <c r="BF6" s="98">
        <f t="shared" si="6"/>
        <v>18.418928761244857</v>
      </c>
      <c r="BG6" s="98" t="e">
        <f t="shared" si="7"/>
        <v>#DIV/0!</v>
      </c>
      <c r="BH6" s="98" t="e">
        <f t="shared" si="8"/>
        <v>#DIV/0!</v>
      </c>
      <c r="BI6" s="98">
        <v>4.2999999999999997E-2</v>
      </c>
      <c r="BJ6" s="98">
        <v>0.69</v>
      </c>
      <c r="BK6" s="98"/>
      <c r="BL6" s="98">
        <f t="shared" si="9"/>
        <v>0</v>
      </c>
      <c r="BM6" s="98"/>
      <c r="BN6" s="98">
        <v>21.28</v>
      </c>
      <c r="BO6" s="98">
        <v>45.524304000000001</v>
      </c>
      <c r="BP6" s="98">
        <v>43.21</v>
      </c>
      <c r="BQ6" s="98">
        <v>83.7</v>
      </c>
      <c r="BR6" s="98">
        <v>22.2</v>
      </c>
      <c r="BS6" s="98">
        <v>370.4</v>
      </c>
      <c r="BT6" s="98"/>
      <c r="BU6" s="98">
        <f t="shared" si="10"/>
        <v>370.4</v>
      </c>
      <c r="BV6" s="98" t="s">
        <v>604</v>
      </c>
      <c r="BW6" s="98" t="s">
        <v>605</v>
      </c>
      <c r="BX6" s="98" t="s">
        <v>614</v>
      </c>
      <c r="BY6" s="311">
        <v>230.7</v>
      </c>
      <c r="BZ6" s="98">
        <v>6.1</v>
      </c>
      <c r="CA6" s="98">
        <v>4.37</v>
      </c>
      <c r="CB6" s="98">
        <v>2.95</v>
      </c>
      <c r="CC6" s="98">
        <v>0.621</v>
      </c>
      <c r="CD6" s="98">
        <v>5.87</v>
      </c>
      <c r="CE6" s="98">
        <v>4.3</v>
      </c>
      <c r="CF6" s="98">
        <v>6.3</v>
      </c>
      <c r="CG6" s="98" t="s">
        <v>607</v>
      </c>
      <c r="CH6" s="98">
        <v>0.89</v>
      </c>
      <c r="CI6" s="98">
        <v>0.15</v>
      </c>
      <c r="CJ6" s="98">
        <v>5.89</v>
      </c>
      <c r="CK6" s="98">
        <v>0.31</v>
      </c>
      <c r="CL6" s="98">
        <v>0.48</v>
      </c>
      <c r="CM6" s="98">
        <v>0.09</v>
      </c>
      <c r="CN6" s="98">
        <v>0.7</v>
      </c>
      <c r="CO6" s="98" t="s">
        <v>607</v>
      </c>
      <c r="CP6" s="98">
        <v>3.9E-2</v>
      </c>
      <c r="CQ6" s="98">
        <v>0.11</v>
      </c>
      <c r="CR6" s="98">
        <v>0.25</v>
      </c>
      <c r="CS6" s="98">
        <v>7.0000000000000007E-2</v>
      </c>
      <c r="CT6" s="98">
        <v>0.60699999999999998</v>
      </c>
      <c r="CU6" s="98">
        <v>1.6419999999999999</v>
      </c>
      <c r="CV6" s="98">
        <v>0.13300000000000001</v>
      </c>
      <c r="CW6" s="98">
        <v>0.49299999999999999</v>
      </c>
      <c r="CX6" s="98">
        <v>9.7000000000000003E-2</v>
      </c>
      <c r="CY6" s="98">
        <v>1.7999999999999999E-2</v>
      </c>
      <c r="CZ6" s="98">
        <v>6.8000000000000005E-2</v>
      </c>
      <c r="DA6" s="98">
        <v>8.9999999999999993E-3</v>
      </c>
      <c r="DB6" s="98">
        <v>6.0999999999999999E-2</v>
      </c>
      <c r="DC6" s="98">
        <v>1.0999999999999999E-2</v>
      </c>
      <c r="DD6" s="98">
        <v>2.9000000000000001E-2</v>
      </c>
      <c r="DE6" s="98">
        <v>4.0000000000000001E-3</v>
      </c>
      <c r="DF6" s="98">
        <v>2.5999999999999999E-2</v>
      </c>
      <c r="DG6" s="98" t="s">
        <v>609</v>
      </c>
      <c r="DH6" s="98">
        <v>1.6E-2</v>
      </c>
      <c r="DI6" s="98" t="s">
        <v>612</v>
      </c>
      <c r="DJ6" s="98" t="s">
        <v>615</v>
      </c>
      <c r="DK6" s="98">
        <v>0.05</v>
      </c>
      <c r="DL6" s="98">
        <v>0.33</v>
      </c>
      <c r="DM6" s="98" t="s">
        <v>605</v>
      </c>
      <c r="DN6" s="98" t="s">
        <v>91</v>
      </c>
      <c r="DO6" s="98">
        <v>7.2999999999999995E-2</v>
      </c>
    </row>
    <row r="7" spans="1:122">
      <c r="A7" s="53" t="s">
        <v>531</v>
      </c>
      <c r="B7" s="53" t="s">
        <v>532</v>
      </c>
      <c r="C7" s="180">
        <v>43887</v>
      </c>
      <c r="L7" s="183">
        <v>0.25792300000000001</v>
      </c>
      <c r="M7" s="183">
        <v>34.719996000000002</v>
      </c>
      <c r="N7" s="53" t="s">
        <v>661</v>
      </c>
      <c r="O7" s="53" t="s">
        <v>330</v>
      </c>
      <c r="P7" s="53" t="s">
        <v>347</v>
      </c>
      <c r="Q7" s="154" t="s">
        <v>371</v>
      </c>
      <c r="R7" s="116" t="s">
        <v>687</v>
      </c>
      <c r="S7" s="53" t="s">
        <v>527</v>
      </c>
      <c r="T7" s="53" t="s">
        <v>740</v>
      </c>
      <c r="U7" s="53" t="s">
        <v>685</v>
      </c>
      <c r="V7" s="53" t="s">
        <v>691</v>
      </c>
      <c r="W7" s="98">
        <v>369.2</v>
      </c>
      <c r="X7" s="99"/>
      <c r="Y7" s="99">
        <f t="shared" si="0"/>
        <v>283.40316381325044</v>
      </c>
      <c r="Z7" s="99">
        <f t="shared" si="1"/>
        <v>0.76761420317781814</v>
      </c>
      <c r="AA7" s="98">
        <v>8.2050000000000001</v>
      </c>
      <c r="AB7" s="98">
        <v>28.2</v>
      </c>
      <c r="AC7" s="98">
        <v>29.177</v>
      </c>
      <c r="AD7" s="98">
        <v>11.4</v>
      </c>
      <c r="AE7" s="98">
        <v>2.29</v>
      </c>
      <c r="AF7" s="98">
        <v>163.9</v>
      </c>
      <c r="AG7" s="98"/>
      <c r="AH7" s="98">
        <v>10.047035192980344</v>
      </c>
      <c r="AI7" s="98">
        <v>34.415928722987822</v>
      </c>
      <c r="AJ7" s="98">
        <v>3.9731998972822327</v>
      </c>
      <c r="AK7" s="98">
        <v>4.3626335300000001</v>
      </c>
      <c r="AL7" s="98">
        <v>6.6658643999999998E-3</v>
      </c>
      <c r="AM7" s="98">
        <v>3.7503752131497441</v>
      </c>
      <c r="AN7" s="98">
        <v>2.604463310187468E-2</v>
      </c>
      <c r="AO7" s="98">
        <f t="shared" si="2"/>
        <v>3.7503752131497441</v>
      </c>
      <c r="AP7" s="98" t="e">
        <f>IF(#REF!&gt;0,#REF!*0.01639)+IF(Cl&gt;0,Cl*0.02821)+IF(_SO4&gt;0,_SO4*0.02082)+IF(_NO3&gt;0,_NO3*0.01613)</f>
        <v>#REF!</v>
      </c>
      <c r="AQ7" s="98">
        <v>4.3692993944000005</v>
      </c>
      <c r="AR7" s="98">
        <v>3.7764198462516188</v>
      </c>
      <c r="AS7" s="98">
        <v>7.2784186470555809</v>
      </c>
      <c r="AT7" s="98">
        <f t="shared" si="3"/>
        <v>22.886964470360393</v>
      </c>
      <c r="AU7" s="98">
        <f t="shared" si="4"/>
        <v>0</v>
      </c>
      <c r="AV7" s="98" t="e">
        <f t="shared" si="5"/>
        <v>#REF!</v>
      </c>
      <c r="AW7" s="98">
        <v>0.13446868146707189</v>
      </c>
      <c r="AX7" s="98">
        <v>9.3240961271778458E-2</v>
      </c>
      <c r="AY7" s="98" t="s">
        <v>603</v>
      </c>
      <c r="AZ7" s="98">
        <v>0.42427862294563978</v>
      </c>
      <c r="BA7" s="98"/>
      <c r="BB7" s="98"/>
      <c r="BC7" s="98"/>
      <c r="BD7" s="98"/>
      <c r="BE7" s="98"/>
      <c r="BF7" s="98">
        <f t="shared" si="6"/>
        <v>32.263144426290822</v>
      </c>
      <c r="BG7" s="98" t="e">
        <f t="shared" si="7"/>
        <v>#DIV/0!</v>
      </c>
      <c r="BH7" s="98" t="e">
        <f t="shared" si="8"/>
        <v>#DIV/0!</v>
      </c>
      <c r="BI7" s="98">
        <v>6.3E-2</v>
      </c>
      <c r="BJ7" s="98">
        <v>30.02</v>
      </c>
      <c r="BK7" s="98"/>
      <c r="BL7" s="98">
        <f t="shared" si="9"/>
        <v>0</v>
      </c>
      <c r="BM7" s="98"/>
      <c r="BN7" s="98">
        <v>36.74</v>
      </c>
      <c r="BO7" s="98">
        <v>78.597881999999998</v>
      </c>
      <c r="BP7" s="98">
        <v>88.64</v>
      </c>
      <c r="BQ7" s="98">
        <v>225.8</v>
      </c>
      <c r="BR7" s="98">
        <v>5.3</v>
      </c>
      <c r="BS7" s="98">
        <v>4.0999999999999996</v>
      </c>
      <c r="BT7" s="98"/>
      <c r="BU7" s="98">
        <f t="shared" si="10"/>
        <v>4.0999999999999996</v>
      </c>
      <c r="BV7" s="98" t="s">
        <v>604</v>
      </c>
      <c r="BW7" s="98" t="s">
        <v>605</v>
      </c>
      <c r="BX7" s="98" t="s">
        <v>614</v>
      </c>
      <c r="BY7" s="98">
        <v>3.3</v>
      </c>
      <c r="BZ7" s="98" t="s">
        <v>606</v>
      </c>
      <c r="CA7" s="98">
        <v>12.66</v>
      </c>
      <c r="CB7" s="98">
        <v>0.85</v>
      </c>
      <c r="CC7" s="98">
        <v>0.41099999999999998</v>
      </c>
      <c r="CD7" s="98">
        <v>4.8099999999999996</v>
      </c>
      <c r="CE7" s="98">
        <v>0.4</v>
      </c>
      <c r="CF7" s="98">
        <v>8.5</v>
      </c>
      <c r="CG7" s="98" t="s">
        <v>607</v>
      </c>
      <c r="CH7" s="98">
        <v>0.41</v>
      </c>
      <c r="CI7" s="98">
        <v>0.08</v>
      </c>
      <c r="CJ7" s="98">
        <v>0.31</v>
      </c>
      <c r="CK7" s="98">
        <v>6.8000000000000005E-2</v>
      </c>
      <c r="CL7" s="98" t="s">
        <v>304</v>
      </c>
      <c r="CM7" s="98" t="s">
        <v>603</v>
      </c>
      <c r="CN7" s="98" t="s">
        <v>606</v>
      </c>
      <c r="CO7" s="98" t="s">
        <v>607</v>
      </c>
      <c r="CP7" s="98">
        <v>3.4000000000000002E-2</v>
      </c>
      <c r="CQ7" s="98">
        <v>0.09</v>
      </c>
      <c r="CR7" s="98">
        <v>7.0000000000000007E-2</v>
      </c>
      <c r="CS7" s="98" t="s">
        <v>92</v>
      </c>
      <c r="CT7" s="98">
        <v>8.8999999999999996E-2</v>
      </c>
      <c r="CU7" s="98">
        <v>3.3000000000000002E-2</v>
      </c>
      <c r="CV7" s="98">
        <v>1.6E-2</v>
      </c>
      <c r="CW7" s="98">
        <v>4.5999999999999999E-2</v>
      </c>
      <c r="CX7" s="98" t="s">
        <v>613</v>
      </c>
      <c r="CY7" s="98" t="s">
        <v>608</v>
      </c>
      <c r="CZ7" s="98">
        <v>6.0000000000000001E-3</v>
      </c>
      <c r="DA7" s="98" t="s">
        <v>609</v>
      </c>
      <c r="DB7" s="98">
        <v>5.0000000000000001E-3</v>
      </c>
      <c r="DC7" s="98" t="s">
        <v>608</v>
      </c>
      <c r="DD7" s="98">
        <v>4.0000000000000001E-3</v>
      </c>
      <c r="DE7" s="98" t="s">
        <v>608</v>
      </c>
      <c r="DF7" s="98" t="s">
        <v>610</v>
      </c>
      <c r="DG7" s="98" t="s">
        <v>609</v>
      </c>
      <c r="DH7" s="98" t="s">
        <v>611</v>
      </c>
      <c r="DI7" s="98" t="s">
        <v>612</v>
      </c>
      <c r="DJ7" s="98" t="s">
        <v>615</v>
      </c>
      <c r="DK7" s="98" t="s">
        <v>304</v>
      </c>
      <c r="DL7" s="98">
        <v>0.11</v>
      </c>
      <c r="DM7" s="98" t="s">
        <v>605</v>
      </c>
      <c r="DN7" s="98" t="s">
        <v>91</v>
      </c>
      <c r="DO7" s="98">
        <v>4.2999999999999997E-2</v>
      </c>
    </row>
    <row r="8" spans="1:122">
      <c r="A8" s="53" t="s">
        <v>533</v>
      </c>
      <c r="B8" s="53" t="s">
        <v>534</v>
      </c>
      <c r="C8" s="180">
        <v>43887</v>
      </c>
      <c r="L8" s="183">
        <v>0.26020300000000002</v>
      </c>
      <c r="M8" s="183">
        <v>34.719721</v>
      </c>
      <c r="N8" s="53" t="s">
        <v>661</v>
      </c>
      <c r="O8" s="53" t="s">
        <v>330</v>
      </c>
      <c r="P8" s="53" t="s">
        <v>347</v>
      </c>
      <c r="Q8" s="154" t="s">
        <v>371</v>
      </c>
      <c r="R8" s="116" t="s">
        <v>687</v>
      </c>
      <c r="S8" s="53" t="s">
        <v>535</v>
      </c>
      <c r="T8" s="53" t="s">
        <v>739</v>
      </c>
      <c r="U8" s="53" t="s">
        <v>684</v>
      </c>
      <c r="V8" s="53" t="s">
        <v>683</v>
      </c>
      <c r="W8" s="98">
        <v>210.5</v>
      </c>
      <c r="X8" s="99"/>
      <c r="Y8" s="99">
        <f t="shared" si="0"/>
        <v>169.07229397542446</v>
      </c>
      <c r="Z8" s="99">
        <f t="shared" si="1"/>
        <v>0.80319379560771709</v>
      </c>
      <c r="AA8" s="98">
        <v>7.9690000000000003</v>
      </c>
      <c r="AB8" s="98">
        <v>15.5</v>
      </c>
      <c r="AC8" s="98">
        <v>12.32</v>
      </c>
      <c r="AD8" s="98">
        <v>8.6999999999999993</v>
      </c>
      <c r="AE8" s="98">
        <v>0.86</v>
      </c>
      <c r="AF8" s="98">
        <v>118.2</v>
      </c>
      <c r="AG8" s="98"/>
      <c r="AH8" s="98">
        <v>3.4216396897128134</v>
      </c>
      <c r="AI8" s="98">
        <v>1.4398258205209222</v>
      </c>
      <c r="AJ8" s="98">
        <v>8.6308284651907332</v>
      </c>
      <c r="AK8" s="98">
        <v>2.1877115999999996</v>
      </c>
      <c r="AL8" s="98">
        <v>3.2550162E-3</v>
      </c>
      <c r="AM8" s="98">
        <v>2.2030148923735706</v>
      </c>
      <c r="AN8" s="98">
        <v>1.564374843069017E-2</v>
      </c>
      <c r="AO8" s="98">
        <f t="shared" si="2"/>
        <v>2.2030148923735706</v>
      </c>
      <c r="AP8" s="98" t="e">
        <f>IF(#REF!&gt;0,#REF!*0.01639)+IF(Cl&gt;0,Cl*0.02821)+IF(_SO4&gt;0,_SO4*0.02082)+IF(_NO3&gt;0,_NO3*0.01613)</f>
        <v>#REF!</v>
      </c>
      <c r="AQ8" s="98">
        <v>2.1909666161999994</v>
      </c>
      <c r="AR8" s="98">
        <v>2.2186586408042608</v>
      </c>
      <c r="AS8" s="98">
        <v>-0.628</v>
      </c>
      <c r="AT8" s="98">
        <f t="shared" si="3"/>
        <v>45.641955135509754</v>
      </c>
      <c r="AU8" s="98">
        <f t="shared" si="4"/>
        <v>22.67766401264138</v>
      </c>
      <c r="AV8" s="98" t="e">
        <f t="shared" si="5"/>
        <v>#REF!</v>
      </c>
      <c r="AW8" s="98">
        <v>3.1186554463286973E-2</v>
      </c>
      <c r="AX8" s="98" t="s">
        <v>613</v>
      </c>
      <c r="AY8" s="98">
        <v>0.22293514701327724</v>
      </c>
      <c r="AZ8" s="98">
        <v>0.20150692068869905</v>
      </c>
      <c r="BA8" s="98"/>
      <c r="BB8" s="98"/>
      <c r="BC8" s="98"/>
      <c r="BD8" s="98"/>
      <c r="BE8" s="98"/>
      <c r="BF8" s="98">
        <f t="shared" si="6"/>
        <v>23.267258518533101</v>
      </c>
      <c r="BG8" s="98" t="e">
        <f t="shared" si="7"/>
        <v>#DIV/0!</v>
      </c>
      <c r="BH8" s="98" t="e">
        <f t="shared" si="8"/>
        <v>#DIV/0!</v>
      </c>
      <c r="BI8" s="98">
        <v>7.5999999999999998E-2</v>
      </c>
      <c r="BJ8" s="98">
        <v>0.64</v>
      </c>
      <c r="BK8" s="98"/>
      <c r="BL8" s="98">
        <f t="shared" si="9"/>
        <v>0</v>
      </c>
      <c r="BM8" s="98"/>
      <c r="BN8" s="98">
        <v>37.18</v>
      </c>
      <c r="BO8" s="98">
        <v>79.539174000000003</v>
      </c>
      <c r="BP8" s="98">
        <v>32.42</v>
      </c>
      <c r="BQ8" s="98">
        <v>117.9</v>
      </c>
      <c r="BR8" s="98">
        <v>1.5</v>
      </c>
      <c r="BS8" s="98">
        <v>1.7</v>
      </c>
      <c r="BT8" s="98"/>
      <c r="BU8" s="98">
        <f t="shared" si="10"/>
        <v>1.7</v>
      </c>
      <c r="BV8" s="98" t="s">
        <v>604</v>
      </c>
      <c r="BW8" s="98" t="s">
        <v>605</v>
      </c>
      <c r="BX8" s="98" t="s">
        <v>614</v>
      </c>
      <c r="BY8" s="98">
        <v>1.8</v>
      </c>
      <c r="BZ8" s="98" t="s">
        <v>606</v>
      </c>
      <c r="CA8" s="98">
        <v>12.24</v>
      </c>
      <c r="CB8" s="98">
        <v>2.46</v>
      </c>
      <c r="CC8" s="98">
        <v>2.5000000000000001E-2</v>
      </c>
      <c r="CD8" s="98">
        <v>3.45</v>
      </c>
      <c r="CE8" s="98">
        <v>0.2</v>
      </c>
      <c r="CF8" s="98">
        <v>2.6</v>
      </c>
      <c r="CG8" s="98" t="s">
        <v>607</v>
      </c>
      <c r="CH8" s="98">
        <v>0.78</v>
      </c>
      <c r="CI8" s="98">
        <v>0.1</v>
      </c>
      <c r="CJ8" s="98">
        <v>0.25</v>
      </c>
      <c r="CK8" s="98">
        <v>1.4E-2</v>
      </c>
      <c r="CL8" s="98" t="s">
        <v>304</v>
      </c>
      <c r="CM8" s="98" t="s">
        <v>603</v>
      </c>
      <c r="CN8" s="98" t="s">
        <v>606</v>
      </c>
      <c r="CO8" s="98" t="s">
        <v>607</v>
      </c>
      <c r="CP8" s="98">
        <v>1.9E-2</v>
      </c>
      <c r="CQ8" s="98" t="s">
        <v>605</v>
      </c>
      <c r="CR8" s="98">
        <v>7.0000000000000007E-2</v>
      </c>
      <c r="CS8" s="98" t="s">
        <v>92</v>
      </c>
      <c r="CT8" s="98">
        <v>8.9999999999999993E-3</v>
      </c>
      <c r="CU8" s="98">
        <v>6.0000000000000001E-3</v>
      </c>
      <c r="CV8" s="98" t="s">
        <v>608</v>
      </c>
      <c r="CW8" s="98">
        <v>8.9999999999999993E-3</v>
      </c>
      <c r="CX8" s="98" t="s">
        <v>613</v>
      </c>
      <c r="CY8" s="98" t="s">
        <v>608</v>
      </c>
      <c r="CZ8" s="98" t="s">
        <v>613</v>
      </c>
      <c r="DA8" s="98" t="s">
        <v>609</v>
      </c>
      <c r="DB8" s="98" t="s">
        <v>608</v>
      </c>
      <c r="DC8" s="98" t="s">
        <v>608</v>
      </c>
      <c r="DD8" s="98" t="s">
        <v>608</v>
      </c>
      <c r="DE8" s="98" t="s">
        <v>608</v>
      </c>
      <c r="DF8" s="98" t="s">
        <v>610</v>
      </c>
      <c r="DG8" s="98" t="s">
        <v>609</v>
      </c>
      <c r="DH8" s="98" t="s">
        <v>611</v>
      </c>
      <c r="DI8" s="98" t="s">
        <v>612</v>
      </c>
      <c r="DJ8" s="98">
        <v>0.16</v>
      </c>
      <c r="DK8" s="98" t="s">
        <v>304</v>
      </c>
      <c r="DL8" s="98">
        <v>0.09</v>
      </c>
      <c r="DM8" s="98" t="s">
        <v>605</v>
      </c>
      <c r="DN8" s="98" t="s">
        <v>91</v>
      </c>
      <c r="DO8" s="98">
        <v>2.3E-2</v>
      </c>
    </row>
    <row r="9" spans="1:122">
      <c r="A9" s="53" t="s">
        <v>536</v>
      </c>
      <c r="B9" s="53" t="s">
        <v>537</v>
      </c>
      <c r="C9" s="180">
        <v>43887</v>
      </c>
      <c r="L9" s="183">
        <v>0.26076500000000002</v>
      </c>
      <c r="M9" s="183">
        <v>34.720081</v>
      </c>
      <c r="N9" s="53" t="s">
        <v>661</v>
      </c>
      <c r="O9" s="53" t="s">
        <v>330</v>
      </c>
      <c r="P9" s="53" t="s">
        <v>347</v>
      </c>
      <c r="Q9" s="154" t="s">
        <v>371</v>
      </c>
      <c r="R9" s="116" t="s">
        <v>687</v>
      </c>
      <c r="S9" s="53" t="s">
        <v>538</v>
      </c>
      <c r="T9" s="53" t="s">
        <v>739</v>
      </c>
      <c r="U9" s="53" t="s">
        <v>726</v>
      </c>
      <c r="V9" s="53" t="s">
        <v>727</v>
      </c>
      <c r="W9" s="98">
        <v>135.1</v>
      </c>
      <c r="X9" s="99"/>
      <c r="Y9" s="99">
        <f t="shared" si="0"/>
        <v>105.69936289795237</v>
      </c>
      <c r="Z9" s="99">
        <f t="shared" si="1"/>
        <v>0.78237870390786357</v>
      </c>
      <c r="AA9" s="98">
        <v>7.9</v>
      </c>
      <c r="AB9" s="98">
        <v>10.6</v>
      </c>
      <c r="AC9" s="98">
        <v>6.13</v>
      </c>
      <c r="AD9" s="98">
        <v>7.2</v>
      </c>
      <c r="AE9" s="98">
        <v>1.1599999999999999</v>
      </c>
      <c r="AF9" s="98">
        <v>69.13</v>
      </c>
      <c r="AG9" s="98"/>
      <c r="AH9" s="98">
        <v>4.0873819600655787</v>
      </c>
      <c r="AI9" s="98">
        <v>1.3814928230494823</v>
      </c>
      <c r="AJ9" s="98">
        <v>6.0104881148373028</v>
      </c>
      <c r="AK9" s="98">
        <v>1.3762504999999998</v>
      </c>
      <c r="AL9" s="98">
        <v>6.0227916000000006E-3</v>
      </c>
      <c r="AM9" s="98">
        <v>1.3740575989616659</v>
      </c>
      <c r="AN9" s="98">
        <v>7.6934063981013243E-3</v>
      </c>
      <c r="AO9" s="98">
        <f t="shared" si="2"/>
        <v>1.3740575989616659</v>
      </c>
      <c r="AP9" s="98" t="e">
        <f>IF(#REF!&gt;0,#REF!*0.01639)+IF(Cl&gt;0,Cl*0.02821)+IF(_SO4&gt;0,_SO4*0.02082)+IF(_NO3&gt;0,_NO3*0.01613)</f>
        <v>#REF!</v>
      </c>
      <c r="AQ9" s="98">
        <v>1.3822732915999998</v>
      </c>
      <c r="AR9" s="98">
        <v>1.3817510053597672</v>
      </c>
      <c r="AS9" s="98">
        <v>1.8895862847769365E-2</v>
      </c>
      <c r="AT9" s="98">
        <f t="shared" si="3"/>
        <v>72.344593943682924</v>
      </c>
      <c r="AU9" s="98">
        <f t="shared" si="4"/>
        <v>0</v>
      </c>
      <c r="AV9" s="98" t="e">
        <f t="shared" si="5"/>
        <v>#REF!</v>
      </c>
      <c r="AW9" s="98">
        <v>6.3880958589274894E-2</v>
      </c>
      <c r="AX9" s="98">
        <v>8.2122447810081631E-3</v>
      </c>
      <c r="AY9" s="98" t="s">
        <v>603</v>
      </c>
      <c r="AZ9" s="98">
        <v>0.12756615872007002</v>
      </c>
      <c r="BA9" s="98"/>
      <c r="BB9" s="98"/>
      <c r="BC9" s="98"/>
      <c r="BD9" s="98"/>
      <c r="BE9" s="98"/>
      <c r="BF9" s="98">
        <f t="shared" si="6"/>
        <v>13.607999842522785</v>
      </c>
      <c r="BG9" s="98" t="e">
        <f t="shared" si="7"/>
        <v>#DIV/0!</v>
      </c>
      <c r="BH9" s="98" t="e">
        <f t="shared" si="8"/>
        <v>#DIV/0!</v>
      </c>
      <c r="BI9" s="98" t="s">
        <v>611</v>
      </c>
      <c r="BJ9" s="98">
        <v>0.6</v>
      </c>
      <c r="BK9" s="98"/>
      <c r="BL9" s="98">
        <f t="shared" si="9"/>
        <v>0</v>
      </c>
      <c r="BM9" s="98"/>
      <c r="BN9" s="98">
        <v>18.84</v>
      </c>
      <c r="BO9" s="98">
        <v>40.304411999999999</v>
      </c>
      <c r="BP9" s="98">
        <v>47.01</v>
      </c>
      <c r="BQ9" s="98">
        <v>99</v>
      </c>
      <c r="BR9" s="98">
        <v>152.80000000000001</v>
      </c>
      <c r="BS9" s="98">
        <v>57.3</v>
      </c>
      <c r="BT9" s="98"/>
      <c r="BU9" s="98">
        <f t="shared" si="10"/>
        <v>57.3</v>
      </c>
      <c r="BV9" s="98" t="s">
        <v>604</v>
      </c>
      <c r="BW9" s="98" t="s">
        <v>605</v>
      </c>
      <c r="BX9" s="98" t="s">
        <v>614</v>
      </c>
      <c r="BY9" s="98">
        <v>15.3</v>
      </c>
      <c r="BZ9" s="98" t="s">
        <v>606</v>
      </c>
      <c r="CA9" s="98">
        <v>1.29</v>
      </c>
      <c r="CB9" s="98">
        <v>0.5</v>
      </c>
      <c r="CC9" s="98">
        <v>0.624</v>
      </c>
      <c r="CD9" s="98">
        <v>1.98</v>
      </c>
      <c r="CE9" s="98">
        <v>1.1000000000000001</v>
      </c>
      <c r="CF9" s="98">
        <v>2.8</v>
      </c>
      <c r="CG9" s="98" t="s">
        <v>607</v>
      </c>
      <c r="CH9" s="98">
        <v>0.71</v>
      </c>
      <c r="CI9" s="98" t="s">
        <v>616</v>
      </c>
      <c r="CJ9" s="98">
        <v>2.92</v>
      </c>
      <c r="CK9" s="98">
        <v>4.9000000000000002E-2</v>
      </c>
      <c r="CL9" s="98">
        <v>0.03</v>
      </c>
      <c r="CM9" s="98" t="s">
        <v>603</v>
      </c>
      <c r="CN9" s="98">
        <v>0.4</v>
      </c>
      <c r="CO9" s="98" t="s">
        <v>607</v>
      </c>
      <c r="CP9" s="98">
        <v>2.5999999999999999E-2</v>
      </c>
      <c r="CQ9" s="98" t="s">
        <v>605</v>
      </c>
      <c r="CR9" s="98">
        <v>7.0000000000000007E-2</v>
      </c>
      <c r="CS9" s="98" t="s">
        <v>92</v>
      </c>
      <c r="CT9" s="98">
        <v>5.8999999999999997E-2</v>
      </c>
      <c r="CU9" s="98">
        <v>0.14000000000000001</v>
      </c>
      <c r="CV9" s="98">
        <v>1.6E-2</v>
      </c>
      <c r="CW9" s="98">
        <v>7.6999999999999999E-2</v>
      </c>
      <c r="CX9" s="98">
        <v>1.4999999999999999E-2</v>
      </c>
      <c r="CY9" s="98" t="s">
        <v>608</v>
      </c>
      <c r="CZ9" s="98">
        <v>8.0000000000000002E-3</v>
      </c>
      <c r="DA9" s="98" t="s">
        <v>609</v>
      </c>
      <c r="DB9" s="98">
        <v>7.0000000000000001E-3</v>
      </c>
      <c r="DC9" s="98" t="s">
        <v>608</v>
      </c>
      <c r="DD9" s="98">
        <v>6.0000000000000001E-3</v>
      </c>
      <c r="DE9" s="98" t="s">
        <v>608</v>
      </c>
      <c r="DF9" s="98" t="s">
        <v>610</v>
      </c>
      <c r="DG9" s="98" t="s">
        <v>609</v>
      </c>
      <c r="DH9" s="98" t="s">
        <v>611</v>
      </c>
      <c r="DI9" s="98" t="s">
        <v>612</v>
      </c>
      <c r="DJ9" s="98" t="s">
        <v>615</v>
      </c>
      <c r="DK9" s="98" t="s">
        <v>304</v>
      </c>
      <c r="DL9" s="98">
        <v>0.13</v>
      </c>
      <c r="DM9" s="98" t="s">
        <v>605</v>
      </c>
      <c r="DN9" s="98" t="s">
        <v>91</v>
      </c>
      <c r="DO9" s="98">
        <v>3.4000000000000002E-2</v>
      </c>
    </row>
    <row r="10" spans="1:122">
      <c r="A10" s="53" t="s">
        <v>539</v>
      </c>
      <c r="B10" s="53" t="s">
        <v>540</v>
      </c>
      <c r="C10" s="180">
        <v>43887</v>
      </c>
      <c r="L10" s="183">
        <v>0.25792300000000001</v>
      </c>
      <c r="M10" s="183">
        <v>34.719996000000002</v>
      </c>
      <c r="N10" s="53" t="s">
        <v>661</v>
      </c>
      <c r="O10" s="53" t="s">
        <v>330</v>
      </c>
      <c r="P10" s="53" t="s">
        <v>347</v>
      </c>
      <c r="Q10" s="154" t="s">
        <v>371</v>
      </c>
      <c r="R10" s="116" t="s">
        <v>687</v>
      </c>
      <c r="S10" s="53" t="s">
        <v>538</v>
      </c>
      <c r="T10" s="53" t="s">
        <v>739</v>
      </c>
      <c r="U10" s="53" t="s">
        <v>726</v>
      </c>
      <c r="V10" s="53" t="s">
        <v>727</v>
      </c>
      <c r="W10" s="98">
        <v>406</v>
      </c>
      <c r="X10" s="99"/>
      <c r="Y10" s="99">
        <f t="shared" si="0"/>
        <v>305.16344035498537</v>
      </c>
      <c r="Z10" s="99">
        <f t="shared" si="1"/>
        <v>0.75163408954429889</v>
      </c>
      <c r="AA10" s="98">
        <v>7.9169999999999998</v>
      </c>
      <c r="AB10" s="98">
        <v>28.3</v>
      </c>
      <c r="AC10" s="98">
        <v>28.829000000000001</v>
      </c>
      <c r="AD10" s="98">
        <v>11.4</v>
      </c>
      <c r="AE10" s="98">
        <v>2.33</v>
      </c>
      <c r="AF10" s="98">
        <v>147.4</v>
      </c>
      <c r="AG10" s="98"/>
      <c r="AH10" s="98">
        <v>2.2565998125189219</v>
      </c>
      <c r="AI10" s="98">
        <v>81.242455839326226</v>
      </c>
      <c r="AJ10" s="98">
        <v>3.4053847031402285</v>
      </c>
      <c r="AK10" s="98">
        <v>4.3400098099999997</v>
      </c>
      <c r="AL10" s="98">
        <v>6.6268379999999995E-3</v>
      </c>
      <c r="AM10" s="98">
        <v>4.2259414665475834</v>
      </c>
      <c r="AN10" s="98">
        <v>1.4280249138551068E-2</v>
      </c>
      <c r="AO10" s="98">
        <f t="shared" si="2"/>
        <v>4.2259414665475834</v>
      </c>
      <c r="AP10" s="98" t="e">
        <f>IF(#REF!&gt;0,#REF!*0.01639)+IF(Cl&gt;0,Cl*0.02821)+IF(_SO4&gt;0,_SO4*0.02082)+IF(_NO3&gt;0,_NO3*0.01613)</f>
        <v>#REF!</v>
      </c>
      <c r="AQ10" s="98">
        <v>4.3466366479999996</v>
      </c>
      <c r="AR10" s="98">
        <v>4.2402217156861344</v>
      </c>
      <c r="AS10" s="98">
        <v>1.2392766691470598</v>
      </c>
      <c r="AT10" s="98">
        <f t="shared" si="3"/>
        <v>23.006293853895656</v>
      </c>
      <c r="AU10" s="98">
        <f t="shared" si="4"/>
        <v>0</v>
      </c>
      <c r="AV10" s="98" t="e">
        <f t="shared" si="5"/>
        <v>#REF!</v>
      </c>
      <c r="AW10" s="98">
        <v>2.3541547498273505E-2</v>
      </c>
      <c r="AX10" s="98" t="s">
        <v>613</v>
      </c>
      <c r="AY10" s="98">
        <v>0.1343844126102075</v>
      </c>
      <c r="AZ10" s="98">
        <v>0.21247982152499922</v>
      </c>
      <c r="BA10" s="98"/>
      <c r="BB10" s="98"/>
      <c r="BC10" s="98"/>
      <c r="BD10" s="98"/>
      <c r="BE10" s="98"/>
      <c r="BF10" s="98">
        <f t="shared" si="6"/>
        <v>29.015176866597116</v>
      </c>
      <c r="BG10" s="98" t="e">
        <f t="shared" si="7"/>
        <v>#DIV/0!</v>
      </c>
      <c r="BH10" s="98" t="e">
        <f t="shared" si="8"/>
        <v>#DIV/0!</v>
      </c>
      <c r="BI10" s="98">
        <v>5.8999999999999997E-2</v>
      </c>
      <c r="BJ10" s="98">
        <v>29.86</v>
      </c>
      <c r="BK10" s="98"/>
      <c r="BL10" s="98">
        <f t="shared" si="9"/>
        <v>0</v>
      </c>
      <c r="BM10" s="98"/>
      <c r="BN10" s="98">
        <v>36.479999999999997</v>
      </c>
      <c r="BO10" s="98">
        <v>78.041663999999997</v>
      </c>
      <c r="BP10" s="98">
        <v>86.55</v>
      </c>
      <c r="BQ10" s="98">
        <v>226.6</v>
      </c>
      <c r="BR10" s="98">
        <v>8.6999999999999993</v>
      </c>
      <c r="BS10" s="98">
        <v>3.6</v>
      </c>
      <c r="BT10" s="98"/>
      <c r="BU10" s="98">
        <f t="shared" si="10"/>
        <v>3.6</v>
      </c>
      <c r="BV10" s="98" t="s">
        <v>604</v>
      </c>
      <c r="BW10" s="98" t="s">
        <v>605</v>
      </c>
      <c r="BX10" s="98" t="s">
        <v>614</v>
      </c>
      <c r="BY10" s="98">
        <v>3.8</v>
      </c>
      <c r="BZ10" s="98" t="s">
        <v>606</v>
      </c>
      <c r="CA10" s="98">
        <v>12.39</v>
      </c>
      <c r="CB10" s="98">
        <v>0.82</v>
      </c>
      <c r="CC10" s="98">
        <v>0.49199999999999999</v>
      </c>
      <c r="CD10" s="98">
        <v>4.96</v>
      </c>
      <c r="CE10" s="98">
        <v>0.5</v>
      </c>
      <c r="CF10" s="98">
        <v>4.5</v>
      </c>
      <c r="CG10" s="98" t="s">
        <v>607</v>
      </c>
      <c r="CH10" s="98">
        <v>0.75</v>
      </c>
      <c r="CI10" s="98">
        <v>0.08</v>
      </c>
      <c r="CJ10" s="98">
        <v>0.4</v>
      </c>
      <c r="CK10" s="98">
        <v>9.2999999999999999E-2</v>
      </c>
      <c r="CL10" s="98">
        <v>0.02</v>
      </c>
      <c r="CM10" s="98" t="s">
        <v>603</v>
      </c>
      <c r="CN10" s="98" t="s">
        <v>606</v>
      </c>
      <c r="CO10" s="98" t="s">
        <v>607</v>
      </c>
      <c r="CP10" s="98">
        <v>3.2000000000000001E-2</v>
      </c>
      <c r="CQ10" s="98" t="s">
        <v>605</v>
      </c>
      <c r="CR10" s="98">
        <v>0.15</v>
      </c>
      <c r="CS10" s="98" t="s">
        <v>92</v>
      </c>
      <c r="CT10" s="98">
        <v>0.1</v>
      </c>
      <c r="CU10" s="98">
        <v>5.1999999999999998E-2</v>
      </c>
      <c r="CV10" s="98">
        <v>1.7999999999999999E-2</v>
      </c>
      <c r="CW10" s="98">
        <v>6.6000000000000003E-2</v>
      </c>
      <c r="CX10" s="98">
        <v>0.02</v>
      </c>
      <c r="CY10" s="98" t="s">
        <v>608</v>
      </c>
      <c r="CZ10" s="98">
        <v>6.0000000000000001E-3</v>
      </c>
      <c r="DA10" s="98" t="s">
        <v>609</v>
      </c>
      <c r="DB10" s="98">
        <v>1.0999999999999999E-2</v>
      </c>
      <c r="DC10" s="98" t="s">
        <v>608</v>
      </c>
      <c r="DD10" s="98">
        <v>4.0000000000000001E-3</v>
      </c>
      <c r="DE10" s="98" t="s">
        <v>608</v>
      </c>
      <c r="DF10" s="98" t="s">
        <v>610</v>
      </c>
      <c r="DG10" s="98" t="s">
        <v>609</v>
      </c>
      <c r="DH10" s="98" t="s">
        <v>611</v>
      </c>
      <c r="DI10" s="98" t="s">
        <v>612</v>
      </c>
      <c r="DJ10" s="98" t="s">
        <v>615</v>
      </c>
      <c r="DK10" s="98" t="s">
        <v>304</v>
      </c>
      <c r="DL10" s="98">
        <v>0.11</v>
      </c>
      <c r="DM10" s="98" t="s">
        <v>605</v>
      </c>
      <c r="DN10" s="98" t="s">
        <v>91</v>
      </c>
      <c r="DO10" s="98">
        <v>4.1000000000000002E-2</v>
      </c>
    </row>
    <row r="11" spans="1:122">
      <c r="A11" s="53" t="s">
        <v>541</v>
      </c>
      <c r="B11" s="53" t="s">
        <v>542</v>
      </c>
      <c r="C11" s="180">
        <v>43887</v>
      </c>
      <c r="L11" s="183">
        <v>0.25792300000000001</v>
      </c>
      <c r="M11" s="183">
        <v>34.719996000000002</v>
      </c>
      <c r="N11" s="53" t="s">
        <v>661</v>
      </c>
      <c r="O11" s="53" t="s">
        <v>330</v>
      </c>
      <c r="P11" s="53" t="s">
        <v>347</v>
      </c>
      <c r="Q11" s="154" t="s">
        <v>371</v>
      </c>
      <c r="R11" s="116" t="s">
        <v>687</v>
      </c>
      <c r="S11" s="53" t="s">
        <v>538</v>
      </c>
      <c r="T11" s="53" t="s">
        <v>739</v>
      </c>
      <c r="U11" s="53" t="s">
        <v>726</v>
      </c>
      <c r="V11" s="53" t="s">
        <v>727</v>
      </c>
      <c r="W11" s="98">
        <v>408.2</v>
      </c>
      <c r="X11" s="99"/>
      <c r="Y11" s="99">
        <f t="shared" si="0"/>
        <v>305.6983555230338</v>
      </c>
      <c r="Z11" s="99">
        <f t="shared" si="1"/>
        <v>0.74889357061007789</v>
      </c>
      <c r="AA11" s="98">
        <v>7.8869999999999996</v>
      </c>
      <c r="AB11" s="98">
        <v>28.3</v>
      </c>
      <c r="AC11" s="98">
        <v>29.218</v>
      </c>
      <c r="AD11" s="98">
        <v>11.3</v>
      </c>
      <c r="AE11" s="98">
        <v>2.27</v>
      </c>
      <c r="AF11" s="98">
        <v>147.4</v>
      </c>
      <c r="AG11" s="98"/>
      <c r="AH11" s="98">
        <v>2.2790490482483428</v>
      </c>
      <c r="AI11" s="98">
        <v>81.850656564792089</v>
      </c>
      <c r="AJ11" s="98">
        <v>3.0806499099933968</v>
      </c>
      <c r="AK11" s="98">
        <v>4.3661358200000002</v>
      </c>
      <c r="AL11" s="98">
        <v>6.7017212E-3</v>
      </c>
      <c r="AM11" s="98">
        <v>4.2339995263782511</v>
      </c>
      <c r="AN11" s="98">
        <v>1.3811422694055876E-2</v>
      </c>
      <c r="AO11" s="98">
        <f t="shared" si="2"/>
        <v>4.2339995263782511</v>
      </c>
      <c r="AP11" s="98" t="e">
        <f>IF(#REF!&gt;0,#REF!*0.01639)+IF(Cl&gt;0,Cl*0.02821)+IF(_SO4&gt;0,_SO4*0.02082)+IF(_NO3&gt;0,_NO3*0.01613)</f>
        <v>#REF!</v>
      </c>
      <c r="AQ11" s="98">
        <v>4.3728375412</v>
      </c>
      <c r="AR11" s="98">
        <v>4.2478109490723073</v>
      </c>
      <c r="AS11" s="98">
        <v>1.4503153941234812</v>
      </c>
      <c r="AT11" s="98">
        <f t="shared" si="3"/>
        <v>22.868446188046097</v>
      </c>
      <c r="AU11" s="98">
        <f t="shared" si="4"/>
        <v>0</v>
      </c>
      <c r="AV11" s="98" t="e">
        <f t="shared" si="5"/>
        <v>#REF!</v>
      </c>
      <c r="AW11" s="98">
        <v>2.2457860131002701E-2</v>
      </c>
      <c r="AX11" s="98" t="s">
        <v>613</v>
      </c>
      <c r="AY11" s="98">
        <v>0.11777587116583532</v>
      </c>
      <c r="AZ11" s="98">
        <v>0.21040655642324682</v>
      </c>
      <c r="BA11" s="98"/>
      <c r="BB11" s="98"/>
      <c r="BC11" s="98"/>
      <c r="BD11" s="98"/>
      <c r="BE11" s="98"/>
      <c r="BF11" s="98">
        <f t="shared" si="6"/>
        <v>29.015176866597116</v>
      </c>
      <c r="BG11" s="98" t="e">
        <f t="shared" si="7"/>
        <v>#DIV/0!</v>
      </c>
      <c r="BH11" s="98" t="e">
        <f t="shared" si="8"/>
        <v>#DIV/0!</v>
      </c>
      <c r="BI11" s="98">
        <v>6.0999999999999999E-2</v>
      </c>
      <c r="BJ11" s="98">
        <v>30.6</v>
      </c>
      <c r="BK11" s="98"/>
      <c r="BL11" s="98">
        <f t="shared" si="9"/>
        <v>0</v>
      </c>
      <c r="BM11" s="98"/>
      <c r="BN11" s="98">
        <v>35.44</v>
      </c>
      <c r="BO11" s="98">
        <v>75.816791999999992</v>
      </c>
      <c r="BP11" s="98">
        <v>88.52</v>
      </c>
      <c r="BQ11" s="98">
        <v>225.8</v>
      </c>
      <c r="BR11" s="98">
        <v>5.9</v>
      </c>
      <c r="BS11" s="98">
        <v>4.8</v>
      </c>
      <c r="BT11" s="98"/>
      <c r="BU11" s="98">
        <f t="shared" si="10"/>
        <v>4.8</v>
      </c>
      <c r="BV11" s="98" t="s">
        <v>604</v>
      </c>
      <c r="BW11" s="98" t="s">
        <v>605</v>
      </c>
      <c r="BX11" s="98" t="s">
        <v>614</v>
      </c>
      <c r="BY11" s="98">
        <v>3.7</v>
      </c>
      <c r="BZ11" s="98" t="s">
        <v>606</v>
      </c>
      <c r="CA11" s="98">
        <v>12.76</v>
      </c>
      <c r="CB11" s="98">
        <v>0.86</v>
      </c>
      <c r="CC11" s="98">
        <v>0.434</v>
      </c>
      <c r="CD11" s="98">
        <v>4.79</v>
      </c>
      <c r="CE11" s="98">
        <v>0.5</v>
      </c>
      <c r="CF11" s="98">
        <v>4.4000000000000004</v>
      </c>
      <c r="CG11" s="98" t="s">
        <v>607</v>
      </c>
      <c r="CH11" s="98">
        <v>0.4</v>
      </c>
      <c r="CI11" s="98">
        <v>0.1</v>
      </c>
      <c r="CJ11" s="98">
        <v>0.31</v>
      </c>
      <c r="CK11" s="98">
        <v>7.4999999999999997E-2</v>
      </c>
      <c r="CL11" s="98" t="s">
        <v>304</v>
      </c>
      <c r="CM11" s="98" t="s">
        <v>603</v>
      </c>
      <c r="CN11" s="98" t="s">
        <v>606</v>
      </c>
      <c r="CO11" s="98" t="s">
        <v>607</v>
      </c>
      <c r="CP11" s="98">
        <v>5.5E-2</v>
      </c>
      <c r="CQ11" s="98">
        <v>0.17</v>
      </c>
      <c r="CR11" s="98" t="s">
        <v>92</v>
      </c>
      <c r="CS11" s="98" t="s">
        <v>92</v>
      </c>
      <c r="CT11" s="98">
        <v>9.1999999999999998E-2</v>
      </c>
      <c r="CU11" s="98">
        <v>3.5999999999999997E-2</v>
      </c>
      <c r="CV11" s="98">
        <v>1.4999999999999999E-2</v>
      </c>
      <c r="CW11" s="98">
        <v>4.5999999999999999E-2</v>
      </c>
      <c r="CX11" s="98">
        <v>7.0000000000000001E-3</v>
      </c>
      <c r="CY11" s="98" t="s">
        <v>608</v>
      </c>
      <c r="CZ11" s="98">
        <v>1.0999999999999999E-2</v>
      </c>
      <c r="DA11" s="98" t="s">
        <v>609</v>
      </c>
      <c r="DB11" s="98">
        <v>5.0000000000000001E-3</v>
      </c>
      <c r="DC11" s="98" t="s">
        <v>608</v>
      </c>
      <c r="DD11" s="98">
        <v>3.0000000000000001E-3</v>
      </c>
      <c r="DE11" s="98" t="s">
        <v>608</v>
      </c>
      <c r="DF11" s="98" t="s">
        <v>610</v>
      </c>
      <c r="DG11" s="98" t="s">
        <v>609</v>
      </c>
      <c r="DH11" s="98" t="s">
        <v>611</v>
      </c>
      <c r="DI11" s="98" t="s">
        <v>612</v>
      </c>
      <c r="DJ11" s="98" t="s">
        <v>615</v>
      </c>
      <c r="DK11" s="98" t="s">
        <v>304</v>
      </c>
      <c r="DL11" s="98">
        <v>0.17</v>
      </c>
      <c r="DM11" s="98" t="s">
        <v>605</v>
      </c>
      <c r="DN11" s="98" t="s">
        <v>91</v>
      </c>
      <c r="DO11" s="98">
        <v>4.3999999999999997E-2</v>
      </c>
    </row>
    <row r="12" spans="1:122">
      <c r="A12" s="53" t="s">
        <v>543</v>
      </c>
      <c r="B12" s="53" t="s">
        <v>544</v>
      </c>
      <c r="C12" s="180">
        <v>43887</v>
      </c>
      <c r="L12" s="183">
        <v>0.258245</v>
      </c>
      <c r="M12" s="183">
        <v>34.717754999999997</v>
      </c>
      <c r="N12" s="53" t="s">
        <v>661</v>
      </c>
      <c r="O12" s="53" t="s">
        <v>330</v>
      </c>
      <c r="P12" s="53" t="s">
        <v>347</v>
      </c>
      <c r="Q12" s="154" t="s">
        <v>371</v>
      </c>
      <c r="R12" s="116" t="s">
        <v>687</v>
      </c>
      <c r="S12" s="53" t="s">
        <v>527</v>
      </c>
      <c r="T12" s="53" t="s">
        <v>740</v>
      </c>
      <c r="U12" s="53" t="s">
        <v>685</v>
      </c>
      <c r="V12" s="53" t="s">
        <v>691</v>
      </c>
      <c r="W12" s="98">
        <v>388</v>
      </c>
      <c r="X12" s="99"/>
      <c r="Y12" s="99">
        <f t="shared" si="0"/>
        <v>234.70340038214633</v>
      </c>
      <c r="Z12" s="99">
        <f t="shared" si="1"/>
        <v>0.60490567108800597</v>
      </c>
      <c r="AA12" s="98">
        <v>8.0519999999999996</v>
      </c>
      <c r="AB12" s="98">
        <v>15.8</v>
      </c>
      <c r="AC12" s="98">
        <v>12.677</v>
      </c>
      <c r="AD12" s="98">
        <v>9.6</v>
      </c>
      <c r="AE12" s="98">
        <v>0.9</v>
      </c>
      <c r="AF12" s="98">
        <v>105.7</v>
      </c>
      <c r="AG12" s="98"/>
      <c r="AH12" s="98">
        <v>13.046355691819512</v>
      </c>
      <c r="AI12" s="98">
        <v>72.665687426830203</v>
      </c>
      <c r="AJ12" s="98">
        <v>4.3143572634966203</v>
      </c>
      <c r="AK12" s="98">
        <v>2.2722323300000005</v>
      </c>
      <c r="AL12" s="98">
        <v>3.2717051999999998E-3</v>
      </c>
      <c r="AM12" s="98">
        <v>3.6829508889530338</v>
      </c>
      <c r="AN12" s="98">
        <v>1.4865494307662484E-2</v>
      </c>
      <c r="AO12" s="98">
        <f t="shared" si="2"/>
        <v>3.6829508889530338</v>
      </c>
      <c r="AP12" s="98" t="e">
        <f>IF(#REF!&gt;0,#REF!*0.01639)+IF(Cl&gt;0,Cl*0.02821)+IF(_SO4&gt;0,_SO4*0.02082)+IF(_NO3&gt;0,_NO3*0.01613)</f>
        <v>#REF!</v>
      </c>
      <c r="AQ12" s="98">
        <v>2.2755040352000004</v>
      </c>
      <c r="AR12" s="98">
        <v>3.6978163832606961</v>
      </c>
      <c r="AS12" s="98">
        <v>-23.8</v>
      </c>
      <c r="AT12" s="98">
        <f t="shared" si="3"/>
        <v>43.946307478734361</v>
      </c>
      <c r="AU12" s="98">
        <f t="shared" si="4"/>
        <v>16.741107624320218</v>
      </c>
      <c r="AV12" s="98" t="e">
        <f t="shared" si="5"/>
        <v>#REF!</v>
      </c>
      <c r="AW12" s="98">
        <v>0.19643457300836095</v>
      </c>
      <c r="AX12" s="98">
        <v>6.1466609519386838E-2</v>
      </c>
      <c r="AY12" s="98" t="s">
        <v>603</v>
      </c>
      <c r="AZ12" s="98">
        <v>0.21029349093173128</v>
      </c>
      <c r="BA12" s="98"/>
      <c r="BB12" s="98"/>
      <c r="BC12" s="98"/>
      <c r="BD12" s="98"/>
      <c r="BE12" s="98"/>
      <c r="BF12" s="98">
        <f t="shared" si="6"/>
        <v>20.806677033916657</v>
      </c>
      <c r="BG12" s="98" t="e">
        <f t="shared" si="7"/>
        <v>#DIV/0!</v>
      </c>
      <c r="BH12" s="98" t="e">
        <f t="shared" si="8"/>
        <v>#DIV/0!</v>
      </c>
      <c r="BI12" s="98">
        <v>6.7000000000000004E-2</v>
      </c>
      <c r="BJ12" s="98">
        <v>0.68</v>
      </c>
      <c r="BK12" s="98"/>
      <c r="BL12" s="98">
        <f t="shared" si="9"/>
        <v>147.05882352941174</v>
      </c>
      <c r="BM12" s="98"/>
      <c r="BN12" s="98">
        <v>38.619999999999997</v>
      </c>
      <c r="BO12" s="98">
        <v>82.619765999999998</v>
      </c>
      <c r="BP12" s="98">
        <v>31.62</v>
      </c>
      <c r="BQ12" s="98">
        <v>118.2</v>
      </c>
      <c r="BR12" s="98">
        <v>1.6</v>
      </c>
      <c r="BS12" s="98">
        <v>2.1</v>
      </c>
      <c r="BT12" s="98"/>
      <c r="BU12" s="98">
        <f t="shared" si="10"/>
        <v>2.1</v>
      </c>
      <c r="BV12" s="98" t="s">
        <v>604</v>
      </c>
      <c r="BW12" s="98" t="s">
        <v>605</v>
      </c>
      <c r="BX12" s="98" t="s">
        <v>614</v>
      </c>
      <c r="BY12" s="98">
        <v>3.1</v>
      </c>
      <c r="BZ12" s="98" t="s">
        <v>606</v>
      </c>
      <c r="CA12" s="98">
        <v>12.22</v>
      </c>
      <c r="CB12" s="98">
        <v>2.42</v>
      </c>
      <c r="CC12" s="98">
        <v>2.9000000000000001E-2</v>
      </c>
      <c r="CD12" s="98">
        <v>3.38</v>
      </c>
      <c r="CE12" s="98">
        <v>0.3</v>
      </c>
      <c r="CF12" s="98">
        <v>4.8</v>
      </c>
      <c r="CG12" s="98" t="s">
        <v>607</v>
      </c>
      <c r="CH12" s="98">
        <v>0.82</v>
      </c>
      <c r="CI12" s="98">
        <v>0.1</v>
      </c>
      <c r="CJ12" s="98">
        <v>0.24</v>
      </c>
      <c r="CK12" s="98">
        <v>1.2E-2</v>
      </c>
      <c r="CL12" s="98" t="s">
        <v>304</v>
      </c>
      <c r="CM12" s="98" t="s">
        <v>603</v>
      </c>
      <c r="CN12" s="98" t="s">
        <v>606</v>
      </c>
      <c r="CO12" s="98" t="s">
        <v>607</v>
      </c>
      <c r="CP12" s="98">
        <v>5.5E-2</v>
      </c>
      <c r="CQ12" s="98">
        <v>0.12</v>
      </c>
      <c r="CR12" s="98">
        <v>0.08</v>
      </c>
      <c r="CS12" s="98" t="s">
        <v>92</v>
      </c>
      <c r="CT12" s="98">
        <v>1.2999999999999999E-2</v>
      </c>
      <c r="CU12" s="98">
        <v>1.0999999999999999E-2</v>
      </c>
      <c r="CV12" s="98" t="s">
        <v>608</v>
      </c>
      <c r="CW12" s="98" t="s">
        <v>613</v>
      </c>
      <c r="CX12" s="98" t="s">
        <v>613</v>
      </c>
      <c r="CY12" s="98" t="s">
        <v>608</v>
      </c>
      <c r="CZ12" s="98" t="s">
        <v>613</v>
      </c>
      <c r="DA12" s="98" t="s">
        <v>609</v>
      </c>
      <c r="DB12" s="98" t="s">
        <v>608</v>
      </c>
      <c r="DC12" s="98" t="s">
        <v>608</v>
      </c>
      <c r="DD12" s="98" t="s">
        <v>608</v>
      </c>
      <c r="DE12" s="98" t="s">
        <v>608</v>
      </c>
      <c r="DF12" s="98" t="s">
        <v>610</v>
      </c>
      <c r="DG12" s="98" t="s">
        <v>609</v>
      </c>
      <c r="DH12" s="98" t="s">
        <v>611</v>
      </c>
      <c r="DI12" s="98" t="s">
        <v>612</v>
      </c>
      <c r="DJ12" s="98">
        <v>0.17</v>
      </c>
      <c r="DK12" s="98" t="s">
        <v>304</v>
      </c>
      <c r="DL12" s="98">
        <v>0.15</v>
      </c>
      <c r="DM12" s="98" t="s">
        <v>605</v>
      </c>
      <c r="DN12" s="98" t="s">
        <v>91</v>
      </c>
      <c r="DO12" s="98">
        <v>2.4E-2</v>
      </c>
    </row>
    <row r="13" spans="1:122">
      <c r="A13" s="53" t="s">
        <v>545</v>
      </c>
      <c r="B13" s="53" t="s">
        <v>546</v>
      </c>
      <c r="C13" s="180">
        <v>43887</v>
      </c>
      <c r="L13" s="183">
        <v>0.26067699999999999</v>
      </c>
      <c r="M13" s="183">
        <v>34.720677999999999</v>
      </c>
      <c r="N13" s="53" t="s">
        <v>661</v>
      </c>
      <c r="O13" s="53" t="s">
        <v>330</v>
      </c>
      <c r="P13" s="53" t="s">
        <v>347</v>
      </c>
      <c r="Q13" s="154" t="s">
        <v>371</v>
      </c>
      <c r="R13" s="116" t="s">
        <v>687</v>
      </c>
      <c r="S13" s="53" t="s">
        <v>728</v>
      </c>
      <c r="T13" s="53" t="s">
        <v>739</v>
      </c>
      <c r="U13" s="53" t="s">
        <v>726</v>
      </c>
      <c r="V13" s="53" t="s">
        <v>727</v>
      </c>
      <c r="W13" s="98">
        <v>294.10000000000002</v>
      </c>
      <c r="X13" s="99"/>
      <c r="Y13" s="99">
        <f t="shared" si="0"/>
        <v>231.33123075791687</v>
      </c>
      <c r="Z13" s="99">
        <f t="shared" si="1"/>
        <v>0.78657337897965607</v>
      </c>
      <c r="AA13" s="98">
        <v>8.0399999999999991</v>
      </c>
      <c r="AB13" s="98">
        <v>28.1</v>
      </c>
      <c r="AC13" s="98">
        <v>12.279</v>
      </c>
      <c r="AD13" s="98">
        <v>10.8</v>
      </c>
      <c r="AE13" s="98">
        <v>3.98</v>
      </c>
      <c r="AF13" s="98">
        <v>152</v>
      </c>
      <c r="AG13" s="98"/>
      <c r="AH13" s="98">
        <v>7.693692996187802</v>
      </c>
      <c r="AI13" s="98">
        <v>10.606117142618473</v>
      </c>
      <c r="AJ13" s="98">
        <v>5.8724206191106143</v>
      </c>
      <c r="AK13" s="98">
        <v>2.9842373099999997</v>
      </c>
      <c r="AL13" s="98">
        <v>6.7239609999999997E-3</v>
      </c>
      <c r="AM13" s="98">
        <v>3.0238605829180281</v>
      </c>
      <c r="AN13" s="98">
        <v>2.7899275964969637E-2</v>
      </c>
      <c r="AO13" s="98">
        <f t="shared" si="2"/>
        <v>3.0238605829180281</v>
      </c>
      <c r="AP13" s="98" t="e">
        <f>IF(#REF!&gt;0,#REF!*0.01639)+IF(Cl&gt;0,Cl*0.02821)+IF(_SO4&gt;0,_SO4*0.02082)+IF(_NO3&gt;0,_NO3*0.01613)</f>
        <v>#REF!</v>
      </c>
      <c r="AQ13" s="98">
        <v>2.9909612709999998</v>
      </c>
      <c r="AR13" s="98">
        <v>3.0517598588829977</v>
      </c>
      <c r="AS13" s="98">
        <v>-1.01</v>
      </c>
      <c r="AT13" s="98">
        <f t="shared" si="3"/>
        <v>33.434067157468057</v>
      </c>
      <c r="AU13" s="98">
        <f t="shared" si="4"/>
        <v>16.548835839117444</v>
      </c>
      <c r="AV13" s="98" t="e">
        <f t="shared" si="5"/>
        <v>#REF!</v>
      </c>
      <c r="AW13" s="98">
        <v>6.9693046454381888E-2</v>
      </c>
      <c r="AX13" s="98">
        <v>0.43663065008730695</v>
      </c>
      <c r="AY13" s="98" t="s">
        <v>603</v>
      </c>
      <c r="AZ13" s="98">
        <v>0.33309970916532528</v>
      </c>
      <c r="BA13" s="98"/>
      <c r="BB13" s="98"/>
      <c r="BC13" s="98"/>
      <c r="BD13" s="98"/>
      <c r="BE13" s="98"/>
      <c r="BF13" s="98">
        <f t="shared" si="6"/>
        <v>29.920670852935967</v>
      </c>
      <c r="BG13" s="98" t="e">
        <f t="shared" si="7"/>
        <v>#DIV/0!</v>
      </c>
      <c r="BH13" s="98" t="e">
        <f t="shared" si="8"/>
        <v>#DIV/0!</v>
      </c>
      <c r="BI13" s="98" t="s">
        <v>611</v>
      </c>
      <c r="BJ13" s="98">
        <v>4.21</v>
      </c>
      <c r="BK13" s="98"/>
      <c r="BL13" s="98">
        <f t="shared" si="9"/>
        <v>0</v>
      </c>
      <c r="BM13" s="98"/>
      <c r="BN13" s="98">
        <v>25.22</v>
      </c>
      <c r="BO13" s="98">
        <v>53.953145999999997</v>
      </c>
      <c r="BP13" s="98">
        <v>92.25</v>
      </c>
      <c r="BQ13" s="98">
        <v>197.1</v>
      </c>
      <c r="BR13" s="98">
        <v>523.79999999999995</v>
      </c>
      <c r="BS13" s="98">
        <v>16.399999999999999</v>
      </c>
      <c r="BT13" s="98"/>
      <c r="BU13" s="98">
        <f t="shared" si="10"/>
        <v>16.399999999999999</v>
      </c>
      <c r="BV13" s="98" t="s">
        <v>604</v>
      </c>
      <c r="BW13" s="98" t="s">
        <v>605</v>
      </c>
      <c r="BX13" s="98" t="s">
        <v>614</v>
      </c>
      <c r="BY13" s="98">
        <v>33.700000000000003</v>
      </c>
      <c r="BZ13" s="98">
        <v>0.4</v>
      </c>
      <c r="CA13" s="98">
        <v>8.3800000000000008</v>
      </c>
      <c r="CB13" s="98">
        <v>0.27</v>
      </c>
      <c r="CC13" s="98">
        <v>1.4219999999999999</v>
      </c>
      <c r="CD13" s="98">
        <v>1.86</v>
      </c>
      <c r="CE13" s="98">
        <v>1.1000000000000001</v>
      </c>
      <c r="CF13" s="98">
        <v>3.6</v>
      </c>
      <c r="CG13" s="98" t="s">
        <v>607</v>
      </c>
      <c r="CH13" s="98">
        <v>4.26</v>
      </c>
      <c r="CI13" s="98">
        <v>0.2</v>
      </c>
      <c r="CJ13" s="98">
        <v>3.01</v>
      </c>
      <c r="CK13" s="98">
        <v>7.6999999999999999E-2</v>
      </c>
      <c r="CL13" s="98" t="s">
        <v>304</v>
      </c>
      <c r="CM13" s="98" t="s">
        <v>603</v>
      </c>
      <c r="CN13" s="98">
        <v>1.4</v>
      </c>
      <c r="CO13" s="98" t="s">
        <v>607</v>
      </c>
      <c r="CP13" s="98">
        <v>1.6E-2</v>
      </c>
      <c r="CQ13" s="98">
        <v>0.24</v>
      </c>
      <c r="CR13" s="98">
        <v>0.44</v>
      </c>
      <c r="CS13" s="98" t="s">
        <v>92</v>
      </c>
      <c r="CT13" s="98">
        <v>7.3999999999999996E-2</v>
      </c>
      <c r="CU13" s="98">
        <v>0.193</v>
      </c>
      <c r="CV13" s="98">
        <v>1.7999999999999999E-2</v>
      </c>
      <c r="CW13" s="98">
        <v>8.5000000000000006E-2</v>
      </c>
      <c r="CX13" s="98">
        <v>1.9E-2</v>
      </c>
      <c r="CY13" s="98">
        <v>4.0000000000000001E-3</v>
      </c>
      <c r="CZ13" s="98">
        <v>1.4999999999999999E-2</v>
      </c>
      <c r="DA13" s="98" t="s">
        <v>609</v>
      </c>
      <c r="DB13" s="98">
        <v>8.9999999999999993E-3</v>
      </c>
      <c r="DC13" s="98" t="s">
        <v>608</v>
      </c>
      <c r="DD13" s="98">
        <v>4.0000000000000001E-3</v>
      </c>
      <c r="DE13" s="98" t="s">
        <v>608</v>
      </c>
      <c r="DF13" s="98" t="s">
        <v>610</v>
      </c>
      <c r="DG13" s="98" t="s">
        <v>609</v>
      </c>
      <c r="DH13" s="98" t="s">
        <v>611</v>
      </c>
      <c r="DI13" s="98" t="s">
        <v>612</v>
      </c>
      <c r="DJ13" s="98">
        <v>0.9</v>
      </c>
      <c r="DK13" s="98" t="s">
        <v>304</v>
      </c>
      <c r="DL13" s="98">
        <v>0.15</v>
      </c>
      <c r="DM13" s="98" t="s">
        <v>605</v>
      </c>
      <c r="DN13" s="98" t="s">
        <v>91</v>
      </c>
      <c r="DO13" s="98">
        <v>0.41</v>
      </c>
    </row>
    <row r="14" spans="1:122" s="85" customFormat="1">
      <c r="A14" s="53" t="s">
        <v>547</v>
      </c>
      <c r="B14" s="53" t="s">
        <v>548</v>
      </c>
      <c r="C14" s="180">
        <v>43887</v>
      </c>
      <c r="D14" s="53"/>
      <c r="E14" s="53"/>
      <c r="F14" s="53"/>
      <c r="G14" s="53"/>
      <c r="H14" s="53"/>
      <c r="I14" s="53"/>
      <c r="J14" s="53"/>
      <c r="K14" s="53"/>
      <c r="L14" s="183">
        <v>0.31578899999999999</v>
      </c>
      <c r="M14" s="183">
        <v>34.648187999999998</v>
      </c>
      <c r="N14" s="53" t="s">
        <v>661</v>
      </c>
      <c r="O14" s="53" t="s">
        <v>330</v>
      </c>
      <c r="P14" s="53" t="s">
        <v>347</v>
      </c>
      <c r="Q14" s="154" t="s">
        <v>371</v>
      </c>
      <c r="R14" s="39" t="s">
        <v>688</v>
      </c>
      <c r="S14" s="53" t="s">
        <v>535</v>
      </c>
      <c r="T14" s="53" t="s">
        <v>739</v>
      </c>
      <c r="U14" s="53" t="s">
        <v>684</v>
      </c>
      <c r="V14" s="53" t="s">
        <v>683</v>
      </c>
      <c r="W14" s="98">
        <v>191.2</v>
      </c>
      <c r="X14" s="99"/>
      <c r="Y14" s="99" t="e">
        <f t="shared" si="0"/>
        <v>#VALUE!</v>
      </c>
      <c r="Z14" s="99" t="e">
        <f t="shared" si="1"/>
        <v>#VALUE!</v>
      </c>
      <c r="AA14" s="98">
        <v>8.093</v>
      </c>
      <c r="AB14" s="98">
        <v>25.2</v>
      </c>
      <c r="AC14" s="98">
        <v>5.5110000000000001</v>
      </c>
      <c r="AD14" s="98">
        <v>17.3</v>
      </c>
      <c r="AE14" s="98">
        <v>4.26</v>
      </c>
      <c r="AF14" s="98">
        <v>86.79</v>
      </c>
      <c r="AG14" s="98"/>
      <c r="AH14" s="98">
        <v>1.3321805945970897</v>
      </c>
      <c r="AI14" s="98">
        <v>20.28644117282262</v>
      </c>
      <c r="AJ14" s="98" t="s">
        <v>91</v>
      </c>
      <c r="AK14" s="98">
        <v>2.5725009899999995</v>
      </c>
      <c r="AL14" s="98">
        <v>1.7933009999999999E-2</v>
      </c>
      <c r="AM14" s="98">
        <v>1.8824326197917509</v>
      </c>
      <c r="AN14" s="98">
        <v>1.6513280337411465E-2</v>
      </c>
      <c r="AO14" s="98" t="e">
        <f t="shared" si="2"/>
        <v>#VALUE!</v>
      </c>
      <c r="AP14" s="98" t="e">
        <f>IF(#REF!&gt;0,#REF!*0.01639)+IF(Cl&gt;0,Cl*0.02821)+IF(_SO4&gt;0,_SO4*0.02082)+IF(_NO3&gt;0,_NO3*0.01613)</f>
        <v>#REF!</v>
      </c>
      <c r="AQ14" s="98">
        <v>2.5904339999999997</v>
      </c>
      <c r="AR14" s="98">
        <v>1.8989459001291624</v>
      </c>
      <c r="AS14" s="98">
        <v>15.402753058411101</v>
      </c>
      <c r="AT14" s="98">
        <f t="shared" si="3"/>
        <v>38.603569903730424</v>
      </c>
      <c r="AU14" s="98" t="e">
        <f t="shared" si="4"/>
        <v>#VALUE!</v>
      </c>
      <c r="AV14" s="98" t="e">
        <f t="shared" si="5"/>
        <v>#REF!</v>
      </c>
      <c r="AW14" s="98">
        <v>3.6696386663214689E-2</v>
      </c>
      <c r="AX14" s="98">
        <v>3.2006348503510272E-2</v>
      </c>
      <c r="AY14" s="98" t="s">
        <v>603</v>
      </c>
      <c r="AZ14" s="98">
        <v>0.29175576671583786</v>
      </c>
      <c r="BA14" s="98"/>
      <c r="BB14" s="98"/>
      <c r="BC14" s="98"/>
      <c r="BD14" s="98"/>
      <c r="BE14" s="98"/>
      <c r="BF14" s="98">
        <f t="shared" si="6"/>
        <v>17.084309363988901</v>
      </c>
      <c r="BG14" s="98" t="e">
        <f t="shared" si="7"/>
        <v>#DIV/0!</v>
      </c>
      <c r="BH14" s="98" t="e">
        <f t="shared" si="8"/>
        <v>#DIV/0!</v>
      </c>
      <c r="BI14" s="98" t="s">
        <v>611</v>
      </c>
      <c r="BJ14" s="98">
        <v>10.41</v>
      </c>
      <c r="BK14" s="98"/>
      <c r="BL14" s="98">
        <f t="shared" si="9"/>
        <v>0</v>
      </c>
      <c r="BM14" s="98"/>
      <c r="BN14" s="98">
        <v>10.49</v>
      </c>
      <c r="BO14" s="98">
        <v>22.441257</v>
      </c>
      <c r="BP14" s="98">
        <v>44.7</v>
      </c>
      <c r="BQ14" s="98">
        <v>351.8</v>
      </c>
      <c r="BR14" s="98">
        <v>135.9</v>
      </c>
      <c r="BS14" s="98">
        <v>172.2</v>
      </c>
      <c r="BT14" s="98"/>
      <c r="BU14" s="98">
        <f t="shared" si="10"/>
        <v>172.2</v>
      </c>
      <c r="BV14" s="98" t="s">
        <v>604</v>
      </c>
      <c r="BW14" s="98" t="s">
        <v>605</v>
      </c>
      <c r="BX14" s="98" t="s">
        <v>614</v>
      </c>
      <c r="BY14" s="98">
        <v>30.1</v>
      </c>
      <c r="BZ14" s="98">
        <v>0.9</v>
      </c>
      <c r="CA14" s="98">
        <v>0.52</v>
      </c>
      <c r="CB14" s="98">
        <v>0.22</v>
      </c>
      <c r="CC14" s="98">
        <v>19.263999999999999</v>
      </c>
      <c r="CD14" s="98">
        <v>1.33</v>
      </c>
      <c r="CE14" s="98">
        <v>9</v>
      </c>
      <c r="CF14" s="98">
        <v>3.4</v>
      </c>
      <c r="CG14" s="98" t="s">
        <v>607</v>
      </c>
      <c r="CH14" s="98">
        <v>1.32</v>
      </c>
      <c r="CI14" s="98">
        <v>0.22</v>
      </c>
      <c r="CJ14" s="98">
        <v>6.69</v>
      </c>
      <c r="CK14" s="98">
        <v>5.2999999999999999E-2</v>
      </c>
      <c r="CL14" s="98">
        <v>0.04</v>
      </c>
      <c r="CM14" s="98">
        <v>0.01</v>
      </c>
      <c r="CN14" s="98">
        <v>2.1</v>
      </c>
      <c r="CO14" s="98" t="s">
        <v>607</v>
      </c>
      <c r="CP14" s="98">
        <v>3.9E-2</v>
      </c>
      <c r="CQ14" s="98">
        <v>0.1</v>
      </c>
      <c r="CR14" s="98">
        <v>0.09</v>
      </c>
      <c r="CS14" s="98" t="s">
        <v>92</v>
      </c>
      <c r="CT14" s="98">
        <v>0.129</v>
      </c>
      <c r="CU14" s="98">
        <v>0.21299999999999999</v>
      </c>
      <c r="CV14" s="98">
        <v>3.1E-2</v>
      </c>
      <c r="CW14" s="98">
        <v>8.5999999999999993E-2</v>
      </c>
      <c r="CX14" s="98">
        <v>1.2999999999999999E-2</v>
      </c>
      <c r="CY14" s="98">
        <v>4.0000000000000001E-3</v>
      </c>
      <c r="CZ14" s="98">
        <v>1.9E-2</v>
      </c>
      <c r="DA14" s="98" t="s">
        <v>609</v>
      </c>
      <c r="DB14" s="98">
        <v>0.01</v>
      </c>
      <c r="DC14" s="98" t="s">
        <v>608</v>
      </c>
      <c r="DD14" s="98" t="s">
        <v>608</v>
      </c>
      <c r="DE14" s="98" t="s">
        <v>608</v>
      </c>
      <c r="DF14" s="98" t="s">
        <v>610</v>
      </c>
      <c r="DG14" s="98" t="s">
        <v>609</v>
      </c>
      <c r="DH14" s="98" t="s">
        <v>611</v>
      </c>
      <c r="DI14" s="98" t="s">
        <v>612</v>
      </c>
      <c r="DJ14" s="98">
        <v>0.08</v>
      </c>
      <c r="DK14" s="98" t="s">
        <v>304</v>
      </c>
      <c r="DL14" s="98">
        <v>0.38</v>
      </c>
      <c r="DM14" s="98">
        <v>0.1</v>
      </c>
      <c r="DN14" s="98" t="s">
        <v>91</v>
      </c>
      <c r="DO14" s="98">
        <v>0.11799999999999999</v>
      </c>
    </row>
    <row r="15" spans="1:122">
      <c r="A15" s="53" t="s">
        <v>549</v>
      </c>
      <c r="B15" s="53" t="s">
        <v>550</v>
      </c>
      <c r="C15" s="180">
        <v>43887</v>
      </c>
      <c r="L15" s="53">
        <v>0.31646400000000002</v>
      </c>
      <c r="M15" s="53">
        <v>34.649081000000002</v>
      </c>
      <c r="N15" s="53" t="s">
        <v>661</v>
      </c>
      <c r="O15" s="53" t="s">
        <v>330</v>
      </c>
      <c r="P15" s="53" t="s">
        <v>347</v>
      </c>
      <c r="Q15" s="53" t="s">
        <v>371</v>
      </c>
      <c r="R15" s="39" t="s">
        <v>688</v>
      </c>
      <c r="S15" s="53" t="s">
        <v>535</v>
      </c>
      <c r="T15" s="53" t="s">
        <v>739</v>
      </c>
      <c r="U15" s="53" t="s">
        <v>684</v>
      </c>
      <c r="V15" s="53" t="s">
        <v>683</v>
      </c>
      <c r="W15" s="98">
        <v>172.3</v>
      </c>
      <c r="X15" s="99"/>
      <c r="Y15" s="99">
        <f t="shared" si="0"/>
        <v>123.06268814002978</v>
      </c>
      <c r="Z15" s="99">
        <f t="shared" ref="Z15:Z41" si="11">Y15/W15</f>
        <v>0.71423498630313276</v>
      </c>
      <c r="AA15" s="98">
        <v>7.6109999999999998</v>
      </c>
      <c r="AB15" s="98">
        <v>13.4</v>
      </c>
      <c r="AC15" s="98">
        <v>5.4260000000000002</v>
      </c>
      <c r="AD15" s="98">
        <v>11.8</v>
      </c>
      <c r="AE15" s="98">
        <v>1.58</v>
      </c>
      <c r="AF15" s="98">
        <v>58.44</v>
      </c>
      <c r="AG15" s="98"/>
      <c r="AH15" s="98">
        <v>1.3601712537232624</v>
      </c>
      <c r="AI15" s="98">
        <v>28.11263425798705</v>
      </c>
      <c r="AJ15" s="98">
        <v>2.9438826283194515</v>
      </c>
      <c r="AK15" s="98">
        <v>1.6688819400000001</v>
      </c>
      <c r="AL15" s="98">
        <v>8.2964986199999993E-2</v>
      </c>
      <c r="AM15" s="98">
        <v>1.6289919031136162</v>
      </c>
      <c r="AN15" s="98">
        <v>1.1903304977387933E-2</v>
      </c>
      <c r="AO15" s="98">
        <f t="shared" ref="AO15:AO24" si="12">IF(TIC&gt;0,TIC*0.01639*5.0801,IF(_HCO3&gt;0,_HCO3*0.01639))+IF(Cl&gt;0,Cl*0.02821)+IF(_SO4&gt;0,_SO4*0.02082)+IF(_NO3&gt;0,_NO3*0.01613)</f>
        <v>1.6289919031136162</v>
      </c>
      <c r="AP15" s="98" t="e">
        <f>IF(#REF!&gt;0,#REF!*0.01639)+IF(Cl&gt;0,Cl*0.02821)+IF(_SO4&gt;0,_SO4*0.02082)+IF(_NO3&gt;0,_NO3*0.01613)</f>
        <v>#REF!</v>
      </c>
      <c r="AQ15" s="98">
        <v>1.7518469262</v>
      </c>
      <c r="AR15" s="98">
        <v>1.6408952080910042</v>
      </c>
      <c r="AS15" s="98">
        <v>3.2702667552475777</v>
      </c>
      <c r="AT15" s="98">
        <f t="shared" ref="AT15:AT24" si="13">((Cation_Total&lt;(Anion_Total&lt;(_SO4/48)+(Total_S/16)))*100)/(Cation_Total+(Anion_Total&lt;(_SO4/48)+(Total_S/16)))</f>
        <v>57.082612929494886</v>
      </c>
      <c r="AU15" s="98">
        <f t="shared" ref="AU15:AU24" si="14">((Cation_Total&lt;(AN15+AO15))*100)/(Cation_Total+(AN15+AO15))</f>
        <v>0</v>
      </c>
      <c r="AV15" s="98" t="e">
        <f t="shared" ref="AV15:AV24" si="15">((Cation_Total&lt;(AN15+AP15))*100)/(Cation_Total+(AN15+AP15))</f>
        <v>#REF!</v>
      </c>
      <c r="AW15" s="98">
        <v>2.9472421327845801E-2</v>
      </c>
      <c r="AX15" s="98">
        <v>7.8953717462594847E-3</v>
      </c>
      <c r="AY15" s="98" t="s">
        <v>603</v>
      </c>
      <c r="AZ15" s="98">
        <v>0.21585609575607187</v>
      </c>
      <c r="BA15" s="98"/>
      <c r="BB15" s="98"/>
      <c r="BC15" s="98"/>
      <c r="BD15" s="98"/>
      <c r="BE15" s="98"/>
      <c r="BF15" s="98">
        <f t="shared" ref="BF15:BF24" si="16">_HCO3/5.0801</f>
        <v>11.503710556878801</v>
      </c>
      <c r="BG15" s="98" t="e">
        <f t="shared" ref="BG15:BG24" si="17">((TIC&lt;(_HCO3/5.0801))/TIC)*100</f>
        <v>#DIV/0!</v>
      </c>
      <c r="BH15" s="98" t="e">
        <f t="shared" ref="BH15:BH24" si="18">((TIC&lt;(Field_HCO3/5.1))/TIC)*100</f>
        <v>#DIV/0!</v>
      </c>
      <c r="BI15" s="98" t="s">
        <v>611</v>
      </c>
      <c r="BJ15" s="98">
        <v>10.52</v>
      </c>
      <c r="BK15" s="98"/>
      <c r="BL15" s="98">
        <f t="shared" ref="BL15:BL24" si="19">((Total_S&lt;(_SO4/2.9962))/Total_S)*100</f>
        <v>0</v>
      </c>
      <c r="BM15" s="98"/>
      <c r="BN15" s="98">
        <v>21.54</v>
      </c>
      <c r="BO15" s="98">
        <v>46.080521999999995</v>
      </c>
      <c r="BP15" s="98">
        <v>107.22</v>
      </c>
      <c r="BQ15" s="98">
        <v>336.1</v>
      </c>
      <c r="BR15" s="98">
        <v>372.7</v>
      </c>
      <c r="BS15" s="98">
        <v>1372.5</v>
      </c>
      <c r="BT15" s="98"/>
      <c r="BU15" s="98">
        <f t="shared" ref="BU15:BU24" si="20">IF(Reduced_Fe&gt;0,Total_Fe&lt;Reduced_Fe,Total_Fe*1)</f>
        <v>1372.5</v>
      </c>
      <c r="BV15" s="98" t="s">
        <v>604</v>
      </c>
      <c r="BW15" s="98" t="s">
        <v>605</v>
      </c>
      <c r="BX15" s="98" t="s">
        <v>614</v>
      </c>
      <c r="BY15" s="98">
        <v>20.100000000000001</v>
      </c>
      <c r="BZ15" s="98">
        <v>0.4</v>
      </c>
      <c r="CA15" s="98">
        <v>0.51</v>
      </c>
      <c r="CB15" s="98">
        <v>0.21</v>
      </c>
      <c r="CC15" s="98">
        <v>25.491</v>
      </c>
      <c r="CD15" s="98">
        <v>1.5</v>
      </c>
      <c r="CE15" s="98">
        <v>0.6</v>
      </c>
      <c r="CF15" s="98">
        <v>7.2</v>
      </c>
      <c r="CG15" s="98" t="s">
        <v>607</v>
      </c>
      <c r="CH15" s="98">
        <v>0.15</v>
      </c>
      <c r="CI15" s="98">
        <v>0.1</v>
      </c>
      <c r="CJ15" s="98">
        <v>2.8</v>
      </c>
      <c r="CK15" s="98">
        <v>0.109</v>
      </c>
      <c r="CL15" s="98">
        <v>0.04</v>
      </c>
      <c r="CM15" s="98" t="s">
        <v>603</v>
      </c>
      <c r="CN15" s="98" t="s">
        <v>606</v>
      </c>
      <c r="CO15" s="98" t="s">
        <v>607</v>
      </c>
      <c r="CP15" s="98">
        <v>5.3999999999999999E-2</v>
      </c>
      <c r="CQ15" s="98">
        <v>0.14000000000000001</v>
      </c>
      <c r="CR15" s="98">
        <v>0.06</v>
      </c>
      <c r="CS15" s="98" t="s">
        <v>92</v>
      </c>
      <c r="CT15" s="98">
        <v>0.22600000000000001</v>
      </c>
      <c r="CU15" s="98">
        <v>0.375</v>
      </c>
      <c r="CV15" s="98">
        <v>5.5E-2</v>
      </c>
      <c r="CW15" s="98">
        <v>0.23799999999999999</v>
      </c>
      <c r="CX15" s="98">
        <v>3.5999999999999997E-2</v>
      </c>
      <c r="CY15" s="98">
        <v>3.0000000000000001E-3</v>
      </c>
      <c r="CZ15" s="98">
        <v>2.9000000000000001E-2</v>
      </c>
      <c r="DA15" s="98" t="s">
        <v>609</v>
      </c>
      <c r="DB15" s="98">
        <v>1.4999999999999999E-2</v>
      </c>
      <c r="DC15" s="98" t="s">
        <v>608</v>
      </c>
      <c r="DD15" s="98">
        <v>7.0000000000000001E-3</v>
      </c>
      <c r="DE15" s="98" t="s">
        <v>608</v>
      </c>
      <c r="DF15" s="98" t="s">
        <v>610</v>
      </c>
      <c r="DG15" s="98" t="s">
        <v>609</v>
      </c>
      <c r="DH15" s="98" t="s">
        <v>611</v>
      </c>
      <c r="DI15" s="98" t="s">
        <v>612</v>
      </c>
      <c r="DJ15" s="98" t="s">
        <v>615</v>
      </c>
      <c r="DK15" s="98" t="s">
        <v>304</v>
      </c>
      <c r="DL15" s="98">
        <v>0.18</v>
      </c>
      <c r="DM15" s="98" t="s">
        <v>605</v>
      </c>
      <c r="DN15" s="98" t="s">
        <v>91</v>
      </c>
      <c r="DO15" s="98">
        <v>1.7999999999999999E-2</v>
      </c>
    </row>
    <row r="16" spans="1:122">
      <c r="A16" s="53" t="s">
        <v>551</v>
      </c>
      <c r="B16" s="53" t="s">
        <v>552</v>
      </c>
      <c r="C16" s="180">
        <v>43888</v>
      </c>
      <c r="L16" s="53">
        <v>0.25118800000000002</v>
      </c>
      <c r="M16" s="53">
        <v>34.723633</v>
      </c>
      <c r="N16" s="53" t="s">
        <v>661</v>
      </c>
      <c r="O16" s="53" t="s">
        <v>330</v>
      </c>
      <c r="P16" s="53" t="s">
        <v>347</v>
      </c>
      <c r="Q16" s="53" t="s">
        <v>371</v>
      </c>
      <c r="R16" s="39" t="s">
        <v>688</v>
      </c>
      <c r="S16" s="53" t="s">
        <v>538</v>
      </c>
      <c r="T16" s="53" t="s">
        <v>739</v>
      </c>
      <c r="U16" s="53" t="s">
        <v>726</v>
      </c>
      <c r="V16" s="53" t="s">
        <v>727</v>
      </c>
      <c r="W16" s="98">
        <v>88.4</v>
      </c>
      <c r="X16" s="99"/>
      <c r="Y16" s="99">
        <f t="shared" si="0"/>
        <v>64.135819237742737</v>
      </c>
      <c r="Z16" s="99">
        <f t="shared" si="11"/>
        <v>0.72551831716903548</v>
      </c>
      <c r="AA16" s="98">
        <v>7.5460000000000003</v>
      </c>
      <c r="AB16" s="98">
        <v>5.2</v>
      </c>
      <c r="AC16" s="98">
        <v>2.6989999999999998</v>
      </c>
      <c r="AD16" s="98">
        <v>3.6</v>
      </c>
      <c r="AE16" s="98">
        <v>1</v>
      </c>
      <c r="AF16" s="98">
        <v>44.93</v>
      </c>
      <c r="AG16" s="98"/>
      <c r="AH16" s="98">
        <v>1.9876630688215906</v>
      </c>
      <c r="AI16" s="98">
        <v>0.6140063585893305</v>
      </c>
      <c r="AJ16" s="98">
        <v>4.1051498103318149</v>
      </c>
      <c r="AK16" s="98">
        <v>0.66376071000000003</v>
      </c>
      <c r="AL16" s="98">
        <v>6.3559300000000001E-3</v>
      </c>
      <c r="AM16" s="98">
        <v>0.87147435399793904</v>
      </c>
      <c r="AN16" s="98">
        <v>4.3366378334105359E-3</v>
      </c>
      <c r="AO16" s="98">
        <f t="shared" si="12"/>
        <v>0.87147435399793904</v>
      </c>
      <c r="AP16" s="98" t="e">
        <f>IF(#REF!&gt;0,#REF!*0.01639)+IF(Cl&gt;0,Cl*0.02821)+IF(_SO4&gt;0,_SO4*0.02082)+IF(_NO3&gt;0,_NO3*0.01613)</f>
        <v>#REF!</v>
      </c>
      <c r="AQ16" s="98">
        <v>0.67011664000000004</v>
      </c>
      <c r="AR16" s="98">
        <v>0.87581099183134958</v>
      </c>
      <c r="AS16" s="98">
        <v>-13.3</v>
      </c>
      <c r="AT16" s="98">
        <f t="shared" si="13"/>
        <v>149.22775235069523</v>
      </c>
      <c r="AU16" s="98">
        <f t="shared" si="14"/>
        <v>64.686080991732553</v>
      </c>
      <c r="AV16" s="98" t="e">
        <f t="shared" si="15"/>
        <v>#REF!</v>
      </c>
      <c r="AW16" s="98">
        <v>2.2455696636468531E-2</v>
      </c>
      <c r="AX16" s="98">
        <v>2.3785772144853824E-2</v>
      </c>
      <c r="AY16" s="98" t="s">
        <v>603</v>
      </c>
      <c r="AZ16" s="98">
        <v>6.7218651692492928E-2</v>
      </c>
      <c r="BA16" s="98"/>
      <c r="BB16" s="98"/>
      <c r="BC16" s="98"/>
      <c r="BD16" s="98"/>
      <c r="BE16" s="98"/>
      <c r="BF16" s="98">
        <f t="shared" si="16"/>
        <v>8.8443140883053477</v>
      </c>
      <c r="BG16" s="98" t="e">
        <f t="shared" si="17"/>
        <v>#DIV/0!</v>
      </c>
      <c r="BH16" s="98" t="e">
        <f t="shared" si="18"/>
        <v>#DIV/0!</v>
      </c>
      <c r="BI16" s="98" t="s">
        <v>611</v>
      </c>
      <c r="BJ16" s="98">
        <v>0.23</v>
      </c>
      <c r="BK16" s="98"/>
      <c r="BL16" s="98">
        <f t="shared" si="19"/>
        <v>0</v>
      </c>
      <c r="BM16" s="98"/>
      <c r="BN16" s="98">
        <v>9.2899999999999991</v>
      </c>
      <c r="BO16" s="98">
        <v>19.874096999999999</v>
      </c>
      <c r="BP16" s="98">
        <v>27.9</v>
      </c>
      <c r="BQ16" s="98">
        <v>52.6</v>
      </c>
      <c r="BR16" s="98">
        <v>17.3</v>
      </c>
      <c r="BS16" s="98">
        <v>88.4</v>
      </c>
      <c r="BT16" s="98"/>
      <c r="BU16" s="98">
        <f t="shared" si="20"/>
        <v>88.4</v>
      </c>
      <c r="BV16" s="98" t="s">
        <v>604</v>
      </c>
      <c r="BW16" s="98" t="s">
        <v>605</v>
      </c>
      <c r="BX16" s="98" t="s">
        <v>614</v>
      </c>
      <c r="BY16" s="98">
        <v>15.6</v>
      </c>
      <c r="BZ16" s="98" t="s">
        <v>606</v>
      </c>
      <c r="CA16" s="98">
        <v>0.78</v>
      </c>
      <c r="CB16" s="98">
        <v>0.6</v>
      </c>
      <c r="CC16" s="98">
        <v>0.13300000000000001</v>
      </c>
      <c r="CD16" s="98">
        <v>1.1599999999999999</v>
      </c>
      <c r="CE16" s="98">
        <v>0.5</v>
      </c>
      <c r="CF16" s="98">
        <v>2.8</v>
      </c>
      <c r="CG16" s="98" t="s">
        <v>607</v>
      </c>
      <c r="CH16" s="98">
        <v>0.12</v>
      </c>
      <c r="CI16" s="98" t="s">
        <v>616</v>
      </c>
      <c r="CJ16" s="98">
        <v>2</v>
      </c>
      <c r="CK16" s="98">
        <v>0.09</v>
      </c>
      <c r="CL16" s="98">
        <v>0.05</v>
      </c>
      <c r="CM16" s="98" t="s">
        <v>603</v>
      </c>
      <c r="CN16" s="98" t="s">
        <v>606</v>
      </c>
      <c r="CO16" s="98" t="s">
        <v>607</v>
      </c>
      <c r="CP16" s="98">
        <v>2.5000000000000001E-2</v>
      </c>
      <c r="CQ16" s="98" t="s">
        <v>605</v>
      </c>
      <c r="CR16" s="98" t="s">
        <v>92</v>
      </c>
      <c r="CS16" s="98" t="s">
        <v>92</v>
      </c>
      <c r="CT16" s="98">
        <v>0.13</v>
      </c>
      <c r="CU16" s="98">
        <v>0.20599999999999999</v>
      </c>
      <c r="CV16" s="98">
        <v>2.7E-2</v>
      </c>
      <c r="CW16" s="98">
        <v>0.129</v>
      </c>
      <c r="CX16" s="98">
        <v>2.9000000000000001E-2</v>
      </c>
      <c r="CY16" s="98" t="s">
        <v>608</v>
      </c>
      <c r="CZ16" s="98">
        <v>1.6E-2</v>
      </c>
      <c r="DA16" s="98" t="s">
        <v>609</v>
      </c>
      <c r="DB16" s="98">
        <v>1.4999999999999999E-2</v>
      </c>
      <c r="DC16" s="98" t="s">
        <v>608</v>
      </c>
      <c r="DD16" s="98">
        <v>7.0000000000000001E-3</v>
      </c>
      <c r="DE16" s="98" t="s">
        <v>608</v>
      </c>
      <c r="DF16" s="98" t="s">
        <v>610</v>
      </c>
      <c r="DG16" s="98" t="s">
        <v>609</v>
      </c>
      <c r="DH16" s="98" t="s">
        <v>611</v>
      </c>
      <c r="DI16" s="98" t="s">
        <v>612</v>
      </c>
      <c r="DJ16" s="98" t="s">
        <v>615</v>
      </c>
      <c r="DK16" s="98" t="s">
        <v>304</v>
      </c>
      <c r="DL16" s="98">
        <v>0.13</v>
      </c>
      <c r="DM16" s="98" t="s">
        <v>605</v>
      </c>
      <c r="DN16" s="98" t="s">
        <v>91</v>
      </c>
      <c r="DO16" s="98">
        <v>2.5999999999999999E-2</v>
      </c>
    </row>
    <row r="17" spans="1:119">
      <c r="A17" s="53" t="s">
        <v>553</v>
      </c>
      <c r="B17" s="53" t="s">
        <v>554</v>
      </c>
      <c r="C17" s="180">
        <v>43888</v>
      </c>
      <c r="L17" s="53">
        <v>0.26495800000000003</v>
      </c>
      <c r="M17" s="53">
        <v>34.729039</v>
      </c>
      <c r="N17" s="53" t="s">
        <v>660</v>
      </c>
      <c r="O17" s="53" t="s">
        <v>330</v>
      </c>
      <c r="P17" s="53" t="s">
        <v>347</v>
      </c>
      <c r="Q17" s="53" t="s">
        <v>371</v>
      </c>
      <c r="R17" s="116" t="s">
        <v>687</v>
      </c>
      <c r="S17" s="53" t="s">
        <v>555</v>
      </c>
      <c r="T17" s="53" t="s">
        <v>739</v>
      </c>
      <c r="U17" s="53" t="s">
        <v>684</v>
      </c>
      <c r="V17" s="53" t="s">
        <v>683</v>
      </c>
      <c r="W17" s="98">
        <v>123.5</v>
      </c>
      <c r="X17" s="99"/>
      <c r="Y17" s="99">
        <f t="shared" si="0"/>
        <v>97.899266708067259</v>
      </c>
      <c r="Z17" s="99">
        <f t="shared" si="11"/>
        <v>0.79270661302078749</v>
      </c>
      <c r="AA17" s="98">
        <v>7.7489999999999997</v>
      </c>
      <c r="AB17" s="98">
        <v>7.5</v>
      </c>
      <c r="AC17" s="98">
        <v>8.9420000000000002</v>
      </c>
      <c r="AD17" s="98">
        <v>3.2</v>
      </c>
      <c r="AE17" s="98">
        <v>1.24</v>
      </c>
      <c r="AF17" s="98">
        <v>74.069999999999993</v>
      </c>
      <c r="AG17" s="98"/>
      <c r="AH17" s="98">
        <v>0.82548420629791797</v>
      </c>
      <c r="AI17" s="98">
        <v>0.58715491554590948</v>
      </c>
      <c r="AJ17" s="98">
        <v>1.5346275862234329</v>
      </c>
      <c r="AK17" s="98">
        <v>1.2810063799999998</v>
      </c>
      <c r="AL17" s="98">
        <v>6.20111686E-2</v>
      </c>
      <c r="AM17" s="98">
        <v>1.2742723177671138</v>
      </c>
      <c r="AN17" s="98">
        <v>8.2907614093801763E-3</v>
      </c>
      <c r="AO17" s="98">
        <f t="shared" si="12"/>
        <v>1.2742723177671138</v>
      </c>
      <c r="AP17" s="98" t="e">
        <f>IF(#REF!&gt;0,#REF!*0.01639)+IF(Cl&gt;0,Cl*0.02821)+IF(_SO4&gt;0,_SO4*0.02082)+IF(_NO3&gt;0,_NO3*0.01613)</f>
        <v>#REF!</v>
      </c>
      <c r="AQ17" s="98">
        <v>1.3430175485999998</v>
      </c>
      <c r="AR17" s="98">
        <v>1.2825630791764939</v>
      </c>
      <c r="AS17" s="98">
        <v>2.3025181090973574</v>
      </c>
      <c r="AT17" s="98">
        <f t="shared" si="13"/>
        <v>74.4591908752368</v>
      </c>
      <c r="AU17" s="98">
        <f t="shared" si="14"/>
        <v>0</v>
      </c>
      <c r="AV17" s="98" t="e">
        <f t="shared" si="15"/>
        <v>#REF!</v>
      </c>
      <c r="AW17" s="98" t="s">
        <v>603</v>
      </c>
      <c r="AX17" s="98">
        <v>7.4829408532033235E-3</v>
      </c>
      <c r="AY17" s="98" t="s">
        <v>603</v>
      </c>
      <c r="AZ17" s="98">
        <v>0.15440885781214925</v>
      </c>
      <c r="BA17" s="98"/>
      <c r="BB17" s="98"/>
      <c r="BC17" s="98"/>
      <c r="BD17" s="98"/>
      <c r="BE17" s="98"/>
      <c r="BF17" s="98">
        <f t="shared" si="16"/>
        <v>14.580421645243202</v>
      </c>
      <c r="BG17" s="98" t="e">
        <f t="shared" si="17"/>
        <v>#DIV/0!</v>
      </c>
      <c r="BH17" s="98" t="e">
        <f t="shared" si="18"/>
        <v>#DIV/0!</v>
      </c>
      <c r="BI17" s="98">
        <v>7.0000000000000001E-3</v>
      </c>
      <c r="BJ17" s="98">
        <v>0.28999999999999998</v>
      </c>
      <c r="BK17" s="98"/>
      <c r="BL17" s="98">
        <f t="shared" si="19"/>
        <v>0</v>
      </c>
      <c r="BM17" s="98"/>
      <c r="BN17" s="98">
        <v>19.52</v>
      </c>
      <c r="BO17" s="98">
        <v>41.759135999999998</v>
      </c>
      <c r="BP17" s="98">
        <v>61.76</v>
      </c>
      <c r="BQ17" s="98">
        <v>63.3</v>
      </c>
      <c r="BR17" s="98">
        <v>14.8</v>
      </c>
      <c r="BS17" s="98">
        <v>1110.7</v>
      </c>
      <c r="BT17" s="98"/>
      <c r="BU17" s="98">
        <f t="shared" si="20"/>
        <v>1110.7</v>
      </c>
      <c r="BV17" s="98" t="s">
        <v>604</v>
      </c>
      <c r="BW17" s="98" t="s">
        <v>605</v>
      </c>
      <c r="BX17" s="98" t="s">
        <v>614</v>
      </c>
      <c r="BY17" s="98">
        <v>2.8</v>
      </c>
      <c r="BZ17" s="98" t="s">
        <v>606</v>
      </c>
      <c r="CA17" s="98">
        <v>2.82</v>
      </c>
      <c r="CB17" s="98">
        <v>0.38</v>
      </c>
      <c r="CC17" s="98">
        <v>0.16800000000000001</v>
      </c>
      <c r="CD17" s="98">
        <v>32.200000000000003</v>
      </c>
      <c r="CE17" s="98">
        <v>9.1</v>
      </c>
      <c r="CF17" s="98">
        <v>302.7</v>
      </c>
      <c r="CG17" s="98" t="s">
        <v>607</v>
      </c>
      <c r="CH17" s="98">
        <v>0.06</v>
      </c>
      <c r="CI17" s="98">
        <v>0.11</v>
      </c>
      <c r="CJ17" s="98">
        <v>1.42</v>
      </c>
      <c r="CK17" s="98">
        <v>3.1E-2</v>
      </c>
      <c r="CL17" s="98">
        <v>0.02</v>
      </c>
      <c r="CM17" s="98" t="s">
        <v>603</v>
      </c>
      <c r="CN17" s="98">
        <v>0.4</v>
      </c>
      <c r="CO17" s="98" t="s">
        <v>607</v>
      </c>
      <c r="CP17" s="98">
        <v>4.3999999999999997E-2</v>
      </c>
      <c r="CQ17" s="98">
        <v>0.09</v>
      </c>
      <c r="CR17" s="98">
        <v>0.05</v>
      </c>
      <c r="CS17" s="98" t="s">
        <v>92</v>
      </c>
      <c r="CT17" s="98">
        <v>1.6E-2</v>
      </c>
      <c r="CU17" s="98">
        <v>1.4999999999999999E-2</v>
      </c>
      <c r="CV17" s="98" t="s">
        <v>608</v>
      </c>
      <c r="CW17" s="98">
        <v>6.0000000000000001E-3</v>
      </c>
      <c r="CX17" s="98" t="s">
        <v>613</v>
      </c>
      <c r="CY17" s="98" t="s">
        <v>608</v>
      </c>
      <c r="CZ17" s="98" t="s">
        <v>613</v>
      </c>
      <c r="DA17" s="98" t="s">
        <v>609</v>
      </c>
      <c r="DB17" s="98">
        <v>5.0000000000000001E-3</v>
      </c>
      <c r="DC17" s="98" t="s">
        <v>608</v>
      </c>
      <c r="DD17" s="98">
        <v>3.0000000000000001E-3</v>
      </c>
      <c r="DE17" s="98" t="s">
        <v>608</v>
      </c>
      <c r="DF17" s="98" t="s">
        <v>610</v>
      </c>
      <c r="DG17" s="98" t="s">
        <v>609</v>
      </c>
      <c r="DH17" s="98" t="s">
        <v>611</v>
      </c>
      <c r="DI17" s="98" t="s">
        <v>612</v>
      </c>
      <c r="DJ17" s="98" t="s">
        <v>615</v>
      </c>
      <c r="DK17" s="98" t="s">
        <v>304</v>
      </c>
      <c r="DL17" s="98">
        <v>0.21</v>
      </c>
      <c r="DM17" s="98" t="s">
        <v>605</v>
      </c>
      <c r="DN17" s="98" t="s">
        <v>91</v>
      </c>
      <c r="DO17" s="98">
        <v>1.4999999999999999E-2</v>
      </c>
    </row>
    <row r="18" spans="1:119">
      <c r="A18" s="53" t="s">
        <v>556</v>
      </c>
      <c r="B18" s="53" t="s">
        <v>557</v>
      </c>
      <c r="C18" s="180">
        <v>43888</v>
      </c>
      <c r="L18" s="53">
        <v>0.21136199999999999</v>
      </c>
      <c r="M18" s="53">
        <v>34.729503000000001</v>
      </c>
      <c r="N18" s="53" t="s">
        <v>662</v>
      </c>
      <c r="O18" s="53" t="s">
        <v>330</v>
      </c>
      <c r="P18" s="53" t="s">
        <v>347</v>
      </c>
      <c r="Q18" s="53" t="s">
        <v>371</v>
      </c>
      <c r="R18" s="116" t="s">
        <v>687</v>
      </c>
      <c r="S18" s="53" t="s">
        <v>538</v>
      </c>
      <c r="T18" s="53" t="s">
        <v>739</v>
      </c>
      <c r="U18" s="53" t="s">
        <v>726</v>
      </c>
      <c r="V18" s="53" t="s">
        <v>727</v>
      </c>
      <c r="W18" s="98">
        <v>119.5</v>
      </c>
      <c r="X18" s="99"/>
      <c r="Y18" s="99">
        <f t="shared" si="0"/>
        <v>86.263317849155527</v>
      </c>
      <c r="Z18" s="99">
        <f t="shared" si="11"/>
        <v>0.72186876861218019</v>
      </c>
      <c r="AA18" s="98">
        <v>7.6689999999999996</v>
      </c>
      <c r="AB18" s="98">
        <v>9</v>
      </c>
      <c r="AC18" s="98">
        <v>3.919</v>
      </c>
      <c r="AD18" s="98">
        <v>4.9000000000000004</v>
      </c>
      <c r="AE18" s="98">
        <v>1.34</v>
      </c>
      <c r="AF18" s="98">
        <v>57.56</v>
      </c>
      <c r="AG18" s="98"/>
      <c r="AH18" s="98">
        <v>4.1653266057882208</v>
      </c>
      <c r="AI18" s="98">
        <v>1.9101166412027573</v>
      </c>
      <c r="AJ18" s="98">
        <v>3.4688746021645329</v>
      </c>
      <c r="AK18" s="98">
        <v>1.0190217100000001</v>
      </c>
      <c r="AL18" s="98">
        <v>6.4363359999999991E-3</v>
      </c>
      <c r="AM18" s="98">
        <v>1.1566338393520408</v>
      </c>
      <c r="AN18" s="98">
        <v>6.105698977432958E-3</v>
      </c>
      <c r="AO18" s="98">
        <f t="shared" si="12"/>
        <v>1.1566338393520408</v>
      </c>
      <c r="AP18" s="98" t="e">
        <f>IF(#REF!&gt;0,#REF!*0.01639)+IF(Cl&gt;0,Cl*0.02821)+IF(_SO4&gt;0,_SO4*0.02082)+IF(_NO3&gt;0,_NO3*0.01613)</f>
        <v>#REF!</v>
      </c>
      <c r="AQ18" s="98">
        <v>1.025458046</v>
      </c>
      <c r="AR18" s="98">
        <v>1.1627395383294736</v>
      </c>
      <c r="AS18" s="98">
        <v>-6.27</v>
      </c>
      <c r="AT18" s="98">
        <f t="shared" si="13"/>
        <v>97.517397605947494</v>
      </c>
      <c r="AU18" s="98">
        <f t="shared" si="14"/>
        <v>45.69971227284892</v>
      </c>
      <c r="AV18" s="98" t="e">
        <f t="shared" si="15"/>
        <v>#REF!</v>
      </c>
      <c r="AW18" s="98">
        <v>4.0790960566397222E-2</v>
      </c>
      <c r="AX18" s="98">
        <v>9.3729095311430883E-3</v>
      </c>
      <c r="AY18" s="98" t="s">
        <v>603</v>
      </c>
      <c r="AZ18" s="98">
        <v>0.10241696614617428</v>
      </c>
      <c r="BA18" s="98"/>
      <c r="BB18" s="98"/>
      <c r="BC18" s="98"/>
      <c r="BD18" s="98"/>
      <c r="BE18" s="98"/>
      <c r="BF18" s="98">
        <f t="shared" si="16"/>
        <v>11.330485620361804</v>
      </c>
      <c r="BG18" s="98" t="e">
        <f t="shared" si="17"/>
        <v>#DIV/0!</v>
      </c>
      <c r="BH18" s="98" t="e">
        <f t="shared" si="18"/>
        <v>#DIV/0!</v>
      </c>
      <c r="BI18" s="98" t="s">
        <v>611</v>
      </c>
      <c r="BJ18" s="98">
        <v>0.66</v>
      </c>
      <c r="BK18" s="98"/>
      <c r="BL18" s="98">
        <f t="shared" si="19"/>
        <v>0</v>
      </c>
      <c r="BM18" s="98"/>
      <c r="BN18" s="98">
        <v>8.07</v>
      </c>
      <c r="BO18" s="98">
        <v>17.264151000000002</v>
      </c>
      <c r="BP18" s="98">
        <v>49.05</v>
      </c>
      <c r="BQ18" s="98">
        <v>86.4</v>
      </c>
      <c r="BR18" s="98">
        <v>152.30000000000001</v>
      </c>
      <c r="BS18" s="98">
        <v>69.8</v>
      </c>
      <c r="BT18" s="98"/>
      <c r="BU18" s="98">
        <f t="shared" si="20"/>
        <v>69.8</v>
      </c>
      <c r="BV18" s="98" t="s">
        <v>604</v>
      </c>
      <c r="BW18" s="98" t="s">
        <v>605</v>
      </c>
      <c r="BX18" s="98" t="s">
        <v>614</v>
      </c>
      <c r="BY18" s="98">
        <v>37.299999999999997</v>
      </c>
      <c r="BZ18" s="98">
        <v>0.3</v>
      </c>
      <c r="CA18" s="98">
        <v>0.77</v>
      </c>
      <c r="CB18" s="98">
        <v>0.51</v>
      </c>
      <c r="CC18" s="98">
        <v>0.61299999999999999</v>
      </c>
      <c r="CD18" s="98">
        <v>1.64</v>
      </c>
      <c r="CE18" s="98">
        <v>1.2</v>
      </c>
      <c r="CF18" s="98">
        <v>4.7</v>
      </c>
      <c r="CG18" s="98" t="s">
        <v>607</v>
      </c>
      <c r="CH18" s="98">
        <v>8.09</v>
      </c>
      <c r="CI18" s="98" t="s">
        <v>616</v>
      </c>
      <c r="CJ18" s="98">
        <v>3.03</v>
      </c>
      <c r="CK18" s="98">
        <v>0.153</v>
      </c>
      <c r="CL18" s="98">
        <v>0.08</v>
      </c>
      <c r="CM18" s="98" t="s">
        <v>603</v>
      </c>
      <c r="CN18" s="98">
        <v>0.2</v>
      </c>
      <c r="CO18" s="98" t="s">
        <v>607</v>
      </c>
      <c r="CP18" s="98">
        <v>4.9000000000000002E-2</v>
      </c>
      <c r="CQ18" s="98">
        <v>0.13</v>
      </c>
      <c r="CR18" s="98">
        <v>0.12</v>
      </c>
      <c r="CS18" s="98" t="s">
        <v>92</v>
      </c>
      <c r="CT18" s="98">
        <v>0.314</v>
      </c>
      <c r="CU18" s="98">
        <v>0.29299999999999998</v>
      </c>
      <c r="CV18" s="98">
        <v>5.8000000000000003E-2</v>
      </c>
      <c r="CW18" s="98">
        <v>0.20899999999999999</v>
      </c>
      <c r="CX18" s="98">
        <v>3.5999999999999997E-2</v>
      </c>
      <c r="CY18" s="98">
        <v>6.0000000000000001E-3</v>
      </c>
      <c r="CZ18" s="98">
        <v>3.3000000000000002E-2</v>
      </c>
      <c r="DA18" s="98">
        <v>4.0000000000000001E-3</v>
      </c>
      <c r="DB18" s="98">
        <v>2.1000000000000001E-2</v>
      </c>
      <c r="DC18" s="98">
        <v>6.0000000000000001E-3</v>
      </c>
      <c r="DD18" s="98">
        <v>1.2999999999999999E-2</v>
      </c>
      <c r="DE18" s="98" t="s">
        <v>608</v>
      </c>
      <c r="DF18" s="98" t="s">
        <v>610</v>
      </c>
      <c r="DG18" s="98" t="s">
        <v>609</v>
      </c>
      <c r="DH18" s="98" t="s">
        <v>611</v>
      </c>
      <c r="DI18" s="98" t="s">
        <v>612</v>
      </c>
      <c r="DJ18" s="98" t="s">
        <v>615</v>
      </c>
      <c r="DK18" s="98" t="s">
        <v>304</v>
      </c>
      <c r="DL18" s="98">
        <v>0.24</v>
      </c>
      <c r="DM18" s="98" t="s">
        <v>605</v>
      </c>
      <c r="DN18" s="98" t="s">
        <v>91</v>
      </c>
      <c r="DO18" s="98">
        <v>0.03</v>
      </c>
    </row>
    <row r="19" spans="1:119">
      <c r="A19" s="53" t="s">
        <v>558</v>
      </c>
      <c r="B19" s="53" t="s">
        <v>559</v>
      </c>
      <c r="C19" s="180">
        <v>43888</v>
      </c>
      <c r="L19" s="183">
        <v>0.20258399999999999</v>
      </c>
      <c r="M19" s="183">
        <v>34.714993</v>
      </c>
      <c r="N19" s="53" t="s">
        <v>662</v>
      </c>
      <c r="O19" s="53" t="s">
        <v>330</v>
      </c>
      <c r="P19" s="53" t="s">
        <v>347</v>
      </c>
      <c r="Q19" s="154" t="s">
        <v>371</v>
      </c>
      <c r="R19" s="116" t="s">
        <v>687</v>
      </c>
      <c r="S19" s="53" t="s">
        <v>535</v>
      </c>
      <c r="T19" s="53" t="s">
        <v>739</v>
      </c>
      <c r="U19" s="53" t="s">
        <v>684</v>
      </c>
      <c r="V19" s="53" t="s">
        <v>683</v>
      </c>
      <c r="W19" s="98">
        <v>122.4</v>
      </c>
      <c r="X19" s="99"/>
      <c r="Y19" s="99">
        <f t="shared" si="0"/>
        <v>97.383591008645126</v>
      </c>
      <c r="Z19" s="99">
        <f t="shared" si="11"/>
        <v>0.79561757360004182</v>
      </c>
      <c r="AA19" s="98">
        <v>7.1749999999999998</v>
      </c>
      <c r="AB19" s="98">
        <v>9</v>
      </c>
      <c r="AC19" s="98">
        <v>5.5620000000000003</v>
      </c>
      <c r="AD19" s="98">
        <v>7.2</v>
      </c>
      <c r="AE19" s="98">
        <v>1.1599999999999999</v>
      </c>
      <c r="AF19" s="98">
        <v>66.180000000000007</v>
      </c>
      <c r="AG19" s="98"/>
      <c r="AH19" s="98">
        <v>2.4041817819942097</v>
      </c>
      <c r="AI19" s="98">
        <v>0.78731967786184953</v>
      </c>
      <c r="AJ19" s="98">
        <v>5.0900895487890692</v>
      </c>
      <c r="AK19" s="98">
        <v>1.2496697799999998</v>
      </c>
      <c r="AL19" s="98">
        <v>4.4072646000000004E-3</v>
      </c>
      <c r="AM19" s="98">
        <v>1.2510073081851083</v>
      </c>
      <c r="AN19" s="98">
        <v>5.9295627157211319E-3</v>
      </c>
      <c r="AO19" s="98">
        <f t="shared" si="12"/>
        <v>1.2510073081851083</v>
      </c>
      <c r="AP19" s="98" t="e">
        <f>IF(#REF!&gt;0,#REF!*0.01639)+IF(Cl&gt;0,Cl*0.02821)+IF(_SO4&gt;0,_SO4*0.02082)+IF(_NO3&gt;0,_NO3*0.01613)</f>
        <v>#REF!</v>
      </c>
      <c r="AQ19" s="98">
        <v>1.2540770445999998</v>
      </c>
      <c r="AR19" s="98">
        <v>1.2569368709008295</v>
      </c>
      <c r="AS19" s="98">
        <v>-0.11</v>
      </c>
      <c r="AT19" s="98">
        <f t="shared" si="13"/>
        <v>79.739917440156944</v>
      </c>
      <c r="AU19" s="98">
        <f t="shared" si="14"/>
        <v>39.824550307223092</v>
      </c>
      <c r="AV19" s="98" t="e">
        <f t="shared" si="15"/>
        <v>#REF!</v>
      </c>
      <c r="AW19" s="98">
        <v>2.9674282814107909E-2</v>
      </c>
      <c r="AX19" s="98">
        <v>2.1975990771694771E-2</v>
      </c>
      <c r="AY19" s="98" t="s">
        <v>603</v>
      </c>
      <c r="AZ19" s="98">
        <v>9.6509928866106709E-2</v>
      </c>
      <c r="BA19" s="98"/>
      <c r="BB19" s="98"/>
      <c r="BC19" s="98"/>
      <c r="BD19" s="98"/>
      <c r="BE19" s="98"/>
      <c r="BF19" s="98">
        <f t="shared" si="16"/>
        <v>13.027302612153306</v>
      </c>
      <c r="BG19" s="98" t="e">
        <f t="shared" si="17"/>
        <v>#DIV/0!</v>
      </c>
      <c r="BH19" s="98" t="e">
        <f t="shared" si="18"/>
        <v>#DIV/0!</v>
      </c>
      <c r="BI19" s="98">
        <v>1.4999999999999999E-2</v>
      </c>
      <c r="BJ19" s="98">
        <v>0.35</v>
      </c>
      <c r="BK19" s="98"/>
      <c r="BL19" s="98">
        <f t="shared" si="19"/>
        <v>0</v>
      </c>
      <c r="BM19" s="98"/>
      <c r="BN19" s="98">
        <v>22.99</v>
      </c>
      <c r="BO19" s="98">
        <v>49.182506999999994</v>
      </c>
      <c r="BP19" s="98">
        <v>75.86</v>
      </c>
      <c r="BQ19" s="98">
        <v>96.9</v>
      </c>
      <c r="BR19" s="98">
        <v>13.2</v>
      </c>
      <c r="BS19" s="98">
        <v>20.3</v>
      </c>
      <c r="BT19" s="98"/>
      <c r="BU19" s="98">
        <f t="shared" si="20"/>
        <v>20.3</v>
      </c>
      <c r="BV19" s="98" t="s">
        <v>604</v>
      </c>
      <c r="BW19" s="98" t="s">
        <v>605</v>
      </c>
      <c r="BX19" s="98" t="s">
        <v>614</v>
      </c>
      <c r="BY19" s="98">
        <v>6.1</v>
      </c>
      <c r="BZ19" s="98" t="s">
        <v>606</v>
      </c>
      <c r="CA19" s="98">
        <v>1.57</v>
      </c>
      <c r="CB19" s="98">
        <v>4.8899999999999997</v>
      </c>
      <c r="CC19" s="98">
        <v>0.14899999999999999</v>
      </c>
      <c r="CD19" s="98">
        <v>2.87</v>
      </c>
      <c r="CE19" s="98">
        <v>0.6</v>
      </c>
      <c r="CF19" s="98">
        <v>4.4000000000000004</v>
      </c>
      <c r="CG19" s="98" t="s">
        <v>607</v>
      </c>
      <c r="CH19" s="98">
        <v>0.23</v>
      </c>
      <c r="CI19" s="98" t="s">
        <v>616</v>
      </c>
      <c r="CJ19" s="98">
        <v>1</v>
      </c>
      <c r="CK19" s="98">
        <v>7.8E-2</v>
      </c>
      <c r="CL19" s="98" t="s">
        <v>304</v>
      </c>
      <c r="CM19" s="98" t="s">
        <v>603</v>
      </c>
      <c r="CN19" s="98" t="s">
        <v>606</v>
      </c>
      <c r="CO19" s="98" t="s">
        <v>607</v>
      </c>
      <c r="CP19" s="98">
        <v>4.8000000000000001E-2</v>
      </c>
      <c r="CQ19" s="98" t="s">
        <v>605</v>
      </c>
      <c r="CR19" s="98" t="s">
        <v>92</v>
      </c>
      <c r="CS19" s="98" t="s">
        <v>92</v>
      </c>
      <c r="CT19" s="98">
        <v>9.6000000000000002E-2</v>
      </c>
      <c r="CU19" s="98">
        <v>3.5000000000000003E-2</v>
      </c>
      <c r="CV19" s="98">
        <v>2.1000000000000001E-2</v>
      </c>
      <c r="CW19" s="98">
        <v>7.6999999999999999E-2</v>
      </c>
      <c r="CX19" s="98">
        <v>2.1000000000000001E-2</v>
      </c>
      <c r="CY19" s="98">
        <v>4.0000000000000001E-3</v>
      </c>
      <c r="CZ19" s="98">
        <v>8.9999999999999993E-3</v>
      </c>
      <c r="DA19" s="98" t="s">
        <v>609</v>
      </c>
      <c r="DB19" s="98">
        <v>7.0000000000000001E-3</v>
      </c>
      <c r="DC19" s="98" t="s">
        <v>608</v>
      </c>
      <c r="DD19" s="98" t="s">
        <v>608</v>
      </c>
      <c r="DE19" s="98" t="s">
        <v>608</v>
      </c>
      <c r="DF19" s="98" t="s">
        <v>610</v>
      </c>
      <c r="DG19" s="98" t="s">
        <v>609</v>
      </c>
      <c r="DH19" s="98" t="s">
        <v>611</v>
      </c>
      <c r="DI19" s="98" t="s">
        <v>612</v>
      </c>
      <c r="DJ19" s="98" t="s">
        <v>615</v>
      </c>
      <c r="DK19" s="98" t="s">
        <v>304</v>
      </c>
      <c r="DL19" s="98">
        <v>0.15</v>
      </c>
      <c r="DM19" s="98" t="s">
        <v>605</v>
      </c>
      <c r="DN19" s="98" t="s">
        <v>91</v>
      </c>
      <c r="DO19" s="98" t="s">
        <v>610</v>
      </c>
    </row>
    <row r="20" spans="1:119">
      <c r="A20" s="53" t="s">
        <v>560</v>
      </c>
      <c r="B20" s="53" t="s">
        <v>561</v>
      </c>
      <c r="C20" s="180">
        <v>43889</v>
      </c>
      <c r="L20" s="183">
        <v>0.18987899999999999</v>
      </c>
      <c r="M20" s="183">
        <v>34.735692999999998</v>
      </c>
      <c r="N20" s="53" t="s">
        <v>663</v>
      </c>
      <c r="O20" s="53" t="s">
        <v>330</v>
      </c>
      <c r="P20" s="53" t="s">
        <v>347</v>
      </c>
      <c r="Q20" s="154" t="s">
        <v>371</v>
      </c>
      <c r="R20" s="116" t="s">
        <v>687</v>
      </c>
      <c r="S20" s="53" t="s">
        <v>555</v>
      </c>
      <c r="T20" s="53" t="s">
        <v>739</v>
      </c>
      <c r="U20" s="53" t="s">
        <v>684</v>
      </c>
      <c r="V20" s="53" t="s">
        <v>683</v>
      </c>
      <c r="W20" s="98">
        <v>250.9</v>
      </c>
      <c r="X20" s="99"/>
      <c r="Y20" s="99">
        <f t="shared" si="0"/>
        <v>210.59444323593004</v>
      </c>
      <c r="Z20" s="99">
        <f t="shared" si="11"/>
        <v>0.83935609101606234</v>
      </c>
      <c r="AA20" s="98">
        <v>7.9989999999999997</v>
      </c>
      <c r="AB20" s="98">
        <v>27</v>
      </c>
      <c r="AC20" s="98">
        <v>9.8620000000000001</v>
      </c>
      <c r="AD20" s="98">
        <v>10.4</v>
      </c>
      <c r="AE20" s="98">
        <v>2.23</v>
      </c>
      <c r="AF20" s="98">
        <v>153.4</v>
      </c>
      <c r="AG20" s="98"/>
      <c r="AH20" s="98">
        <v>3.8339794862926388</v>
      </c>
      <c r="AI20" s="98">
        <v>3.2384733233170828</v>
      </c>
      <c r="AJ20" s="98">
        <v>0.62999042632032654</v>
      </c>
      <c r="AK20" s="98">
        <v>2.6682873799999998</v>
      </c>
      <c r="AL20" s="98">
        <v>1.1936667599999999E-2</v>
      </c>
      <c r="AM20" s="98">
        <v>2.6999693214763241</v>
      </c>
      <c r="AN20" s="98">
        <v>9.6633693101791651E-3</v>
      </c>
      <c r="AO20" s="98">
        <f t="shared" si="12"/>
        <v>2.6999693214763241</v>
      </c>
      <c r="AP20" s="98" t="e">
        <f>IF(#REF!&gt;0,#REF!*0.01639)+IF(Cl&gt;0,Cl*0.02821)+IF(_SO4&gt;0,_SO4*0.02082)+IF(_NO3&gt;0,_NO3*0.01613)</f>
        <v>#REF!</v>
      </c>
      <c r="AQ20" s="98">
        <v>2.6802240475999999</v>
      </c>
      <c r="AR20" s="98">
        <v>2.7096326907865032</v>
      </c>
      <c r="AS20" s="98">
        <v>-0.55000000000000004</v>
      </c>
      <c r="AT20" s="98">
        <f t="shared" si="13"/>
        <v>37.310313699164354</v>
      </c>
      <c r="AU20" s="98">
        <f t="shared" si="14"/>
        <v>18.553368828488715</v>
      </c>
      <c r="AV20" s="98" t="e">
        <f t="shared" si="15"/>
        <v>#REF!</v>
      </c>
      <c r="AW20" s="98">
        <v>1.6976594364808098E-2</v>
      </c>
      <c r="AX20" s="98">
        <v>2.586474143888234E-2</v>
      </c>
      <c r="AY20" s="98" t="s">
        <v>603</v>
      </c>
      <c r="AZ20" s="98">
        <v>0.16885491774032044</v>
      </c>
      <c r="BA20" s="98"/>
      <c r="BB20" s="98"/>
      <c r="BC20" s="98"/>
      <c r="BD20" s="98"/>
      <c r="BE20" s="98"/>
      <c r="BF20" s="98">
        <f t="shared" si="16"/>
        <v>30.19625597921301</v>
      </c>
      <c r="BG20" s="98" t="e">
        <f t="shared" si="17"/>
        <v>#DIV/0!</v>
      </c>
      <c r="BH20" s="98" t="e">
        <f t="shared" si="18"/>
        <v>#DIV/0!</v>
      </c>
      <c r="BI20" s="98" t="s">
        <v>611</v>
      </c>
      <c r="BJ20" s="98">
        <v>1.3</v>
      </c>
      <c r="BK20" s="98"/>
      <c r="BL20" s="98">
        <f t="shared" si="19"/>
        <v>0</v>
      </c>
      <c r="BM20" s="98"/>
      <c r="BN20" s="98">
        <v>25.38</v>
      </c>
      <c r="BO20" s="98">
        <v>54.295434</v>
      </c>
      <c r="BP20" s="98">
        <v>169.46</v>
      </c>
      <c r="BQ20" s="98">
        <v>163</v>
      </c>
      <c r="BR20" s="98">
        <v>1676.7</v>
      </c>
      <c r="BS20" s="98">
        <v>107</v>
      </c>
      <c r="BT20" s="98"/>
      <c r="BU20" s="98">
        <f t="shared" si="20"/>
        <v>107</v>
      </c>
      <c r="BV20" s="98" t="s">
        <v>604</v>
      </c>
      <c r="BW20" s="98" t="s">
        <v>605</v>
      </c>
      <c r="BX20" s="98" t="s">
        <v>614</v>
      </c>
      <c r="BY20" s="98">
        <v>4.2</v>
      </c>
      <c r="BZ20" s="98" t="s">
        <v>606</v>
      </c>
      <c r="CA20" s="98">
        <v>0.43</v>
      </c>
      <c r="CB20" s="98">
        <v>0.08</v>
      </c>
      <c r="CC20" s="98">
        <v>6.4470000000000001</v>
      </c>
      <c r="CD20" s="98">
        <v>5.8</v>
      </c>
      <c r="CE20" s="98">
        <v>0.5</v>
      </c>
      <c r="CF20" s="98">
        <v>5.6</v>
      </c>
      <c r="CG20" s="98" t="s">
        <v>607</v>
      </c>
      <c r="CH20" s="98">
        <v>12.97</v>
      </c>
      <c r="CI20" s="98" t="s">
        <v>616</v>
      </c>
      <c r="CJ20" s="98">
        <v>1.04</v>
      </c>
      <c r="CK20" s="98">
        <v>2.4E-2</v>
      </c>
      <c r="CL20" s="98" t="s">
        <v>304</v>
      </c>
      <c r="CM20" s="98" t="s">
        <v>603</v>
      </c>
      <c r="CN20" s="98">
        <v>2.2000000000000002</v>
      </c>
      <c r="CO20" s="98" t="s">
        <v>607</v>
      </c>
      <c r="CP20" s="98">
        <v>0.122</v>
      </c>
      <c r="CQ20" s="98">
        <v>0.1</v>
      </c>
      <c r="CR20" s="98">
        <v>0.13</v>
      </c>
      <c r="CS20" s="98" t="s">
        <v>92</v>
      </c>
      <c r="CT20" s="98">
        <v>8.0000000000000002E-3</v>
      </c>
      <c r="CU20" s="98">
        <v>3.2000000000000001E-2</v>
      </c>
      <c r="CV20" s="98" t="s">
        <v>608</v>
      </c>
      <c r="CW20" s="98">
        <v>6.0000000000000001E-3</v>
      </c>
      <c r="CX20" s="98" t="s">
        <v>613</v>
      </c>
      <c r="CY20" s="98" t="s">
        <v>608</v>
      </c>
      <c r="CZ20" s="98" t="s">
        <v>613</v>
      </c>
      <c r="DA20" s="98" t="s">
        <v>609</v>
      </c>
      <c r="DB20" s="98" t="s">
        <v>608</v>
      </c>
      <c r="DC20" s="98" t="s">
        <v>608</v>
      </c>
      <c r="DD20" s="98" t="s">
        <v>608</v>
      </c>
      <c r="DE20" s="98" t="s">
        <v>608</v>
      </c>
      <c r="DF20" s="98" t="s">
        <v>610</v>
      </c>
      <c r="DG20" s="98" t="s">
        <v>609</v>
      </c>
      <c r="DH20" s="98" t="s">
        <v>611</v>
      </c>
      <c r="DI20" s="98" t="s">
        <v>612</v>
      </c>
      <c r="DJ20" s="98">
        <v>0.13</v>
      </c>
      <c r="DK20" s="98" t="s">
        <v>304</v>
      </c>
      <c r="DL20" s="98">
        <v>0.16</v>
      </c>
      <c r="DM20" s="98" t="s">
        <v>605</v>
      </c>
      <c r="DN20" s="98" t="s">
        <v>91</v>
      </c>
      <c r="DO20" s="98">
        <v>5.0999999999999997E-2</v>
      </c>
    </row>
    <row r="21" spans="1:119">
      <c r="A21" s="53" t="s">
        <v>562</v>
      </c>
      <c r="B21" s="53" t="s">
        <v>563</v>
      </c>
      <c r="C21" s="180">
        <v>43889</v>
      </c>
      <c r="L21" s="183">
        <v>0.18990299999999999</v>
      </c>
      <c r="M21" s="183">
        <v>34.745731999999997</v>
      </c>
      <c r="N21" s="198" t="s">
        <v>663</v>
      </c>
      <c r="O21" s="53" t="s">
        <v>330</v>
      </c>
      <c r="P21" s="53" t="s">
        <v>347</v>
      </c>
      <c r="Q21" s="154" t="s">
        <v>371</v>
      </c>
      <c r="R21" s="116" t="s">
        <v>687</v>
      </c>
      <c r="S21" s="53" t="s">
        <v>535</v>
      </c>
      <c r="T21" s="53" t="s">
        <v>739</v>
      </c>
      <c r="U21" s="53" t="s">
        <v>684</v>
      </c>
      <c r="V21" s="53" t="s">
        <v>683</v>
      </c>
      <c r="W21" s="98">
        <v>140.4</v>
      </c>
      <c r="X21" s="99"/>
      <c r="Y21" s="99">
        <f t="shared" si="0"/>
        <v>108.57240810207762</v>
      </c>
      <c r="Z21" s="99">
        <f t="shared" si="11"/>
        <v>0.77330775001479779</v>
      </c>
      <c r="AA21" s="98">
        <v>7.6180000000000003</v>
      </c>
      <c r="AB21" s="98">
        <v>10.9</v>
      </c>
      <c r="AC21" s="98">
        <v>6.3440000000000003</v>
      </c>
      <c r="AD21" s="98">
        <v>7.3</v>
      </c>
      <c r="AE21" s="98">
        <v>1.34</v>
      </c>
      <c r="AF21" s="98">
        <v>68.739999999999995</v>
      </c>
      <c r="AG21" s="98"/>
      <c r="AH21" s="98">
        <v>4.9519852864546099</v>
      </c>
      <c r="AI21" s="98">
        <v>0.99346700293811563</v>
      </c>
      <c r="AJ21" s="98">
        <v>8.0029558126848936</v>
      </c>
      <c r="AK21" s="98">
        <v>1.4177849600000001</v>
      </c>
      <c r="AL21" s="98">
        <v>1.1016257E-2</v>
      </c>
      <c r="AM21" s="98">
        <v>1.4161157651906633</v>
      </c>
      <c r="AN21" s="98">
        <v>7.0336008870421126E-3</v>
      </c>
      <c r="AO21" s="98">
        <f t="shared" si="12"/>
        <v>1.4161157651906633</v>
      </c>
      <c r="AP21" s="98" t="e">
        <f>IF(#REF!&gt;0,#REF!*0.01639)+IF(Cl&gt;0,Cl*0.02821)+IF(_SO4&gt;0,_SO4*0.02082)+IF(_NO3&gt;0,_NO3*0.01613)</f>
        <v>#REF!</v>
      </c>
      <c r="AQ21" s="98">
        <v>1.4288012170000002</v>
      </c>
      <c r="AR21" s="98">
        <v>1.4231493660777055</v>
      </c>
      <c r="AS21" s="98">
        <v>0.19817492476308821</v>
      </c>
      <c r="AT21" s="98">
        <f t="shared" si="13"/>
        <v>69.98874217784207</v>
      </c>
      <c r="AU21" s="98">
        <f t="shared" si="14"/>
        <v>0</v>
      </c>
      <c r="AV21" s="98" t="e">
        <f t="shared" si="15"/>
        <v>#REF!</v>
      </c>
      <c r="AW21" s="98">
        <v>4.6193804636606717E-2</v>
      </c>
      <c r="AX21" s="98">
        <v>6.4769102469972584E-2</v>
      </c>
      <c r="AY21" s="98" t="s">
        <v>603</v>
      </c>
      <c r="AZ21" s="98">
        <v>9.588096818568756E-2</v>
      </c>
      <c r="BA21" s="98"/>
      <c r="BB21" s="98"/>
      <c r="BC21" s="98"/>
      <c r="BD21" s="98"/>
      <c r="BE21" s="98"/>
      <c r="BF21" s="98">
        <f t="shared" si="16"/>
        <v>13.531229700202751</v>
      </c>
      <c r="BG21" s="98" t="e">
        <f t="shared" si="17"/>
        <v>#DIV/0!</v>
      </c>
      <c r="BH21" s="98" t="e">
        <f t="shared" si="18"/>
        <v>#DIV/0!</v>
      </c>
      <c r="BI21" s="98" t="s">
        <v>611</v>
      </c>
      <c r="BJ21" s="98">
        <v>0.5</v>
      </c>
      <c r="BK21" s="98"/>
      <c r="BL21" s="98">
        <f t="shared" si="19"/>
        <v>0</v>
      </c>
      <c r="BM21" s="98"/>
      <c r="BN21" s="98">
        <v>24.2</v>
      </c>
      <c r="BO21" s="98">
        <v>51.771059999999999</v>
      </c>
      <c r="BP21" s="98">
        <v>63.95</v>
      </c>
      <c r="BQ21" s="98">
        <v>113.5</v>
      </c>
      <c r="BR21" s="98">
        <v>194</v>
      </c>
      <c r="BS21" s="98">
        <v>139.5</v>
      </c>
      <c r="BT21" s="98"/>
      <c r="BU21" s="98">
        <f t="shared" si="20"/>
        <v>139.5</v>
      </c>
      <c r="BV21" s="98" t="s">
        <v>604</v>
      </c>
      <c r="BW21" s="98" t="s">
        <v>605</v>
      </c>
      <c r="BX21" s="98" t="s">
        <v>614</v>
      </c>
      <c r="BY21" s="98">
        <v>15.5</v>
      </c>
      <c r="BZ21" s="98">
        <v>0.2</v>
      </c>
      <c r="CA21" s="98">
        <v>1.51</v>
      </c>
      <c r="CB21" s="98">
        <v>0.51</v>
      </c>
      <c r="CC21" s="98">
        <v>1.077</v>
      </c>
      <c r="CD21" s="98">
        <v>2.08</v>
      </c>
      <c r="CE21" s="98">
        <v>0.8</v>
      </c>
      <c r="CF21" s="98">
        <v>3.9</v>
      </c>
      <c r="CG21" s="98" t="s">
        <v>607</v>
      </c>
      <c r="CH21" s="98">
        <v>1.63</v>
      </c>
      <c r="CI21" s="98">
        <v>0.11</v>
      </c>
      <c r="CJ21" s="98">
        <v>2.08</v>
      </c>
      <c r="CK21" s="98">
        <v>4.4999999999999998E-2</v>
      </c>
      <c r="CL21" s="98" t="s">
        <v>304</v>
      </c>
      <c r="CM21" s="98" t="s">
        <v>603</v>
      </c>
      <c r="CN21" s="98" t="s">
        <v>606</v>
      </c>
      <c r="CO21" s="98" t="s">
        <v>607</v>
      </c>
      <c r="CP21" s="98">
        <v>4.4999999999999998E-2</v>
      </c>
      <c r="CQ21" s="98">
        <v>0.11</v>
      </c>
      <c r="CR21" s="98">
        <v>0.1</v>
      </c>
      <c r="CS21" s="98" t="s">
        <v>92</v>
      </c>
      <c r="CT21" s="98">
        <v>0.1</v>
      </c>
      <c r="CU21" s="98">
        <v>0.186</v>
      </c>
      <c r="CV21" s="98">
        <v>2.1000000000000001E-2</v>
      </c>
      <c r="CW21" s="98">
        <v>4.5999999999999999E-2</v>
      </c>
      <c r="CX21" s="98">
        <v>1.2E-2</v>
      </c>
      <c r="CY21" s="98" t="s">
        <v>608</v>
      </c>
      <c r="CZ21" s="98">
        <v>1.0999999999999999E-2</v>
      </c>
      <c r="DA21" s="98" t="s">
        <v>609</v>
      </c>
      <c r="DB21" s="98">
        <v>8.9999999999999993E-3</v>
      </c>
      <c r="DC21" s="98" t="s">
        <v>608</v>
      </c>
      <c r="DD21" s="98">
        <v>5.0000000000000001E-3</v>
      </c>
      <c r="DE21" s="98" t="s">
        <v>608</v>
      </c>
      <c r="DF21" s="98" t="s">
        <v>610</v>
      </c>
      <c r="DG21" s="98" t="s">
        <v>609</v>
      </c>
      <c r="DH21" s="98" t="s">
        <v>611</v>
      </c>
      <c r="DI21" s="98" t="s">
        <v>612</v>
      </c>
      <c r="DJ21" s="98" t="s">
        <v>615</v>
      </c>
      <c r="DK21" s="98">
        <v>0.02</v>
      </c>
      <c r="DL21" s="98">
        <v>0.18</v>
      </c>
      <c r="DM21" s="98" t="s">
        <v>605</v>
      </c>
      <c r="DN21" s="98" t="s">
        <v>91</v>
      </c>
      <c r="DO21" s="98">
        <v>1.9E-2</v>
      </c>
    </row>
    <row r="22" spans="1:119">
      <c r="A22" s="53" t="s">
        <v>564</v>
      </c>
      <c r="B22" s="53" t="s">
        <v>565</v>
      </c>
      <c r="C22" s="180">
        <v>43889</v>
      </c>
      <c r="L22" s="183">
        <v>0.187274</v>
      </c>
      <c r="M22" s="183">
        <v>34.735595000000004</v>
      </c>
      <c r="N22" s="198" t="s">
        <v>663</v>
      </c>
      <c r="O22" s="53" t="s">
        <v>330</v>
      </c>
      <c r="P22" s="53" t="s">
        <v>347</v>
      </c>
      <c r="Q22" s="154" t="s">
        <v>371</v>
      </c>
      <c r="R22" s="116" t="s">
        <v>687</v>
      </c>
      <c r="S22" s="53" t="s">
        <v>527</v>
      </c>
      <c r="T22" s="53" t="s">
        <v>740</v>
      </c>
      <c r="U22" s="53" t="s">
        <v>685</v>
      </c>
      <c r="V22" s="53" t="s">
        <v>691</v>
      </c>
      <c r="W22" s="98">
        <v>287.89999999999998</v>
      </c>
      <c r="X22" s="99"/>
      <c r="Y22" s="99">
        <f t="shared" si="0"/>
        <v>225.47232342373064</v>
      </c>
      <c r="Z22" s="99">
        <f t="shared" si="11"/>
        <v>0.78316194311820309</v>
      </c>
      <c r="AA22" s="98">
        <v>8.0310000000000006</v>
      </c>
      <c r="AB22" s="98">
        <v>28.8</v>
      </c>
      <c r="AC22" s="98">
        <v>9.83</v>
      </c>
      <c r="AD22" s="98">
        <v>12.9</v>
      </c>
      <c r="AE22" s="98">
        <v>3.97</v>
      </c>
      <c r="AF22" s="98">
        <v>146</v>
      </c>
      <c r="AG22" s="98"/>
      <c r="AH22" s="98">
        <v>8.7278503421672529</v>
      </c>
      <c r="AI22" s="98">
        <v>3.2792604066958688</v>
      </c>
      <c r="AJ22" s="98">
        <v>11.965212674867539</v>
      </c>
      <c r="AK22" s="98">
        <v>2.9087332999999997</v>
      </c>
      <c r="AL22" s="98">
        <v>5.7424396000000004E-3</v>
      </c>
      <c r="AM22" s="98">
        <v>2.9004257402655593</v>
      </c>
      <c r="AN22" s="98">
        <v>1.2691450846102494E-2</v>
      </c>
      <c r="AO22" s="98">
        <f t="shared" si="12"/>
        <v>2.9004257402655593</v>
      </c>
      <c r="AP22" s="98" t="e">
        <f>IF(#REF!&gt;0,#REF!*0.01639)+IF(Cl&gt;0,Cl*0.02821)+IF(_SO4&gt;0,_SO4*0.02082)+IF(_NO3&gt;0,_NO3*0.01613)</f>
        <v>#REF!</v>
      </c>
      <c r="AQ22" s="98">
        <v>2.9144757395999998</v>
      </c>
      <c r="AR22" s="98">
        <v>2.9131171911116618</v>
      </c>
      <c r="AS22" s="98">
        <v>2.3312343612376277E-2</v>
      </c>
      <c r="AT22" s="98">
        <f t="shared" si="13"/>
        <v>34.311488217680136</v>
      </c>
      <c r="AU22" s="98">
        <f t="shared" si="14"/>
        <v>0</v>
      </c>
      <c r="AV22" s="98" t="e">
        <f t="shared" si="15"/>
        <v>#REF!</v>
      </c>
      <c r="AW22" s="98">
        <v>7.4793229660214844E-2</v>
      </c>
      <c r="AX22" s="98">
        <v>0.11457296448973833</v>
      </c>
      <c r="AY22" s="98" t="s">
        <v>603</v>
      </c>
      <c r="AZ22" s="98">
        <v>0.17599208515861875</v>
      </c>
      <c r="BA22" s="98"/>
      <c r="BB22" s="98"/>
      <c r="BC22" s="98"/>
      <c r="BD22" s="98"/>
      <c r="BE22" s="98"/>
      <c r="BF22" s="98">
        <f t="shared" si="16"/>
        <v>28.739591740320073</v>
      </c>
      <c r="BG22" s="98" t="e">
        <f t="shared" si="17"/>
        <v>#DIV/0!</v>
      </c>
      <c r="BH22" s="98" t="e">
        <f t="shared" si="18"/>
        <v>#DIV/0!</v>
      </c>
      <c r="BI22" s="98" t="s">
        <v>611</v>
      </c>
      <c r="BJ22" s="98">
        <v>1.31</v>
      </c>
      <c r="BK22" s="98"/>
      <c r="BL22" s="98">
        <f t="shared" si="19"/>
        <v>0</v>
      </c>
      <c r="BM22" s="98"/>
      <c r="BN22" s="98">
        <v>21.73</v>
      </c>
      <c r="BO22" s="98">
        <v>46.486989000000001</v>
      </c>
      <c r="BP22" s="98">
        <v>58.31</v>
      </c>
      <c r="BQ22" s="98">
        <v>177.4</v>
      </c>
      <c r="BR22" s="98">
        <v>394</v>
      </c>
      <c r="BS22" s="98">
        <v>15.7</v>
      </c>
      <c r="BT22" s="98"/>
      <c r="BU22" s="98">
        <f t="shared" si="20"/>
        <v>15.7</v>
      </c>
      <c r="BV22" s="98" t="s">
        <v>604</v>
      </c>
      <c r="BW22" s="98" t="s">
        <v>605</v>
      </c>
      <c r="BX22" s="98" t="s">
        <v>614</v>
      </c>
      <c r="BY22" s="98">
        <v>14.5</v>
      </c>
      <c r="BZ22" s="98" t="s">
        <v>606</v>
      </c>
      <c r="CA22" s="98">
        <v>2.33</v>
      </c>
      <c r="CB22" s="98">
        <v>0.18</v>
      </c>
      <c r="CC22" s="98">
        <v>5.3639999999999999</v>
      </c>
      <c r="CD22" s="98">
        <v>4.53</v>
      </c>
      <c r="CE22" s="98">
        <v>1.6</v>
      </c>
      <c r="CF22" s="98">
        <v>4.4000000000000004</v>
      </c>
      <c r="CG22" s="98" t="s">
        <v>607</v>
      </c>
      <c r="CH22" s="98">
        <v>14.63</v>
      </c>
      <c r="CI22" s="98">
        <v>0.1</v>
      </c>
      <c r="CJ22" s="98">
        <v>1.47</v>
      </c>
      <c r="CK22" s="98">
        <v>4.8000000000000001E-2</v>
      </c>
      <c r="CL22" s="98" t="s">
        <v>304</v>
      </c>
      <c r="CM22" s="98" t="s">
        <v>603</v>
      </c>
      <c r="CN22" s="98">
        <v>4.5999999999999996</v>
      </c>
      <c r="CO22" s="98" t="s">
        <v>607</v>
      </c>
      <c r="CP22" s="98">
        <v>6.3E-2</v>
      </c>
      <c r="CQ22" s="98">
        <v>0.25</v>
      </c>
      <c r="CR22" s="98">
        <v>0.51</v>
      </c>
      <c r="CS22" s="98" t="s">
        <v>92</v>
      </c>
      <c r="CT22" s="98">
        <v>0.05</v>
      </c>
      <c r="CU22" s="98">
        <v>0.10100000000000001</v>
      </c>
      <c r="CV22" s="98">
        <v>1.4E-2</v>
      </c>
      <c r="CW22" s="98">
        <v>4.8000000000000001E-2</v>
      </c>
      <c r="CX22" s="98">
        <v>5.0000000000000001E-3</v>
      </c>
      <c r="CY22" s="98" t="s">
        <v>608</v>
      </c>
      <c r="CZ22" s="98">
        <v>8.9999999999999993E-3</v>
      </c>
      <c r="DA22" s="98" t="s">
        <v>609</v>
      </c>
      <c r="DB22" s="98">
        <v>6.0000000000000001E-3</v>
      </c>
      <c r="DC22" s="98" t="s">
        <v>608</v>
      </c>
      <c r="DD22" s="98">
        <v>4.0000000000000001E-3</v>
      </c>
      <c r="DE22" s="98" t="s">
        <v>608</v>
      </c>
      <c r="DF22" s="98" t="s">
        <v>610</v>
      </c>
      <c r="DG22" s="98" t="s">
        <v>609</v>
      </c>
      <c r="DH22" s="98" t="s">
        <v>611</v>
      </c>
      <c r="DI22" s="98" t="s">
        <v>612</v>
      </c>
      <c r="DJ22" s="98">
        <v>0.49</v>
      </c>
      <c r="DK22" s="98" t="s">
        <v>304</v>
      </c>
      <c r="DL22" s="98">
        <v>0.22</v>
      </c>
      <c r="DM22" s="98" t="s">
        <v>605</v>
      </c>
      <c r="DN22" s="98" t="s">
        <v>91</v>
      </c>
      <c r="DO22" s="98">
        <v>5.8999999999999997E-2</v>
      </c>
    </row>
    <row r="23" spans="1:119">
      <c r="A23" s="53" t="s">
        <v>566</v>
      </c>
      <c r="B23" s="53" t="s">
        <v>567</v>
      </c>
      <c r="C23" s="180">
        <v>43889</v>
      </c>
      <c r="F23" s="53">
        <f t="shared" ref="F23:F41" si="21">IF(Field_Eh_uc&lt;&gt;0,Field_Eh_uc+224&lt;D23,)</f>
        <v>0</v>
      </c>
      <c r="J23" s="53" t="e">
        <f t="shared" ref="J23:J41" si="22">(100/(HCO3_vol*0.8202))*HCO3_read</f>
        <v>#DIV/0!</v>
      </c>
      <c r="L23" s="183">
        <v>0.18942800000000001</v>
      </c>
      <c r="M23" s="183">
        <v>34.740335999999999</v>
      </c>
      <c r="N23" s="198" t="s">
        <v>665</v>
      </c>
      <c r="O23" s="53" t="s">
        <v>330</v>
      </c>
      <c r="P23" s="53" t="s">
        <v>347</v>
      </c>
      <c r="Q23" s="154" t="s">
        <v>371</v>
      </c>
      <c r="R23" s="116" t="s">
        <v>687</v>
      </c>
      <c r="S23" s="53" t="s">
        <v>538</v>
      </c>
      <c r="T23" s="53" t="s">
        <v>739</v>
      </c>
      <c r="U23" s="53" t="s">
        <v>726</v>
      </c>
      <c r="V23" s="53" t="s">
        <v>727</v>
      </c>
      <c r="W23" s="98">
        <v>123.2</v>
      </c>
      <c r="X23" s="99"/>
      <c r="Y23" s="99">
        <f t="shared" si="0"/>
        <v>98.359396814883624</v>
      </c>
      <c r="Z23" s="99">
        <f t="shared" si="11"/>
        <v>0.7983717273935359</v>
      </c>
      <c r="AA23" s="98">
        <v>7.7270000000000003</v>
      </c>
      <c r="AB23" s="98">
        <v>10.1</v>
      </c>
      <c r="AC23" s="98">
        <v>4.8719999999999999</v>
      </c>
      <c r="AD23" s="98">
        <v>8</v>
      </c>
      <c r="AE23" s="98">
        <v>0.82</v>
      </c>
      <c r="AF23" s="98">
        <v>66.94</v>
      </c>
      <c r="AG23" s="98"/>
      <c r="AH23" s="98">
        <v>3.3042615265568323</v>
      </c>
      <c r="AI23" s="98">
        <v>0.83479943094669751</v>
      </c>
      <c r="AJ23" s="98">
        <v>3.4883358573800991</v>
      </c>
      <c r="AK23" s="98">
        <v>1.2738824799999999</v>
      </c>
      <c r="AL23" s="98">
        <v>6.4354600000000005E-3</v>
      </c>
      <c r="AM23" s="98">
        <v>1.2640071991960193</v>
      </c>
      <c r="AN23" s="98">
        <v>7.966651530401124E-3</v>
      </c>
      <c r="AO23" s="98">
        <f t="shared" si="12"/>
        <v>1.2640071991960193</v>
      </c>
      <c r="AP23" s="98" t="e">
        <f>IF(#REF!&gt;0,#REF!*0.01639)+IF(Cl&gt;0,Cl*0.02821)+IF(_SO4&gt;0,_SO4*0.02082)+IF(_NO3&gt;0,_NO3*0.01613)</f>
        <v>#REF!</v>
      </c>
      <c r="AQ23" s="98">
        <v>1.28031794</v>
      </c>
      <c r="AR23" s="98">
        <v>1.2719738507264204</v>
      </c>
      <c r="AS23" s="98">
        <v>0.32692536581817289</v>
      </c>
      <c r="AT23" s="98">
        <f t="shared" si="13"/>
        <v>78.10559930137353</v>
      </c>
      <c r="AU23" s="98">
        <f t="shared" si="14"/>
        <v>0</v>
      </c>
      <c r="AV23" s="98" t="e">
        <f t="shared" si="15"/>
        <v>#REF!</v>
      </c>
      <c r="AW23" s="98">
        <v>3.8479319915036815E-2</v>
      </c>
      <c r="AX23" s="98">
        <v>1.1406447819714598E-2</v>
      </c>
      <c r="AY23" s="98" t="s">
        <v>603</v>
      </c>
      <c r="AZ23" s="98">
        <v>0.1374793744199139</v>
      </c>
      <c r="BA23" s="98"/>
      <c r="BB23" s="98"/>
      <c r="BC23" s="98"/>
      <c r="BD23" s="98"/>
      <c r="BE23" s="98"/>
      <c r="BF23" s="98">
        <f t="shared" si="16"/>
        <v>13.176905966417984</v>
      </c>
      <c r="BG23" s="98" t="e">
        <f t="shared" si="17"/>
        <v>#DIV/0!</v>
      </c>
      <c r="BH23" s="98" t="e">
        <f t="shared" si="18"/>
        <v>#DIV/0!</v>
      </c>
      <c r="BI23" s="98" t="s">
        <v>611</v>
      </c>
      <c r="BJ23" s="98">
        <v>0.42</v>
      </c>
      <c r="BK23" s="98"/>
      <c r="BL23" s="98">
        <f t="shared" si="19"/>
        <v>0</v>
      </c>
      <c r="BM23" s="98"/>
      <c r="BN23" s="98">
        <v>21.12</v>
      </c>
      <c r="BO23" s="98">
        <v>45.182016000000004</v>
      </c>
      <c r="BP23" s="98">
        <v>46.15</v>
      </c>
      <c r="BQ23" s="98">
        <v>102.8</v>
      </c>
      <c r="BR23" s="98">
        <v>316.39999999999998</v>
      </c>
      <c r="BS23" s="98">
        <v>63.6</v>
      </c>
      <c r="BT23" s="98"/>
      <c r="BU23" s="98">
        <f t="shared" si="20"/>
        <v>63.6</v>
      </c>
      <c r="BV23" s="98" t="s">
        <v>604</v>
      </c>
      <c r="BW23" s="98" t="s">
        <v>605</v>
      </c>
      <c r="BX23" s="98" t="s">
        <v>614</v>
      </c>
      <c r="BY23" s="98">
        <v>14.7</v>
      </c>
      <c r="BZ23" s="98">
        <v>0.4</v>
      </c>
      <c r="CA23" s="98">
        <v>1.35</v>
      </c>
      <c r="CB23" s="98">
        <v>0.27</v>
      </c>
      <c r="CC23" s="98">
        <v>0.99299999999999999</v>
      </c>
      <c r="CD23" s="98">
        <v>1.75</v>
      </c>
      <c r="CE23" s="98">
        <v>0.8</v>
      </c>
      <c r="CF23" s="98">
        <v>4.9000000000000004</v>
      </c>
      <c r="CG23" s="98" t="s">
        <v>607</v>
      </c>
      <c r="CH23" s="98">
        <v>2.11</v>
      </c>
      <c r="CI23" s="98">
        <v>0.09</v>
      </c>
      <c r="CJ23" s="98">
        <v>1.5</v>
      </c>
      <c r="CK23" s="98">
        <v>0.09</v>
      </c>
      <c r="CL23" s="98">
        <v>0.05</v>
      </c>
      <c r="CM23" s="98" t="s">
        <v>603</v>
      </c>
      <c r="CN23" s="98">
        <v>0.3</v>
      </c>
      <c r="CO23" s="98" t="s">
        <v>607</v>
      </c>
      <c r="CP23" s="98">
        <v>3.5999999999999997E-2</v>
      </c>
      <c r="CQ23" s="98">
        <v>0.11</v>
      </c>
      <c r="CR23" s="98">
        <v>0.23</v>
      </c>
      <c r="CS23" s="98" t="s">
        <v>92</v>
      </c>
      <c r="CT23" s="98">
        <v>0.24399999999999999</v>
      </c>
      <c r="CU23" s="98">
        <v>0.45</v>
      </c>
      <c r="CV23" s="98">
        <v>0.06</v>
      </c>
      <c r="CW23" s="98">
        <v>0.245</v>
      </c>
      <c r="CX23" s="98">
        <v>3.7999999999999999E-2</v>
      </c>
      <c r="CY23" s="98">
        <v>6.0000000000000001E-3</v>
      </c>
      <c r="CZ23" s="98">
        <v>3.1E-2</v>
      </c>
      <c r="DA23" s="98" t="s">
        <v>609</v>
      </c>
      <c r="DB23" s="98">
        <v>1.7000000000000001E-2</v>
      </c>
      <c r="DC23" s="98">
        <v>3.0000000000000001E-3</v>
      </c>
      <c r="DD23" s="98">
        <v>8.0000000000000002E-3</v>
      </c>
      <c r="DE23" s="98" t="s">
        <v>608</v>
      </c>
      <c r="DF23" s="98" t="s">
        <v>610</v>
      </c>
      <c r="DG23" s="98" t="s">
        <v>609</v>
      </c>
      <c r="DH23" s="98" t="s">
        <v>611</v>
      </c>
      <c r="DI23" s="98" t="s">
        <v>612</v>
      </c>
      <c r="DJ23" s="98" t="s">
        <v>615</v>
      </c>
      <c r="DK23" s="98" t="s">
        <v>304</v>
      </c>
      <c r="DL23" s="98">
        <v>0.26</v>
      </c>
      <c r="DM23" s="98" t="s">
        <v>605</v>
      </c>
      <c r="DN23" s="98" t="s">
        <v>91</v>
      </c>
      <c r="DO23" s="98">
        <v>4.3999999999999997E-2</v>
      </c>
    </row>
    <row r="24" spans="1:119">
      <c r="A24" s="53" t="s">
        <v>568</v>
      </c>
      <c r="B24" s="53" t="s">
        <v>569</v>
      </c>
      <c r="C24" s="180">
        <v>43889</v>
      </c>
      <c r="F24" s="53">
        <f t="shared" si="21"/>
        <v>0</v>
      </c>
      <c r="J24" s="53" t="e">
        <f t="shared" si="22"/>
        <v>#DIV/0!</v>
      </c>
      <c r="L24" s="183">
        <v>0.18878500000000001</v>
      </c>
      <c r="M24" s="183">
        <v>34.739865000000002</v>
      </c>
      <c r="N24" s="198" t="s">
        <v>665</v>
      </c>
      <c r="O24" s="53" t="s">
        <v>330</v>
      </c>
      <c r="P24" s="53" t="s">
        <v>347</v>
      </c>
      <c r="Q24" s="154" t="s">
        <v>371</v>
      </c>
      <c r="R24" s="116" t="s">
        <v>687</v>
      </c>
      <c r="S24" s="53" t="s">
        <v>538</v>
      </c>
      <c r="T24" s="53" t="s">
        <v>739</v>
      </c>
      <c r="U24" s="53" t="s">
        <v>726</v>
      </c>
      <c r="V24" s="53" t="s">
        <v>727</v>
      </c>
      <c r="W24" s="98">
        <v>138.1</v>
      </c>
      <c r="X24" s="99"/>
      <c r="Y24" s="99">
        <f t="shared" si="0"/>
        <v>105.15979859848245</v>
      </c>
      <c r="Z24" s="99">
        <f t="shared" si="11"/>
        <v>0.76147573206721553</v>
      </c>
      <c r="AA24" s="98">
        <v>7.7359999999999998</v>
      </c>
      <c r="AB24" s="98">
        <v>11.1</v>
      </c>
      <c r="AC24" s="98">
        <v>5.5060000000000002</v>
      </c>
      <c r="AD24" s="98">
        <v>8.6999999999999993</v>
      </c>
      <c r="AE24" s="98">
        <v>1.0900000000000001</v>
      </c>
      <c r="AF24" s="98">
        <v>70.14</v>
      </c>
      <c r="AG24" s="98"/>
      <c r="AH24" s="98">
        <v>3.6160277119338859</v>
      </c>
      <c r="AI24" s="98">
        <v>0.9896676832395126</v>
      </c>
      <c r="AJ24" s="98">
        <v>4.018103203309054</v>
      </c>
      <c r="AK24" s="98">
        <v>1.4133109400000001</v>
      </c>
      <c r="AL24" s="98">
        <v>4.9709427999999993E-3</v>
      </c>
      <c r="AM24" s="98">
        <v>1.3370196275880764</v>
      </c>
      <c r="AN24" s="98">
        <v>7.4716363191994076E-3</v>
      </c>
      <c r="AO24" s="98">
        <f t="shared" si="12"/>
        <v>1.3370196275880764</v>
      </c>
      <c r="AP24" s="98" t="e">
        <f>IF(#REF!&gt;0,#REF!*0.01639)+IF(Cl&gt;0,Cl*0.02821)+IF(_SO4&gt;0,_SO4*0.02082)+IF(_NO3&gt;0,_NO3*0.01613)</f>
        <v>#REF!</v>
      </c>
      <c r="AQ24" s="98">
        <v>1.4182818828000001</v>
      </c>
      <c r="AR24" s="98">
        <v>1.3444912639072757</v>
      </c>
      <c r="AS24" s="98">
        <v>2.6708895365031853</v>
      </c>
      <c r="AT24" s="98">
        <f t="shared" si="13"/>
        <v>70.507845593132743</v>
      </c>
      <c r="AU24" s="98">
        <f t="shared" si="14"/>
        <v>0</v>
      </c>
      <c r="AV24" s="98" t="e">
        <f t="shared" si="15"/>
        <v>#REF!</v>
      </c>
      <c r="AW24" s="98">
        <v>3.9951943145205948E-2</v>
      </c>
      <c r="AX24" s="98">
        <v>7.1780315274752203E-3</v>
      </c>
      <c r="AY24" s="98" t="s">
        <v>603</v>
      </c>
      <c r="AZ24" s="98">
        <v>0.12947164866288219</v>
      </c>
      <c r="BA24" s="98"/>
      <c r="BB24" s="98"/>
      <c r="BC24" s="98"/>
      <c r="BD24" s="98"/>
      <c r="BE24" s="98"/>
      <c r="BF24" s="98">
        <f t="shared" si="16"/>
        <v>13.806814826479794</v>
      </c>
      <c r="BG24" s="98" t="e">
        <f t="shared" si="17"/>
        <v>#DIV/0!</v>
      </c>
      <c r="BH24" s="98" t="e">
        <f t="shared" si="18"/>
        <v>#DIV/0!</v>
      </c>
      <c r="BI24" s="98">
        <v>1.7999999999999999E-2</v>
      </c>
      <c r="BJ24" s="98">
        <v>0.46</v>
      </c>
      <c r="BK24" s="98"/>
      <c r="BL24" s="98">
        <f t="shared" si="19"/>
        <v>0</v>
      </c>
      <c r="BM24" s="98"/>
      <c r="BN24" s="98">
        <v>21.62</v>
      </c>
      <c r="BO24" s="98">
        <v>46.251666</v>
      </c>
      <c r="BP24" s="98">
        <v>26.68</v>
      </c>
      <c r="BQ24" s="98">
        <v>102.6</v>
      </c>
      <c r="BR24" s="98">
        <v>213.9</v>
      </c>
      <c r="BS24" s="98">
        <v>41.7</v>
      </c>
      <c r="BT24" s="98"/>
      <c r="BU24" s="98">
        <f t="shared" si="20"/>
        <v>41.7</v>
      </c>
      <c r="BV24" s="98" t="s">
        <v>604</v>
      </c>
      <c r="BW24" s="98" t="s">
        <v>605</v>
      </c>
      <c r="BX24" s="98" t="s">
        <v>614</v>
      </c>
      <c r="BY24" s="98">
        <v>9.8000000000000007</v>
      </c>
      <c r="BZ24" s="98">
        <v>0.4</v>
      </c>
      <c r="CA24" s="98">
        <v>1.79</v>
      </c>
      <c r="CB24" s="98">
        <v>0.24</v>
      </c>
      <c r="CC24" s="98">
        <v>0.80800000000000005</v>
      </c>
      <c r="CD24" s="98">
        <v>2.68</v>
      </c>
      <c r="CE24" s="98">
        <v>0.7</v>
      </c>
      <c r="CF24" s="98">
        <v>3.6</v>
      </c>
      <c r="CG24" s="98" t="s">
        <v>607</v>
      </c>
      <c r="CH24" s="98">
        <v>2.48</v>
      </c>
      <c r="CI24" s="98">
        <v>0.09</v>
      </c>
      <c r="CJ24" s="98">
        <v>1.51</v>
      </c>
      <c r="CK24" s="98">
        <v>0.08</v>
      </c>
      <c r="CL24" s="98" t="s">
        <v>304</v>
      </c>
      <c r="CM24" s="98" t="s">
        <v>603</v>
      </c>
      <c r="CN24" s="98">
        <v>0.3</v>
      </c>
      <c r="CO24" s="98" t="s">
        <v>607</v>
      </c>
      <c r="CP24" s="98">
        <v>5.8999999999999997E-2</v>
      </c>
      <c r="CQ24" s="98" t="s">
        <v>605</v>
      </c>
      <c r="CR24" s="98">
        <v>0.14000000000000001</v>
      </c>
      <c r="CS24" s="98" t="s">
        <v>92</v>
      </c>
      <c r="CT24" s="98">
        <v>0.13500000000000001</v>
      </c>
      <c r="CU24" s="98">
        <v>0.26300000000000001</v>
      </c>
      <c r="CV24" s="98">
        <v>3.1E-2</v>
      </c>
      <c r="CW24" s="98">
        <v>9.8000000000000004E-2</v>
      </c>
      <c r="CX24" s="98">
        <v>2.8000000000000001E-2</v>
      </c>
      <c r="CY24" s="98">
        <v>6.0000000000000001E-3</v>
      </c>
      <c r="CZ24" s="98">
        <v>1.6E-2</v>
      </c>
      <c r="DA24" s="98" t="s">
        <v>609</v>
      </c>
      <c r="DB24" s="98">
        <v>1.2E-2</v>
      </c>
      <c r="DC24" s="98" t="s">
        <v>608</v>
      </c>
      <c r="DD24" s="98">
        <v>4.0000000000000001E-3</v>
      </c>
      <c r="DE24" s="98" t="s">
        <v>608</v>
      </c>
      <c r="DF24" s="98" t="s">
        <v>610</v>
      </c>
      <c r="DG24" s="98" t="s">
        <v>609</v>
      </c>
      <c r="DH24" s="98" t="s">
        <v>611</v>
      </c>
      <c r="DI24" s="98" t="s">
        <v>612</v>
      </c>
      <c r="DJ24" s="98" t="s">
        <v>615</v>
      </c>
      <c r="DK24" s="98" t="s">
        <v>304</v>
      </c>
      <c r="DL24" s="98">
        <v>0.2</v>
      </c>
      <c r="DM24" s="98" t="s">
        <v>605</v>
      </c>
      <c r="DN24" s="98" t="s">
        <v>91</v>
      </c>
      <c r="DO24" s="98">
        <v>3.9E-2</v>
      </c>
    </row>
    <row r="25" spans="1:119">
      <c r="A25" s="53" t="s">
        <v>570</v>
      </c>
      <c r="B25" s="53" t="s">
        <v>571</v>
      </c>
      <c r="C25" s="180">
        <v>43889</v>
      </c>
      <c r="F25" s="53">
        <f t="shared" si="21"/>
        <v>0</v>
      </c>
      <c r="J25" s="53" t="e">
        <f t="shared" si="22"/>
        <v>#DIV/0!</v>
      </c>
      <c r="L25" s="183">
        <v>0.19486300000000001</v>
      </c>
      <c r="M25" s="183">
        <v>34.750653</v>
      </c>
      <c r="N25" s="198" t="s">
        <v>666</v>
      </c>
      <c r="O25" s="53" t="s">
        <v>330</v>
      </c>
      <c r="P25" s="53" t="s">
        <v>347</v>
      </c>
      <c r="Q25" s="154" t="s">
        <v>371</v>
      </c>
      <c r="R25" s="116" t="s">
        <v>687</v>
      </c>
      <c r="S25" s="53" t="s">
        <v>728</v>
      </c>
      <c r="T25" s="53" t="s">
        <v>739</v>
      </c>
      <c r="U25" s="53" t="s">
        <v>726</v>
      </c>
      <c r="V25" s="53" t="s">
        <v>727</v>
      </c>
      <c r="W25" s="98">
        <v>145.4</v>
      </c>
      <c r="X25" s="99"/>
      <c r="Y25" s="99">
        <f t="shared" si="0"/>
        <v>109.86973602560519</v>
      </c>
      <c r="Z25" s="99">
        <f t="shared" si="11"/>
        <v>0.75563779935079223</v>
      </c>
      <c r="AA25" s="98">
        <v>7.694</v>
      </c>
      <c r="AB25" s="98">
        <v>13.4</v>
      </c>
      <c r="AC25" s="98">
        <v>4.5060000000000002</v>
      </c>
      <c r="AD25" s="98">
        <v>9.5</v>
      </c>
      <c r="AE25" s="98">
        <v>0.93</v>
      </c>
      <c r="AF25" s="98">
        <v>68.23</v>
      </c>
      <c r="AG25" s="98"/>
      <c r="AH25" s="98">
        <v>2.8602639553057805</v>
      </c>
      <c r="AI25" s="98">
        <v>1.6998621559019826</v>
      </c>
      <c r="AJ25" s="98">
        <v>8.7436099143974175</v>
      </c>
      <c r="AK25" s="98">
        <v>1.4764981400000001</v>
      </c>
      <c r="AL25" s="98">
        <v>2.7281884E-3</v>
      </c>
      <c r="AM25" s="98">
        <v>1.3754033041842859</v>
      </c>
      <c r="AN25" s="98">
        <v>1.2807811014223408E-2</v>
      </c>
      <c r="AO25" s="98">
        <f t="shared" ref="AO25:AO35" si="23">IF(TIC&gt;0,TIC*0.01639*5.0801,IF(_HCO3&gt;0,_HCO3*0.01639))+IF(Cl&gt;0,Cl*0.02821)+IF(_SO4&gt;0,_SO4*0.02082)+IF(_NO3&gt;0,_NO3*0.01613)</f>
        <v>1.3754033041842859</v>
      </c>
      <c r="AP25" s="98" t="e">
        <f t="shared" ref="AP25:AP41" si="24">IF(Q25&gt;0,Q25*0.01639)+IF(Cl&gt;0,Cl*0.02821)+IF(_SO4&gt;0,_SO4*0.02082)+IF(_NO3&gt;0,_NO3*0.01613)</f>
        <v>#VALUE!</v>
      </c>
      <c r="AQ25" s="98">
        <v>1.4792263284000002</v>
      </c>
      <c r="AR25" s="98">
        <v>1.3882111151985093</v>
      </c>
      <c r="AS25" s="98">
        <v>3.1740958605629008</v>
      </c>
      <c r="AT25" s="98">
        <f>((Cation_Total&lt;(Anion_Total&lt;(_SO4/48)+(Total_S/16)))*100)/(Cation_Total+(Anion_Total&lt;(_SO4/48)+(Total_S/16)))</f>
        <v>67.602907060317563</v>
      </c>
      <c r="AU25" s="98">
        <f>((Cation_Total&lt;(AN25+AO25))*100)/(Cation_Total+(AN25+AO25))</f>
        <v>0</v>
      </c>
      <c r="AV25" s="98" t="e">
        <f>((Cation_Total&lt;(AN25+AP25))*100)/(Cation_Total+(AN25+AP25))</f>
        <v>#VALUE!</v>
      </c>
      <c r="AW25" s="98">
        <v>3.0926462242680242E-2</v>
      </c>
      <c r="AX25" s="98">
        <v>5.5655795929167869E-2</v>
      </c>
      <c r="AY25" s="98">
        <v>0.25255059037663197</v>
      </c>
      <c r="AZ25" s="98">
        <v>0.1129844300911081</v>
      </c>
      <c r="BA25" s="98"/>
      <c r="BB25" s="98"/>
      <c r="BC25" s="98"/>
      <c r="BD25" s="98"/>
      <c r="BE25" s="98"/>
      <c r="BF25" s="98">
        <f t="shared" ref="BF25:BF35" si="25">_HCO3/5.0801</f>
        <v>13.430837975630402</v>
      </c>
      <c r="BG25" s="98" t="e">
        <f t="shared" ref="BG25:BG35" si="26">((TIC&lt;(_HCO3/5.0801))/TIC)*100</f>
        <v>#DIV/0!</v>
      </c>
      <c r="BH25" s="98" t="e">
        <f t="shared" ref="BH25:BH35" si="27">((TIC&lt;(Field_HCO3/5.1))/TIC)*100</f>
        <v>#DIV/0!</v>
      </c>
      <c r="BI25" s="98">
        <v>0.10199999999999999</v>
      </c>
      <c r="BJ25" s="98">
        <v>0.75</v>
      </c>
      <c r="BK25" s="98"/>
      <c r="BL25" s="98">
        <f t="shared" ref="BL25:BL35" si="28">((Total_S&lt;(_SO4/2.9962))/Total_S)*100</f>
        <v>0</v>
      </c>
      <c r="BM25" s="98"/>
      <c r="BN25" s="98">
        <v>23.94</v>
      </c>
      <c r="BO25" s="98">
        <v>51.214842000000004</v>
      </c>
      <c r="BP25" s="98">
        <v>7.94</v>
      </c>
      <c r="BQ25" s="98">
        <v>90.2</v>
      </c>
      <c r="BR25" s="98">
        <v>103.2</v>
      </c>
      <c r="BS25" s="98">
        <v>10.3</v>
      </c>
      <c r="BT25" s="98"/>
      <c r="BU25" s="98">
        <f t="shared" ref="BU25:BU35" si="29">IF(Reduced_Fe&gt;0,Total_Fe&lt;Reduced_Fe,Total_Fe*1)</f>
        <v>10.3</v>
      </c>
      <c r="BV25" s="98" t="s">
        <v>604</v>
      </c>
      <c r="BW25" s="98" t="s">
        <v>605</v>
      </c>
      <c r="BX25" s="98" t="s">
        <v>614</v>
      </c>
      <c r="BY25" s="98">
        <v>15.9</v>
      </c>
      <c r="BZ25" s="98">
        <v>0.3</v>
      </c>
      <c r="CA25" s="98">
        <v>0.83</v>
      </c>
      <c r="CB25" s="98">
        <v>0.88</v>
      </c>
      <c r="CC25" s="98">
        <v>0.54700000000000004</v>
      </c>
      <c r="CD25" s="98">
        <v>0.89</v>
      </c>
      <c r="CE25" s="98">
        <v>0.6</v>
      </c>
      <c r="CF25" s="98">
        <v>4</v>
      </c>
      <c r="CG25" s="98" t="s">
        <v>607</v>
      </c>
      <c r="CH25" s="98">
        <v>22.1</v>
      </c>
      <c r="CI25" s="98">
        <v>0.11</v>
      </c>
      <c r="CJ25" s="98">
        <v>0.39</v>
      </c>
      <c r="CK25" s="98">
        <v>2.7E-2</v>
      </c>
      <c r="CL25" s="98" t="s">
        <v>304</v>
      </c>
      <c r="CM25" s="98" t="s">
        <v>603</v>
      </c>
      <c r="CN25" s="98">
        <v>0.2</v>
      </c>
      <c r="CO25" s="98" t="s">
        <v>607</v>
      </c>
      <c r="CP25" s="98">
        <v>7.0999999999999994E-2</v>
      </c>
      <c r="CQ25" s="98" t="s">
        <v>605</v>
      </c>
      <c r="CR25" s="98">
        <v>0.14000000000000001</v>
      </c>
      <c r="CS25" s="98" t="s">
        <v>92</v>
      </c>
      <c r="CT25" s="98">
        <v>3.3000000000000002E-2</v>
      </c>
      <c r="CU25" s="98">
        <v>0.05</v>
      </c>
      <c r="CV25" s="98">
        <v>8.0000000000000002E-3</v>
      </c>
      <c r="CW25" s="98">
        <v>2.7E-2</v>
      </c>
      <c r="CX25" s="98">
        <v>5.0000000000000001E-3</v>
      </c>
      <c r="CY25" s="98" t="s">
        <v>608</v>
      </c>
      <c r="CZ25" s="98">
        <v>7.0000000000000001E-3</v>
      </c>
      <c r="DA25" s="98" t="s">
        <v>609</v>
      </c>
      <c r="DB25" s="98" t="s">
        <v>608</v>
      </c>
      <c r="DC25" s="98" t="s">
        <v>608</v>
      </c>
      <c r="DD25" s="98" t="s">
        <v>608</v>
      </c>
      <c r="DE25" s="98" t="s">
        <v>608</v>
      </c>
      <c r="DF25" s="98" t="s">
        <v>610</v>
      </c>
      <c r="DG25" s="98" t="s">
        <v>609</v>
      </c>
      <c r="DH25" s="98" t="s">
        <v>611</v>
      </c>
      <c r="DI25" s="98" t="s">
        <v>612</v>
      </c>
      <c r="DJ25" s="98">
        <v>0.34</v>
      </c>
      <c r="DK25" s="98" t="s">
        <v>304</v>
      </c>
      <c r="DL25" s="98">
        <v>0.52</v>
      </c>
      <c r="DM25" s="98" t="s">
        <v>605</v>
      </c>
      <c r="DN25" s="98" t="s">
        <v>91</v>
      </c>
      <c r="DO25" s="98">
        <v>1.7000000000000001E-2</v>
      </c>
    </row>
    <row r="26" spans="1:119">
      <c r="A26" s="53" t="s">
        <v>572</v>
      </c>
      <c r="B26" s="53" t="s">
        <v>573</v>
      </c>
      <c r="C26" s="180">
        <v>43889</v>
      </c>
      <c r="F26" s="53">
        <f t="shared" si="21"/>
        <v>0</v>
      </c>
      <c r="J26" s="53" t="e">
        <f t="shared" si="22"/>
        <v>#DIV/0!</v>
      </c>
      <c r="L26" s="183">
        <v>0.19523199999999999</v>
      </c>
      <c r="M26" s="183">
        <v>34.751345000000001</v>
      </c>
      <c r="N26" s="198" t="s">
        <v>666</v>
      </c>
      <c r="O26" s="53" t="s">
        <v>330</v>
      </c>
      <c r="P26" s="53" t="s">
        <v>347</v>
      </c>
      <c r="Q26" s="154" t="s">
        <v>371</v>
      </c>
      <c r="R26" s="116" t="s">
        <v>687</v>
      </c>
      <c r="S26" s="53" t="s">
        <v>555</v>
      </c>
      <c r="T26" s="53" t="s">
        <v>739</v>
      </c>
      <c r="U26" s="53" t="s">
        <v>684</v>
      </c>
      <c r="V26" s="53" t="s">
        <v>683</v>
      </c>
      <c r="W26" s="98">
        <v>128.69999999999999</v>
      </c>
      <c r="X26" s="99"/>
      <c r="Y26" s="99">
        <f t="shared" si="0"/>
        <v>112.33571411310066</v>
      </c>
      <c r="Z26" s="99">
        <f t="shared" si="11"/>
        <v>0.87284937150816377</v>
      </c>
      <c r="AA26" s="98">
        <v>7.6779999999999999</v>
      </c>
      <c r="AB26" s="98">
        <v>13.2</v>
      </c>
      <c r="AC26" s="98">
        <v>4.4409999999999998</v>
      </c>
      <c r="AD26" s="98">
        <v>9.1999999999999993</v>
      </c>
      <c r="AE26" s="98">
        <v>0.89</v>
      </c>
      <c r="AF26" s="98">
        <v>73.760000000000005</v>
      </c>
      <c r="AG26" s="98"/>
      <c r="AH26" s="98">
        <v>2.375617044644136</v>
      </c>
      <c r="AI26" s="98">
        <v>1.5527878621015638</v>
      </c>
      <c r="AJ26" s="98">
        <v>6.9163092063549696</v>
      </c>
      <c r="AK26" s="98">
        <v>1.4470960899999998</v>
      </c>
      <c r="AL26" s="98">
        <v>3.6329221999999994E-3</v>
      </c>
      <c r="AM26" s="98">
        <v>1.419831667616871</v>
      </c>
      <c r="AN26" s="98">
        <v>8.5787413295254373E-3</v>
      </c>
      <c r="AO26" s="98">
        <f t="shared" si="23"/>
        <v>1.419831667616871</v>
      </c>
      <c r="AP26" s="98" t="e">
        <f t="shared" si="24"/>
        <v>#VALUE!</v>
      </c>
      <c r="AQ26" s="98">
        <v>1.4507290121999998</v>
      </c>
      <c r="AR26" s="98">
        <v>1.4284104089463965</v>
      </c>
      <c r="AS26" s="98">
        <v>0.77518313596347765</v>
      </c>
      <c r="AT26" s="98">
        <f>((Cation_Total&lt;(Anion_Total&lt;(_SO4/48)+(Total_S/16)))*100)/(Cation_Total+(Anion_Total&lt;(_SO4/48)+(Total_S/16)))</f>
        <v>68.930861076771407</v>
      </c>
      <c r="AU26" s="98">
        <f>((Cation_Total&lt;(AN26+AO26))*100)/(Cation_Total+(AN26+AO26))</f>
        <v>0</v>
      </c>
      <c r="AV26" s="98" t="e">
        <f>((Cation_Total&lt;(AN26+AP26))*100)/(Cation_Total+(AN26+AP26))</f>
        <v>#VALUE!</v>
      </c>
      <c r="AW26" s="98">
        <v>2.8150350590092205E-2</v>
      </c>
      <c r="AX26" s="98" t="s">
        <v>613</v>
      </c>
      <c r="AY26" s="98">
        <v>0.15924483265142575</v>
      </c>
      <c r="AZ26" s="98">
        <v>9.3230179097298069E-2</v>
      </c>
      <c r="BA26" s="98"/>
      <c r="BB26" s="98"/>
      <c r="BC26" s="98"/>
      <c r="BD26" s="98"/>
      <c r="BE26" s="98"/>
      <c r="BF26" s="98">
        <f t="shared" si="25"/>
        <v>14.519399224424717</v>
      </c>
      <c r="BG26" s="98" t="e">
        <f t="shared" si="26"/>
        <v>#DIV/0!</v>
      </c>
      <c r="BH26" s="98" t="e">
        <f t="shared" si="27"/>
        <v>#DIV/0!</v>
      </c>
      <c r="BI26" s="98">
        <v>0.121</v>
      </c>
      <c r="BJ26" s="98">
        <v>0.69</v>
      </c>
      <c r="BK26" s="98"/>
      <c r="BL26" s="98">
        <f t="shared" si="28"/>
        <v>0</v>
      </c>
      <c r="BM26" s="98"/>
      <c r="BN26" s="98">
        <v>23.19</v>
      </c>
      <c r="BO26" s="98">
        <v>49.610367000000004</v>
      </c>
      <c r="BP26" s="98">
        <v>5.97</v>
      </c>
      <c r="BQ26" s="98">
        <v>89.5</v>
      </c>
      <c r="BR26" s="98">
        <v>4.5</v>
      </c>
      <c r="BS26" s="98">
        <v>9.1999999999999993</v>
      </c>
      <c r="BT26" s="98"/>
      <c r="BU26" s="98">
        <f t="shared" si="29"/>
        <v>9.1999999999999993</v>
      </c>
      <c r="BV26" s="98">
        <v>7</v>
      </c>
      <c r="BW26" s="98" t="s">
        <v>605</v>
      </c>
      <c r="BX26" s="98" t="s">
        <v>614</v>
      </c>
      <c r="BY26" s="98">
        <v>1.7</v>
      </c>
      <c r="BZ26" s="98" t="s">
        <v>606</v>
      </c>
      <c r="CA26" s="98">
        <v>0.72</v>
      </c>
      <c r="CB26" s="98">
        <v>0.77</v>
      </c>
      <c r="CC26" s="98">
        <v>6.9000000000000006E-2</v>
      </c>
      <c r="CD26" s="98">
        <v>1.2</v>
      </c>
      <c r="CE26" s="98">
        <v>0.2</v>
      </c>
      <c r="CF26" s="98">
        <v>3.9</v>
      </c>
      <c r="CG26" s="98" t="s">
        <v>607</v>
      </c>
      <c r="CH26" s="98">
        <v>17.170000000000002</v>
      </c>
      <c r="CI26" s="98">
        <v>0.09</v>
      </c>
      <c r="CJ26" s="98">
        <v>0.26</v>
      </c>
      <c r="CK26" s="98" t="s">
        <v>610</v>
      </c>
      <c r="CL26" s="98" t="s">
        <v>304</v>
      </c>
      <c r="CM26" s="98" t="s">
        <v>603</v>
      </c>
      <c r="CN26" s="98" t="s">
        <v>606</v>
      </c>
      <c r="CO26" s="98" t="s">
        <v>607</v>
      </c>
      <c r="CP26" s="98">
        <v>4.7E-2</v>
      </c>
      <c r="CQ26" s="98" t="s">
        <v>605</v>
      </c>
      <c r="CR26" s="98" t="s">
        <v>92</v>
      </c>
      <c r="CS26" s="98">
        <v>0.1</v>
      </c>
      <c r="CT26" s="98">
        <v>5.0000000000000001E-3</v>
      </c>
      <c r="CU26" s="98">
        <v>8.0000000000000002E-3</v>
      </c>
      <c r="CV26" s="98" t="s">
        <v>608</v>
      </c>
      <c r="CW26" s="98">
        <v>8.9999999999999993E-3</v>
      </c>
      <c r="CX26" s="98" t="s">
        <v>613</v>
      </c>
      <c r="CY26" s="98" t="s">
        <v>608</v>
      </c>
      <c r="CZ26" s="98" t="s">
        <v>613</v>
      </c>
      <c r="DA26" s="98" t="s">
        <v>609</v>
      </c>
      <c r="DB26" s="98" t="s">
        <v>608</v>
      </c>
      <c r="DC26" s="98" t="s">
        <v>608</v>
      </c>
      <c r="DD26" s="98" t="s">
        <v>608</v>
      </c>
      <c r="DE26" s="98" t="s">
        <v>608</v>
      </c>
      <c r="DF26" s="98" t="s">
        <v>610</v>
      </c>
      <c r="DG26" s="98" t="s">
        <v>609</v>
      </c>
      <c r="DH26" s="98" t="s">
        <v>611</v>
      </c>
      <c r="DI26" s="98" t="s">
        <v>612</v>
      </c>
      <c r="DJ26" s="98">
        <v>0.1</v>
      </c>
      <c r="DK26" s="98" t="s">
        <v>304</v>
      </c>
      <c r="DL26" s="98">
        <v>0.13</v>
      </c>
      <c r="DM26" s="98" t="s">
        <v>605</v>
      </c>
      <c r="DN26" s="98" t="s">
        <v>91</v>
      </c>
      <c r="DO26" s="98" t="s">
        <v>610</v>
      </c>
    </row>
    <row r="27" spans="1:119" s="85" customFormat="1">
      <c r="A27" s="53" t="s">
        <v>574</v>
      </c>
      <c r="B27" s="53" t="s">
        <v>573</v>
      </c>
      <c r="C27" s="180">
        <v>43889</v>
      </c>
      <c r="D27" s="53"/>
      <c r="E27" s="53"/>
      <c r="F27" s="53">
        <f t="shared" si="21"/>
        <v>0</v>
      </c>
      <c r="G27" s="53"/>
      <c r="H27" s="53"/>
      <c r="I27" s="53"/>
      <c r="J27" s="53" t="e">
        <f t="shared" si="22"/>
        <v>#DIV/0!</v>
      </c>
      <c r="K27" s="53"/>
      <c r="L27" s="183">
        <v>0.19523199999999999</v>
      </c>
      <c r="M27" s="183">
        <v>34.751345000000001</v>
      </c>
      <c r="N27" s="198" t="s">
        <v>666</v>
      </c>
      <c r="O27" s="53" t="s">
        <v>330</v>
      </c>
      <c r="P27" s="53" t="s">
        <v>347</v>
      </c>
      <c r="Q27" s="154" t="s">
        <v>371</v>
      </c>
      <c r="R27" s="116" t="s">
        <v>687</v>
      </c>
      <c r="S27" s="53" t="s">
        <v>555</v>
      </c>
      <c r="T27" s="53" t="s">
        <v>739</v>
      </c>
      <c r="U27" s="53" t="s">
        <v>684</v>
      </c>
      <c r="V27" s="53" t="s">
        <v>683</v>
      </c>
      <c r="W27" s="98" t="s">
        <v>288</v>
      </c>
      <c r="X27" s="99"/>
      <c r="Y27" s="99" t="e">
        <f t="shared" si="0"/>
        <v>#VALUE!</v>
      </c>
      <c r="Z27" s="99" t="e">
        <f t="shared" si="11"/>
        <v>#VALUE!</v>
      </c>
      <c r="AA27" s="98" t="s">
        <v>288</v>
      </c>
      <c r="AB27" s="98">
        <v>13.5</v>
      </c>
      <c r="AC27" s="98">
        <v>4.4960000000000004</v>
      </c>
      <c r="AD27" s="98">
        <v>9.1</v>
      </c>
      <c r="AE27" s="98">
        <v>0.89</v>
      </c>
      <c r="AF27" s="98" t="s">
        <v>288</v>
      </c>
      <c r="AG27" s="98" t="s">
        <v>288</v>
      </c>
      <c r="AH27" s="98" t="s">
        <v>288</v>
      </c>
      <c r="AI27" s="98" t="s">
        <v>288</v>
      </c>
      <c r="AJ27" s="98" t="s">
        <v>288</v>
      </c>
      <c r="AK27" s="98">
        <v>1.46224204</v>
      </c>
      <c r="AL27" s="98">
        <v>2.144244E-3</v>
      </c>
      <c r="AM27" s="98" t="s">
        <v>288</v>
      </c>
      <c r="AN27" s="98" t="s">
        <v>288</v>
      </c>
      <c r="AO27" s="98" t="e">
        <f t="shared" si="23"/>
        <v>#VALUE!</v>
      </c>
      <c r="AP27" s="98" t="e">
        <f t="shared" si="24"/>
        <v>#VALUE!</v>
      </c>
      <c r="AQ27" s="98">
        <v>1.4643862839999999</v>
      </c>
      <c r="AR27" s="98" t="s">
        <v>288</v>
      </c>
      <c r="AS27" s="98" t="s">
        <v>288</v>
      </c>
      <c r="AT27" s="98" t="s">
        <v>288</v>
      </c>
      <c r="AU27" s="98" t="s">
        <v>288</v>
      </c>
      <c r="AV27" s="98" t="s">
        <v>288</v>
      </c>
      <c r="AW27" s="98" t="s">
        <v>288</v>
      </c>
      <c r="AX27" s="98" t="s">
        <v>288</v>
      </c>
      <c r="AY27" s="98" t="s">
        <v>288</v>
      </c>
      <c r="AZ27" s="98" t="s">
        <v>288</v>
      </c>
      <c r="BA27" s="98"/>
      <c r="BB27" s="98"/>
      <c r="BC27" s="98"/>
      <c r="BD27" s="98"/>
      <c r="BE27" s="98"/>
      <c r="BF27" s="98" t="e">
        <f t="shared" si="25"/>
        <v>#VALUE!</v>
      </c>
      <c r="BG27" s="98" t="e">
        <f t="shared" si="26"/>
        <v>#VALUE!</v>
      </c>
      <c r="BH27" s="98" t="e">
        <f t="shared" si="27"/>
        <v>#DIV/0!</v>
      </c>
      <c r="BI27" s="98">
        <v>0.09</v>
      </c>
      <c r="BJ27" s="98">
        <v>0.79</v>
      </c>
      <c r="BK27" s="98"/>
      <c r="BL27" s="98" t="e">
        <f t="shared" si="28"/>
        <v>#VALUE!</v>
      </c>
      <c r="BM27" s="98"/>
      <c r="BN27" s="98">
        <v>23.82</v>
      </c>
      <c r="BO27" s="98">
        <v>50.958126</v>
      </c>
      <c r="BP27" s="98">
        <v>6.15</v>
      </c>
      <c r="BQ27" s="98">
        <v>90</v>
      </c>
      <c r="BR27" s="98">
        <v>6.9</v>
      </c>
      <c r="BS27" s="98" t="s">
        <v>617</v>
      </c>
      <c r="BT27" s="98"/>
      <c r="BU27" s="98" t="e">
        <f t="shared" si="29"/>
        <v>#VALUE!</v>
      </c>
      <c r="BV27" s="98" t="s">
        <v>604</v>
      </c>
      <c r="BW27" s="98" t="s">
        <v>605</v>
      </c>
      <c r="BX27" s="98" t="s">
        <v>614</v>
      </c>
      <c r="BY27" s="98">
        <v>2.8</v>
      </c>
      <c r="BZ27" s="98" t="s">
        <v>606</v>
      </c>
      <c r="CA27" s="98">
        <v>0.7</v>
      </c>
      <c r="CB27" s="98">
        <v>0.72</v>
      </c>
      <c r="CC27" s="98">
        <v>9.1999999999999998E-2</v>
      </c>
      <c r="CD27" s="98">
        <v>1.1100000000000001</v>
      </c>
      <c r="CE27" s="98" t="s">
        <v>606</v>
      </c>
      <c r="CF27" s="98">
        <v>1</v>
      </c>
      <c r="CG27" s="98" t="s">
        <v>607</v>
      </c>
      <c r="CH27" s="98">
        <v>17.09</v>
      </c>
      <c r="CI27" s="98" t="s">
        <v>616</v>
      </c>
      <c r="CJ27" s="98">
        <v>0.23</v>
      </c>
      <c r="CK27" s="98" t="s">
        <v>610</v>
      </c>
      <c r="CL27" s="98" t="s">
        <v>304</v>
      </c>
      <c r="CM27" s="98" t="s">
        <v>603</v>
      </c>
      <c r="CN27" s="98" t="s">
        <v>606</v>
      </c>
      <c r="CO27" s="98" t="s">
        <v>607</v>
      </c>
      <c r="CP27" s="98">
        <v>1.9E-2</v>
      </c>
      <c r="CQ27" s="98" t="s">
        <v>605</v>
      </c>
      <c r="CR27" s="98" t="s">
        <v>92</v>
      </c>
      <c r="CS27" s="98">
        <v>0.09</v>
      </c>
      <c r="CT27" s="98" t="s">
        <v>608</v>
      </c>
      <c r="CU27" s="98" t="s">
        <v>609</v>
      </c>
      <c r="CV27" s="98" t="s">
        <v>608</v>
      </c>
      <c r="CW27" s="98" t="s">
        <v>613</v>
      </c>
      <c r="CX27" s="98" t="s">
        <v>613</v>
      </c>
      <c r="CY27" s="98" t="s">
        <v>608</v>
      </c>
      <c r="CZ27" s="98" t="s">
        <v>613</v>
      </c>
      <c r="DA27" s="98" t="s">
        <v>609</v>
      </c>
      <c r="DB27" s="98" t="s">
        <v>608</v>
      </c>
      <c r="DC27" s="98" t="s">
        <v>608</v>
      </c>
      <c r="DD27" s="98" t="s">
        <v>608</v>
      </c>
      <c r="DE27" s="98" t="s">
        <v>608</v>
      </c>
      <c r="DF27" s="98" t="s">
        <v>610</v>
      </c>
      <c r="DG27" s="98" t="s">
        <v>609</v>
      </c>
      <c r="DH27" s="98" t="s">
        <v>611</v>
      </c>
      <c r="DI27" s="98" t="s">
        <v>612</v>
      </c>
      <c r="DJ27" s="98">
        <v>0.12</v>
      </c>
      <c r="DK27" s="98" t="s">
        <v>304</v>
      </c>
      <c r="DL27" s="98" t="s">
        <v>304</v>
      </c>
      <c r="DM27" s="98" t="s">
        <v>605</v>
      </c>
      <c r="DN27" s="98" t="s">
        <v>91</v>
      </c>
      <c r="DO27" s="98" t="s">
        <v>610</v>
      </c>
    </row>
    <row r="28" spans="1:119">
      <c r="A28" s="53" t="s">
        <v>575</v>
      </c>
      <c r="B28" s="53" t="s">
        <v>576</v>
      </c>
      <c r="C28" s="180">
        <v>43890</v>
      </c>
      <c r="F28" s="53">
        <f t="shared" si="21"/>
        <v>0</v>
      </c>
      <c r="J28" s="53" t="e">
        <f t="shared" si="22"/>
        <v>#DIV/0!</v>
      </c>
      <c r="L28" s="183">
        <v>0.224908</v>
      </c>
      <c r="M28" s="183">
        <v>34.799022000000001</v>
      </c>
      <c r="N28" s="53" t="s">
        <v>667</v>
      </c>
      <c r="O28" s="53" t="s">
        <v>330</v>
      </c>
      <c r="P28" s="53" t="s">
        <v>347</v>
      </c>
      <c r="Q28" s="154" t="s">
        <v>371</v>
      </c>
      <c r="R28" s="116" t="s">
        <v>687</v>
      </c>
      <c r="S28" s="53" t="s">
        <v>535</v>
      </c>
      <c r="T28" s="53" t="s">
        <v>739</v>
      </c>
      <c r="U28" s="53" t="s">
        <v>684</v>
      </c>
      <c r="V28" s="53" t="s">
        <v>683</v>
      </c>
      <c r="W28" s="98">
        <v>114</v>
      </c>
      <c r="X28" s="99"/>
      <c r="Y28" s="99">
        <f t="shared" si="0"/>
        <v>88.615266790389711</v>
      </c>
      <c r="Z28" s="99">
        <f t="shared" si="11"/>
        <v>0.77732690167008522</v>
      </c>
      <c r="AA28" s="98">
        <v>7.5380000000000003</v>
      </c>
      <c r="AB28" s="98">
        <v>8.9</v>
      </c>
      <c r="AC28" s="98">
        <v>4.9569999999999999</v>
      </c>
      <c r="AD28" s="98">
        <v>6</v>
      </c>
      <c r="AE28" s="98">
        <v>0.89</v>
      </c>
      <c r="AF28" s="98">
        <v>52.36</v>
      </c>
      <c r="AG28" s="98"/>
      <c r="AH28" s="98">
        <v>2.7505703798985968</v>
      </c>
      <c r="AI28" s="98">
        <v>1.1467785557681438</v>
      </c>
      <c r="AJ28" s="98">
        <v>11.610917854722972</v>
      </c>
      <c r="AK28" s="98">
        <v>1.1357877300000001</v>
      </c>
      <c r="AL28" s="98">
        <v>1.57331608E-2</v>
      </c>
      <c r="AM28" s="98">
        <v>1.1469340249447135</v>
      </c>
      <c r="AN28" s="98">
        <v>4.1343298087716954E-3</v>
      </c>
      <c r="AO28" s="98">
        <f t="shared" si="23"/>
        <v>1.1469340249447135</v>
      </c>
      <c r="AP28" s="98" t="e">
        <f t="shared" si="24"/>
        <v>#VALUE!</v>
      </c>
      <c r="AQ28" s="98">
        <v>1.1515208908000001</v>
      </c>
      <c r="AR28" s="98">
        <v>1.1510683547534852</v>
      </c>
      <c r="AS28" s="98">
        <v>1.9653355342848934E-2</v>
      </c>
      <c r="AT28" s="98">
        <f t="shared" ref="AT28:AT35" si="30">((Cation_Total&lt;(Anion_Total&lt;(_SO4/48)+(Total_S/16)))*100)/(Cation_Total+(Anion_Total&lt;(_SO4/48)+(Total_S/16)))</f>
        <v>86.841672434207126</v>
      </c>
      <c r="AU28" s="98">
        <f t="shared" ref="AU28:AU35" si="31">((Cation_Total&lt;(AN28+AO28))*100)/(Cation_Total+(AN28+AO28))</f>
        <v>0</v>
      </c>
      <c r="AV28" s="98" t="e">
        <f t="shared" ref="AV28:AV35" si="32">((Cation_Total&lt;(AN28+AP28))*100)/(Cation_Total+(AN28+AP28))</f>
        <v>#VALUE!</v>
      </c>
      <c r="AW28" s="98">
        <v>4.5869657866046736E-2</v>
      </c>
      <c r="AX28" s="98" t="s">
        <v>613</v>
      </c>
      <c r="AY28" s="98" t="s">
        <v>603</v>
      </c>
      <c r="AZ28" s="98">
        <v>6.7629971358069724E-2</v>
      </c>
      <c r="BA28" s="98"/>
      <c r="BB28" s="98"/>
      <c r="BC28" s="98"/>
      <c r="BD28" s="98"/>
      <c r="BE28" s="98"/>
      <c r="BF28" s="98">
        <f t="shared" si="25"/>
        <v>10.306883722761363</v>
      </c>
      <c r="BG28" s="98" t="e">
        <f t="shared" si="26"/>
        <v>#DIV/0!</v>
      </c>
      <c r="BH28" s="98" t="e">
        <f t="shared" si="27"/>
        <v>#DIV/0!</v>
      </c>
      <c r="BI28" s="98">
        <v>1.2E-2</v>
      </c>
      <c r="BJ28" s="98">
        <v>0.52</v>
      </c>
      <c r="BK28" s="98"/>
      <c r="BL28" s="98">
        <f t="shared" si="28"/>
        <v>0</v>
      </c>
      <c r="BM28" s="98"/>
      <c r="BN28" s="98">
        <v>25.11</v>
      </c>
      <c r="BO28" s="98">
        <v>53.717822999999996</v>
      </c>
      <c r="BP28" s="98">
        <v>80.23</v>
      </c>
      <c r="BQ28" s="98">
        <v>91.6</v>
      </c>
      <c r="BR28" s="98">
        <v>134.69999999999999</v>
      </c>
      <c r="BS28" s="98">
        <v>232.2</v>
      </c>
      <c r="BT28" s="98"/>
      <c r="BU28" s="98">
        <f t="shared" si="29"/>
        <v>232.2</v>
      </c>
      <c r="BV28" s="98" t="s">
        <v>604</v>
      </c>
      <c r="BW28" s="98" t="s">
        <v>605</v>
      </c>
      <c r="BX28" s="98" t="s">
        <v>614</v>
      </c>
      <c r="BY28" s="98">
        <v>7.5</v>
      </c>
      <c r="BZ28" s="98" t="s">
        <v>606</v>
      </c>
      <c r="CA28" s="98">
        <v>2.4</v>
      </c>
      <c r="CB28" s="98">
        <v>2.35</v>
      </c>
      <c r="CC28" s="98">
        <v>1.1930000000000001</v>
      </c>
      <c r="CD28" s="98">
        <v>3.49</v>
      </c>
      <c r="CE28" s="98">
        <v>0.4</v>
      </c>
      <c r="CF28" s="98">
        <v>4.0999999999999996</v>
      </c>
      <c r="CG28" s="98" t="s">
        <v>607</v>
      </c>
      <c r="CH28" s="98">
        <v>3.36</v>
      </c>
      <c r="CI28" s="98">
        <v>0.08</v>
      </c>
      <c r="CJ28" s="98">
        <v>0.96</v>
      </c>
      <c r="CK28" s="98">
        <v>6.9000000000000006E-2</v>
      </c>
      <c r="CL28" s="98" t="s">
        <v>304</v>
      </c>
      <c r="CM28" s="98" t="s">
        <v>603</v>
      </c>
      <c r="CN28" s="98" t="s">
        <v>606</v>
      </c>
      <c r="CO28" s="98" t="s">
        <v>607</v>
      </c>
      <c r="CP28" s="98">
        <v>5.6000000000000001E-2</v>
      </c>
      <c r="CQ28" s="98" t="s">
        <v>605</v>
      </c>
      <c r="CR28" s="98">
        <v>0.15</v>
      </c>
      <c r="CS28" s="98">
        <v>0.08</v>
      </c>
      <c r="CT28" s="98">
        <v>0.104</v>
      </c>
      <c r="CU28" s="98">
        <v>0.16900000000000001</v>
      </c>
      <c r="CV28" s="98">
        <v>0.02</v>
      </c>
      <c r="CW28" s="98">
        <v>9.7000000000000003E-2</v>
      </c>
      <c r="CX28" s="98">
        <v>8.9999999999999993E-3</v>
      </c>
      <c r="CY28" s="98" t="s">
        <v>608</v>
      </c>
      <c r="CZ28" s="98">
        <v>8.0000000000000002E-3</v>
      </c>
      <c r="DA28" s="98" t="s">
        <v>609</v>
      </c>
      <c r="DB28" s="98">
        <v>7.0000000000000001E-3</v>
      </c>
      <c r="DC28" s="98" t="s">
        <v>608</v>
      </c>
      <c r="DD28" s="98">
        <v>4.0000000000000001E-3</v>
      </c>
      <c r="DE28" s="98" t="s">
        <v>608</v>
      </c>
      <c r="DF28" s="98" t="s">
        <v>610</v>
      </c>
      <c r="DG28" s="98" t="s">
        <v>609</v>
      </c>
      <c r="DH28" s="98" t="s">
        <v>611</v>
      </c>
      <c r="DI28" s="98" t="s">
        <v>612</v>
      </c>
      <c r="DJ28" s="98" t="s">
        <v>615</v>
      </c>
      <c r="DK28" s="98" t="s">
        <v>304</v>
      </c>
      <c r="DL28" s="98">
        <v>0.13</v>
      </c>
      <c r="DM28" s="98" t="s">
        <v>605</v>
      </c>
      <c r="DN28" s="98" t="s">
        <v>91</v>
      </c>
      <c r="DO28" s="98" t="s">
        <v>610</v>
      </c>
    </row>
    <row r="29" spans="1:119">
      <c r="A29" s="53" t="s">
        <v>577</v>
      </c>
      <c r="B29" s="53" t="s">
        <v>578</v>
      </c>
      <c r="C29" s="180">
        <v>43890</v>
      </c>
      <c r="F29" s="53">
        <f t="shared" si="21"/>
        <v>0</v>
      </c>
      <c r="J29" s="53" t="e">
        <f t="shared" si="22"/>
        <v>#DIV/0!</v>
      </c>
      <c r="L29" s="183">
        <v>0.22484799999999999</v>
      </c>
      <c r="M29" s="183">
        <v>34.799002999999999</v>
      </c>
      <c r="N29" s="53" t="s">
        <v>667</v>
      </c>
      <c r="O29" s="53" t="s">
        <v>330</v>
      </c>
      <c r="P29" s="53" t="s">
        <v>347</v>
      </c>
      <c r="Q29" s="154" t="s">
        <v>371</v>
      </c>
      <c r="R29" s="116" t="s">
        <v>687</v>
      </c>
      <c r="S29" s="53" t="s">
        <v>535</v>
      </c>
      <c r="T29" s="53" t="s">
        <v>739</v>
      </c>
      <c r="U29" s="53" t="s">
        <v>684</v>
      </c>
      <c r="V29" s="53" t="s">
        <v>683</v>
      </c>
      <c r="W29" s="98">
        <v>121.1</v>
      </c>
      <c r="X29" s="99"/>
      <c r="Y29" s="99">
        <f t="shared" si="0"/>
        <v>89.129989792298261</v>
      </c>
      <c r="Z29" s="99">
        <f t="shared" si="11"/>
        <v>0.73600321876381725</v>
      </c>
      <c r="AA29" s="98">
        <v>7.63</v>
      </c>
      <c r="AB29" s="98">
        <v>9.4</v>
      </c>
      <c r="AC29" s="98">
        <v>4.9649999999999999</v>
      </c>
      <c r="AD29" s="98">
        <v>6.4</v>
      </c>
      <c r="AE29" s="98">
        <v>0.79</v>
      </c>
      <c r="AF29" s="98">
        <v>54.15</v>
      </c>
      <c r="AG29" s="98"/>
      <c r="AH29" s="98">
        <v>3.083284489544083</v>
      </c>
      <c r="AI29" s="98">
        <v>1.3094175513771267</v>
      </c>
      <c r="AJ29" s="98">
        <v>9.0322877513770496</v>
      </c>
      <c r="AK29" s="98">
        <v>1.1762380499999998</v>
      </c>
      <c r="AL29" s="98">
        <v>3.53573846E-2</v>
      </c>
      <c r="AM29" s="98">
        <v>1.147450830299422</v>
      </c>
      <c r="AN29" s="98">
        <v>4.3824754942177789E-3</v>
      </c>
      <c r="AO29" s="98">
        <f t="shared" si="23"/>
        <v>1.147450830299422</v>
      </c>
      <c r="AP29" s="98" t="e">
        <f t="shared" si="24"/>
        <v>#VALUE!</v>
      </c>
      <c r="AQ29" s="98">
        <v>1.2115954345999997</v>
      </c>
      <c r="AR29" s="98">
        <v>1.1518333057936399</v>
      </c>
      <c r="AS29" s="98">
        <v>2.5286198726857423</v>
      </c>
      <c r="AT29" s="98">
        <f t="shared" si="30"/>
        <v>82.535801261923993</v>
      </c>
      <c r="AU29" s="98">
        <f t="shared" si="31"/>
        <v>0</v>
      </c>
      <c r="AV29" s="98" t="e">
        <f t="shared" si="32"/>
        <v>#VALUE!</v>
      </c>
      <c r="AW29" s="98">
        <v>4.9611081825846337E-2</v>
      </c>
      <c r="AX29" s="98">
        <v>1.0760941456213627E-2</v>
      </c>
      <c r="AY29" s="98" t="s">
        <v>603</v>
      </c>
      <c r="AZ29" s="98">
        <v>6.700991418123288E-2</v>
      </c>
      <c r="BA29" s="98"/>
      <c r="BB29" s="98"/>
      <c r="BC29" s="98"/>
      <c r="BD29" s="98"/>
      <c r="BE29" s="98"/>
      <c r="BF29" s="98">
        <f t="shared" si="25"/>
        <v>10.659238991358437</v>
      </c>
      <c r="BG29" s="98" t="e">
        <f t="shared" si="26"/>
        <v>#DIV/0!</v>
      </c>
      <c r="BH29" s="98" t="e">
        <f t="shared" si="27"/>
        <v>#DIV/0!</v>
      </c>
      <c r="BI29" s="98">
        <v>8.9999999999999993E-3</v>
      </c>
      <c r="BJ29" s="98">
        <v>0.59</v>
      </c>
      <c r="BK29" s="98"/>
      <c r="BL29" s="98">
        <f t="shared" si="28"/>
        <v>0</v>
      </c>
      <c r="BM29" s="98"/>
      <c r="BN29" s="98">
        <v>24.36</v>
      </c>
      <c r="BO29" s="98">
        <v>52.113347999999995</v>
      </c>
      <c r="BP29" s="98">
        <v>81.459999999999994</v>
      </c>
      <c r="BQ29" s="98">
        <v>99.3</v>
      </c>
      <c r="BR29" s="98">
        <v>283.8</v>
      </c>
      <c r="BS29" s="98">
        <v>593.9</v>
      </c>
      <c r="BT29" s="98"/>
      <c r="BU29" s="98">
        <f t="shared" si="29"/>
        <v>593.9</v>
      </c>
      <c r="BV29" s="98" t="s">
        <v>604</v>
      </c>
      <c r="BW29" s="98" t="s">
        <v>605</v>
      </c>
      <c r="BX29" s="98" t="s">
        <v>614</v>
      </c>
      <c r="BY29" s="98">
        <v>12.2</v>
      </c>
      <c r="BZ29" s="98">
        <v>0.4</v>
      </c>
      <c r="CA29" s="98">
        <v>1.86</v>
      </c>
      <c r="CB29" s="98">
        <v>0.8</v>
      </c>
      <c r="CC29" s="98">
        <v>2.0779999999999998</v>
      </c>
      <c r="CD29" s="98">
        <v>3.73</v>
      </c>
      <c r="CE29" s="98">
        <v>0.7</v>
      </c>
      <c r="CF29" s="98">
        <v>7.2</v>
      </c>
      <c r="CG29" s="98" t="s">
        <v>607</v>
      </c>
      <c r="CH29" s="98">
        <v>4.88</v>
      </c>
      <c r="CI29" s="98">
        <v>0.09</v>
      </c>
      <c r="CJ29" s="98">
        <v>1.1599999999999999</v>
      </c>
      <c r="CK29" s="98">
        <v>0.11700000000000001</v>
      </c>
      <c r="CL29" s="98">
        <v>0.06</v>
      </c>
      <c r="CM29" s="98" t="s">
        <v>603</v>
      </c>
      <c r="CN29" s="98" t="s">
        <v>606</v>
      </c>
      <c r="CO29" s="98" t="s">
        <v>607</v>
      </c>
      <c r="CP29" s="98">
        <v>9.6000000000000002E-2</v>
      </c>
      <c r="CQ29" s="98">
        <v>0.17</v>
      </c>
      <c r="CR29" s="98">
        <v>0.16</v>
      </c>
      <c r="CS29" s="98" t="s">
        <v>92</v>
      </c>
      <c r="CT29" s="98">
        <v>0.122</v>
      </c>
      <c r="CU29" s="98">
        <v>0.186</v>
      </c>
      <c r="CV29" s="98">
        <v>2.4E-2</v>
      </c>
      <c r="CW29" s="98">
        <v>0.129</v>
      </c>
      <c r="CX29" s="98">
        <v>2.4E-2</v>
      </c>
      <c r="CY29" s="98" t="s">
        <v>608</v>
      </c>
      <c r="CZ29" s="98">
        <v>1.7000000000000001E-2</v>
      </c>
      <c r="DA29" s="98" t="s">
        <v>609</v>
      </c>
      <c r="DB29" s="98">
        <v>1.6E-2</v>
      </c>
      <c r="DC29" s="98" t="s">
        <v>608</v>
      </c>
      <c r="DD29" s="98">
        <v>6.0000000000000001E-3</v>
      </c>
      <c r="DE29" s="98" t="s">
        <v>608</v>
      </c>
      <c r="DF29" s="98" t="s">
        <v>610</v>
      </c>
      <c r="DG29" s="98" t="s">
        <v>609</v>
      </c>
      <c r="DH29" s="98" t="s">
        <v>611</v>
      </c>
      <c r="DI29" s="98" t="s">
        <v>612</v>
      </c>
      <c r="DJ29" s="98" t="s">
        <v>615</v>
      </c>
      <c r="DK29" s="98" t="s">
        <v>304</v>
      </c>
      <c r="DL29" s="98">
        <v>0.25</v>
      </c>
      <c r="DM29" s="98" t="s">
        <v>605</v>
      </c>
      <c r="DN29" s="98" t="s">
        <v>91</v>
      </c>
      <c r="DO29" s="98" t="s">
        <v>610</v>
      </c>
    </row>
    <row r="30" spans="1:119">
      <c r="A30" s="53" t="s">
        <v>579</v>
      </c>
      <c r="B30" s="53" t="s">
        <v>580</v>
      </c>
      <c r="C30" s="180">
        <v>43890</v>
      </c>
      <c r="F30" s="53">
        <f t="shared" si="21"/>
        <v>0</v>
      </c>
      <c r="J30" s="53" t="e">
        <f t="shared" si="22"/>
        <v>#DIV/0!</v>
      </c>
      <c r="L30" s="183">
        <v>0.21770700000000001</v>
      </c>
      <c r="M30" s="183">
        <v>34.802644000000001</v>
      </c>
      <c r="N30" s="53" t="s">
        <v>667</v>
      </c>
      <c r="O30" s="53" t="s">
        <v>330</v>
      </c>
      <c r="P30" s="53" t="s">
        <v>347</v>
      </c>
      <c r="Q30" s="154" t="s">
        <v>371</v>
      </c>
      <c r="R30" s="116" t="s">
        <v>687</v>
      </c>
      <c r="S30" s="53" t="s">
        <v>535</v>
      </c>
      <c r="T30" s="53" t="s">
        <v>739</v>
      </c>
      <c r="U30" s="53" t="s">
        <v>684</v>
      </c>
      <c r="V30" s="53" t="s">
        <v>683</v>
      </c>
      <c r="W30" s="98">
        <v>88.4</v>
      </c>
      <c r="X30" s="99"/>
      <c r="Y30" s="99">
        <f t="shared" si="0"/>
        <v>71.880540286852366</v>
      </c>
      <c r="Z30" s="99">
        <f t="shared" si="11"/>
        <v>0.81312828378792268</v>
      </c>
      <c r="AA30" s="98">
        <v>7.548</v>
      </c>
      <c r="AB30" s="98">
        <v>7</v>
      </c>
      <c r="AC30" s="98">
        <v>2.6440000000000001</v>
      </c>
      <c r="AD30" s="98">
        <v>6.5</v>
      </c>
      <c r="AE30" s="98">
        <v>1.95</v>
      </c>
      <c r="AF30" s="98">
        <v>49.97</v>
      </c>
      <c r="AG30" s="98"/>
      <c r="AH30" s="98">
        <v>2.218638601255416</v>
      </c>
      <c r="AI30" s="98">
        <v>0.3809646538663769</v>
      </c>
      <c r="AJ30" s="98">
        <v>1.2169370317305774</v>
      </c>
      <c r="AK30" s="98">
        <v>0.89950575999999993</v>
      </c>
      <c r="AL30" s="98">
        <v>4.8311572599999998E-2</v>
      </c>
      <c r="AM30" s="98">
        <v>0.9091569733567274</v>
      </c>
      <c r="AN30" s="98">
        <v>5.3213076330565273E-3</v>
      </c>
      <c r="AO30" s="98">
        <f t="shared" si="23"/>
        <v>0.9091569733567274</v>
      </c>
      <c r="AP30" s="98" t="e">
        <f t="shared" si="24"/>
        <v>#VALUE!</v>
      </c>
      <c r="AQ30" s="98">
        <v>0.9478173325999999</v>
      </c>
      <c r="AR30" s="98">
        <v>0.9144782809897839</v>
      </c>
      <c r="AS30" s="98">
        <v>1.7902126476017002</v>
      </c>
      <c r="AT30" s="98">
        <f t="shared" si="30"/>
        <v>105.50556163146494</v>
      </c>
      <c r="AU30" s="98">
        <f t="shared" si="31"/>
        <v>0</v>
      </c>
      <c r="AV30" s="98" t="e">
        <f t="shared" si="32"/>
        <v>#VALUE!</v>
      </c>
      <c r="AW30" s="98">
        <v>2.7696238117972304E-2</v>
      </c>
      <c r="AX30" s="98">
        <v>1.0219731650076828E-2</v>
      </c>
      <c r="AY30" s="98" t="s">
        <v>603</v>
      </c>
      <c r="AZ30" s="98">
        <v>9.0280656644126975E-2</v>
      </c>
      <c r="BA30" s="98"/>
      <c r="BB30" s="98"/>
      <c r="BC30" s="98"/>
      <c r="BD30" s="98"/>
      <c r="BE30" s="98"/>
      <c r="BF30" s="98">
        <f t="shared" si="25"/>
        <v>9.8364205429026992</v>
      </c>
      <c r="BG30" s="98" t="e">
        <f t="shared" si="26"/>
        <v>#DIV/0!</v>
      </c>
      <c r="BH30" s="98" t="e">
        <f t="shared" si="27"/>
        <v>#DIV/0!</v>
      </c>
      <c r="BI30" s="98" t="s">
        <v>611</v>
      </c>
      <c r="BJ30" s="98">
        <v>0.38</v>
      </c>
      <c r="BK30" s="98"/>
      <c r="BL30" s="98">
        <f t="shared" si="28"/>
        <v>0</v>
      </c>
      <c r="BM30" s="98"/>
      <c r="BN30" s="98">
        <v>20.13</v>
      </c>
      <c r="BO30" s="98">
        <v>43.064108999999995</v>
      </c>
      <c r="BP30" s="98">
        <v>74.459999999999994</v>
      </c>
      <c r="BQ30" s="98">
        <v>100.1</v>
      </c>
      <c r="BR30" s="98">
        <v>337.7</v>
      </c>
      <c r="BS30" s="98">
        <v>836.6</v>
      </c>
      <c r="BT30" s="98"/>
      <c r="BU30" s="98">
        <f t="shared" si="29"/>
        <v>836.6</v>
      </c>
      <c r="BV30" s="98" t="s">
        <v>604</v>
      </c>
      <c r="BW30" s="98" t="s">
        <v>605</v>
      </c>
      <c r="BX30" s="98" t="s">
        <v>614</v>
      </c>
      <c r="BY30" s="98">
        <v>10.7</v>
      </c>
      <c r="BZ30" s="98" t="s">
        <v>606</v>
      </c>
      <c r="CA30" s="98">
        <v>0.17</v>
      </c>
      <c r="CB30" s="98">
        <v>0.23</v>
      </c>
      <c r="CC30" s="98">
        <v>2.8029999999999999</v>
      </c>
      <c r="CD30" s="98">
        <v>1.2</v>
      </c>
      <c r="CE30" s="98">
        <v>0.5</v>
      </c>
      <c r="CF30" s="98">
        <v>4.7</v>
      </c>
      <c r="CG30" s="98" t="s">
        <v>607</v>
      </c>
      <c r="CH30" s="98">
        <v>1.2</v>
      </c>
      <c r="CI30" s="98" t="s">
        <v>616</v>
      </c>
      <c r="CJ30" s="98">
        <v>3.22</v>
      </c>
      <c r="CK30" s="98">
        <v>7.2999999999999995E-2</v>
      </c>
      <c r="CL30" s="98">
        <v>0.08</v>
      </c>
      <c r="CM30" s="98" t="s">
        <v>603</v>
      </c>
      <c r="CN30" s="98" t="s">
        <v>606</v>
      </c>
      <c r="CO30" s="98" t="s">
        <v>607</v>
      </c>
      <c r="CP30" s="98">
        <v>4.2999999999999997E-2</v>
      </c>
      <c r="CQ30" s="98">
        <v>0.92</v>
      </c>
      <c r="CR30" s="98">
        <v>0.13</v>
      </c>
      <c r="CS30" s="98">
        <v>0.08</v>
      </c>
      <c r="CT30" s="98">
        <v>9.6000000000000002E-2</v>
      </c>
      <c r="CU30" s="98">
        <v>0.185</v>
      </c>
      <c r="CV30" s="98">
        <v>0.02</v>
      </c>
      <c r="CW30" s="98">
        <v>0.106</v>
      </c>
      <c r="CX30" s="98">
        <v>7.0000000000000001E-3</v>
      </c>
      <c r="CY30" s="98">
        <v>4.0000000000000001E-3</v>
      </c>
      <c r="CZ30" s="98">
        <v>1.2999999999999999E-2</v>
      </c>
      <c r="DA30" s="98" t="s">
        <v>609</v>
      </c>
      <c r="DB30" s="98">
        <v>8.9999999999999993E-3</v>
      </c>
      <c r="DC30" s="98" t="s">
        <v>608</v>
      </c>
      <c r="DD30" s="98">
        <v>3.0000000000000001E-3</v>
      </c>
      <c r="DE30" s="98" t="s">
        <v>608</v>
      </c>
      <c r="DF30" s="98" t="s">
        <v>610</v>
      </c>
      <c r="DG30" s="98" t="s">
        <v>609</v>
      </c>
      <c r="DH30" s="98" t="s">
        <v>611</v>
      </c>
      <c r="DI30" s="98" t="s">
        <v>612</v>
      </c>
      <c r="DJ30" s="98" t="s">
        <v>615</v>
      </c>
      <c r="DK30" s="98" t="s">
        <v>304</v>
      </c>
      <c r="DL30" s="98">
        <v>0.22</v>
      </c>
      <c r="DM30" s="98" t="s">
        <v>605</v>
      </c>
      <c r="DN30" s="98" t="s">
        <v>91</v>
      </c>
      <c r="DO30" s="98" t="s">
        <v>610</v>
      </c>
    </row>
    <row r="31" spans="1:119">
      <c r="A31" s="53" t="s">
        <v>581</v>
      </c>
      <c r="B31" s="53" t="s">
        <v>582</v>
      </c>
      <c r="C31" s="180">
        <v>43890</v>
      </c>
      <c r="F31" s="53">
        <f t="shared" si="21"/>
        <v>0</v>
      </c>
      <c r="J31" s="53" t="e">
        <f t="shared" si="22"/>
        <v>#DIV/0!</v>
      </c>
      <c r="L31" s="183">
        <v>0.21793199999999999</v>
      </c>
      <c r="M31" s="183">
        <v>34.802683999999999</v>
      </c>
      <c r="N31" s="53" t="s">
        <v>667</v>
      </c>
      <c r="O31" s="53" t="s">
        <v>330</v>
      </c>
      <c r="P31" s="53" t="s">
        <v>347</v>
      </c>
      <c r="Q31" s="154" t="s">
        <v>371</v>
      </c>
      <c r="R31" s="116" t="s">
        <v>687</v>
      </c>
      <c r="S31" s="53" t="s">
        <v>535</v>
      </c>
      <c r="T31" s="53" t="s">
        <v>739</v>
      </c>
      <c r="U31" s="53" t="s">
        <v>684</v>
      </c>
      <c r="V31" s="53" t="s">
        <v>683</v>
      </c>
      <c r="W31" s="98">
        <v>84.9</v>
      </c>
      <c r="X31" s="99"/>
      <c r="Y31" s="99">
        <f t="shared" si="0"/>
        <v>66.004654961137831</v>
      </c>
      <c r="Z31" s="99">
        <f t="shared" si="11"/>
        <v>0.77743998776369638</v>
      </c>
      <c r="AA31" s="98">
        <v>7.4939999999999998</v>
      </c>
      <c r="AB31" s="98">
        <v>5.9</v>
      </c>
      <c r="AC31" s="98">
        <v>2.2789999999999999</v>
      </c>
      <c r="AD31" s="98">
        <v>6.6</v>
      </c>
      <c r="AE31" s="98">
        <v>2.39</v>
      </c>
      <c r="AF31" s="98">
        <v>43.51</v>
      </c>
      <c r="AG31" s="98"/>
      <c r="AH31" s="98">
        <v>2.767762553053144</v>
      </c>
      <c r="AI31" s="98">
        <v>0.52762807888030905</v>
      </c>
      <c r="AJ31" s="98">
        <v>2.0302643292043649</v>
      </c>
      <c r="AK31" s="98">
        <v>0.83018510999999995</v>
      </c>
      <c r="AL31" s="98">
        <v>2.1099198600000001E-2</v>
      </c>
      <c r="AM31" s="98">
        <v>0.83494086185398342</v>
      </c>
      <c r="AN31" s="98">
        <v>1.0381460172723333E-2</v>
      </c>
      <c r="AO31" s="98">
        <f t="shared" si="23"/>
        <v>0.83494086185398342</v>
      </c>
      <c r="AP31" s="98" t="e">
        <f t="shared" si="24"/>
        <v>#VALUE!</v>
      </c>
      <c r="AQ31" s="98">
        <v>0.85128430859999993</v>
      </c>
      <c r="AR31" s="98">
        <v>0.84532232202670676</v>
      </c>
      <c r="AS31" s="98">
        <v>0.35140653500162716</v>
      </c>
      <c r="AT31" s="98">
        <f t="shared" si="30"/>
        <v>117.46956802769853</v>
      </c>
      <c r="AU31" s="98">
        <f t="shared" si="31"/>
        <v>0</v>
      </c>
      <c r="AV31" s="98" t="e">
        <f t="shared" si="32"/>
        <v>#VALUE!</v>
      </c>
      <c r="AW31" s="98">
        <v>1.3287914510612689E-2</v>
      </c>
      <c r="AX31" s="98">
        <v>8.252965331142172E-3</v>
      </c>
      <c r="AY31" s="98" t="s">
        <v>603</v>
      </c>
      <c r="AZ31" s="98">
        <v>0.19064734074375816</v>
      </c>
      <c r="BA31" s="98"/>
      <c r="BB31" s="98"/>
      <c r="BC31" s="98"/>
      <c r="BD31" s="98"/>
      <c r="BE31" s="98"/>
      <c r="BF31" s="98">
        <f t="shared" si="25"/>
        <v>8.5647920316529209</v>
      </c>
      <c r="BG31" s="98" t="e">
        <f t="shared" si="26"/>
        <v>#DIV/0!</v>
      </c>
      <c r="BH31" s="98" t="e">
        <f t="shared" si="27"/>
        <v>#DIV/0!</v>
      </c>
      <c r="BI31" s="98" t="s">
        <v>611</v>
      </c>
      <c r="BJ31" s="98">
        <v>0.25</v>
      </c>
      <c r="BK31" s="98"/>
      <c r="BL31" s="98">
        <f t="shared" si="28"/>
        <v>0</v>
      </c>
      <c r="BM31" s="98"/>
      <c r="BN31" s="98">
        <v>18.809999999999999</v>
      </c>
      <c r="BO31" s="98">
        <v>40.240232999999996</v>
      </c>
      <c r="BP31" s="98">
        <v>103.11</v>
      </c>
      <c r="BQ31" s="98">
        <v>79.099999999999994</v>
      </c>
      <c r="BR31" s="98">
        <v>800.9</v>
      </c>
      <c r="BS31" s="98">
        <v>331.2</v>
      </c>
      <c r="BT31" s="98"/>
      <c r="BU31" s="98">
        <f t="shared" si="29"/>
        <v>331.2</v>
      </c>
      <c r="BV31" s="98" t="s">
        <v>604</v>
      </c>
      <c r="BW31" s="98" t="s">
        <v>605</v>
      </c>
      <c r="BX31" s="98" t="s">
        <v>614</v>
      </c>
      <c r="BY31" s="98">
        <v>11.2</v>
      </c>
      <c r="BZ31" s="98" t="s">
        <v>606</v>
      </c>
      <c r="CA31" s="98">
        <v>0.83</v>
      </c>
      <c r="CB31" s="98">
        <v>0.08</v>
      </c>
      <c r="CC31" s="98">
        <v>4.7729999999999997</v>
      </c>
      <c r="CD31" s="98">
        <v>1.21</v>
      </c>
      <c r="CE31" s="98">
        <v>0.3</v>
      </c>
      <c r="CF31" s="98">
        <v>0.7</v>
      </c>
      <c r="CG31" s="98" t="s">
        <v>607</v>
      </c>
      <c r="CH31" s="98">
        <v>6.12</v>
      </c>
      <c r="CI31" s="98">
        <v>0.08</v>
      </c>
      <c r="CJ31" s="98">
        <v>3.42</v>
      </c>
      <c r="CK31" s="98">
        <v>0.161</v>
      </c>
      <c r="CL31" s="98">
        <v>0.05</v>
      </c>
      <c r="CM31" s="98" t="s">
        <v>603</v>
      </c>
      <c r="CN31" s="98">
        <v>0.4</v>
      </c>
      <c r="CO31" s="98" t="s">
        <v>607</v>
      </c>
      <c r="CP31" s="98" t="s">
        <v>611</v>
      </c>
      <c r="CQ31" s="98" t="s">
        <v>605</v>
      </c>
      <c r="CR31" s="98">
        <v>0.18</v>
      </c>
      <c r="CS31" s="98">
        <v>0.12</v>
      </c>
      <c r="CT31" s="98">
        <v>0.26400000000000001</v>
      </c>
      <c r="CU31" s="98">
        <v>0.221</v>
      </c>
      <c r="CV31" s="98">
        <v>6.9000000000000006E-2</v>
      </c>
      <c r="CW31" s="98">
        <v>0.28399999999999997</v>
      </c>
      <c r="CX31" s="98">
        <v>3.2000000000000001E-2</v>
      </c>
      <c r="CY31" s="98">
        <v>5.0000000000000001E-3</v>
      </c>
      <c r="CZ31" s="98">
        <v>3.5000000000000003E-2</v>
      </c>
      <c r="DA31" s="98" t="s">
        <v>609</v>
      </c>
      <c r="DB31" s="98">
        <v>1.9E-2</v>
      </c>
      <c r="DC31" s="98">
        <v>4.0000000000000001E-3</v>
      </c>
      <c r="DD31" s="98">
        <v>1.0999999999999999E-2</v>
      </c>
      <c r="DE31" s="98" t="s">
        <v>608</v>
      </c>
      <c r="DF31" s="98" t="s">
        <v>610</v>
      </c>
      <c r="DG31" s="98" t="s">
        <v>609</v>
      </c>
      <c r="DH31" s="98" t="s">
        <v>611</v>
      </c>
      <c r="DI31" s="98" t="s">
        <v>612</v>
      </c>
      <c r="DJ31" s="98" t="s">
        <v>615</v>
      </c>
      <c r="DK31" s="98">
        <v>0.04</v>
      </c>
      <c r="DL31" s="98">
        <v>7.0000000000000007E-2</v>
      </c>
      <c r="DM31" s="98" t="s">
        <v>605</v>
      </c>
      <c r="DN31" s="98" t="s">
        <v>91</v>
      </c>
      <c r="DO31" s="98">
        <v>0.01</v>
      </c>
    </row>
    <row r="32" spans="1:119">
      <c r="A32" s="53" t="s">
        <v>583</v>
      </c>
      <c r="B32" s="53" t="s">
        <v>584</v>
      </c>
      <c r="C32" s="180">
        <v>43890</v>
      </c>
      <c r="F32" s="53">
        <f t="shared" si="21"/>
        <v>0</v>
      </c>
      <c r="J32" s="53" t="e">
        <f t="shared" si="22"/>
        <v>#DIV/0!</v>
      </c>
      <c r="L32" s="183">
        <v>0.218167</v>
      </c>
      <c r="M32" s="183">
        <v>34.802627999999999</v>
      </c>
      <c r="N32" s="53" t="s">
        <v>667</v>
      </c>
      <c r="O32" s="53" t="s">
        <v>330</v>
      </c>
      <c r="P32" s="53" t="s">
        <v>347</v>
      </c>
      <c r="Q32" s="154" t="s">
        <v>371</v>
      </c>
      <c r="R32" s="116" t="s">
        <v>687</v>
      </c>
      <c r="S32" s="53" t="s">
        <v>530</v>
      </c>
      <c r="T32" s="53" t="s">
        <v>740</v>
      </c>
      <c r="U32" s="53" t="s">
        <v>684</v>
      </c>
      <c r="V32" s="53" t="s">
        <v>683</v>
      </c>
      <c r="W32" s="98">
        <v>118.9</v>
      </c>
      <c r="X32" s="99"/>
      <c r="Y32" s="99" t="e">
        <f t="shared" si="0"/>
        <v>#VALUE!</v>
      </c>
      <c r="Z32" s="99" t="e">
        <f t="shared" si="11"/>
        <v>#VALUE!</v>
      </c>
      <c r="AA32" s="98">
        <v>7.7309999999999999</v>
      </c>
      <c r="AB32" s="98">
        <v>7.7</v>
      </c>
      <c r="AC32" s="98">
        <v>2.9129999999999998</v>
      </c>
      <c r="AD32" s="98">
        <v>4.9000000000000004</v>
      </c>
      <c r="AE32" s="98">
        <v>2.15</v>
      </c>
      <c r="AF32" s="98">
        <v>68.75</v>
      </c>
      <c r="AG32" s="98"/>
      <c r="AH32" s="98">
        <v>1.7942284571076308</v>
      </c>
      <c r="AI32" s="98" t="s">
        <v>607</v>
      </c>
      <c r="AJ32" s="98">
        <v>6.6464818192810166E-2</v>
      </c>
      <c r="AK32" s="98">
        <v>0.89208777000000006</v>
      </c>
      <c r="AL32" s="98">
        <v>5.0311207000000004E-2</v>
      </c>
      <c r="AM32" s="98">
        <v>1.1784997622924562</v>
      </c>
      <c r="AN32" s="98">
        <v>1.1103673981748753E-2</v>
      </c>
      <c r="AO32" s="98" t="e">
        <f t="shared" si="23"/>
        <v>#VALUE!</v>
      </c>
      <c r="AP32" s="98" t="e">
        <f t="shared" si="24"/>
        <v>#VALUE!</v>
      </c>
      <c r="AQ32" s="98">
        <v>0.94239897700000008</v>
      </c>
      <c r="AR32" s="98">
        <v>1.189603436274205</v>
      </c>
      <c r="AS32" s="98">
        <v>-11.6</v>
      </c>
      <c r="AT32" s="98" t="e">
        <f t="shared" si="30"/>
        <v>#VALUE!</v>
      </c>
      <c r="AU32" s="98" t="e">
        <f t="shared" si="31"/>
        <v>#VALUE!</v>
      </c>
      <c r="AV32" s="98" t="e">
        <f t="shared" si="32"/>
        <v>#VALUE!</v>
      </c>
      <c r="AW32" s="98">
        <v>3.2863181419154966E-2</v>
      </c>
      <c r="AX32" s="98">
        <v>5.6665030401274984E-2</v>
      </c>
      <c r="AY32" s="98" t="s">
        <v>603</v>
      </c>
      <c r="AZ32" s="98">
        <v>0.17971749979971913</v>
      </c>
      <c r="BA32" s="98"/>
      <c r="BB32" s="98"/>
      <c r="BC32" s="98"/>
      <c r="BD32" s="98"/>
      <c r="BE32" s="98"/>
      <c r="BF32" s="98">
        <f t="shared" si="25"/>
        <v>13.533198165390445</v>
      </c>
      <c r="BG32" s="98" t="e">
        <f t="shared" si="26"/>
        <v>#DIV/0!</v>
      </c>
      <c r="BH32" s="98" t="e">
        <f t="shared" si="27"/>
        <v>#DIV/0!</v>
      </c>
      <c r="BI32" s="98">
        <v>1.4999999999999999E-2</v>
      </c>
      <c r="BJ32" s="98">
        <v>0.13</v>
      </c>
      <c r="BK32" s="98"/>
      <c r="BL32" s="98" t="e">
        <f t="shared" si="28"/>
        <v>#VALUE!</v>
      </c>
      <c r="BM32" s="98"/>
      <c r="BN32" s="98">
        <v>8.23</v>
      </c>
      <c r="BO32" s="98">
        <v>17.606439000000002</v>
      </c>
      <c r="BP32" s="98">
        <v>39.200000000000003</v>
      </c>
      <c r="BQ32" s="98">
        <v>101.7</v>
      </c>
      <c r="BR32" s="98">
        <v>787.6</v>
      </c>
      <c r="BS32" s="98">
        <v>882.7</v>
      </c>
      <c r="BT32" s="98"/>
      <c r="BU32" s="98">
        <f t="shared" si="29"/>
        <v>882.7</v>
      </c>
      <c r="BV32" s="98" t="s">
        <v>604</v>
      </c>
      <c r="BW32" s="98" t="s">
        <v>605</v>
      </c>
      <c r="BX32" s="98" t="s">
        <v>614</v>
      </c>
      <c r="BY32" s="98">
        <v>8.6</v>
      </c>
      <c r="BZ32" s="98" t="s">
        <v>606</v>
      </c>
      <c r="CA32" s="98">
        <v>0.23</v>
      </c>
      <c r="CB32" s="98">
        <v>0.13</v>
      </c>
      <c r="CC32" s="98">
        <v>2.3119999999999998</v>
      </c>
      <c r="CD32" s="98">
        <v>1.33</v>
      </c>
      <c r="CE32" s="98">
        <v>0.5</v>
      </c>
      <c r="CF32" s="98">
        <v>4.7</v>
      </c>
      <c r="CG32" s="98" t="s">
        <v>607</v>
      </c>
      <c r="CH32" s="98">
        <v>3.13</v>
      </c>
      <c r="CI32" s="98">
        <v>0.09</v>
      </c>
      <c r="CJ32" s="98">
        <v>5.41</v>
      </c>
      <c r="CK32" s="98">
        <v>8.6999999999999994E-2</v>
      </c>
      <c r="CL32" s="98" t="s">
        <v>304</v>
      </c>
      <c r="CM32" s="98" t="s">
        <v>603</v>
      </c>
      <c r="CN32" s="98">
        <v>0.5</v>
      </c>
      <c r="CO32" s="98" t="s">
        <v>607</v>
      </c>
      <c r="CP32" s="98">
        <v>1.4E-2</v>
      </c>
      <c r="CQ32" s="98" t="s">
        <v>605</v>
      </c>
      <c r="CR32" s="98">
        <v>0.17</v>
      </c>
      <c r="CS32" s="98">
        <v>7.0000000000000007E-2</v>
      </c>
      <c r="CT32" s="98">
        <v>0.19</v>
      </c>
      <c r="CU32" s="98">
        <v>0.34200000000000003</v>
      </c>
      <c r="CV32" s="98">
        <v>4.4999999999999998E-2</v>
      </c>
      <c r="CW32" s="98">
        <v>0.14199999999999999</v>
      </c>
      <c r="CX32" s="98">
        <v>0.02</v>
      </c>
      <c r="CY32" s="98">
        <v>5.0000000000000001E-3</v>
      </c>
      <c r="CZ32" s="98">
        <v>1.6E-2</v>
      </c>
      <c r="DA32" s="98" t="s">
        <v>609</v>
      </c>
      <c r="DB32" s="98">
        <v>0.01</v>
      </c>
      <c r="DC32" s="98" t="s">
        <v>608</v>
      </c>
      <c r="DD32" s="98">
        <v>5.0000000000000001E-3</v>
      </c>
      <c r="DE32" s="98" t="s">
        <v>608</v>
      </c>
      <c r="DF32" s="98" t="s">
        <v>610</v>
      </c>
      <c r="DG32" s="98" t="s">
        <v>609</v>
      </c>
      <c r="DH32" s="98" t="s">
        <v>611</v>
      </c>
      <c r="DI32" s="98" t="s">
        <v>612</v>
      </c>
      <c r="DJ32" s="98" t="s">
        <v>615</v>
      </c>
      <c r="DK32" s="98" t="s">
        <v>304</v>
      </c>
      <c r="DL32" s="98">
        <v>0.17</v>
      </c>
      <c r="DM32" s="98" t="s">
        <v>605</v>
      </c>
      <c r="DN32" s="98" t="s">
        <v>91</v>
      </c>
      <c r="DO32" s="98">
        <v>1.2999999999999999E-2</v>
      </c>
    </row>
    <row r="33" spans="1:119">
      <c r="A33" s="53" t="s">
        <v>585</v>
      </c>
      <c r="B33" s="53" t="s">
        <v>586</v>
      </c>
      <c r="C33" s="180">
        <v>43890</v>
      </c>
      <c r="F33" s="53">
        <f t="shared" si="21"/>
        <v>0</v>
      </c>
      <c r="J33" s="53" t="e">
        <f t="shared" si="22"/>
        <v>#DIV/0!</v>
      </c>
      <c r="L33" s="183">
        <v>0.16252800000000001</v>
      </c>
      <c r="M33" s="183">
        <v>34.760970999999998</v>
      </c>
      <c r="N33" s="53" t="s">
        <v>668</v>
      </c>
      <c r="O33" s="53" t="s">
        <v>330</v>
      </c>
      <c r="P33" s="53" t="s">
        <v>347</v>
      </c>
      <c r="Q33" s="154" t="s">
        <v>371</v>
      </c>
      <c r="R33" s="116" t="s">
        <v>687</v>
      </c>
      <c r="S33" s="53" t="s">
        <v>538</v>
      </c>
      <c r="T33" s="53" t="s">
        <v>739</v>
      </c>
      <c r="U33" s="53" t="s">
        <v>726</v>
      </c>
      <c r="V33" s="53" t="s">
        <v>727</v>
      </c>
      <c r="W33" s="98">
        <v>85</v>
      </c>
      <c r="X33" s="99"/>
      <c r="Y33" s="99">
        <f t="shared" si="0"/>
        <v>52.461792721651136</v>
      </c>
      <c r="Z33" s="99">
        <f t="shared" si="11"/>
        <v>0.61719756143118987</v>
      </c>
      <c r="AA33" s="98">
        <v>7.0129999999999999</v>
      </c>
      <c r="AB33" s="98">
        <v>2.2000000000000002</v>
      </c>
      <c r="AC33" s="98">
        <v>0.58399999999999996</v>
      </c>
      <c r="AD33" s="98">
        <v>1.5</v>
      </c>
      <c r="AE33" s="98">
        <v>0.46</v>
      </c>
      <c r="AF33" s="98">
        <v>41.55</v>
      </c>
      <c r="AG33" s="98"/>
      <c r="AH33" s="98">
        <v>2.1824239903218414</v>
      </c>
      <c r="AI33" s="98">
        <v>0.61876013610393921</v>
      </c>
      <c r="AJ33" s="98">
        <v>3.3666085952253608</v>
      </c>
      <c r="AK33" s="98">
        <v>0.23485416000000001</v>
      </c>
      <c r="AL33" s="98">
        <v>9.5587294000000003E-3</v>
      </c>
      <c r="AM33" s="98">
        <v>0.80975666344164809</v>
      </c>
      <c r="AN33" s="98">
        <v>6.9183290061871905E-3</v>
      </c>
      <c r="AO33" s="98">
        <f t="shared" si="23"/>
        <v>0.80975666344164809</v>
      </c>
      <c r="AP33" s="98" t="e">
        <f t="shared" si="24"/>
        <v>#VALUE!</v>
      </c>
      <c r="AQ33" s="98">
        <v>0.2444128894</v>
      </c>
      <c r="AR33" s="98">
        <v>0.81667499244783526</v>
      </c>
      <c r="AS33" s="98">
        <v>-53.9</v>
      </c>
      <c r="AT33" s="98">
        <f t="shared" si="30"/>
        <v>409.14372497083207</v>
      </c>
      <c r="AU33" s="98">
        <f t="shared" si="31"/>
        <v>94.242900810302956</v>
      </c>
      <c r="AV33" s="98" t="e">
        <f t="shared" si="32"/>
        <v>#VALUE!</v>
      </c>
      <c r="AW33" s="98">
        <v>1.8324748110881875E-2</v>
      </c>
      <c r="AX33" s="98">
        <v>8.5824133947277458E-3</v>
      </c>
      <c r="AY33" s="98" t="s">
        <v>603</v>
      </c>
      <c r="AZ33" s="98">
        <v>0.12352434446499941</v>
      </c>
      <c r="BA33" s="98"/>
      <c r="BB33" s="98"/>
      <c r="BC33" s="98"/>
      <c r="BD33" s="98"/>
      <c r="BE33" s="98"/>
      <c r="BF33" s="98">
        <f t="shared" si="25"/>
        <v>8.1789728548650622</v>
      </c>
      <c r="BG33" s="98" t="e">
        <f t="shared" si="26"/>
        <v>#DIV/0!</v>
      </c>
      <c r="BH33" s="98" t="e">
        <f t="shared" si="27"/>
        <v>#DIV/0!</v>
      </c>
      <c r="BI33" s="98" t="s">
        <v>611</v>
      </c>
      <c r="BJ33" s="98">
        <v>0.09</v>
      </c>
      <c r="BK33" s="98"/>
      <c r="BL33" s="98">
        <f t="shared" si="28"/>
        <v>1111.1111111111111</v>
      </c>
      <c r="BM33" s="98"/>
      <c r="BN33" s="98">
        <v>2.82</v>
      </c>
      <c r="BO33" s="98">
        <v>6.032826</v>
      </c>
      <c r="BP33" s="98">
        <v>9.94</v>
      </c>
      <c r="BQ33" s="98">
        <v>24.1</v>
      </c>
      <c r="BR33" s="98">
        <v>9.3000000000000007</v>
      </c>
      <c r="BS33" s="98">
        <v>165</v>
      </c>
      <c r="BT33" s="98"/>
      <c r="BU33" s="98">
        <f t="shared" si="29"/>
        <v>165</v>
      </c>
      <c r="BV33" s="98" t="s">
        <v>604</v>
      </c>
      <c r="BW33" s="98" t="s">
        <v>605</v>
      </c>
      <c r="BX33" s="98" t="s">
        <v>614</v>
      </c>
      <c r="BY33" s="98">
        <v>39.700000000000003</v>
      </c>
      <c r="BZ33" s="98">
        <v>0.9</v>
      </c>
      <c r="CA33" s="98">
        <v>0.37</v>
      </c>
      <c r="CB33" s="98">
        <v>0.11</v>
      </c>
      <c r="CC33" s="98">
        <v>8.8999999999999996E-2</v>
      </c>
      <c r="CD33" s="98">
        <v>0.32</v>
      </c>
      <c r="CE33" s="98">
        <v>0.4</v>
      </c>
      <c r="CF33" s="98">
        <v>2.8</v>
      </c>
      <c r="CG33" s="98" t="s">
        <v>607</v>
      </c>
      <c r="CH33" s="98">
        <v>0.19</v>
      </c>
      <c r="CI33" s="98" t="s">
        <v>616</v>
      </c>
      <c r="CJ33" s="98">
        <v>0.95</v>
      </c>
      <c r="CK33" s="98">
        <v>0.111</v>
      </c>
      <c r="CL33" s="98">
        <v>0.09</v>
      </c>
      <c r="CM33" s="98">
        <v>0.02</v>
      </c>
      <c r="CN33" s="98" t="s">
        <v>606</v>
      </c>
      <c r="CO33" s="98" t="s">
        <v>607</v>
      </c>
      <c r="CP33" s="98">
        <v>8.0000000000000002E-3</v>
      </c>
      <c r="CQ33" s="98" t="s">
        <v>605</v>
      </c>
      <c r="CR33" s="98" t="s">
        <v>92</v>
      </c>
      <c r="CS33" s="98">
        <v>0.06</v>
      </c>
      <c r="CT33" s="98">
        <v>0.19600000000000001</v>
      </c>
      <c r="CU33" s="98">
        <v>0.36</v>
      </c>
      <c r="CV33" s="98">
        <v>4.2000000000000003E-2</v>
      </c>
      <c r="CW33" s="98">
        <v>0.188</v>
      </c>
      <c r="CX33" s="98">
        <v>2.7E-2</v>
      </c>
      <c r="CY33" s="98">
        <v>4.0000000000000001E-3</v>
      </c>
      <c r="CZ33" s="98">
        <v>1.6E-2</v>
      </c>
      <c r="DA33" s="98" t="s">
        <v>609</v>
      </c>
      <c r="DB33" s="98">
        <v>1.9E-2</v>
      </c>
      <c r="DC33" s="98">
        <v>3.0000000000000001E-3</v>
      </c>
      <c r="DD33" s="98">
        <v>0.01</v>
      </c>
      <c r="DE33" s="98" t="s">
        <v>608</v>
      </c>
      <c r="DF33" s="98" t="s">
        <v>610</v>
      </c>
      <c r="DG33" s="98" t="s">
        <v>609</v>
      </c>
      <c r="DH33" s="98" t="s">
        <v>611</v>
      </c>
      <c r="DI33" s="98" t="s">
        <v>612</v>
      </c>
      <c r="DJ33" s="98" t="s">
        <v>615</v>
      </c>
      <c r="DK33" s="98" t="s">
        <v>304</v>
      </c>
      <c r="DL33" s="98">
        <v>0.1</v>
      </c>
      <c r="DM33" s="98" t="s">
        <v>605</v>
      </c>
      <c r="DN33" s="98" t="s">
        <v>91</v>
      </c>
      <c r="DO33" s="98">
        <v>1.9E-2</v>
      </c>
    </row>
    <row r="34" spans="1:119">
      <c r="A34" s="53" t="s">
        <v>587</v>
      </c>
      <c r="B34" s="53" t="s">
        <v>588</v>
      </c>
      <c r="C34" s="180">
        <v>43890</v>
      </c>
      <c r="F34" s="53">
        <f t="shared" si="21"/>
        <v>0</v>
      </c>
      <c r="J34" s="53" t="e">
        <f t="shared" si="22"/>
        <v>#DIV/0!</v>
      </c>
      <c r="L34" s="183">
        <v>0.16381399999999999</v>
      </c>
      <c r="M34" s="183">
        <v>34.761139</v>
      </c>
      <c r="N34" s="53" t="s">
        <v>669</v>
      </c>
      <c r="O34" s="53" t="s">
        <v>330</v>
      </c>
      <c r="P34" s="53" t="s">
        <v>347</v>
      </c>
      <c r="Q34" s="154" t="s">
        <v>371</v>
      </c>
      <c r="R34" s="116" t="s">
        <v>687</v>
      </c>
      <c r="S34" s="53" t="s">
        <v>527</v>
      </c>
      <c r="T34" s="53" t="s">
        <v>740</v>
      </c>
      <c r="U34" s="53" t="s">
        <v>685</v>
      </c>
      <c r="V34" s="53" t="s">
        <v>691</v>
      </c>
      <c r="W34" s="98">
        <v>115.7</v>
      </c>
      <c r="X34" s="99"/>
      <c r="Y34" s="99">
        <f t="shared" si="0"/>
        <v>70.848199746418899</v>
      </c>
      <c r="Z34" s="99">
        <f t="shared" si="11"/>
        <v>0.61234399089385394</v>
      </c>
      <c r="AA34" s="98">
        <v>7.1970000000000001</v>
      </c>
      <c r="AB34" s="98">
        <v>10.8</v>
      </c>
      <c r="AC34" s="98">
        <v>2.952</v>
      </c>
      <c r="AD34" s="98">
        <v>3.3</v>
      </c>
      <c r="AE34" s="98">
        <v>4.42</v>
      </c>
      <c r="AF34" s="98">
        <v>24.13</v>
      </c>
      <c r="AG34" s="98"/>
      <c r="AH34" s="98">
        <v>6.5133287212820283</v>
      </c>
      <c r="AI34" s="98">
        <v>16.346066039730722</v>
      </c>
      <c r="AJ34" s="98">
        <v>2.3868049854061413</v>
      </c>
      <c r="AK34" s="98">
        <v>1.0384536799999999</v>
      </c>
      <c r="AL34" s="98">
        <v>1.0487909200000001E-2</v>
      </c>
      <c r="AM34" s="98">
        <v>0.9580559625891607</v>
      </c>
      <c r="AN34" s="98">
        <v>1.9764575409158536E-2</v>
      </c>
      <c r="AO34" s="98">
        <f t="shared" si="23"/>
        <v>0.9580559625891607</v>
      </c>
      <c r="AP34" s="98" t="e">
        <f t="shared" si="24"/>
        <v>#VALUE!</v>
      </c>
      <c r="AQ34" s="98">
        <v>1.0489415892</v>
      </c>
      <c r="AR34" s="98">
        <v>0.97782053799831925</v>
      </c>
      <c r="AS34" s="98">
        <v>3.5090971084995792</v>
      </c>
      <c r="AT34" s="98">
        <f t="shared" si="30"/>
        <v>95.3341930853055</v>
      </c>
      <c r="AU34" s="98">
        <f t="shared" si="31"/>
        <v>0</v>
      </c>
      <c r="AV34" s="98" t="e">
        <f t="shared" si="32"/>
        <v>#VALUE!</v>
      </c>
      <c r="AW34" s="98">
        <v>0.37374139782938376</v>
      </c>
      <c r="AX34" s="98">
        <v>0.15093482702884042</v>
      </c>
      <c r="AY34" s="98" t="s">
        <v>603</v>
      </c>
      <c r="AZ34" s="98">
        <v>0.22424031095607258</v>
      </c>
      <c r="BA34" s="98"/>
      <c r="BB34" s="98"/>
      <c r="BC34" s="98"/>
      <c r="BD34" s="98"/>
      <c r="BE34" s="98"/>
      <c r="BF34" s="98">
        <f t="shared" si="25"/>
        <v>4.7499064979035843</v>
      </c>
      <c r="BG34" s="98" t="e">
        <f t="shared" si="26"/>
        <v>#DIV/0!</v>
      </c>
      <c r="BH34" s="98" t="e">
        <f t="shared" si="27"/>
        <v>#DIV/0!</v>
      </c>
      <c r="BI34" s="98" t="s">
        <v>611</v>
      </c>
      <c r="BJ34" s="98">
        <v>5.96</v>
      </c>
      <c r="BK34" s="98"/>
      <c r="BL34" s="98">
        <f t="shared" si="28"/>
        <v>0</v>
      </c>
      <c r="BM34" s="98"/>
      <c r="BN34" s="98">
        <v>2.12</v>
      </c>
      <c r="BO34" s="98">
        <v>4.5353159999999999</v>
      </c>
      <c r="BP34" s="98">
        <v>52.67</v>
      </c>
      <c r="BQ34" s="98">
        <v>59</v>
      </c>
      <c r="BR34" s="98">
        <v>437.4</v>
      </c>
      <c r="BS34" s="98">
        <v>64.7</v>
      </c>
      <c r="BT34" s="98"/>
      <c r="BU34" s="98">
        <f t="shared" si="29"/>
        <v>64.7</v>
      </c>
      <c r="BV34" s="98">
        <v>34</v>
      </c>
      <c r="BW34" s="98" t="s">
        <v>605</v>
      </c>
      <c r="BX34" s="98" t="s">
        <v>614</v>
      </c>
      <c r="BY34" s="98">
        <v>100.1</v>
      </c>
      <c r="BZ34" s="98">
        <v>0.9</v>
      </c>
      <c r="CA34" s="98">
        <v>0.78</v>
      </c>
      <c r="CB34" s="98">
        <v>0.76</v>
      </c>
      <c r="CC34" s="98">
        <v>1.732</v>
      </c>
      <c r="CD34" s="98">
        <v>5.03</v>
      </c>
      <c r="CE34" s="98">
        <v>4.7</v>
      </c>
      <c r="CF34" s="98">
        <v>3.6</v>
      </c>
      <c r="CG34" s="98">
        <v>0.11</v>
      </c>
      <c r="CH34" s="98">
        <v>2.29</v>
      </c>
      <c r="CI34" s="98">
        <v>0.28000000000000003</v>
      </c>
      <c r="CJ34" s="98">
        <v>3.55</v>
      </c>
      <c r="CK34" s="98">
        <v>9.7000000000000003E-2</v>
      </c>
      <c r="CL34" s="98">
        <v>0.17</v>
      </c>
      <c r="CM34" s="98">
        <v>0.02</v>
      </c>
      <c r="CN34" s="98">
        <v>5.6</v>
      </c>
      <c r="CO34" s="98" t="s">
        <v>607</v>
      </c>
      <c r="CP34" s="98">
        <v>3.9E-2</v>
      </c>
      <c r="CQ34" s="98">
        <v>0.13</v>
      </c>
      <c r="CR34" s="98">
        <v>0.37</v>
      </c>
      <c r="CS34" s="98">
        <v>0.15</v>
      </c>
      <c r="CT34" s="98">
        <v>0.192</v>
      </c>
      <c r="CU34" s="98">
        <v>0.41399999999999998</v>
      </c>
      <c r="CV34" s="98">
        <v>4.3999999999999997E-2</v>
      </c>
      <c r="CW34" s="98">
        <v>0.14599999999999999</v>
      </c>
      <c r="CX34" s="98">
        <v>2.5000000000000001E-2</v>
      </c>
      <c r="CY34" s="98">
        <v>6.0000000000000001E-3</v>
      </c>
      <c r="CZ34" s="98">
        <v>2.9000000000000001E-2</v>
      </c>
      <c r="DA34" s="98" t="s">
        <v>609</v>
      </c>
      <c r="DB34" s="98">
        <v>1.9E-2</v>
      </c>
      <c r="DC34" s="98">
        <v>4.0000000000000001E-3</v>
      </c>
      <c r="DD34" s="98">
        <v>7.0000000000000001E-3</v>
      </c>
      <c r="DE34" s="98" t="s">
        <v>608</v>
      </c>
      <c r="DF34" s="98" t="s">
        <v>610</v>
      </c>
      <c r="DG34" s="98" t="s">
        <v>609</v>
      </c>
      <c r="DH34" s="98" t="s">
        <v>611</v>
      </c>
      <c r="DI34" s="98" t="s">
        <v>612</v>
      </c>
      <c r="DJ34" s="98">
        <v>0.3</v>
      </c>
      <c r="DK34" s="98">
        <v>0.11</v>
      </c>
      <c r="DL34" s="98">
        <v>0.35</v>
      </c>
      <c r="DM34" s="98" t="s">
        <v>605</v>
      </c>
      <c r="DN34" s="98" t="s">
        <v>91</v>
      </c>
      <c r="DO34" s="98">
        <v>5.7000000000000002E-2</v>
      </c>
    </row>
    <row r="35" spans="1:119">
      <c r="A35" s="53" t="s">
        <v>589</v>
      </c>
      <c r="B35" s="53" t="s">
        <v>590</v>
      </c>
      <c r="C35" s="180">
        <v>43890</v>
      </c>
      <c r="F35" s="53">
        <f t="shared" si="21"/>
        <v>0</v>
      </c>
      <c r="J35" s="53" t="e">
        <f t="shared" si="22"/>
        <v>#DIV/0!</v>
      </c>
      <c r="L35" s="183">
        <v>0.105117</v>
      </c>
      <c r="M35" s="183">
        <v>34.698954000000001</v>
      </c>
      <c r="N35" s="53" t="s">
        <v>359</v>
      </c>
      <c r="O35" s="53" t="s">
        <v>334</v>
      </c>
      <c r="P35" s="53" t="s">
        <v>347</v>
      </c>
      <c r="Q35" s="154" t="s">
        <v>371</v>
      </c>
      <c r="R35" s="116" t="s">
        <v>687</v>
      </c>
      <c r="S35" s="53" t="s">
        <v>527</v>
      </c>
      <c r="T35" s="53" t="s">
        <v>740</v>
      </c>
      <c r="U35" s="53" t="s">
        <v>685</v>
      </c>
      <c r="V35" s="53" t="s">
        <v>691</v>
      </c>
      <c r="W35" s="98">
        <v>461.5</v>
      </c>
      <c r="X35" s="99"/>
      <c r="Y35" s="99">
        <f t="shared" si="0"/>
        <v>325.84105526684613</v>
      </c>
      <c r="Z35" s="99">
        <f t="shared" si="11"/>
        <v>0.70604779039403276</v>
      </c>
      <c r="AA35" s="98">
        <v>7.8879999999999999</v>
      </c>
      <c r="AB35" s="98">
        <v>55.7</v>
      </c>
      <c r="AC35" s="98">
        <v>13.37</v>
      </c>
      <c r="AD35" s="98">
        <v>10.199999999999999</v>
      </c>
      <c r="AE35" s="98">
        <v>8.4600000000000009</v>
      </c>
      <c r="AF35" s="98">
        <v>107.5</v>
      </c>
      <c r="AG35" s="98"/>
      <c r="AH35" s="98">
        <v>6.1321826506751282</v>
      </c>
      <c r="AI35" s="98">
        <v>115.26436514513746</v>
      </c>
      <c r="AJ35" s="98">
        <v>9.2145074710335066</v>
      </c>
      <c r="AK35" s="98">
        <v>4.5397540999999997</v>
      </c>
      <c r="AL35" s="98">
        <v>7.1667046000000005E-3</v>
      </c>
      <c r="AM35" s="98">
        <v>4.4833479604050774</v>
      </c>
      <c r="AN35" s="98">
        <v>3.9697077423583346E-2</v>
      </c>
      <c r="AO35" s="98">
        <f t="shared" si="23"/>
        <v>4.4833479604050774</v>
      </c>
      <c r="AP35" s="98" t="e">
        <f t="shared" si="24"/>
        <v>#VALUE!</v>
      </c>
      <c r="AQ35" s="98">
        <v>4.5469208046</v>
      </c>
      <c r="AR35" s="98">
        <v>4.5230450378286609</v>
      </c>
      <c r="AS35" s="98">
        <v>0.26323987527769976</v>
      </c>
      <c r="AT35" s="98">
        <f t="shared" si="30"/>
        <v>18.028020143549032</v>
      </c>
      <c r="AU35" s="98">
        <f t="shared" si="31"/>
        <v>0</v>
      </c>
      <c r="AV35" s="98" t="e">
        <f t="shared" si="32"/>
        <v>#VALUE!</v>
      </c>
      <c r="AW35" s="98">
        <v>5.6130369847546921E-2</v>
      </c>
      <c r="AX35" s="98">
        <v>0.36157792170062208</v>
      </c>
      <c r="AY35" s="98" t="s">
        <v>603</v>
      </c>
      <c r="AZ35" s="98">
        <v>0.59144417126368798</v>
      </c>
      <c r="BA35" s="98"/>
      <c r="BB35" s="98"/>
      <c r="BC35" s="98"/>
      <c r="BD35" s="98"/>
      <c r="BE35" s="98"/>
      <c r="BF35" s="98">
        <f t="shared" si="25"/>
        <v>21.161000767701424</v>
      </c>
      <c r="BG35" s="98" t="e">
        <f t="shared" si="26"/>
        <v>#DIV/0!</v>
      </c>
      <c r="BH35" s="98" t="e">
        <f t="shared" si="27"/>
        <v>#DIV/0!</v>
      </c>
      <c r="BI35" s="98" t="s">
        <v>611</v>
      </c>
      <c r="BJ35" s="98">
        <v>43.7</v>
      </c>
      <c r="BK35" s="98"/>
      <c r="BL35" s="98">
        <f t="shared" si="28"/>
        <v>0</v>
      </c>
      <c r="BM35" s="98"/>
      <c r="BN35" s="98">
        <v>8.68</v>
      </c>
      <c r="BO35" s="98">
        <v>18.569123999999999</v>
      </c>
      <c r="BP35" s="98">
        <v>13.51</v>
      </c>
      <c r="BQ35" s="98">
        <v>234.9</v>
      </c>
      <c r="BR35" s="98">
        <v>560.6</v>
      </c>
      <c r="BS35" s="98">
        <v>3.1</v>
      </c>
      <c r="BT35" s="98"/>
      <c r="BU35" s="98">
        <f t="shared" si="29"/>
        <v>3.1</v>
      </c>
      <c r="BV35" s="98">
        <v>10</v>
      </c>
      <c r="BW35" s="98" t="s">
        <v>605</v>
      </c>
      <c r="BX35" s="98" t="s">
        <v>614</v>
      </c>
      <c r="BY35" s="98">
        <v>12.1</v>
      </c>
      <c r="BZ35" s="98" t="s">
        <v>606</v>
      </c>
      <c r="CA35" s="98">
        <v>0.49</v>
      </c>
      <c r="CB35" s="98" t="s">
        <v>605</v>
      </c>
      <c r="CC35" s="98">
        <v>3.7679999999999998</v>
      </c>
      <c r="CD35" s="98">
        <v>19.47</v>
      </c>
      <c r="CE35" s="98">
        <v>0.8</v>
      </c>
      <c r="CF35" s="98">
        <v>4</v>
      </c>
      <c r="CG35" s="98" t="s">
        <v>607</v>
      </c>
      <c r="CH35" s="98">
        <v>204.51</v>
      </c>
      <c r="CI35" s="98">
        <v>1.1599999999999999</v>
      </c>
      <c r="CJ35" s="98">
        <v>11.23</v>
      </c>
      <c r="CK35" s="98">
        <v>0.92100000000000004</v>
      </c>
      <c r="CL35" s="98" t="s">
        <v>304</v>
      </c>
      <c r="CM35" s="98" t="s">
        <v>603</v>
      </c>
      <c r="CN35" s="98">
        <v>20.8</v>
      </c>
      <c r="CO35" s="98" t="s">
        <v>607</v>
      </c>
      <c r="CP35" s="98">
        <v>8.7999999999999995E-2</v>
      </c>
      <c r="CQ35" s="98">
        <v>0.17</v>
      </c>
      <c r="CR35" s="98">
        <v>3.52</v>
      </c>
      <c r="CS35" s="98">
        <v>0.73</v>
      </c>
      <c r="CT35" s="98">
        <v>1.2609999999999999</v>
      </c>
      <c r="CU35" s="98">
        <v>0.19600000000000001</v>
      </c>
      <c r="CV35" s="98">
        <v>0.22</v>
      </c>
      <c r="CW35" s="98">
        <v>0.89800000000000002</v>
      </c>
      <c r="CX35" s="98">
        <v>0.104</v>
      </c>
      <c r="CY35" s="98">
        <v>1.7999999999999999E-2</v>
      </c>
      <c r="CZ35" s="98">
        <v>0.111</v>
      </c>
      <c r="DA35" s="98">
        <v>1.0999999999999999E-2</v>
      </c>
      <c r="DB35" s="98">
        <v>7.0999999999999994E-2</v>
      </c>
      <c r="DC35" s="98">
        <v>1.7999999999999999E-2</v>
      </c>
      <c r="DD35" s="98">
        <v>4.2999999999999997E-2</v>
      </c>
      <c r="DE35" s="98">
        <v>4.0000000000000001E-3</v>
      </c>
      <c r="DF35" s="98">
        <v>0.03</v>
      </c>
      <c r="DG35" s="98" t="s">
        <v>609</v>
      </c>
      <c r="DH35" s="98" t="s">
        <v>611</v>
      </c>
      <c r="DI35" s="98" t="s">
        <v>612</v>
      </c>
      <c r="DJ35" s="98">
        <v>0.82</v>
      </c>
      <c r="DK35" s="98">
        <v>0.03</v>
      </c>
      <c r="DL35" s="98">
        <v>0.2</v>
      </c>
      <c r="DM35" s="98" t="s">
        <v>605</v>
      </c>
      <c r="DN35" s="98" t="s">
        <v>91</v>
      </c>
      <c r="DO35" s="98">
        <v>1.5269999999999999</v>
      </c>
    </row>
    <row r="36" spans="1:119">
      <c r="A36" s="53" t="s">
        <v>591</v>
      </c>
      <c r="B36" s="53" t="s">
        <v>592</v>
      </c>
      <c r="C36" s="180">
        <v>43890</v>
      </c>
      <c r="F36" s="53">
        <f t="shared" si="21"/>
        <v>0</v>
      </c>
      <c r="J36" s="53" t="e">
        <f t="shared" si="22"/>
        <v>#DIV/0!</v>
      </c>
      <c r="L36" s="183">
        <v>0.105629</v>
      </c>
      <c r="M36" s="183">
        <v>34.699337</v>
      </c>
      <c r="N36" s="53" t="s">
        <v>359</v>
      </c>
      <c r="O36" s="53" t="s">
        <v>334</v>
      </c>
      <c r="P36" s="53" t="s">
        <v>347</v>
      </c>
      <c r="Q36" s="154" t="s">
        <v>371</v>
      </c>
      <c r="R36" s="116" t="s">
        <v>687</v>
      </c>
      <c r="S36" s="53" t="s">
        <v>527</v>
      </c>
      <c r="T36" s="53" t="s">
        <v>740</v>
      </c>
      <c r="U36" s="53" t="s">
        <v>685</v>
      </c>
      <c r="V36" s="53" t="s">
        <v>691</v>
      </c>
      <c r="W36" s="98">
        <v>1150.5999999999999</v>
      </c>
      <c r="X36" s="99"/>
      <c r="Y36" s="99">
        <f t="shared" si="0"/>
        <v>695.44270877668816</v>
      </c>
      <c r="Z36" s="99">
        <f t="shared" si="11"/>
        <v>0.6044174420099846</v>
      </c>
      <c r="AA36" s="98">
        <v>6.91</v>
      </c>
      <c r="AB36" s="98">
        <v>57.5</v>
      </c>
      <c r="AC36" s="98">
        <v>27.221</v>
      </c>
      <c r="AD36" s="98">
        <v>26.2</v>
      </c>
      <c r="AE36" s="98">
        <v>16.45</v>
      </c>
      <c r="AF36" s="98">
        <v>12.56</v>
      </c>
      <c r="AG36" s="98"/>
      <c r="AH36" s="98">
        <v>32.329961553895551</v>
      </c>
      <c r="AI36" s="98">
        <v>499.31941549049679</v>
      </c>
      <c r="AJ36" s="98">
        <v>23.862331732295853</v>
      </c>
      <c r="AK36" s="98">
        <v>6.6697570900000001</v>
      </c>
      <c r="AL36" s="98">
        <v>1.2423663200000001E-2</v>
      </c>
      <c r="AM36" s="98">
        <v>11.89861625678947</v>
      </c>
      <c r="AN36" s="98">
        <v>3.9311489177895995E-2</v>
      </c>
      <c r="AO36" s="98">
        <f t="shared" ref="AO36:AO41" si="33">IF(TIC&gt;0,TIC*0.01639*5.0801,IF(_HCO3&gt;0,_HCO3*0.01639))+IF(Cl&gt;0,Cl*0.02821)+IF(_SO4&gt;0,_SO4*0.02082)+IF(_NO3&gt;0,_NO3*0.01613)</f>
        <v>11.89861625678947</v>
      </c>
      <c r="AP36" s="98" t="e">
        <f t="shared" si="24"/>
        <v>#VALUE!</v>
      </c>
      <c r="AQ36" s="98">
        <v>6.6821807531999999</v>
      </c>
      <c r="AR36" s="98">
        <v>11.937927745967366</v>
      </c>
      <c r="AS36" s="98">
        <v>-28.2</v>
      </c>
      <c r="AT36" s="98">
        <f t="shared" ref="AT36:AT41" si="34">((Cation_Total&lt;(Anion_Total&lt;(_SO4/48)+(Total_S/16)))*100)/(Cation_Total+(Anion_Total&lt;(_SO4/48)+(Total_S/16)))</f>
        <v>13.017137088104203</v>
      </c>
      <c r="AU36" s="98">
        <f t="shared" ref="AU36:AU41" si="35">((Cation_Total&lt;(AN36+AO36))*100)/(Cation_Total+(AN36+AO36))</f>
        <v>5.3705379860956075</v>
      </c>
      <c r="AV36" s="98" t="e">
        <f t="shared" ref="AV36:AV41" si="36">((Cation_Total&lt;(AN36+AP36))*100)/(Cation_Total+(AN36+AP36))</f>
        <v>#VALUE!</v>
      </c>
      <c r="AW36" s="98">
        <v>0.17235188396876583</v>
      </c>
      <c r="AX36" s="98">
        <v>1.3260195669031216</v>
      </c>
      <c r="AY36" s="98" t="s">
        <v>603</v>
      </c>
      <c r="AZ36" s="98">
        <v>0.15816827899189187</v>
      </c>
      <c r="BA36" s="98"/>
      <c r="BB36" s="98"/>
      <c r="BC36" s="98"/>
      <c r="BD36" s="98"/>
      <c r="BE36" s="98"/>
      <c r="BF36" s="98">
        <f t="shared" ref="BF36:BF41" si="37">_HCO3/5.0801</f>
        <v>2.4723922757426036</v>
      </c>
      <c r="BG36" s="98" t="e">
        <f t="shared" ref="BG36:BG41" si="38">((TIC&lt;(_HCO3/5.0801))/TIC)*100</f>
        <v>#DIV/0!</v>
      </c>
      <c r="BH36" s="98" t="e">
        <f t="shared" ref="BH36:BH41" si="39">((TIC&lt;(Field_HCO3/5.1))/TIC)*100</f>
        <v>#DIV/0!</v>
      </c>
      <c r="BI36" s="98" t="s">
        <v>611</v>
      </c>
      <c r="BJ36" s="98">
        <v>101.38</v>
      </c>
      <c r="BK36" s="98"/>
      <c r="BL36" s="98">
        <f t="shared" ref="BL36:BL41" si="40">((Total_S&lt;(_SO4/2.9962))/Total_S)*100</f>
        <v>0.98638784770171628</v>
      </c>
      <c r="BM36" s="98"/>
      <c r="BN36" s="98">
        <v>3.12</v>
      </c>
      <c r="BO36" s="98">
        <v>6.6746160000000003</v>
      </c>
      <c r="BP36" s="98">
        <v>11.22</v>
      </c>
      <c r="BQ36" s="98">
        <v>340.8</v>
      </c>
      <c r="BR36" s="98">
        <v>1648.9</v>
      </c>
      <c r="BS36" s="98">
        <v>8.3000000000000007</v>
      </c>
      <c r="BT36" s="98"/>
      <c r="BU36" s="98">
        <f t="shared" ref="BU36:BU41" si="41">IF(Reduced_Fe&gt;0,Total_Fe&lt;Reduced_Fe,Total_Fe*1)</f>
        <v>8.3000000000000007</v>
      </c>
      <c r="BV36" s="98">
        <v>28</v>
      </c>
      <c r="BW36" s="98" t="s">
        <v>605</v>
      </c>
      <c r="BX36" s="98" t="s">
        <v>614</v>
      </c>
      <c r="BY36" s="98">
        <v>7.4</v>
      </c>
      <c r="BZ36" s="98" t="s">
        <v>606</v>
      </c>
      <c r="CA36" s="98">
        <v>0.1</v>
      </c>
      <c r="CB36" s="98">
        <v>0.18</v>
      </c>
      <c r="CC36" s="98">
        <v>95.144000000000005</v>
      </c>
      <c r="CD36" s="311">
        <v>218.01</v>
      </c>
      <c r="CE36" s="98">
        <v>2.6</v>
      </c>
      <c r="CF36" s="98">
        <v>206.4</v>
      </c>
      <c r="CG36" s="98" t="s">
        <v>607</v>
      </c>
      <c r="CH36" s="98">
        <v>7.75</v>
      </c>
      <c r="CI36" s="98">
        <v>1.17</v>
      </c>
      <c r="CJ36" s="98">
        <v>17.309999999999999</v>
      </c>
      <c r="CK36" s="98">
        <v>1.585</v>
      </c>
      <c r="CL36" s="98" t="s">
        <v>304</v>
      </c>
      <c r="CM36" s="98" t="s">
        <v>603</v>
      </c>
      <c r="CN36" s="98">
        <v>2.1</v>
      </c>
      <c r="CO36" s="98" t="s">
        <v>607</v>
      </c>
      <c r="CP36" s="98">
        <v>2.91</v>
      </c>
      <c r="CQ36" s="98">
        <v>0.13</v>
      </c>
      <c r="CR36" s="98">
        <v>2.71</v>
      </c>
      <c r="CS36" s="98">
        <v>0.95</v>
      </c>
      <c r="CT36" s="98">
        <v>3.129</v>
      </c>
      <c r="CU36" s="98">
        <v>2.1429999999999998</v>
      </c>
      <c r="CV36" s="98">
        <v>0.42699999999999999</v>
      </c>
      <c r="CW36" s="98">
        <v>1.734</v>
      </c>
      <c r="CX36" s="98">
        <v>0.22800000000000001</v>
      </c>
      <c r="CY36" s="98">
        <v>5.8000000000000003E-2</v>
      </c>
      <c r="CZ36" s="98">
        <v>0.24099999999999999</v>
      </c>
      <c r="DA36" s="98">
        <v>2.3E-2</v>
      </c>
      <c r="DB36" s="98">
        <v>0.13</v>
      </c>
      <c r="DC36" s="98">
        <v>0.03</v>
      </c>
      <c r="DD36" s="98">
        <v>6.0999999999999999E-2</v>
      </c>
      <c r="DE36" s="98">
        <v>6.0000000000000001E-3</v>
      </c>
      <c r="DF36" s="98">
        <v>4.3999999999999997E-2</v>
      </c>
      <c r="DG36" s="98">
        <v>8.0000000000000002E-3</v>
      </c>
      <c r="DH36" s="98" t="s">
        <v>611</v>
      </c>
      <c r="DI36" s="98" t="s">
        <v>612</v>
      </c>
      <c r="DJ36" s="98" t="s">
        <v>615</v>
      </c>
      <c r="DK36" s="98">
        <v>0.08</v>
      </c>
      <c r="DL36" s="98">
        <v>0.12</v>
      </c>
      <c r="DM36" s="98" t="s">
        <v>605</v>
      </c>
      <c r="DN36" s="98" t="s">
        <v>91</v>
      </c>
      <c r="DO36" s="98">
        <v>2.1000000000000001E-2</v>
      </c>
    </row>
    <row r="37" spans="1:119">
      <c r="A37" s="53" t="s">
        <v>593</v>
      </c>
      <c r="B37" s="53" t="s">
        <v>594</v>
      </c>
      <c r="C37" s="180">
        <v>43891</v>
      </c>
      <c r="F37" s="53">
        <f t="shared" si="21"/>
        <v>0</v>
      </c>
      <c r="J37" s="53" t="e">
        <f t="shared" si="22"/>
        <v>#DIV/0!</v>
      </c>
      <c r="L37" s="183">
        <v>0.10255300000000001</v>
      </c>
      <c r="M37" s="183">
        <v>34.713514000000004</v>
      </c>
      <c r="N37" s="53" t="s">
        <v>335</v>
      </c>
      <c r="O37" s="53" t="s">
        <v>334</v>
      </c>
      <c r="P37" s="53" t="s">
        <v>347</v>
      </c>
      <c r="Q37" s="154" t="s">
        <v>371</v>
      </c>
      <c r="R37" s="116" t="s">
        <v>687</v>
      </c>
      <c r="S37" s="53" t="s">
        <v>527</v>
      </c>
      <c r="T37" s="53" t="s">
        <v>740</v>
      </c>
      <c r="U37" s="53" t="s">
        <v>685</v>
      </c>
      <c r="V37" s="53" t="s">
        <v>691</v>
      </c>
      <c r="W37" s="98">
        <v>859.3</v>
      </c>
      <c r="X37" s="99"/>
      <c r="Y37" s="99">
        <f t="shared" si="0"/>
        <v>630.31780172537435</v>
      </c>
      <c r="Z37" s="99">
        <f t="shared" si="11"/>
        <v>0.7335247314388158</v>
      </c>
      <c r="AA37" s="98">
        <v>8.0169999999999995</v>
      </c>
      <c r="AB37" s="98">
        <v>87</v>
      </c>
      <c r="AC37" s="98">
        <v>18.32</v>
      </c>
      <c r="AD37" s="98">
        <v>47.3</v>
      </c>
      <c r="AE37" s="98">
        <v>52.75</v>
      </c>
      <c r="AF37" s="98">
        <v>133.69999999999999</v>
      </c>
      <c r="AG37" s="98"/>
      <c r="AH37" s="98">
        <v>22.898539856145096</v>
      </c>
      <c r="AI37" s="98">
        <v>261.69749234458158</v>
      </c>
      <c r="AJ37" s="98">
        <v>6.6517695246477002</v>
      </c>
      <c r="AK37" s="98">
        <v>9.2557478</v>
      </c>
      <c r="AL37" s="98">
        <v>1.1158645E-2</v>
      </c>
      <c r="AM37" s="98">
        <v>8.3931456423886086</v>
      </c>
      <c r="AN37" s="98">
        <v>8.0555578252677354E-2</v>
      </c>
      <c r="AO37" s="98">
        <f t="shared" si="33"/>
        <v>8.3931456423886086</v>
      </c>
      <c r="AP37" s="98" t="e">
        <f t="shared" si="24"/>
        <v>#VALUE!</v>
      </c>
      <c r="AQ37" s="98">
        <v>9.266906445</v>
      </c>
      <c r="AR37" s="98">
        <v>8.4737012206412867</v>
      </c>
      <c r="AS37" s="98">
        <v>4.4711277049147276</v>
      </c>
      <c r="AT37" s="98">
        <f t="shared" si="34"/>
        <v>9.7400322614900379</v>
      </c>
      <c r="AU37" s="98">
        <f t="shared" si="35"/>
        <v>0</v>
      </c>
      <c r="AV37" s="98" t="e">
        <f t="shared" si="36"/>
        <v>#VALUE!</v>
      </c>
      <c r="AW37" s="98">
        <v>0.1356150029535009</v>
      </c>
      <c r="AX37" s="98">
        <v>2.3528112578436562</v>
      </c>
      <c r="AY37" s="98" t="s">
        <v>603</v>
      </c>
      <c r="AZ37" s="98">
        <v>0.52635945422071495</v>
      </c>
      <c r="BA37" s="98"/>
      <c r="BB37" s="98"/>
      <c r="BC37" s="98"/>
      <c r="BD37" s="98"/>
      <c r="BE37" s="98"/>
      <c r="BF37" s="98">
        <f t="shared" si="37"/>
        <v>26.31837955945749</v>
      </c>
      <c r="BG37" s="98" t="e">
        <f t="shared" si="38"/>
        <v>#DIV/0!</v>
      </c>
      <c r="BH37" s="98" t="e">
        <f t="shared" si="39"/>
        <v>#DIV/0!</v>
      </c>
      <c r="BI37" s="98">
        <v>0.02</v>
      </c>
      <c r="BJ37" s="98">
        <v>100.53</v>
      </c>
      <c r="BK37" s="98"/>
      <c r="BL37" s="98">
        <f t="shared" si="40"/>
        <v>0</v>
      </c>
      <c r="BM37" s="98"/>
      <c r="BN37" s="98">
        <v>6.67</v>
      </c>
      <c r="BO37" s="98">
        <v>14.269131</v>
      </c>
      <c r="BP37" s="98">
        <v>44.35</v>
      </c>
      <c r="BQ37" s="98">
        <v>394.9</v>
      </c>
      <c r="BR37" s="98">
        <v>239</v>
      </c>
      <c r="BS37" s="98">
        <v>9.1</v>
      </c>
      <c r="BT37" s="98"/>
      <c r="BU37" s="98">
        <f t="shared" si="41"/>
        <v>9.1</v>
      </c>
      <c r="BV37" s="98">
        <v>7</v>
      </c>
      <c r="BW37" s="98" t="s">
        <v>605</v>
      </c>
      <c r="BX37" s="98">
        <v>56</v>
      </c>
      <c r="BY37" s="98">
        <v>48.5</v>
      </c>
      <c r="BZ37" s="98">
        <v>0.3</v>
      </c>
      <c r="CA37" s="98">
        <v>1.63</v>
      </c>
      <c r="CB37" s="98">
        <v>0.39</v>
      </c>
      <c r="CC37" s="98">
        <v>1.518</v>
      </c>
      <c r="CD37" s="98">
        <v>10.68</v>
      </c>
      <c r="CE37" s="98">
        <v>0.9</v>
      </c>
      <c r="CF37" s="98">
        <v>4.3</v>
      </c>
      <c r="CG37" s="98">
        <v>0.22</v>
      </c>
      <c r="CH37" s="98">
        <v>863.94</v>
      </c>
      <c r="CI37" s="98">
        <v>0.19</v>
      </c>
      <c r="CJ37" s="98">
        <v>32.619999999999997</v>
      </c>
      <c r="CK37" s="98">
        <v>6.2E-2</v>
      </c>
      <c r="CL37" s="98">
        <v>0.02</v>
      </c>
      <c r="CM37" s="98" t="s">
        <v>603</v>
      </c>
      <c r="CN37" s="98">
        <v>12.4</v>
      </c>
      <c r="CO37" s="98" t="s">
        <v>607</v>
      </c>
      <c r="CP37" s="98">
        <v>0.05</v>
      </c>
      <c r="CQ37" s="98">
        <v>0.2</v>
      </c>
      <c r="CR37" s="98">
        <v>9.7100000000000009</v>
      </c>
      <c r="CS37" s="98">
        <v>0.74</v>
      </c>
      <c r="CT37" s="98">
        <v>2.3E-2</v>
      </c>
      <c r="CU37" s="98">
        <v>2.5000000000000001E-2</v>
      </c>
      <c r="CV37" s="98">
        <v>6.0000000000000001E-3</v>
      </c>
      <c r="CW37" s="98">
        <v>1.9E-2</v>
      </c>
      <c r="CX37" s="98" t="s">
        <v>613</v>
      </c>
      <c r="CY37" s="98">
        <v>3.0000000000000001E-3</v>
      </c>
      <c r="CZ37" s="98">
        <v>8.0000000000000002E-3</v>
      </c>
      <c r="DA37" s="98" t="s">
        <v>609</v>
      </c>
      <c r="DB37" s="98">
        <v>8.9999999999999993E-3</v>
      </c>
      <c r="DC37" s="98" t="s">
        <v>608</v>
      </c>
      <c r="DD37" s="98">
        <v>6.0000000000000001E-3</v>
      </c>
      <c r="DE37" s="98" t="s">
        <v>608</v>
      </c>
      <c r="DF37" s="98" t="s">
        <v>610</v>
      </c>
      <c r="DG37" s="98" t="s">
        <v>609</v>
      </c>
      <c r="DH37" s="98" t="s">
        <v>611</v>
      </c>
      <c r="DI37" s="98" t="s">
        <v>612</v>
      </c>
      <c r="DJ37" s="98">
        <v>2.1</v>
      </c>
      <c r="DK37" s="98" t="s">
        <v>304</v>
      </c>
      <c r="DL37" s="98">
        <v>0.2</v>
      </c>
      <c r="DM37" s="98" t="s">
        <v>605</v>
      </c>
      <c r="DN37" s="98" t="s">
        <v>91</v>
      </c>
      <c r="DO37" s="98">
        <v>0.40799999999999997</v>
      </c>
    </row>
    <row r="38" spans="1:119">
      <c r="A38" s="53" t="s">
        <v>595</v>
      </c>
      <c r="B38" s="53" t="s">
        <v>596</v>
      </c>
      <c r="C38" s="180">
        <v>43891</v>
      </c>
      <c r="F38" s="53">
        <f t="shared" si="21"/>
        <v>0</v>
      </c>
      <c r="J38" s="53" t="e">
        <f t="shared" si="22"/>
        <v>#DIV/0!</v>
      </c>
      <c r="L38" s="183">
        <v>0.15733900000000001</v>
      </c>
      <c r="M38" s="183">
        <v>34.817802</v>
      </c>
      <c r="N38" s="53" t="s">
        <v>360</v>
      </c>
      <c r="O38" s="53" t="s">
        <v>330</v>
      </c>
      <c r="P38" s="53" t="s">
        <v>347</v>
      </c>
      <c r="Q38" s="154" t="s">
        <v>371</v>
      </c>
      <c r="R38" s="116" t="s">
        <v>687</v>
      </c>
      <c r="S38" s="53" t="s">
        <v>538</v>
      </c>
      <c r="T38" s="53" t="s">
        <v>739</v>
      </c>
      <c r="U38" s="53" t="s">
        <v>726</v>
      </c>
      <c r="V38" s="53" t="s">
        <v>727</v>
      </c>
      <c r="W38" s="98">
        <v>56.9</v>
      </c>
      <c r="X38" s="99"/>
      <c r="Y38" s="99">
        <f t="shared" si="0"/>
        <v>39.161403076712126</v>
      </c>
      <c r="Z38" s="99">
        <f t="shared" si="11"/>
        <v>0.68824961470495827</v>
      </c>
      <c r="AA38" s="98">
        <v>7.1840000000000002</v>
      </c>
      <c r="AB38" s="98">
        <v>3.6</v>
      </c>
      <c r="AC38" s="98">
        <v>1.528</v>
      </c>
      <c r="AD38" s="98">
        <v>5.0999999999999996</v>
      </c>
      <c r="AE38" s="98">
        <v>1.99</v>
      </c>
      <c r="AF38" s="98">
        <v>19.71</v>
      </c>
      <c r="AG38" s="98"/>
      <c r="AH38" s="98">
        <v>2.2545533160419744</v>
      </c>
      <c r="AI38" s="98">
        <v>0.79506012238495605</v>
      </c>
      <c r="AJ38" s="98">
        <v>4.1837896382852007</v>
      </c>
      <c r="AK38" s="98">
        <v>0.57813331999999995</v>
      </c>
      <c r="AL38" s="98">
        <v>1.9358153999999999E-2</v>
      </c>
      <c r="AM38" s="98">
        <v>0.47068552765913912</v>
      </c>
      <c r="AN38" s="98">
        <v>6.1848135973236141E-3</v>
      </c>
      <c r="AO38" s="98">
        <f t="shared" si="33"/>
        <v>0.47068552765913912</v>
      </c>
      <c r="AP38" s="98" t="e">
        <f t="shared" si="24"/>
        <v>#VALUE!</v>
      </c>
      <c r="AQ38" s="98">
        <v>0.59749147399999991</v>
      </c>
      <c r="AR38" s="98">
        <v>0.47687034125646272</v>
      </c>
      <c r="AS38" s="98">
        <v>11.227235651030982</v>
      </c>
      <c r="AT38" s="98">
        <f t="shared" si="34"/>
        <v>167.36640496396441</v>
      </c>
      <c r="AU38" s="98">
        <f t="shared" si="35"/>
        <v>0</v>
      </c>
      <c r="AV38" s="98" t="e">
        <f t="shared" si="36"/>
        <v>#VALUE!</v>
      </c>
      <c r="AW38" s="98">
        <v>2.3819307302889964E-2</v>
      </c>
      <c r="AX38" s="98">
        <v>1.9480629433404981E-2</v>
      </c>
      <c r="AY38" s="98" t="s">
        <v>603</v>
      </c>
      <c r="AZ38" s="98">
        <v>0.1037820476065579</v>
      </c>
      <c r="BA38" s="98"/>
      <c r="BB38" s="98"/>
      <c r="BC38" s="98"/>
      <c r="BD38" s="98"/>
      <c r="BE38" s="98"/>
      <c r="BF38" s="98">
        <f t="shared" si="37"/>
        <v>3.8798448849432101</v>
      </c>
      <c r="BG38" s="98" t="e">
        <f t="shared" si="38"/>
        <v>#DIV/0!</v>
      </c>
      <c r="BH38" s="98" t="e">
        <f t="shared" si="39"/>
        <v>#DIV/0!</v>
      </c>
      <c r="BI38" s="98">
        <v>1.7000000000000001E-2</v>
      </c>
      <c r="BJ38" s="98">
        <v>0.47</v>
      </c>
      <c r="BK38" s="98"/>
      <c r="BL38" s="98">
        <f t="shared" si="40"/>
        <v>0</v>
      </c>
      <c r="BM38" s="98"/>
      <c r="BN38" s="98">
        <v>12.68</v>
      </c>
      <c r="BO38" s="98">
        <v>27.126324</v>
      </c>
      <c r="BP38" s="98">
        <v>24.9</v>
      </c>
      <c r="BQ38" s="98">
        <v>50.6</v>
      </c>
      <c r="BR38" s="98">
        <v>71.2</v>
      </c>
      <c r="BS38" s="98">
        <v>332.1</v>
      </c>
      <c r="BT38" s="98"/>
      <c r="BU38" s="98">
        <f t="shared" si="41"/>
        <v>332.1</v>
      </c>
      <c r="BV38" s="98" t="s">
        <v>604</v>
      </c>
      <c r="BW38" s="98" t="s">
        <v>605</v>
      </c>
      <c r="BX38" s="98" t="s">
        <v>614</v>
      </c>
      <c r="BY38" s="98">
        <v>71.2</v>
      </c>
      <c r="BZ38" s="98">
        <v>1.2</v>
      </c>
      <c r="CA38" s="98">
        <v>0.85</v>
      </c>
      <c r="CB38" s="98">
        <v>0.45</v>
      </c>
      <c r="CC38" s="98">
        <v>0.47499999999999998</v>
      </c>
      <c r="CD38" s="98">
        <v>1.06</v>
      </c>
      <c r="CE38" s="98">
        <v>1.1000000000000001</v>
      </c>
      <c r="CF38" s="98">
        <v>6.4</v>
      </c>
      <c r="CG38" s="98" t="s">
        <v>607</v>
      </c>
      <c r="CH38" s="98">
        <v>2.1800000000000002</v>
      </c>
      <c r="CI38" s="98">
        <v>0.08</v>
      </c>
      <c r="CJ38" s="98">
        <v>4.3899999999999997</v>
      </c>
      <c r="CK38" s="98">
        <v>0.315</v>
      </c>
      <c r="CL38" s="98">
        <v>0.25</v>
      </c>
      <c r="CM38" s="98">
        <v>0.04</v>
      </c>
      <c r="CN38" s="98">
        <v>0.4</v>
      </c>
      <c r="CO38" s="98" t="s">
        <v>607</v>
      </c>
      <c r="CP38" s="98">
        <v>7.0999999999999994E-2</v>
      </c>
      <c r="CQ38" s="98">
        <v>0.09</v>
      </c>
      <c r="CR38" s="98">
        <v>0.12</v>
      </c>
      <c r="CS38" s="98">
        <v>0.15</v>
      </c>
      <c r="CT38" s="98">
        <v>0.71899999999999997</v>
      </c>
      <c r="CU38" s="98">
        <v>0.88</v>
      </c>
      <c r="CV38" s="98">
        <v>0.13300000000000001</v>
      </c>
      <c r="CW38" s="98">
        <v>0.55400000000000005</v>
      </c>
      <c r="CX38" s="98">
        <v>9.1999999999999998E-2</v>
      </c>
      <c r="CY38" s="98">
        <v>1.6E-2</v>
      </c>
      <c r="CZ38" s="98">
        <v>6.7000000000000004E-2</v>
      </c>
      <c r="DA38" s="98">
        <v>8.9999999999999993E-3</v>
      </c>
      <c r="DB38" s="98">
        <v>5.0999999999999997E-2</v>
      </c>
      <c r="DC38" s="98">
        <v>8.9999999999999993E-3</v>
      </c>
      <c r="DD38" s="98">
        <v>2.5000000000000001E-2</v>
      </c>
      <c r="DE38" s="98">
        <v>6.0000000000000001E-3</v>
      </c>
      <c r="DF38" s="98">
        <v>3.4000000000000002E-2</v>
      </c>
      <c r="DG38" s="98">
        <v>5.0000000000000001E-3</v>
      </c>
      <c r="DH38" s="98" t="s">
        <v>611</v>
      </c>
      <c r="DI38" s="98" t="s">
        <v>612</v>
      </c>
      <c r="DJ38" s="98" t="s">
        <v>615</v>
      </c>
      <c r="DK38" s="98" t="s">
        <v>304</v>
      </c>
      <c r="DL38" s="98">
        <v>0.36</v>
      </c>
      <c r="DM38" s="98" t="s">
        <v>605</v>
      </c>
      <c r="DN38" s="98" t="s">
        <v>91</v>
      </c>
      <c r="DO38" s="98">
        <v>3.5999999999999997E-2</v>
      </c>
    </row>
    <row r="39" spans="1:119">
      <c r="A39" s="53" t="s">
        <v>597</v>
      </c>
      <c r="B39" s="53" t="s">
        <v>598</v>
      </c>
      <c r="C39" s="180">
        <v>43891</v>
      </c>
      <c r="F39" s="53">
        <f t="shared" si="21"/>
        <v>0</v>
      </c>
      <c r="J39" s="53" t="e">
        <f t="shared" si="22"/>
        <v>#DIV/0!</v>
      </c>
      <c r="L39" s="183">
        <v>0.15733900000000001</v>
      </c>
      <c r="M39" s="183">
        <v>34.817802</v>
      </c>
      <c r="N39" s="53" t="s">
        <v>360</v>
      </c>
      <c r="O39" s="53" t="s">
        <v>330</v>
      </c>
      <c r="P39" s="53" t="s">
        <v>347</v>
      </c>
      <c r="Q39" s="154" t="s">
        <v>371</v>
      </c>
      <c r="R39" s="116" t="s">
        <v>687</v>
      </c>
      <c r="S39" s="53" t="s">
        <v>527</v>
      </c>
      <c r="T39" s="53" t="s">
        <v>740</v>
      </c>
      <c r="U39" s="53" t="s">
        <v>685</v>
      </c>
      <c r="V39" s="53" t="s">
        <v>691</v>
      </c>
      <c r="W39" s="98">
        <v>301.2</v>
      </c>
      <c r="X39" s="99"/>
      <c r="Y39" s="99" t="e">
        <f t="shared" si="0"/>
        <v>#VALUE!</v>
      </c>
      <c r="Z39" s="99" t="e">
        <f t="shared" si="11"/>
        <v>#VALUE!</v>
      </c>
      <c r="AA39" s="98">
        <v>7.3120000000000003</v>
      </c>
      <c r="AB39" s="98">
        <v>20.7</v>
      </c>
      <c r="AC39" s="98">
        <v>5.742</v>
      </c>
      <c r="AD39" s="98">
        <v>18.8</v>
      </c>
      <c r="AE39" s="98">
        <v>14.39</v>
      </c>
      <c r="AF39" s="98">
        <v>38.69</v>
      </c>
      <c r="AG39" s="98"/>
      <c r="AH39" s="98" t="s">
        <v>607</v>
      </c>
      <c r="AI39" s="98" t="s">
        <v>607</v>
      </c>
      <c r="AJ39" s="98" t="s">
        <v>91</v>
      </c>
      <c r="AK39" s="98">
        <v>2.6913353799999999</v>
      </c>
      <c r="AL39" s="98">
        <v>4.3441666000000002E-3</v>
      </c>
      <c r="AM39" s="98">
        <v>0.63412909999999989</v>
      </c>
      <c r="AN39" s="98">
        <v>0</v>
      </c>
      <c r="AO39" s="98" t="e">
        <f t="shared" si="33"/>
        <v>#VALUE!</v>
      </c>
      <c r="AP39" s="98" t="e">
        <f t="shared" si="24"/>
        <v>#VALUE!</v>
      </c>
      <c r="AQ39" s="98">
        <v>2.6956795466000001</v>
      </c>
      <c r="AR39" s="98">
        <v>0.63412909999999989</v>
      </c>
      <c r="AS39" s="98">
        <v>61.9</v>
      </c>
      <c r="AT39" s="98" t="e">
        <f t="shared" si="34"/>
        <v>#VALUE!</v>
      </c>
      <c r="AU39" s="98" t="e">
        <f t="shared" si="35"/>
        <v>#VALUE!</v>
      </c>
      <c r="AV39" s="98" t="e">
        <f t="shared" si="36"/>
        <v>#VALUE!</v>
      </c>
      <c r="AW39" s="98" t="s">
        <v>603</v>
      </c>
      <c r="AX39" s="98" t="s">
        <v>613</v>
      </c>
      <c r="AY39" s="98" t="s">
        <v>603</v>
      </c>
      <c r="AZ39" s="98" t="s">
        <v>613</v>
      </c>
      <c r="BA39" s="98"/>
      <c r="BB39" s="98"/>
      <c r="BC39" s="98"/>
      <c r="BD39" s="98"/>
      <c r="BE39" s="98"/>
      <c r="BF39" s="98">
        <f t="shared" si="37"/>
        <v>7.615991811184819</v>
      </c>
      <c r="BG39" s="98" t="e">
        <f t="shared" si="38"/>
        <v>#DIV/0!</v>
      </c>
      <c r="BH39" s="98" t="e">
        <f t="shared" si="39"/>
        <v>#DIV/0!</v>
      </c>
      <c r="BI39" s="98">
        <v>3.7999999999999999E-2</v>
      </c>
      <c r="BJ39" s="98">
        <v>24.63</v>
      </c>
      <c r="BK39" s="98"/>
      <c r="BL39" s="98" t="e">
        <f t="shared" si="40"/>
        <v>#VALUE!</v>
      </c>
      <c r="BM39" s="98"/>
      <c r="BN39" s="98">
        <v>8.56</v>
      </c>
      <c r="BO39" s="98">
        <v>18.312408000000001</v>
      </c>
      <c r="BP39" s="98">
        <v>28.96</v>
      </c>
      <c r="BQ39" s="98">
        <v>88.9</v>
      </c>
      <c r="BR39" s="98">
        <v>194.3</v>
      </c>
      <c r="BS39" s="98">
        <v>11.1</v>
      </c>
      <c r="BT39" s="98"/>
      <c r="BU39" s="98">
        <f t="shared" si="41"/>
        <v>11.1</v>
      </c>
      <c r="BV39" s="98">
        <v>9</v>
      </c>
      <c r="BW39" s="98" t="s">
        <v>605</v>
      </c>
      <c r="BX39" s="98" t="s">
        <v>614</v>
      </c>
      <c r="BY39" s="98">
        <v>30.4</v>
      </c>
      <c r="BZ39" s="98" t="s">
        <v>606</v>
      </c>
      <c r="CA39" s="98">
        <v>0.26</v>
      </c>
      <c r="CB39" s="98">
        <v>0.26</v>
      </c>
      <c r="CC39" s="98">
        <v>5.4459999999999997</v>
      </c>
      <c r="CD39" s="98">
        <v>12.58</v>
      </c>
      <c r="CE39" s="98">
        <v>2.7</v>
      </c>
      <c r="CF39" s="98">
        <v>4.5999999999999996</v>
      </c>
      <c r="CG39" s="98">
        <v>0.06</v>
      </c>
      <c r="CH39" s="98">
        <v>27.67</v>
      </c>
      <c r="CI39" s="98">
        <v>0.67</v>
      </c>
      <c r="CJ39" s="98">
        <v>15.01</v>
      </c>
      <c r="CK39" s="98">
        <v>0.42</v>
      </c>
      <c r="CL39" s="98">
        <v>0.04</v>
      </c>
      <c r="CM39" s="98" t="s">
        <v>603</v>
      </c>
      <c r="CN39" s="98">
        <v>3.2</v>
      </c>
      <c r="CO39" s="98" t="s">
        <v>607</v>
      </c>
      <c r="CP39" s="98">
        <v>5.3999999999999999E-2</v>
      </c>
      <c r="CQ39" s="98">
        <v>0.14000000000000001</v>
      </c>
      <c r="CR39" s="98">
        <v>1.57</v>
      </c>
      <c r="CS39" s="98">
        <v>0.25</v>
      </c>
      <c r="CT39" s="98">
        <v>1.17</v>
      </c>
      <c r="CU39" s="98">
        <v>0.71899999999999997</v>
      </c>
      <c r="CV39" s="98">
        <v>0.20300000000000001</v>
      </c>
      <c r="CW39" s="98">
        <v>0.84799999999999998</v>
      </c>
      <c r="CX39" s="98">
        <v>5.8000000000000003E-2</v>
      </c>
      <c r="CY39" s="98">
        <v>0.02</v>
      </c>
      <c r="CZ39" s="98">
        <v>7.8E-2</v>
      </c>
      <c r="DA39" s="98">
        <v>8.9999999999999993E-3</v>
      </c>
      <c r="DB39" s="98">
        <v>4.1000000000000002E-2</v>
      </c>
      <c r="DC39" s="98">
        <v>0.01</v>
      </c>
      <c r="DD39" s="98">
        <v>2.9000000000000001E-2</v>
      </c>
      <c r="DE39" s="98">
        <v>4.0000000000000001E-3</v>
      </c>
      <c r="DF39" s="98">
        <v>2.4E-2</v>
      </c>
      <c r="DG39" s="98" t="s">
        <v>609</v>
      </c>
      <c r="DH39" s="98" t="s">
        <v>611</v>
      </c>
      <c r="DI39" s="98" t="s">
        <v>612</v>
      </c>
      <c r="DJ39" s="98">
        <v>0.17</v>
      </c>
      <c r="DK39" s="98">
        <v>0.05</v>
      </c>
      <c r="DL39" s="98">
        <v>0.19</v>
      </c>
      <c r="DM39" s="98" t="s">
        <v>605</v>
      </c>
      <c r="DN39" s="98" t="s">
        <v>91</v>
      </c>
      <c r="DO39" s="98">
        <v>0.157</v>
      </c>
    </row>
    <row r="40" spans="1:119">
      <c r="A40" s="53" t="s">
        <v>599</v>
      </c>
      <c r="B40" s="53" t="s">
        <v>600</v>
      </c>
      <c r="C40" s="180">
        <v>43891</v>
      </c>
      <c r="F40" s="53">
        <f t="shared" si="21"/>
        <v>0</v>
      </c>
      <c r="J40" s="53" t="e">
        <f t="shared" si="22"/>
        <v>#DIV/0!</v>
      </c>
      <c r="L40" s="183">
        <v>0.156809</v>
      </c>
      <c r="M40" s="183">
        <v>34.818221000000001</v>
      </c>
      <c r="N40" s="53" t="s">
        <v>360</v>
      </c>
      <c r="O40" s="53" t="s">
        <v>330</v>
      </c>
      <c r="P40" s="53" t="s">
        <v>347</v>
      </c>
      <c r="Q40" s="154" t="s">
        <v>371</v>
      </c>
      <c r="R40" s="116" t="s">
        <v>687</v>
      </c>
      <c r="S40" s="53" t="s">
        <v>527</v>
      </c>
      <c r="T40" s="53" t="s">
        <v>740</v>
      </c>
      <c r="U40" s="53" t="s">
        <v>685</v>
      </c>
      <c r="V40" s="53" t="s">
        <v>691</v>
      </c>
      <c r="W40" s="98">
        <v>172.2</v>
      </c>
      <c r="X40" s="99"/>
      <c r="Y40" s="99">
        <f t="shared" si="0"/>
        <v>105.22906618606309</v>
      </c>
      <c r="Z40" s="99">
        <f t="shared" si="11"/>
        <v>0.61108633092951858</v>
      </c>
      <c r="AA40" s="98">
        <v>7.4189999999999996</v>
      </c>
      <c r="AB40" s="98">
        <v>15.7</v>
      </c>
      <c r="AC40" s="98">
        <v>1.76</v>
      </c>
      <c r="AD40" s="98">
        <v>6.4</v>
      </c>
      <c r="AE40" s="98">
        <v>10.42</v>
      </c>
      <c r="AF40" s="98">
        <v>32.08</v>
      </c>
      <c r="AG40" s="98"/>
      <c r="AH40" s="98">
        <v>5.576758585742021</v>
      </c>
      <c r="AI40" s="98">
        <v>31.67473367655996</v>
      </c>
      <c r="AJ40" s="98">
        <v>1.6175739237611022</v>
      </c>
      <c r="AK40" s="98">
        <v>1.473204</v>
      </c>
      <c r="AL40" s="98">
        <v>2.8837419999999999E-3</v>
      </c>
      <c r="AM40" s="98">
        <v>1.3686709822400274</v>
      </c>
      <c r="AN40" s="98">
        <v>1.3302590294309606E-2</v>
      </c>
      <c r="AO40" s="98">
        <f t="shared" si="33"/>
        <v>1.3686709822400274</v>
      </c>
      <c r="AP40" s="98" t="e">
        <f t="shared" si="24"/>
        <v>#VALUE!</v>
      </c>
      <c r="AQ40" s="98">
        <v>1.476087742</v>
      </c>
      <c r="AR40" s="98">
        <v>1.3819735725343369</v>
      </c>
      <c r="AS40" s="98">
        <v>3.2929373833604085</v>
      </c>
      <c r="AT40" s="98">
        <f t="shared" si="34"/>
        <v>40.386290963674583</v>
      </c>
      <c r="AU40" s="98">
        <f t="shared" si="35"/>
        <v>0</v>
      </c>
      <c r="AV40" s="98" t="e">
        <f t="shared" si="36"/>
        <v>#VALUE!</v>
      </c>
      <c r="AW40" s="98">
        <v>0.11509262246664577</v>
      </c>
      <c r="AX40" s="98">
        <v>0.32920417099726235</v>
      </c>
      <c r="AY40" s="98" t="s">
        <v>603</v>
      </c>
      <c r="AZ40" s="98">
        <v>8.9375607590173198E-2</v>
      </c>
      <c r="BA40" s="98"/>
      <c r="BB40" s="98"/>
      <c r="BC40" s="98"/>
      <c r="BD40" s="98"/>
      <c r="BE40" s="98"/>
      <c r="BF40" s="98">
        <f t="shared" si="37"/>
        <v>6.3148363221196435</v>
      </c>
      <c r="BG40" s="98" t="e">
        <f t="shared" si="38"/>
        <v>#DIV/0!</v>
      </c>
      <c r="BH40" s="98" t="e">
        <f t="shared" si="39"/>
        <v>#DIV/0!</v>
      </c>
      <c r="BI40" s="98" t="s">
        <v>611</v>
      </c>
      <c r="BJ40" s="98">
        <v>12.42</v>
      </c>
      <c r="BK40" s="98"/>
      <c r="BL40" s="98">
        <f t="shared" si="40"/>
        <v>0</v>
      </c>
      <c r="BM40" s="98"/>
      <c r="BN40" s="98">
        <v>3.15</v>
      </c>
      <c r="BO40" s="98">
        <v>6.7387949999999996</v>
      </c>
      <c r="BP40" s="98">
        <v>23.75</v>
      </c>
      <c r="BQ40" s="98">
        <v>59.4</v>
      </c>
      <c r="BR40" s="98">
        <v>471.7</v>
      </c>
      <c r="BS40" s="98">
        <v>22</v>
      </c>
      <c r="BT40" s="98"/>
      <c r="BU40" s="98">
        <f t="shared" si="41"/>
        <v>22</v>
      </c>
      <c r="BV40" s="98" t="s">
        <v>604</v>
      </c>
      <c r="BW40" s="98" t="s">
        <v>605</v>
      </c>
      <c r="BX40" s="98" t="s">
        <v>614</v>
      </c>
      <c r="BY40" s="98">
        <v>28.1</v>
      </c>
      <c r="BZ40" s="98">
        <v>0.4</v>
      </c>
      <c r="CA40" s="98">
        <v>0.14000000000000001</v>
      </c>
      <c r="CB40" s="98">
        <v>0.67</v>
      </c>
      <c r="CC40" s="98">
        <v>1.3480000000000001</v>
      </c>
      <c r="CD40" s="98">
        <v>2.21</v>
      </c>
      <c r="CE40" s="98">
        <v>1.6</v>
      </c>
      <c r="CF40" s="98">
        <v>3.9</v>
      </c>
      <c r="CG40" s="98" t="s">
        <v>607</v>
      </c>
      <c r="CH40" s="98">
        <v>13.39</v>
      </c>
      <c r="CI40" s="98">
        <v>0.51</v>
      </c>
      <c r="CJ40" s="98">
        <v>20.41</v>
      </c>
      <c r="CK40" s="98">
        <v>0.33800000000000002</v>
      </c>
      <c r="CL40" s="98">
        <v>0.27</v>
      </c>
      <c r="CM40" s="98">
        <v>0.01</v>
      </c>
      <c r="CN40" s="98">
        <v>1.1000000000000001</v>
      </c>
      <c r="CO40" s="98" t="s">
        <v>607</v>
      </c>
      <c r="CP40" s="98">
        <v>4.1000000000000002E-2</v>
      </c>
      <c r="CQ40" s="98">
        <v>0.09</v>
      </c>
      <c r="CR40" s="98">
        <v>0.71</v>
      </c>
      <c r="CS40" s="98">
        <v>0.21</v>
      </c>
      <c r="CT40" s="98">
        <v>0.81799999999999995</v>
      </c>
      <c r="CU40" s="98">
        <v>0.60799999999999998</v>
      </c>
      <c r="CV40" s="98">
        <v>0.17799999999999999</v>
      </c>
      <c r="CW40" s="98">
        <v>0.71199999999999997</v>
      </c>
      <c r="CX40" s="98">
        <v>0.111</v>
      </c>
      <c r="CY40" s="98">
        <v>1.7000000000000001E-2</v>
      </c>
      <c r="CZ40" s="98">
        <v>8.4000000000000005E-2</v>
      </c>
      <c r="DA40" s="98">
        <v>8.9999999999999993E-3</v>
      </c>
      <c r="DB40" s="98">
        <v>4.2000000000000003E-2</v>
      </c>
      <c r="DC40" s="98">
        <v>0.01</v>
      </c>
      <c r="DD40" s="98">
        <v>3.3000000000000002E-2</v>
      </c>
      <c r="DE40" s="98">
        <v>5.0000000000000001E-3</v>
      </c>
      <c r="DF40" s="98">
        <v>3.5999999999999997E-2</v>
      </c>
      <c r="DG40" s="98">
        <v>5.0000000000000001E-3</v>
      </c>
      <c r="DH40" s="98" t="s">
        <v>611</v>
      </c>
      <c r="DI40" s="98" t="s">
        <v>612</v>
      </c>
      <c r="DJ40" s="98" t="s">
        <v>615</v>
      </c>
      <c r="DK40" s="98">
        <v>0.06</v>
      </c>
      <c r="DL40" s="98">
        <v>0.65</v>
      </c>
      <c r="DM40" s="98" t="s">
        <v>605</v>
      </c>
      <c r="DN40" s="98" t="s">
        <v>91</v>
      </c>
      <c r="DO40" s="98">
        <v>2.8000000000000001E-2</v>
      </c>
    </row>
    <row r="41" spans="1:119">
      <c r="A41" s="53" t="s">
        <v>601</v>
      </c>
      <c r="B41" s="53" t="s">
        <v>602</v>
      </c>
      <c r="C41" s="180">
        <v>43891</v>
      </c>
      <c r="F41" s="53">
        <f t="shared" si="21"/>
        <v>0</v>
      </c>
      <c r="J41" s="53" t="e">
        <f t="shared" si="22"/>
        <v>#DIV/0!</v>
      </c>
      <c r="L41" s="183">
        <v>0.156392</v>
      </c>
      <c r="M41" s="183">
        <v>34.817486000000002</v>
      </c>
      <c r="N41" s="53" t="s">
        <v>360</v>
      </c>
      <c r="O41" s="53" t="s">
        <v>330</v>
      </c>
      <c r="P41" s="53" t="s">
        <v>347</v>
      </c>
      <c r="Q41" s="154" t="s">
        <v>371</v>
      </c>
      <c r="R41" s="116" t="s">
        <v>687</v>
      </c>
      <c r="S41" s="53" t="s">
        <v>527</v>
      </c>
      <c r="T41" s="53" t="s">
        <v>740</v>
      </c>
      <c r="U41" s="53" t="s">
        <v>685</v>
      </c>
      <c r="V41" s="53" t="s">
        <v>691</v>
      </c>
      <c r="W41" s="98">
        <v>266.8</v>
      </c>
      <c r="X41" s="99"/>
      <c r="Y41" s="99">
        <f t="shared" si="0"/>
        <v>214.17413486792478</v>
      </c>
      <c r="Z41" s="99">
        <f t="shared" si="11"/>
        <v>0.80275162993974802</v>
      </c>
      <c r="AA41" s="98">
        <v>8.0399999999999991</v>
      </c>
      <c r="AB41" s="98">
        <v>36.5</v>
      </c>
      <c r="AC41" s="98">
        <v>3.2930000000000001</v>
      </c>
      <c r="AD41" s="98">
        <v>13.6</v>
      </c>
      <c r="AE41" s="98">
        <v>2.16</v>
      </c>
      <c r="AF41" s="98">
        <v>132.19999999999999</v>
      </c>
      <c r="AG41" s="98"/>
      <c r="AH41" s="98">
        <v>3.4882321707303272</v>
      </c>
      <c r="AI41" s="98">
        <v>22.166993088645832</v>
      </c>
      <c r="AJ41" s="98">
        <v>0.76590960854863543</v>
      </c>
      <c r="AK41" s="98">
        <v>2.7391837699999995</v>
      </c>
      <c r="AL41" s="98">
        <v>5.9153351999999999E-3</v>
      </c>
      <c r="AM41" s="98">
        <v>2.7390319476277982</v>
      </c>
      <c r="AN41" s="98">
        <v>1.1448274919913496E-2</v>
      </c>
      <c r="AO41" s="98">
        <f t="shared" si="33"/>
        <v>2.7390319476277982</v>
      </c>
      <c r="AP41" s="98" t="e">
        <f t="shared" si="24"/>
        <v>#VALUE!</v>
      </c>
      <c r="AQ41" s="98">
        <v>2.7450991051999996</v>
      </c>
      <c r="AR41" s="98">
        <v>2.7504802225477119</v>
      </c>
      <c r="AS41" s="98">
        <v>-9.8000000000000004E-2</v>
      </c>
      <c r="AT41" s="98">
        <f t="shared" si="34"/>
        <v>36.428557282529987</v>
      </c>
      <c r="AU41" s="98">
        <f t="shared" si="35"/>
        <v>18.196443729797572</v>
      </c>
      <c r="AV41" s="98" t="e">
        <f t="shared" si="36"/>
        <v>#VALUE!</v>
      </c>
      <c r="AW41" s="98">
        <v>2.15543263559837E-2</v>
      </c>
      <c r="AX41" s="98">
        <v>8.5205985961613426E-2</v>
      </c>
      <c r="AY41" s="98" t="s">
        <v>603</v>
      </c>
      <c r="AZ41" s="98">
        <v>0.17716634914762736</v>
      </c>
      <c r="BA41" s="98"/>
      <c r="BB41" s="98"/>
      <c r="BC41" s="98"/>
      <c r="BD41" s="98"/>
      <c r="BE41" s="98"/>
      <c r="BF41" s="98">
        <f t="shared" si="37"/>
        <v>26.023109781303518</v>
      </c>
      <c r="BG41" s="98" t="e">
        <f t="shared" si="38"/>
        <v>#DIV/0!</v>
      </c>
      <c r="BH41" s="98" t="e">
        <f t="shared" si="39"/>
        <v>#DIV/0!</v>
      </c>
      <c r="BI41" s="98" t="s">
        <v>611</v>
      </c>
      <c r="BJ41" s="98">
        <v>8.67</v>
      </c>
      <c r="BK41" s="98"/>
      <c r="BL41" s="98">
        <f t="shared" si="40"/>
        <v>0</v>
      </c>
      <c r="BM41" s="98"/>
      <c r="BN41" s="98">
        <v>21.21</v>
      </c>
      <c r="BO41" s="98">
        <v>45.374552999999999</v>
      </c>
      <c r="BP41" s="98">
        <v>12.92</v>
      </c>
      <c r="BQ41" s="98">
        <v>135.19999999999999</v>
      </c>
      <c r="BR41" s="98">
        <v>135.30000000000001</v>
      </c>
      <c r="BS41" s="98">
        <v>27.7</v>
      </c>
      <c r="BT41" s="98"/>
      <c r="BU41" s="98">
        <f t="shared" si="41"/>
        <v>27.7</v>
      </c>
      <c r="BV41" s="98">
        <v>8</v>
      </c>
      <c r="BW41" s="98" t="s">
        <v>605</v>
      </c>
      <c r="BX41" s="98" t="s">
        <v>614</v>
      </c>
      <c r="BY41" s="98">
        <v>35.200000000000003</v>
      </c>
      <c r="BZ41" s="98">
        <v>0.7</v>
      </c>
      <c r="CA41" s="98">
        <v>0.38</v>
      </c>
      <c r="CB41" s="98">
        <v>0.25</v>
      </c>
      <c r="CC41" s="98">
        <v>0.66200000000000003</v>
      </c>
      <c r="CD41" s="98">
        <v>3.04</v>
      </c>
      <c r="CE41" s="98">
        <v>2.9</v>
      </c>
      <c r="CF41" s="98">
        <v>11.8</v>
      </c>
      <c r="CG41" s="98" t="s">
        <v>607</v>
      </c>
      <c r="CH41" s="98">
        <v>23.24</v>
      </c>
      <c r="CI41" s="98">
        <v>0.1</v>
      </c>
      <c r="CJ41" s="98">
        <v>3.66</v>
      </c>
      <c r="CK41" s="98">
        <v>0.123</v>
      </c>
      <c r="CL41" s="98">
        <v>0.12</v>
      </c>
      <c r="CM41" s="98">
        <v>0.01</v>
      </c>
      <c r="CN41" s="98">
        <v>0.7</v>
      </c>
      <c r="CO41" s="98" t="s">
        <v>607</v>
      </c>
      <c r="CP41" s="98">
        <v>2.1999999999999999E-2</v>
      </c>
      <c r="CQ41" s="98">
        <v>0.18</v>
      </c>
      <c r="CR41" s="98">
        <v>0.36</v>
      </c>
      <c r="CS41" s="98">
        <v>0.39</v>
      </c>
      <c r="CT41" s="98">
        <v>0.11700000000000001</v>
      </c>
      <c r="CU41" s="98">
        <v>0.124</v>
      </c>
      <c r="CV41" s="98">
        <v>2.3E-2</v>
      </c>
      <c r="CW41" s="98">
        <v>9.9000000000000005E-2</v>
      </c>
      <c r="CX41" s="98">
        <v>1.4999999999999999E-2</v>
      </c>
      <c r="CY41" s="98">
        <v>4.0000000000000001E-3</v>
      </c>
      <c r="CZ41" s="98">
        <v>1.0999999999999999E-2</v>
      </c>
      <c r="DA41" s="98" t="s">
        <v>609</v>
      </c>
      <c r="DB41" s="98">
        <v>0.01</v>
      </c>
      <c r="DC41" s="98" t="s">
        <v>608</v>
      </c>
      <c r="DD41" s="98">
        <v>0.01</v>
      </c>
      <c r="DE41" s="98" t="s">
        <v>608</v>
      </c>
      <c r="DF41" s="98" t="s">
        <v>610</v>
      </c>
      <c r="DG41" s="98" t="s">
        <v>609</v>
      </c>
      <c r="DH41" s="98" t="s">
        <v>611</v>
      </c>
      <c r="DI41" s="98" t="s">
        <v>612</v>
      </c>
      <c r="DJ41" s="98">
        <v>2.92</v>
      </c>
      <c r="DK41" s="98" t="s">
        <v>304</v>
      </c>
      <c r="DL41" s="98">
        <v>0.28000000000000003</v>
      </c>
      <c r="DM41" s="98" t="s">
        <v>605</v>
      </c>
      <c r="DN41" s="98" t="s">
        <v>91</v>
      </c>
      <c r="DO41" s="98">
        <v>0.34100000000000003</v>
      </c>
    </row>
    <row r="42" spans="1:119">
      <c r="A42" s="53" t="s">
        <v>618</v>
      </c>
      <c r="B42" s="53" t="s">
        <v>619</v>
      </c>
      <c r="C42" s="180">
        <v>44065</v>
      </c>
      <c r="L42" s="183">
        <v>0.46654299999999999</v>
      </c>
      <c r="M42" s="183">
        <v>34.870725999999998</v>
      </c>
      <c r="N42" s="53" t="s">
        <v>331</v>
      </c>
      <c r="O42" s="53" t="s">
        <v>330</v>
      </c>
      <c r="P42" s="53" t="s">
        <v>347</v>
      </c>
      <c r="Q42" s="154" t="s">
        <v>362</v>
      </c>
      <c r="R42" s="154" t="s">
        <v>362</v>
      </c>
      <c r="S42" s="53" t="s">
        <v>620</v>
      </c>
      <c r="T42" s="53" t="s">
        <v>739</v>
      </c>
      <c r="U42" s="53" t="s">
        <v>684</v>
      </c>
      <c r="V42" s="53" t="s">
        <v>683</v>
      </c>
      <c r="W42" s="99">
        <v>85.8</v>
      </c>
      <c r="X42" s="99"/>
      <c r="Y42" s="99">
        <v>71.966524743095334</v>
      </c>
      <c r="Z42" s="99">
        <v>0.83877068465146076</v>
      </c>
      <c r="AA42" s="99">
        <v>7.2939999999999996</v>
      </c>
      <c r="AB42" s="99">
        <v>9.9</v>
      </c>
      <c r="AC42" s="99">
        <v>3.3149999999999999</v>
      </c>
      <c r="AD42" s="99">
        <v>2.5</v>
      </c>
      <c r="AE42" s="99">
        <v>0.18</v>
      </c>
      <c r="AF42" s="99">
        <v>47.18</v>
      </c>
      <c r="AG42" s="99"/>
      <c r="AH42" s="99">
        <v>0.99309008759336304</v>
      </c>
      <c r="AI42" s="99">
        <v>6.998982308002924E-2</v>
      </c>
      <c r="AJ42" s="99">
        <v>7.828444832421936</v>
      </c>
      <c r="AK42" s="99">
        <v>0.8801557499999999</v>
      </c>
      <c r="AL42" s="99">
        <v>1.1330533999999999E-3</v>
      </c>
      <c r="AM42" s="99">
        <v>0.92902527463450069</v>
      </c>
      <c r="AN42" s="99">
        <v>1.5189902530354659E-3</v>
      </c>
      <c r="AO42" s="99">
        <v>0.92902527463450069</v>
      </c>
      <c r="AP42" s="99">
        <v>0.1557450746345008</v>
      </c>
      <c r="AQ42" s="99">
        <v>0.88128880339999993</v>
      </c>
      <c r="AR42" s="99">
        <v>0.93054426488753617</v>
      </c>
      <c r="AS42" s="99">
        <v>-2.7185430241700081</v>
      </c>
      <c r="AT42" s="99">
        <v>-2.8079592865914123</v>
      </c>
      <c r="AU42" s="99">
        <v>-2.7185430241700081</v>
      </c>
      <c r="AV42" s="99">
        <v>69.71476952408824</v>
      </c>
      <c r="AW42" s="99" t="s">
        <v>603</v>
      </c>
      <c r="AX42" s="99">
        <v>7.1758742393796295E-3</v>
      </c>
      <c r="AY42" s="99" t="s">
        <v>603</v>
      </c>
      <c r="AZ42" s="99">
        <v>2.5892605377495301E-2</v>
      </c>
      <c r="BA42" s="99"/>
      <c r="BB42" s="99">
        <v>1.9</v>
      </c>
      <c r="BC42" s="99"/>
      <c r="BD42" s="99"/>
      <c r="BE42" s="99"/>
      <c r="BF42" s="99">
        <v>9.2872187555363084</v>
      </c>
      <c r="BG42" s="99" t="e">
        <v>#DIV/0!</v>
      </c>
      <c r="BH42" s="99" t="e">
        <v>#DIV/0!</v>
      </c>
      <c r="BI42" s="99" t="s">
        <v>613</v>
      </c>
      <c r="BJ42" s="99">
        <v>0.05</v>
      </c>
      <c r="BK42" s="99"/>
      <c r="BL42" s="99">
        <v>53.280940471244087</v>
      </c>
      <c r="BM42" s="99"/>
      <c r="BN42" s="99">
        <v>16.36</v>
      </c>
      <c r="BO42" s="99">
        <v>34.998947999999999</v>
      </c>
      <c r="BP42" s="99">
        <v>8.19</v>
      </c>
      <c r="BQ42" s="99">
        <v>23.7</v>
      </c>
      <c r="BR42" s="99">
        <v>2.2000000000000002</v>
      </c>
      <c r="BS42" s="99">
        <v>8.8000000000000007</v>
      </c>
      <c r="BT42" s="99"/>
      <c r="BU42" s="99">
        <v>8.8000000000000007</v>
      </c>
      <c r="BV42" s="99" t="s">
        <v>604</v>
      </c>
      <c r="BW42" s="99" t="s">
        <v>605</v>
      </c>
      <c r="BX42" s="99" t="s">
        <v>614</v>
      </c>
      <c r="BY42" s="99">
        <v>2.7</v>
      </c>
      <c r="BZ42" s="99" t="s">
        <v>615</v>
      </c>
      <c r="CA42" s="99">
        <v>1.57</v>
      </c>
      <c r="CB42" s="99">
        <v>1.1000000000000001</v>
      </c>
      <c r="CC42" s="99">
        <v>2.5999999999999999E-2</v>
      </c>
      <c r="CD42" s="99">
        <v>0.64</v>
      </c>
      <c r="CE42" s="99">
        <v>0.36</v>
      </c>
      <c r="CF42" s="99">
        <v>2.1</v>
      </c>
      <c r="CG42" s="99" t="s">
        <v>615</v>
      </c>
      <c r="CH42" s="99" t="s">
        <v>92</v>
      </c>
      <c r="CI42" s="99" t="s">
        <v>616</v>
      </c>
      <c r="CJ42" s="99">
        <v>0.27</v>
      </c>
      <c r="CK42" s="99">
        <v>5.6000000000000001E-2</v>
      </c>
      <c r="CL42" s="99">
        <v>2.5000000000000001E-2</v>
      </c>
      <c r="CM42" s="99" t="s">
        <v>603</v>
      </c>
      <c r="CN42" s="99" t="s">
        <v>606</v>
      </c>
      <c r="CO42" s="99" t="s">
        <v>92</v>
      </c>
      <c r="CP42" s="99">
        <v>8.0000000000000002E-3</v>
      </c>
      <c r="CQ42" s="99" t="s">
        <v>605</v>
      </c>
      <c r="CR42" s="99" t="s">
        <v>92</v>
      </c>
      <c r="CS42" s="99" t="s">
        <v>92</v>
      </c>
      <c r="CT42" s="99">
        <v>2.9000000000000001E-2</v>
      </c>
      <c r="CU42" s="99">
        <v>1.2E-2</v>
      </c>
      <c r="CV42" s="99">
        <v>6.0000000000000001E-3</v>
      </c>
      <c r="CW42" s="99">
        <v>2.1000000000000001E-2</v>
      </c>
      <c r="CX42" s="99">
        <v>7.0000000000000001E-3</v>
      </c>
      <c r="CY42" s="99" t="s">
        <v>608</v>
      </c>
      <c r="CZ42" s="99" t="s">
        <v>613</v>
      </c>
      <c r="DA42" s="99" t="s">
        <v>609</v>
      </c>
      <c r="DB42" s="99">
        <v>7.0000000000000001E-3</v>
      </c>
      <c r="DC42" s="99" t="s">
        <v>608</v>
      </c>
      <c r="DD42" s="99">
        <v>4.0000000000000001E-3</v>
      </c>
      <c r="DE42" s="99" t="s">
        <v>608</v>
      </c>
      <c r="DF42" s="99" t="s">
        <v>613</v>
      </c>
      <c r="DG42" s="99" t="s">
        <v>608</v>
      </c>
      <c r="DH42" s="99" t="s">
        <v>612</v>
      </c>
      <c r="DI42" s="99" t="s">
        <v>612</v>
      </c>
      <c r="DJ42" s="99" t="s">
        <v>615</v>
      </c>
      <c r="DK42" s="99" t="s">
        <v>304</v>
      </c>
      <c r="DL42" s="99">
        <v>0.18</v>
      </c>
      <c r="DM42" s="99" t="s">
        <v>605</v>
      </c>
      <c r="DN42" s="99" t="s">
        <v>91</v>
      </c>
      <c r="DO42" s="99" t="s">
        <v>610</v>
      </c>
    </row>
    <row r="43" spans="1:119">
      <c r="A43" s="53" t="s">
        <v>621</v>
      </c>
      <c r="B43" s="53" t="s">
        <v>622</v>
      </c>
      <c r="C43" s="180">
        <v>44065</v>
      </c>
      <c r="L43" s="183">
        <v>0.46604000000000001</v>
      </c>
      <c r="M43" s="183">
        <v>34.870392000000002</v>
      </c>
      <c r="N43" s="53" t="s">
        <v>331</v>
      </c>
      <c r="O43" s="53" t="s">
        <v>330</v>
      </c>
      <c r="P43" s="53" t="s">
        <v>347</v>
      </c>
      <c r="Q43" s="154" t="s">
        <v>362</v>
      </c>
      <c r="R43" s="154" t="s">
        <v>362</v>
      </c>
      <c r="S43" s="53" t="s">
        <v>623</v>
      </c>
      <c r="T43" s="53" t="s">
        <v>739</v>
      </c>
      <c r="U43" s="53" t="s">
        <v>684</v>
      </c>
      <c r="V43" s="53" t="s">
        <v>683</v>
      </c>
      <c r="W43" s="99">
        <v>70.7</v>
      </c>
      <c r="X43" s="99"/>
      <c r="Y43" s="99">
        <v>58.641300907844254</v>
      </c>
      <c r="Z43" s="99">
        <v>0.82943848525946606</v>
      </c>
      <c r="AA43" s="99">
        <v>7.266</v>
      </c>
      <c r="AB43" s="99">
        <v>8.3000000000000007</v>
      </c>
      <c r="AC43" s="99">
        <v>2.3809999999999998</v>
      </c>
      <c r="AD43" s="99">
        <v>2</v>
      </c>
      <c r="AE43" s="99">
        <v>0.54</v>
      </c>
      <c r="AF43" s="99">
        <v>38.81</v>
      </c>
      <c r="AG43" s="99"/>
      <c r="AH43" s="99">
        <v>1.4458731077883806</v>
      </c>
      <c r="AI43" s="99">
        <v>0.10342826560212245</v>
      </c>
      <c r="AJ43" s="99">
        <v>5.0609995344537522</v>
      </c>
      <c r="AK43" s="99">
        <v>0.71091568999999999</v>
      </c>
      <c r="AL43" s="99">
        <v>1.8371697999999999E-3</v>
      </c>
      <c r="AM43" s="99">
        <v>0.76067127935128531</v>
      </c>
      <c r="AN43" s="99">
        <v>1.9334308875888747E-3</v>
      </c>
      <c r="AO43" s="99">
        <v>0.76067127935128531</v>
      </c>
      <c r="AP43" s="99">
        <v>0.12457537935128543</v>
      </c>
      <c r="AQ43" s="99">
        <v>0.71275285980000003</v>
      </c>
      <c r="AR43" s="99">
        <v>0.76260471023887422</v>
      </c>
      <c r="AS43" s="99">
        <v>-3.378967339935135</v>
      </c>
      <c r="AT43" s="99">
        <v>-3.5649434832882139</v>
      </c>
      <c r="AU43" s="99">
        <v>-3.378967339935135</v>
      </c>
      <c r="AV43" s="99">
        <v>69.852356004054272</v>
      </c>
      <c r="AW43" s="99">
        <v>1.3986386339772278E-2</v>
      </c>
      <c r="AX43" s="99">
        <v>6.6947307951005022E-3</v>
      </c>
      <c r="AY43" s="99" t="s">
        <v>603</v>
      </c>
      <c r="AZ43" s="99">
        <v>3.0637877719024337E-2</v>
      </c>
      <c r="BA43" s="99"/>
      <c r="BB43" s="99">
        <v>1.4</v>
      </c>
      <c r="BC43" s="99"/>
      <c r="BD43" s="99"/>
      <c r="BE43" s="99"/>
      <c r="BF43" s="99">
        <v>7.6396133934371377</v>
      </c>
      <c r="BG43" s="99" t="e">
        <v>#DIV/0!</v>
      </c>
      <c r="BH43" s="99" t="e">
        <v>#DIV/0!</v>
      </c>
      <c r="BI43" s="99" t="s">
        <v>613</v>
      </c>
      <c r="BJ43" s="99">
        <v>0.08</v>
      </c>
      <c r="BK43" s="99"/>
      <c r="BL43" s="99">
        <v>56.850232960866073</v>
      </c>
      <c r="BM43" s="99"/>
      <c r="BN43" s="99">
        <v>13.43</v>
      </c>
      <c r="BO43" s="99">
        <v>28.730798999999998</v>
      </c>
      <c r="BP43" s="99">
        <v>13.88</v>
      </c>
      <c r="BQ43" s="99">
        <v>25.5</v>
      </c>
      <c r="BR43" s="99">
        <v>11.4</v>
      </c>
      <c r="BS43" s="99">
        <v>19.600000000000001</v>
      </c>
      <c r="BT43" s="99"/>
      <c r="BU43" s="99">
        <v>19.600000000000001</v>
      </c>
      <c r="BV43" s="99" t="s">
        <v>604</v>
      </c>
      <c r="BW43" s="99" t="s">
        <v>605</v>
      </c>
      <c r="BX43" s="99" t="s">
        <v>614</v>
      </c>
      <c r="BY43" s="99">
        <v>15.6</v>
      </c>
      <c r="BZ43" s="99">
        <v>0.19</v>
      </c>
      <c r="CA43" s="99">
        <v>0.79</v>
      </c>
      <c r="CB43" s="99">
        <v>0.3</v>
      </c>
      <c r="CC43" s="99">
        <v>0.13700000000000001</v>
      </c>
      <c r="CD43" s="99">
        <v>0.56999999999999995</v>
      </c>
      <c r="CE43" s="99">
        <v>0.4</v>
      </c>
      <c r="CF43" s="99">
        <v>1.1000000000000001</v>
      </c>
      <c r="CG43" s="99" t="s">
        <v>615</v>
      </c>
      <c r="CH43" s="99" t="s">
        <v>92</v>
      </c>
      <c r="CI43" s="99">
        <v>0.09</v>
      </c>
      <c r="CJ43" s="99">
        <v>0.88</v>
      </c>
      <c r="CK43" s="99">
        <v>8.3000000000000004E-2</v>
      </c>
      <c r="CL43" s="99">
        <v>3.1E-2</v>
      </c>
      <c r="CM43" s="99" t="s">
        <v>603</v>
      </c>
      <c r="CN43" s="99" t="s">
        <v>606</v>
      </c>
      <c r="CO43" s="99" t="s">
        <v>92</v>
      </c>
      <c r="CP43" s="99">
        <v>5.0000000000000001E-3</v>
      </c>
      <c r="CQ43" s="99" t="s">
        <v>605</v>
      </c>
      <c r="CR43" s="99" t="s">
        <v>92</v>
      </c>
      <c r="CS43" s="99" t="s">
        <v>92</v>
      </c>
      <c r="CT43" s="99">
        <v>8.1000000000000003E-2</v>
      </c>
      <c r="CU43" s="99">
        <v>9.7000000000000003E-2</v>
      </c>
      <c r="CV43" s="99">
        <v>1.7000000000000001E-2</v>
      </c>
      <c r="CW43" s="99">
        <v>5.7000000000000002E-2</v>
      </c>
      <c r="CX43" s="99">
        <v>1.2999999999999999E-2</v>
      </c>
      <c r="CY43" s="99" t="s">
        <v>608</v>
      </c>
      <c r="CZ43" s="99">
        <v>1.6E-2</v>
      </c>
      <c r="DA43" s="99" t="s">
        <v>609</v>
      </c>
      <c r="DB43" s="99">
        <v>1.2999999999999999E-2</v>
      </c>
      <c r="DC43" s="99">
        <v>3.0000000000000001E-3</v>
      </c>
      <c r="DD43" s="99">
        <v>8.9999999999999993E-3</v>
      </c>
      <c r="DE43" s="99" t="s">
        <v>608</v>
      </c>
      <c r="DF43" s="99">
        <v>8.9999999999999993E-3</v>
      </c>
      <c r="DG43" s="99" t="s">
        <v>608</v>
      </c>
      <c r="DH43" s="99" t="s">
        <v>612</v>
      </c>
      <c r="DI43" s="99" t="s">
        <v>612</v>
      </c>
      <c r="DJ43" s="99" t="s">
        <v>615</v>
      </c>
      <c r="DK43" s="99" t="s">
        <v>304</v>
      </c>
      <c r="DL43" s="99">
        <v>0.1</v>
      </c>
      <c r="DM43" s="99" t="s">
        <v>605</v>
      </c>
      <c r="DN43" s="99" t="s">
        <v>91</v>
      </c>
      <c r="DO43" s="99" t="s">
        <v>610</v>
      </c>
    </row>
    <row r="44" spans="1:119">
      <c r="A44" s="53" t="s">
        <v>624</v>
      </c>
      <c r="B44" s="53" t="s">
        <v>625</v>
      </c>
      <c r="C44" s="180">
        <v>44065</v>
      </c>
      <c r="L44" s="183">
        <v>0.195803</v>
      </c>
      <c r="M44" s="183">
        <v>34.487564999999996</v>
      </c>
      <c r="N44" s="53" t="s">
        <v>338</v>
      </c>
      <c r="O44" s="53" t="s">
        <v>330</v>
      </c>
      <c r="P44" s="53" t="s">
        <v>347</v>
      </c>
      <c r="Q44" s="154" t="s">
        <v>362</v>
      </c>
      <c r="R44" s="154" t="s">
        <v>362</v>
      </c>
      <c r="S44" s="53" t="s">
        <v>626</v>
      </c>
      <c r="T44" s="53" t="s">
        <v>739</v>
      </c>
      <c r="U44" s="53" t="s">
        <v>684</v>
      </c>
      <c r="V44" s="53" t="s">
        <v>683</v>
      </c>
      <c r="W44" s="99">
        <v>157.69999999999999</v>
      </c>
      <c r="X44" s="99"/>
      <c r="Y44" s="99">
        <v>121.84992916107304</v>
      </c>
      <c r="Z44" s="99">
        <v>0.77266917667135726</v>
      </c>
      <c r="AA44" s="99">
        <v>7.2910000000000004</v>
      </c>
      <c r="AB44" s="99">
        <v>13.3</v>
      </c>
      <c r="AC44" s="99">
        <v>3.891</v>
      </c>
      <c r="AD44" s="99">
        <v>12.2</v>
      </c>
      <c r="AE44" s="99">
        <v>1.01</v>
      </c>
      <c r="AF44" s="99">
        <v>69.959999999999994</v>
      </c>
      <c r="AG44" s="99"/>
      <c r="AH44" s="99">
        <v>2.5750231288070458</v>
      </c>
      <c r="AI44" s="99">
        <v>14.041145915459568</v>
      </c>
      <c r="AJ44" s="99">
        <v>4.8727601168064298</v>
      </c>
      <c r="AK44" s="99">
        <v>1.5403961900000001</v>
      </c>
      <c r="AL44" s="99">
        <v>7.0414721999999992E-3</v>
      </c>
      <c r="AM44" s="99">
        <v>1.5902200811076026</v>
      </c>
      <c r="AN44" s="99">
        <v>7.7286975991292736E-3</v>
      </c>
      <c r="AO44" s="99">
        <v>1.5902200811076026</v>
      </c>
      <c r="AP44" s="99">
        <v>0.4435756811076027</v>
      </c>
      <c r="AQ44" s="99">
        <v>1.5474376622000001</v>
      </c>
      <c r="AR44" s="99">
        <v>1.5979487787067319</v>
      </c>
      <c r="AS44" s="99">
        <v>-1.6058795145111253</v>
      </c>
      <c r="AT44" s="99">
        <v>-2.2075209009974976</v>
      </c>
      <c r="AU44" s="99">
        <v>-1.6058795145111253</v>
      </c>
      <c r="AV44" s="99">
        <v>54.841158141448105</v>
      </c>
      <c r="AW44" s="99">
        <v>4.2846957498808708E-2</v>
      </c>
      <c r="AX44" s="99" t="s">
        <v>613</v>
      </c>
      <c r="AY44" s="99" t="s">
        <v>603</v>
      </c>
      <c r="AZ44" s="99">
        <v>0.13663095918017076</v>
      </c>
      <c r="BA44" s="99"/>
      <c r="BB44" s="99">
        <v>3.3</v>
      </c>
      <c r="BC44" s="99"/>
      <c r="BD44" s="99"/>
      <c r="BE44" s="99"/>
      <c r="BF44" s="99">
        <v>13.771382453101316</v>
      </c>
      <c r="BG44" s="99" t="e">
        <v>#DIV/0!</v>
      </c>
      <c r="BH44" s="99" t="e">
        <v>#DIV/0!</v>
      </c>
      <c r="BI44" s="99">
        <v>0.113</v>
      </c>
      <c r="BJ44" s="99">
        <v>4.99</v>
      </c>
      <c r="BK44" s="99"/>
      <c r="BL44" s="99">
        <v>6.0858121325116814</v>
      </c>
      <c r="BM44" s="99"/>
      <c r="BN44" s="99">
        <v>31.26</v>
      </c>
      <c r="BO44" s="99">
        <v>66.874518000000009</v>
      </c>
      <c r="BP44" s="99">
        <v>33.520000000000003</v>
      </c>
      <c r="BQ44" s="99">
        <v>214.3</v>
      </c>
      <c r="BR44" s="99">
        <v>2.8</v>
      </c>
      <c r="BS44" s="99">
        <v>4.0999999999999996</v>
      </c>
      <c r="BT44" s="99"/>
      <c r="BU44" s="99">
        <v>4.0999999999999996</v>
      </c>
      <c r="BV44" s="99">
        <v>10</v>
      </c>
      <c r="BW44" s="99" t="s">
        <v>605</v>
      </c>
      <c r="BX44" s="99" t="s">
        <v>614</v>
      </c>
      <c r="BY44" s="99">
        <v>8.1999999999999993</v>
      </c>
      <c r="BZ44" s="99">
        <v>0.12</v>
      </c>
      <c r="CA44" s="99">
        <v>1.5</v>
      </c>
      <c r="CB44" s="99">
        <v>0.2</v>
      </c>
      <c r="CC44" s="99">
        <v>1.7999999999999999E-2</v>
      </c>
      <c r="CD44" s="99">
        <v>2.63</v>
      </c>
      <c r="CE44" s="99">
        <v>0.33</v>
      </c>
      <c r="CF44" s="99">
        <v>1.3</v>
      </c>
      <c r="CG44" s="99" t="s">
        <v>615</v>
      </c>
      <c r="CH44" s="99">
        <v>0.65</v>
      </c>
      <c r="CI44" s="99">
        <v>0.16</v>
      </c>
      <c r="CJ44" s="99">
        <v>0.17</v>
      </c>
      <c r="CK44" s="99">
        <v>7.9000000000000001E-2</v>
      </c>
      <c r="CL44" s="99" t="s">
        <v>610</v>
      </c>
      <c r="CM44" s="99" t="s">
        <v>603</v>
      </c>
      <c r="CN44" s="99" t="s">
        <v>606</v>
      </c>
      <c r="CO44" s="99" t="s">
        <v>92</v>
      </c>
      <c r="CP44" s="99" t="s">
        <v>613</v>
      </c>
      <c r="CQ44" s="99" t="s">
        <v>605</v>
      </c>
      <c r="CR44" s="99">
        <v>0.06</v>
      </c>
      <c r="CS44" s="99" t="s">
        <v>92</v>
      </c>
      <c r="CT44" s="99">
        <v>8.6999999999999994E-2</v>
      </c>
      <c r="CU44" s="99">
        <v>2.5000000000000001E-2</v>
      </c>
      <c r="CV44" s="99">
        <v>0.02</v>
      </c>
      <c r="CW44" s="99">
        <v>8.7999999999999995E-2</v>
      </c>
      <c r="CX44" s="99">
        <v>1.2999999999999999E-2</v>
      </c>
      <c r="CY44" s="99" t="s">
        <v>608</v>
      </c>
      <c r="CZ44" s="99">
        <v>1.4E-2</v>
      </c>
      <c r="DA44" s="99" t="s">
        <v>609</v>
      </c>
      <c r="DB44" s="99">
        <v>8.0000000000000002E-3</v>
      </c>
      <c r="DC44" s="99" t="s">
        <v>608</v>
      </c>
      <c r="DD44" s="99" t="s">
        <v>608</v>
      </c>
      <c r="DE44" s="99" t="s">
        <v>608</v>
      </c>
      <c r="DF44" s="99">
        <v>6.0000000000000001E-3</v>
      </c>
      <c r="DG44" s="99" t="s">
        <v>608</v>
      </c>
      <c r="DH44" s="99" t="s">
        <v>612</v>
      </c>
      <c r="DI44" s="99" t="s">
        <v>612</v>
      </c>
      <c r="DJ44" s="99" t="s">
        <v>615</v>
      </c>
      <c r="DK44" s="99" t="s">
        <v>304</v>
      </c>
      <c r="DL44" s="99">
        <v>7.0000000000000007E-2</v>
      </c>
      <c r="DM44" s="99" t="s">
        <v>605</v>
      </c>
      <c r="DN44" s="99" t="s">
        <v>91</v>
      </c>
      <c r="DO44" s="99" t="s">
        <v>610</v>
      </c>
    </row>
    <row r="45" spans="1:119">
      <c r="A45" s="53" t="s">
        <v>627</v>
      </c>
      <c r="B45" s="53" t="s">
        <v>628</v>
      </c>
      <c r="C45" s="180">
        <v>44065</v>
      </c>
      <c r="L45" s="183">
        <v>0.195803</v>
      </c>
      <c r="M45" s="183">
        <v>34.487564999999996</v>
      </c>
      <c r="N45" s="53" t="s">
        <v>337</v>
      </c>
      <c r="O45" s="53" t="s">
        <v>330</v>
      </c>
      <c r="P45" s="53" t="s">
        <v>347</v>
      </c>
      <c r="Q45" s="154" t="s">
        <v>362</v>
      </c>
      <c r="R45" s="154" t="s">
        <v>362</v>
      </c>
      <c r="S45" s="53" t="s">
        <v>629</v>
      </c>
      <c r="T45" s="53" t="s">
        <v>739</v>
      </c>
      <c r="U45" s="53" t="s">
        <v>684</v>
      </c>
      <c r="V45" s="53" t="s">
        <v>683</v>
      </c>
      <c r="W45" s="99">
        <v>150.69999999999999</v>
      </c>
      <c r="X45" s="99"/>
      <c r="Y45" s="99">
        <v>109.1670307488106</v>
      </c>
      <c r="Z45" s="99">
        <v>0.72439967318387932</v>
      </c>
      <c r="AA45" s="99">
        <v>7.4909999999999997</v>
      </c>
      <c r="AB45" s="99">
        <v>16.100000000000001</v>
      </c>
      <c r="AC45" s="99">
        <v>3.03</v>
      </c>
      <c r="AD45" s="99">
        <v>3.5</v>
      </c>
      <c r="AE45" s="99">
        <v>6.7</v>
      </c>
      <c r="AF45" s="99">
        <v>46.29</v>
      </c>
      <c r="AG45" s="99"/>
      <c r="AH45" s="99">
        <v>4.5597233684216683</v>
      </c>
      <c r="AI45" s="99">
        <v>7.5733851533667069</v>
      </c>
      <c r="AJ45" s="99">
        <v>21.413922227022223</v>
      </c>
      <c r="AK45" s="99">
        <v>1.3763647000000001</v>
      </c>
      <c r="AL45" s="99">
        <v>5.8561733999999994E-3</v>
      </c>
      <c r="AM45" s="99">
        <v>1.3904073406381383</v>
      </c>
      <c r="AN45" s="99">
        <v>1.7360803603962426E-2</v>
      </c>
      <c r="AO45" s="99">
        <v>1.3904073406381383</v>
      </c>
      <c r="AP45" s="99">
        <v>0.63171424063813852</v>
      </c>
      <c r="AQ45" s="99">
        <v>1.3822208734000001</v>
      </c>
      <c r="AR45" s="99">
        <v>1.4077681442421008</v>
      </c>
      <c r="AS45" s="99">
        <v>-0.91567639444299531</v>
      </c>
      <c r="AT45" s="99">
        <v>-1.1714676982658605</v>
      </c>
      <c r="AU45" s="99">
        <v>-0.91567639444299531</v>
      </c>
      <c r="AV45" s="99">
        <v>36.092517234462036</v>
      </c>
      <c r="AW45" s="99">
        <v>6.0646153891566919E-2</v>
      </c>
      <c r="AX45" s="99">
        <v>1.0109649665362703E-2</v>
      </c>
      <c r="AY45" s="99" t="s">
        <v>603</v>
      </c>
      <c r="AZ45" s="99">
        <v>0.3112030770044647</v>
      </c>
      <c r="BA45" s="99"/>
      <c r="BB45" s="99">
        <v>3.4</v>
      </c>
      <c r="BC45" s="99"/>
      <c r="BD45" s="99"/>
      <c r="BE45" s="99"/>
      <c r="BF45" s="99">
        <v>9.1120253538316174</v>
      </c>
      <c r="BG45" s="99" t="e">
        <v>#DIV/0!</v>
      </c>
      <c r="BH45" s="99" t="e">
        <v>#DIV/0!</v>
      </c>
      <c r="BI45" s="99" t="s">
        <v>613</v>
      </c>
      <c r="BJ45" s="99">
        <v>2.64</v>
      </c>
      <c r="BK45" s="99"/>
      <c r="BL45" s="99">
        <v>4.2551733032711727</v>
      </c>
      <c r="BM45" s="99"/>
      <c r="BN45" s="99">
        <v>11.53</v>
      </c>
      <c r="BO45" s="99">
        <v>24.666128999999998</v>
      </c>
      <c r="BP45" s="99">
        <v>173.79</v>
      </c>
      <c r="BQ45" s="99">
        <v>78.099999999999994</v>
      </c>
      <c r="BR45" s="99">
        <v>89.6</v>
      </c>
      <c r="BS45" s="99">
        <v>1.9</v>
      </c>
      <c r="BT45" s="99"/>
      <c r="BU45" s="99">
        <v>1.9</v>
      </c>
      <c r="BV45" s="99">
        <v>10</v>
      </c>
      <c r="BW45" s="99">
        <v>1.2</v>
      </c>
      <c r="BX45" s="99" t="s">
        <v>614</v>
      </c>
      <c r="BY45" s="99">
        <v>55.2</v>
      </c>
      <c r="BZ45" s="99" t="s">
        <v>615</v>
      </c>
      <c r="CA45" s="99">
        <v>1.21</v>
      </c>
      <c r="CB45" s="99">
        <v>1.5</v>
      </c>
      <c r="CC45" s="99">
        <v>4.6319999999999997</v>
      </c>
      <c r="CD45" s="99">
        <v>16.64</v>
      </c>
      <c r="CE45" s="99">
        <v>7.78</v>
      </c>
      <c r="CF45" s="99">
        <v>55.7</v>
      </c>
      <c r="CG45" s="99" t="s">
        <v>615</v>
      </c>
      <c r="CH45" s="99">
        <v>0.06</v>
      </c>
      <c r="CI45" s="99">
        <v>0.11</v>
      </c>
      <c r="CJ45" s="99">
        <v>5.98</v>
      </c>
      <c r="CK45" s="99">
        <v>0.42799999999999999</v>
      </c>
      <c r="CL45" s="99" t="s">
        <v>610</v>
      </c>
      <c r="CM45" s="99" t="s">
        <v>603</v>
      </c>
      <c r="CN45" s="99" t="s">
        <v>606</v>
      </c>
      <c r="CO45" s="99" t="s">
        <v>92</v>
      </c>
      <c r="CP45" s="99">
        <v>3.3000000000000002E-2</v>
      </c>
      <c r="CQ45" s="99" t="s">
        <v>605</v>
      </c>
      <c r="CR45" s="99">
        <v>0.14000000000000001</v>
      </c>
      <c r="CS45" s="99">
        <v>0.23</v>
      </c>
      <c r="CT45" s="99">
        <v>1.2190000000000001</v>
      </c>
      <c r="CU45" s="99">
        <v>0.17</v>
      </c>
      <c r="CV45" s="99">
        <v>0.22800000000000001</v>
      </c>
      <c r="CW45" s="99">
        <v>0.89</v>
      </c>
      <c r="CX45" s="99">
        <v>0.123</v>
      </c>
      <c r="CY45" s="99">
        <v>3.2000000000000001E-2</v>
      </c>
      <c r="CZ45" s="99">
        <v>0.108</v>
      </c>
      <c r="DA45" s="99">
        <v>1.0999999999999999E-2</v>
      </c>
      <c r="DB45" s="99">
        <v>0.05</v>
      </c>
      <c r="DC45" s="99">
        <v>0.01</v>
      </c>
      <c r="DD45" s="99">
        <v>2.4E-2</v>
      </c>
      <c r="DE45" s="99" t="s">
        <v>608</v>
      </c>
      <c r="DF45" s="99">
        <v>1.9E-2</v>
      </c>
      <c r="DG45" s="99" t="s">
        <v>608</v>
      </c>
      <c r="DH45" s="99" t="s">
        <v>612</v>
      </c>
      <c r="DI45" s="99" t="s">
        <v>612</v>
      </c>
      <c r="DJ45" s="99" t="s">
        <v>615</v>
      </c>
      <c r="DK45" s="99" t="s">
        <v>304</v>
      </c>
      <c r="DL45" s="99">
        <v>0.06</v>
      </c>
      <c r="DM45" s="99" t="s">
        <v>605</v>
      </c>
      <c r="DN45" s="99" t="s">
        <v>91</v>
      </c>
      <c r="DO45" s="99">
        <v>7.5999999999999998E-2</v>
      </c>
    </row>
    <row r="46" spans="1:119">
      <c r="A46" s="53" t="s">
        <v>630</v>
      </c>
      <c r="B46" s="53" t="s">
        <v>631</v>
      </c>
      <c r="C46" s="180">
        <v>44065</v>
      </c>
      <c r="L46" s="183">
        <v>0.49734299999999998</v>
      </c>
      <c r="M46" s="183">
        <v>35.278543999999997</v>
      </c>
      <c r="N46" s="53" t="s">
        <v>633</v>
      </c>
      <c r="O46" s="53" t="s">
        <v>632</v>
      </c>
      <c r="P46" s="53" t="s">
        <v>347</v>
      </c>
      <c r="Q46" s="154" t="s">
        <v>362</v>
      </c>
      <c r="R46" s="154" t="s">
        <v>362</v>
      </c>
      <c r="S46" s="53" t="s">
        <v>672</v>
      </c>
      <c r="T46" s="53" t="s">
        <v>739</v>
      </c>
      <c r="U46" s="53" t="s">
        <v>684</v>
      </c>
      <c r="V46" s="53" t="s">
        <v>683</v>
      </c>
      <c r="W46" s="99">
        <v>143.69999999999999</v>
      </c>
      <c r="X46" s="99"/>
      <c r="Y46" s="99">
        <v>110.55089915955706</v>
      </c>
      <c r="Z46" s="99">
        <v>0.76931732191758573</v>
      </c>
      <c r="AA46" s="99">
        <v>7.1269999999999998</v>
      </c>
      <c r="AB46" s="99">
        <v>6.5</v>
      </c>
      <c r="AC46" s="99">
        <v>1.3580000000000001</v>
      </c>
      <c r="AD46" s="99">
        <v>15.8</v>
      </c>
      <c r="AE46" s="99">
        <v>7.97</v>
      </c>
      <c r="AF46" s="99">
        <v>56.31</v>
      </c>
      <c r="AG46" s="99"/>
      <c r="AH46" s="99">
        <v>6.2913237472660049</v>
      </c>
      <c r="AI46" s="99">
        <v>6.2885332068535194</v>
      </c>
      <c r="AJ46" s="99">
        <v>10.033042205437543</v>
      </c>
      <c r="AK46" s="99">
        <v>1.3272724199999999</v>
      </c>
      <c r="AL46" s="99">
        <v>3.5394547999999999E-3</v>
      </c>
      <c r="AM46" s="99">
        <v>1.3931593750507718</v>
      </c>
      <c r="AN46" s="99">
        <v>1.0570134013500789E-2</v>
      </c>
      <c r="AO46" s="99">
        <v>1.3931593750507718</v>
      </c>
      <c r="AP46" s="99">
        <v>0.47023847505077176</v>
      </c>
      <c r="AQ46" s="99">
        <v>1.3308118748</v>
      </c>
      <c r="AR46" s="99">
        <v>1.4037295090642725</v>
      </c>
      <c r="AS46" s="99">
        <v>-2.6665397969304161</v>
      </c>
      <c r="AT46" s="99">
        <v>-3.0516997449971082</v>
      </c>
      <c r="AU46" s="99">
        <v>-2.6665397969304161</v>
      </c>
      <c r="AV46" s="99">
        <v>46.919499603064224</v>
      </c>
      <c r="AW46" s="99">
        <v>5.6669850736622174E-2</v>
      </c>
      <c r="AX46" s="99" t="s">
        <v>613</v>
      </c>
      <c r="AY46" s="99" t="s">
        <v>603</v>
      </c>
      <c r="AZ46" s="99">
        <v>0.18732195065118315</v>
      </c>
      <c r="BA46" s="99"/>
      <c r="BB46" s="99">
        <v>7.8</v>
      </c>
      <c r="BC46" s="99"/>
      <c r="BD46" s="99"/>
      <c r="BE46" s="99"/>
      <c r="BF46" s="99">
        <v>11.08442747190016</v>
      </c>
      <c r="BG46" s="99" t="e">
        <v>#DIV/0!</v>
      </c>
      <c r="BH46" s="99" t="e">
        <v>#DIV/0!</v>
      </c>
      <c r="BI46" s="99">
        <v>8.9999999999999993E-3</v>
      </c>
      <c r="BJ46" s="99">
        <v>2.27</v>
      </c>
      <c r="BK46" s="99"/>
      <c r="BL46" s="99">
        <v>7.5402527951922842</v>
      </c>
      <c r="BM46" s="99"/>
      <c r="BN46" s="99">
        <v>18.010000000000002</v>
      </c>
      <c r="BO46" s="99">
        <v>38.528793</v>
      </c>
      <c r="BP46" s="99">
        <v>17.28</v>
      </c>
      <c r="BQ46" s="99">
        <v>74.599999999999994</v>
      </c>
      <c r="BR46" s="99">
        <v>13.8</v>
      </c>
      <c r="BS46" s="99">
        <v>29.5</v>
      </c>
      <c r="BT46" s="99"/>
      <c r="BU46" s="99">
        <v>29.5</v>
      </c>
      <c r="BV46" s="99" t="s">
        <v>604</v>
      </c>
      <c r="BW46" s="99">
        <v>0.15</v>
      </c>
      <c r="BX46" s="99" t="s">
        <v>614</v>
      </c>
      <c r="BY46" s="99">
        <v>108.3</v>
      </c>
      <c r="BZ46" s="99">
        <v>2.02</v>
      </c>
      <c r="CA46" s="99">
        <v>0.2</v>
      </c>
      <c r="CB46" s="99">
        <v>0.2</v>
      </c>
      <c r="CC46" s="99">
        <v>2.5999999999999999E-2</v>
      </c>
      <c r="CD46" s="99">
        <v>0.1</v>
      </c>
      <c r="CE46" s="99">
        <v>0.66</v>
      </c>
      <c r="CF46" s="99">
        <v>3.4</v>
      </c>
      <c r="CG46" s="99" t="s">
        <v>615</v>
      </c>
      <c r="CH46" s="99">
        <v>1.08</v>
      </c>
      <c r="CI46" s="99" t="s">
        <v>616</v>
      </c>
      <c r="CJ46" s="99">
        <v>13.97</v>
      </c>
      <c r="CK46" s="99">
        <v>0.68600000000000005</v>
      </c>
      <c r="CL46" s="99">
        <v>0.91</v>
      </c>
      <c r="CM46" s="99">
        <v>0.1</v>
      </c>
      <c r="CN46" s="99" t="s">
        <v>606</v>
      </c>
      <c r="CO46" s="99" t="s">
        <v>92</v>
      </c>
      <c r="CP46" s="99">
        <v>1.4E-2</v>
      </c>
      <c r="CQ46" s="99" t="s">
        <v>605</v>
      </c>
      <c r="CR46" s="99" t="s">
        <v>92</v>
      </c>
      <c r="CS46" s="99" t="s">
        <v>92</v>
      </c>
      <c r="CT46" s="99">
        <v>0.83</v>
      </c>
      <c r="CU46" s="99">
        <v>0.47499999999999998</v>
      </c>
      <c r="CV46" s="99">
        <v>0.158</v>
      </c>
      <c r="CW46" s="99">
        <v>0.52400000000000002</v>
      </c>
      <c r="CX46" s="99">
        <v>0.106</v>
      </c>
      <c r="CY46" s="99">
        <v>1.4E-2</v>
      </c>
      <c r="CZ46" s="99">
        <v>0.1</v>
      </c>
      <c r="DA46" s="99">
        <v>1.4E-2</v>
      </c>
      <c r="DB46" s="99">
        <v>9.8000000000000004E-2</v>
      </c>
      <c r="DC46" s="99">
        <v>2.3E-2</v>
      </c>
      <c r="DD46" s="99">
        <v>7.4999999999999997E-2</v>
      </c>
      <c r="DE46" s="99">
        <v>0.01</v>
      </c>
      <c r="DF46" s="99">
        <v>8.5000000000000006E-2</v>
      </c>
      <c r="DG46" s="99">
        <v>1.4E-2</v>
      </c>
      <c r="DH46" s="99">
        <v>2.1000000000000001E-2</v>
      </c>
      <c r="DI46" s="99" t="s">
        <v>612</v>
      </c>
      <c r="DJ46" s="99" t="s">
        <v>615</v>
      </c>
      <c r="DK46" s="99" t="s">
        <v>304</v>
      </c>
      <c r="DL46" s="99">
        <v>0.28000000000000003</v>
      </c>
      <c r="DM46" s="99" t="s">
        <v>605</v>
      </c>
      <c r="DN46" s="99" t="s">
        <v>91</v>
      </c>
      <c r="DO46" s="99">
        <v>6.5000000000000002E-2</v>
      </c>
    </row>
    <row r="47" spans="1:119" s="26" customFormat="1">
      <c r="C47" s="83"/>
      <c r="D47" s="83"/>
      <c r="E47" s="83"/>
      <c r="F47" s="83"/>
      <c r="G47" s="83"/>
      <c r="L47" s="83"/>
      <c r="M47" s="83"/>
      <c r="O47" s="69"/>
      <c r="P47" s="69"/>
      <c r="Q47" s="57"/>
      <c r="R47" s="57"/>
      <c r="S47" s="57"/>
      <c r="T47" s="57"/>
      <c r="U47" s="57"/>
      <c r="V47" s="57"/>
      <c r="W47" s="70"/>
      <c r="X47" s="70"/>
      <c r="Y47" s="71"/>
      <c r="Z47" s="70"/>
      <c r="AA47" s="70"/>
      <c r="AB47" s="70"/>
      <c r="AC47" s="70"/>
      <c r="AD47" s="70"/>
      <c r="AE47" s="70"/>
      <c r="AF47" s="71"/>
      <c r="AG47" s="57"/>
      <c r="AH47" s="70"/>
      <c r="AI47" s="70"/>
      <c r="AJ47" s="57"/>
      <c r="AK47" s="57"/>
      <c r="AL47" s="57"/>
      <c r="AM47" s="57"/>
      <c r="AN47" s="57"/>
      <c r="AO47" s="70"/>
      <c r="AP47" s="57"/>
      <c r="AQ47" s="86"/>
      <c r="AR47" s="87"/>
      <c r="AS47" s="70"/>
      <c r="AT47" s="57"/>
      <c r="AU47" s="57"/>
      <c r="AV47" s="70"/>
      <c r="AW47" s="57"/>
      <c r="AX47" s="57"/>
      <c r="AY47" s="70"/>
      <c r="AZ47" s="57"/>
      <c r="BA47" s="57"/>
      <c r="BB47" s="57"/>
      <c r="BC47" s="57"/>
      <c r="BD47" s="57"/>
      <c r="BE47" s="57"/>
      <c r="BF47" s="57"/>
      <c r="BG47" s="57"/>
      <c r="BH47" s="57"/>
      <c r="BI47" s="57"/>
      <c r="BJ47" s="57"/>
      <c r="BK47" s="57"/>
      <c r="BL47" s="57"/>
      <c r="BM47" s="57"/>
      <c r="BN47" s="57"/>
      <c r="BO47" s="70"/>
      <c r="BP47" s="70"/>
      <c r="BQ47" s="70"/>
      <c r="BR47" s="70"/>
      <c r="BS47" s="70"/>
      <c r="BT47" s="57"/>
      <c r="BU47" s="57"/>
    </row>
    <row r="48" spans="1:119">
      <c r="A48" s="42" t="s">
        <v>637</v>
      </c>
      <c r="B48" s="88"/>
      <c r="C48" s="88"/>
      <c r="D48" s="88"/>
      <c r="E48" s="88"/>
      <c r="F48" s="88"/>
      <c r="G48" s="88"/>
      <c r="H48" s="88"/>
      <c r="I48" s="88"/>
      <c r="J48" s="88"/>
      <c r="K48" s="88"/>
      <c r="L48" s="88"/>
      <c r="M48" s="88"/>
      <c r="N48" s="89"/>
    </row>
    <row r="49" spans="1:132">
      <c r="A49" s="25" t="s">
        <v>753</v>
      </c>
      <c r="B49" s="47"/>
      <c r="C49" s="47"/>
      <c r="D49" s="88"/>
      <c r="E49" s="88"/>
      <c r="F49" s="88"/>
      <c r="G49" s="88"/>
      <c r="H49" s="88"/>
      <c r="I49" s="88"/>
      <c r="J49" s="88"/>
      <c r="K49" s="88"/>
      <c r="L49" s="88"/>
      <c r="M49" s="88"/>
      <c r="N49" s="89"/>
    </row>
    <row r="50" spans="1:132">
      <c r="B50" s="47"/>
      <c r="F50" s="90" t="s">
        <v>388</v>
      </c>
      <c r="S50" s="101"/>
      <c r="T50" s="102" t="s">
        <v>388</v>
      </c>
      <c r="X50" s="53" t="s">
        <v>5</v>
      </c>
      <c r="Y50" s="53" t="s">
        <v>634</v>
      </c>
      <c r="Z50" s="53" t="s">
        <v>6</v>
      </c>
      <c r="AO50" s="53" t="s">
        <v>31</v>
      </c>
      <c r="AP50" s="53" t="s">
        <v>32</v>
      </c>
      <c r="BT50" s="89"/>
      <c r="BU50" s="89"/>
      <c r="BV50" s="89"/>
      <c r="BX50" s="80" t="s">
        <v>4</v>
      </c>
      <c r="BY50" s="80" t="s">
        <v>5</v>
      </c>
      <c r="BZ50" s="80" t="s">
        <v>634</v>
      </c>
      <c r="CA50" s="80" t="s">
        <v>6</v>
      </c>
      <c r="CB50" s="80" t="s">
        <v>7</v>
      </c>
      <c r="CC50" s="80" t="s">
        <v>8</v>
      </c>
      <c r="CD50" s="80" t="s">
        <v>508</v>
      </c>
      <c r="CE50" s="80" t="s">
        <v>742</v>
      </c>
      <c r="CF50" s="80" t="s">
        <v>743</v>
      </c>
      <c r="CG50" s="80" t="s">
        <v>635</v>
      </c>
      <c r="CH50" s="80" t="s">
        <v>12</v>
      </c>
      <c r="CI50" s="80" t="s">
        <v>744</v>
      </c>
      <c r="CJ50" s="80" t="s">
        <v>745</v>
      </c>
      <c r="CK50" s="80" t="s">
        <v>15</v>
      </c>
      <c r="CL50" s="80" t="s">
        <v>16</v>
      </c>
      <c r="CM50" s="80" t="s">
        <v>17</v>
      </c>
      <c r="CN50" s="80" t="s">
        <v>18</v>
      </c>
      <c r="CO50" s="80" t="s">
        <v>19</v>
      </c>
      <c r="CP50" s="80" t="s">
        <v>20</v>
      </c>
      <c r="CQ50" s="80" t="s">
        <v>21</v>
      </c>
      <c r="CR50" s="80" t="s">
        <v>22</v>
      </c>
      <c r="CS50" s="80" t="s">
        <v>23</v>
      </c>
      <c r="CT50" s="80" t="s">
        <v>24</v>
      </c>
      <c r="CU50" s="80" t="s">
        <v>25</v>
      </c>
      <c r="CV50" s="80" t="s">
        <v>26</v>
      </c>
      <c r="CW50" s="80" t="s">
        <v>27</v>
      </c>
      <c r="CX50" s="80" t="s">
        <v>28</v>
      </c>
      <c r="CY50" s="80" t="s">
        <v>29</v>
      </c>
      <c r="CZ50" s="80" t="s">
        <v>30</v>
      </c>
      <c r="DA50" s="80" t="s">
        <v>31</v>
      </c>
      <c r="DB50" s="80" t="s">
        <v>32</v>
      </c>
      <c r="DC50" s="80" t="s">
        <v>33</v>
      </c>
      <c r="DD50" s="80" t="s">
        <v>34</v>
      </c>
      <c r="DE50" s="80" t="s">
        <v>35</v>
      </c>
      <c r="DF50" s="80" t="s">
        <v>36</v>
      </c>
      <c r="DG50" s="80" t="s">
        <v>37</v>
      </c>
      <c r="DH50" s="80" t="s">
        <v>38</v>
      </c>
      <c r="DI50" s="80" t="s">
        <v>39</v>
      </c>
      <c r="DJ50" s="80" t="s">
        <v>40</v>
      </c>
      <c r="DK50" s="80" t="s">
        <v>41</v>
      </c>
      <c r="DL50" s="80" t="s">
        <v>42</v>
      </c>
      <c r="DM50" s="80" t="s">
        <v>43</v>
      </c>
      <c r="DN50" s="80" t="s">
        <v>44</v>
      </c>
      <c r="DO50" s="80" t="s">
        <v>45</v>
      </c>
      <c r="DP50" s="80" t="s">
        <v>46</v>
      </c>
      <c r="DQ50" s="80" t="s">
        <v>47</v>
      </c>
      <c r="DR50" s="80" t="s">
        <v>48</v>
      </c>
      <c r="DS50" s="80" t="s">
        <v>49</v>
      </c>
      <c r="DT50" s="80" t="s">
        <v>50</v>
      </c>
      <c r="DU50" s="80" t="s">
        <v>51</v>
      </c>
      <c r="DV50" s="80" t="s">
        <v>52</v>
      </c>
      <c r="DW50" s="80" t="s">
        <v>53</v>
      </c>
      <c r="DX50" s="80" t="s">
        <v>54</v>
      </c>
      <c r="DY50" s="80" t="s">
        <v>55</v>
      </c>
      <c r="DZ50" s="80" t="s">
        <v>56</v>
      </c>
      <c r="EA50" s="80" t="s">
        <v>57</v>
      </c>
      <c r="EB50" s="80" t="s">
        <v>58</v>
      </c>
    </row>
    <row r="51" spans="1:132">
      <c r="F51" s="41" t="s">
        <v>383</v>
      </c>
      <c r="G51" s="53">
        <v>14771</v>
      </c>
      <c r="J51" s="53" t="s">
        <v>377</v>
      </c>
      <c r="O51" s="47"/>
      <c r="P51" s="78"/>
      <c r="Q51" s="78"/>
      <c r="R51" s="78"/>
      <c r="S51" s="78"/>
      <c r="W51" s="78"/>
      <c r="X51" s="78"/>
      <c r="Y51" s="78"/>
      <c r="Z51" s="78"/>
      <c r="BV51" s="82"/>
      <c r="BW51" s="82"/>
      <c r="BX51" s="82" t="s">
        <v>746</v>
      </c>
      <c r="BY51" s="82" t="s">
        <v>746</v>
      </c>
      <c r="BZ51" s="82" t="s">
        <v>746</v>
      </c>
      <c r="CA51" s="82" t="s">
        <v>747</v>
      </c>
      <c r="CB51" s="82" t="s">
        <v>747</v>
      </c>
      <c r="CC51" s="82" t="s">
        <v>746</v>
      </c>
      <c r="CD51" s="82" t="s">
        <v>746</v>
      </c>
      <c r="CE51" s="82" t="s">
        <v>747</v>
      </c>
      <c r="CF51" s="82" t="s">
        <v>747</v>
      </c>
      <c r="CG51" s="82" t="s">
        <v>747</v>
      </c>
      <c r="CH51" s="82" t="s">
        <v>747</v>
      </c>
      <c r="CI51" s="82" t="s">
        <v>746</v>
      </c>
      <c r="CJ51" s="82" t="s">
        <v>746</v>
      </c>
      <c r="CK51" s="82" t="s">
        <v>746</v>
      </c>
      <c r="CL51" s="82" t="s">
        <v>746</v>
      </c>
      <c r="CM51" s="82" t="s">
        <v>746</v>
      </c>
      <c r="CN51" s="82" t="s">
        <v>746</v>
      </c>
      <c r="CO51" s="82" t="s">
        <v>746</v>
      </c>
      <c r="CP51" s="82" t="s">
        <v>746</v>
      </c>
      <c r="CQ51" s="82" t="s">
        <v>746</v>
      </c>
      <c r="CR51" s="82" t="s">
        <v>746</v>
      </c>
      <c r="CS51" s="82" t="s">
        <v>746</v>
      </c>
      <c r="CT51" s="82" t="s">
        <v>746</v>
      </c>
      <c r="CU51" s="82" t="s">
        <v>746</v>
      </c>
      <c r="CV51" s="82" t="s">
        <v>746</v>
      </c>
      <c r="CW51" s="82" t="s">
        <v>746</v>
      </c>
      <c r="CX51" s="82" t="s">
        <v>746</v>
      </c>
      <c r="CY51" s="82" t="s">
        <v>746</v>
      </c>
      <c r="CZ51" s="82" t="s">
        <v>746</v>
      </c>
      <c r="DA51" s="82" t="s">
        <v>746</v>
      </c>
      <c r="DB51" s="82" t="s">
        <v>746</v>
      </c>
      <c r="DC51" s="82" t="s">
        <v>746</v>
      </c>
      <c r="DD51" s="82" t="s">
        <v>746</v>
      </c>
      <c r="DE51" s="82" t="s">
        <v>746</v>
      </c>
      <c r="DF51" s="82" t="s">
        <v>746</v>
      </c>
      <c r="DG51" s="82" t="s">
        <v>746</v>
      </c>
      <c r="DH51" s="82" t="s">
        <v>746</v>
      </c>
      <c r="DI51" s="82" t="s">
        <v>746</v>
      </c>
      <c r="DJ51" s="82" t="s">
        <v>746</v>
      </c>
      <c r="DK51" s="82" t="s">
        <v>746</v>
      </c>
      <c r="DL51" s="82" t="s">
        <v>746</v>
      </c>
      <c r="DM51" s="82" t="s">
        <v>746</v>
      </c>
      <c r="DN51" s="82" t="s">
        <v>746</v>
      </c>
      <c r="DO51" s="82" t="s">
        <v>746</v>
      </c>
      <c r="DP51" s="82" t="s">
        <v>746</v>
      </c>
      <c r="DQ51" s="82" t="s">
        <v>746</v>
      </c>
      <c r="DR51" s="82" t="s">
        <v>746</v>
      </c>
      <c r="DS51" s="82" t="s">
        <v>746</v>
      </c>
      <c r="DT51" s="82" t="s">
        <v>746</v>
      </c>
      <c r="DU51" s="82" t="s">
        <v>746</v>
      </c>
      <c r="DV51" s="82" t="s">
        <v>746</v>
      </c>
      <c r="DW51" s="82" t="s">
        <v>746</v>
      </c>
      <c r="DX51" s="82" t="s">
        <v>746</v>
      </c>
      <c r="DY51" s="82" t="s">
        <v>746</v>
      </c>
      <c r="DZ51" s="82" t="s">
        <v>746</v>
      </c>
      <c r="EA51" s="82" t="s">
        <v>746</v>
      </c>
      <c r="EB51" s="82" t="s">
        <v>746</v>
      </c>
    </row>
    <row r="52" spans="1:132" s="80" customFormat="1">
      <c r="A52" s="92"/>
      <c r="B52" s="92"/>
      <c r="C52" s="92"/>
      <c r="D52" s="92"/>
      <c r="E52" s="92"/>
      <c r="F52" s="92" t="s">
        <v>397</v>
      </c>
      <c r="G52" s="92"/>
      <c r="H52" s="92"/>
      <c r="I52" s="92"/>
      <c r="J52" s="92" t="s">
        <v>376</v>
      </c>
      <c r="K52" s="92"/>
      <c r="L52" s="92"/>
      <c r="M52" s="92"/>
      <c r="N52" s="92"/>
      <c r="O52" s="92"/>
      <c r="P52" s="92"/>
      <c r="Q52" s="92"/>
      <c r="R52" s="92"/>
      <c r="S52" s="92"/>
      <c r="T52" s="92" t="s">
        <v>752</v>
      </c>
      <c r="U52" s="92"/>
      <c r="V52" s="92"/>
      <c r="W52" s="92"/>
      <c r="X52" s="92"/>
      <c r="Y52" s="92"/>
      <c r="Z52" s="92"/>
      <c r="AA52" s="92"/>
      <c r="AB52" s="92"/>
      <c r="AC52" s="92"/>
      <c r="AD52" s="92"/>
      <c r="AE52" s="92"/>
      <c r="AF52" s="92"/>
      <c r="AG52" s="92"/>
      <c r="AH52" s="92"/>
      <c r="AI52" s="92"/>
      <c r="AJ52" s="92"/>
      <c r="AK52" s="92"/>
      <c r="AL52" s="92"/>
      <c r="AM52" s="92"/>
      <c r="AN52" s="92"/>
      <c r="AO52" s="92"/>
      <c r="AP52" s="92"/>
      <c r="AQ52" s="92"/>
      <c r="AR52" s="92"/>
      <c r="AS52" s="92"/>
      <c r="AT52" s="92"/>
      <c r="AU52" s="92"/>
      <c r="AV52" s="92"/>
      <c r="AW52" s="92"/>
      <c r="AX52" s="92"/>
      <c r="AY52" s="92"/>
      <c r="AZ52" s="92"/>
      <c r="BA52" s="92"/>
      <c r="BB52" s="92"/>
      <c r="BC52" s="92"/>
      <c r="BD52" s="92"/>
      <c r="BE52" s="92"/>
      <c r="BF52" s="92"/>
      <c r="BG52" s="92"/>
      <c r="BH52" s="92"/>
      <c r="BI52" s="92"/>
      <c r="BJ52" s="92"/>
      <c r="BK52" s="92"/>
      <c r="BL52" s="92"/>
      <c r="BM52" s="92"/>
      <c r="BN52" s="92"/>
      <c r="BO52" s="92"/>
      <c r="BP52" s="92"/>
      <c r="BQ52" s="91" t="s">
        <v>721</v>
      </c>
      <c r="BR52" s="91"/>
      <c r="BS52" s="92"/>
      <c r="BV52" s="91"/>
      <c r="BW52" s="91"/>
      <c r="BX52" s="91">
        <v>0.36499999999999999</v>
      </c>
      <c r="BY52" s="92">
        <v>6.6E-3</v>
      </c>
      <c r="BZ52" s="91">
        <v>2.6030000000000002</v>
      </c>
      <c r="CA52" s="92">
        <v>2.77</v>
      </c>
      <c r="CB52" s="102">
        <v>2.133</v>
      </c>
      <c r="CC52" s="102">
        <v>33.799999999999997</v>
      </c>
      <c r="CD52" s="91">
        <v>2248.5160000000001</v>
      </c>
      <c r="CE52" s="91">
        <v>0</v>
      </c>
      <c r="CF52" s="91">
        <v>1.825</v>
      </c>
      <c r="CG52" s="102">
        <v>0.65100000000000002</v>
      </c>
      <c r="CH52" s="102">
        <v>8.76</v>
      </c>
      <c r="CI52" s="91">
        <v>0.72499999999999998</v>
      </c>
      <c r="CJ52" s="92">
        <v>0.35099999999999998</v>
      </c>
      <c r="CK52" s="102">
        <v>0.252</v>
      </c>
      <c r="CL52" s="102">
        <v>2.12</v>
      </c>
      <c r="CM52" s="102">
        <v>84.3</v>
      </c>
      <c r="CN52" s="102">
        <v>5.2999999999999999E-2</v>
      </c>
      <c r="CO52" s="102">
        <v>0.61599999999999999</v>
      </c>
      <c r="CP52" s="102">
        <v>23.9</v>
      </c>
      <c r="CQ52" s="102">
        <v>1.76</v>
      </c>
      <c r="CR52" s="91">
        <v>-0.01</v>
      </c>
      <c r="CS52" s="92">
        <v>0.56999999999999995</v>
      </c>
      <c r="CT52" s="91">
        <v>0.14199999999999999</v>
      </c>
      <c r="CU52" s="91">
        <v>1.349</v>
      </c>
      <c r="CV52" s="102">
        <v>40.659999999999997</v>
      </c>
      <c r="CW52" s="91">
        <v>0.126</v>
      </c>
      <c r="CX52" s="91">
        <v>0.11600000000000001</v>
      </c>
      <c r="CY52" s="91">
        <v>1.391</v>
      </c>
      <c r="CZ52" s="102">
        <v>0.215</v>
      </c>
      <c r="DA52" s="91">
        <v>4.0000000000000001E-3</v>
      </c>
      <c r="DB52" s="92">
        <v>6.3E-3</v>
      </c>
      <c r="DC52" s="91">
        <v>7.0000000000000001E-3</v>
      </c>
      <c r="DD52" s="92">
        <v>0.33</v>
      </c>
      <c r="DE52" s="91">
        <v>1.2999999999999999E-2</v>
      </c>
      <c r="DF52" s="91">
        <v>13.228999999999999</v>
      </c>
      <c r="DG52" s="91">
        <v>0.24</v>
      </c>
      <c r="DH52" s="91">
        <v>0.27800000000000002</v>
      </c>
      <c r="DI52" s="91">
        <v>5.7000000000000002E-2</v>
      </c>
      <c r="DJ52" s="91">
        <v>0.23499999999999999</v>
      </c>
      <c r="DK52" s="91">
        <v>3.7999999999999999E-2</v>
      </c>
      <c r="DL52" s="91">
        <v>0.50600000000000001</v>
      </c>
      <c r="DM52" s="91">
        <v>3.7999999999999999E-2</v>
      </c>
      <c r="DN52" s="91">
        <v>1.4E-2</v>
      </c>
      <c r="DO52" s="91">
        <v>2.3E-2</v>
      </c>
      <c r="DP52" s="91" t="s">
        <v>754</v>
      </c>
      <c r="DQ52" s="91" t="s">
        <v>754</v>
      </c>
      <c r="DR52" s="91" t="s">
        <v>754</v>
      </c>
      <c r="DS52" s="91">
        <v>1.2E-2</v>
      </c>
      <c r="DT52" s="91">
        <v>2E-3</v>
      </c>
      <c r="DU52" s="91">
        <v>3.0000000000000001E-3</v>
      </c>
      <c r="DV52" s="91">
        <v>0</v>
      </c>
      <c r="DW52" s="91">
        <v>1.2E-2</v>
      </c>
      <c r="DX52" s="91">
        <v>8.9999999999999993E-3</v>
      </c>
      <c r="DY52" s="92">
        <v>0.17</v>
      </c>
      <c r="DZ52" s="91">
        <v>2E-3</v>
      </c>
      <c r="EA52" s="91">
        <v>2.1999999999999999E-2</v>
      </c>
      <c r="EB52" s="92">
        <v>6.9800000000000001E-2</v>
      </c>
    </row>
    <row r="53" spans="1:132">
      <c r="A53" s="53">
        <v>14770</v>
      </c>
      <c r="B53" s="41" t="s">
        <v>748</v>
      </c>
      <c r="C53" s="41" t="s">
        <v>749</v>
      </c>
      <c r="F53" s="41" t="s">
        <v>385</v>
      </c>
      <c r="G53" s="53">
        <v>14771</v>
      </c>
      <c r="O53" s="47"/>
      <c r="T53" s="41" t="s">
        <v>748</v>
      </c>
      <c r="U53" s="41" t="s">
        <v>749</v>
      </c>
      <c r="BV53" s="41" t="s">
        <v>748</v>
      </c>
      <c r="BW53" s="41" t="s">
        <v>749</v>
      </c>
      <c r="BX53" s="94">
        <v>0.304355478667937</v>
      </c>
      <c r="BY53" s="94">
        <v>1.4865217885114319E-2</v>
      </c>
      <c r="BZ53" s="94">
        <v>4.8608134982993478</v>
      </c>
      <c r="CA53" s="94">
        <v>2.5263214559136387</v>
      </c>
      <c r="CB53" s="94">
        <v>1.9199319998571345</v>
      </c>
      <c r="CC53" s="94">
        <v>31.100166108475026</v>
      </c>
      <c r="CD53" s="94">
        <v>2270.8637326954577</v>
      </c>
      <c r="CE53" s="94">
        <v>1.907767314250319E-3</v>
      </c>
      <c r="CF53" s="94">
        <v>1.6578638427697889</v>
      </c>
      <c r="CG53" s="94">
        <v>0.61892841805174381</v>
      </c>
      <c r="CH53" s="94">
        <v>8.6410308990819864</v>
      </c>
      <c r="CI53" s="94">
        <v>0.52313731160431709</v>
      </c>
      <c r="CJ53" s="94">
        <v>0.32584526639603051</v>
      </c>
      <c r="CK53" s="94">
        <v>0.32594440180017931</v>
      </c>
      <c r="CL53" s="94">
        <v>2.1386007357556491</v>
      </c>
      <c r="CM53" s="94">
        <v>82.209829917651788</v>
      </c>
      <c r="CN53" s="94">
        <v>5.5830777050327227E-2</v>
      </c>
      <c r="CO53" s="94">
        <v>0.66609274158681087</v>
      </c>
      <c r="CP53" s="94">
        <v>23.760001078975016</v>
      </c>
      <c r="CQ53" s="94">
        <v>2.2967424497998574</v>
      </c>
      <c r="CR53" s="94">
        <v>-5.0342898953612221E-2</v>
      </c>
      <c r="CS53" s="94">
        <v>0.5874285785613893</v>
      </c>
      <c r="CT53" s="94">
        <v>9.8589888768024922E-2</v>
      </c>
      <c r="CU53" s="94">
        <v>1.4331962377043057</v>
      </c>
      <c r="CV53" s="94">
        <v>38.913324047916106</v>
      </c>
      <c r="CW53" s="94">
        <v>0.12387113321030585</v>
      </c>
      <c r="CX53" s="94">
        <v>6.3003755586714227E-2</v>
      </c>
      <c r="CY53" s="94">
        <v>1.896240030928369E-3</v>
      </c>
      <c r="CZ53" s="94">
        <v>0.20579089722679111</v>
      </c>
      <c r="DA53" s="94">
        <v>6.8574792907868097E-4</v>
      </c>
      <c r="DB53" s="94">
        <v>2.7033638095576231E-3</v>
      </c>
      <c r="DC53" s="94">
        <v>8.1018154159455055E-3</v>
      </c>
      <c r="DD53" s="94">
        <v>0.32876760524704557</v>
      </c>
      <c r="DE53" s="94">
        <v>3.7666956407652608E-3</v>
      </c>
      <c r="DF53" s="94">
        <v>14.227470008901211</v>
      </c>
      <c r="DG53" s="94">
        <v>0.25433683399470447</v>
      </c>
      <c r="DH53" s="94">
        <v>0.2801754258535864</v>
      </c>
      <c r="DI53" s="94">
        <v>5.7471831653944386E-2</v>
      </c>
      <c r="DJ53" s="94">
        <v>0.22746438934328125</v>
      </c>
      <c r="DK53" s="94">
        <v>3.4353119418453801E-2</v>
      </c>
      <c r="DL53" s="94">
        <v>5.2457687192873203E-3</v>
      </c>
      <c r="DM53" s="94">
        <v>3.0065779776176499E-2</v>
      </c>
      <c r="DN53" s="94">
        <v>3.4494291434058934E-3</v>
      </c>
      <c r="DO53" s="94">
        <v>1.9836061986827351E-2</v>
      </c>
      <c r="DP53" s="94">
        <v>4.1731457202296759E-3</v>
      </c>
      <c r="DQ53" s="94">
        <v>1.4162626053460296E-2</v>
      </c>
      <c r="DR53" s="94">
        <v>1.8985060556877841E-3</v>
      </c>
      <c r="DS53" s="94">
        <v>1.1601317431356317E-2</v>
      </c>
      <c r="DT53" s="94">
        <v>1.8436242786647439E-3</v>
      </c>
      <c r="DU53" s="94">
        <v>3.3880125208429791E-3</v>
      </c>
      <c r="DV53" s="94">
        <v>6.0493249532735049E-5</v>
      </c>
      <c r="DW53" s="94">
        <v>1.0746668596631771E-2</v>
      </c>
      <c r="DX53" s="94">
        <v>7.5040961484927442E-3</v>
      </c>
      <c r="DY53" s="94">
        <v>0.17220660732806833</v>
      </c>
      <c r="DZ53" s="94">
        <v>2.5061576795669701E-3</v>
      </c>
      <c r="EA53" s="94">
        <v>2.1667696950736101E-2</v>
      </c>
      <c r="EB53" s="94">
        <v>6.906248301817991E-2</v>
      </c>
    </row>
    <row r="54" spans="1:132" s="78" customFormat="1">
      <c r="A54" s="53">
        <v>14770</v>
      </c>
      <c r="B54" s="41" t="s">
        <v>750</v>
      </c>
      <c r="C54" s="41" t="s">
        <v>749</v>
      </c>
      <c r="D54" s="53"/>
      <c r="E54" s="53"/>
      <c r="F54" s="41" t="s">
        <v>383</v>
      </c>
      <c r="G54" s="53">
        <v>14704</v>
      </c>
      <c r="O54" s="47"/>
      <c r="P54" s="53"/>
      <c r="Q54" s="53"/>
      <c r="R54" s="53"/>
      <c r="S54" s="53"/>
      <c r="T54" s="41" t="s">
        <v>750</v>
      </c>
      <c r="U54" s="41" t="s">
        <v>749</v>
      </c>
      <c r="V54" s="53"/>
      <c r="W54" s="53"/>
      <c r="X54" s="53"/>
      <c r="Y54" s="53"/>
      <c r="Z54" s="53"/>
      <c r="AQ54" s="85"/>
      <c r="AR54" s="85"/>
      <c r="BV54" s="41" t="s">
        <v>750</v>
      </c>
      <c r="BW54" s="41" t="s">
        <v>749</v>
      </c>
      <c r="BX54" s="94">
        <v>0.24128841992580696</v>
      </c>
      <c r="BY54" s="94">
        <v>1.3882568038482018E-2</v>
      </c>
      <c r="BZ54" s="94">
        <v>5.5589585700447284</v>
      </c>
      <c r="CA54" s="94">
        <v>2.6851477868437987</v>
      </c>
      <c r="CB54" s="94">
        <v>1.9537611665434447</v>
      </c>
      <c r="CC54" s="94">
        <v>32.384154283532226</v>
      </c>
      <c r="CD54" s="94">
        <v>2410.8650448770177</v>
      </c>
      <c r="CE54" s="94">
        <v>1.0131947361487073E-3</v>
      </c>
      <c r="CF54" s="94">
        <v>1.906500233523029</v>
      </c>
      <c r="CG54" s="94">
        <v>0.61544224026978789</v>
      </c>
      <c r="CH54" s="94">
        <v>8.6261460671492856</v>
      </c>
      <c r="CI54" s="94">
        <v>0.44971766444989703</v>
      </c>
      <c r="CJ54" s="94">
        <v>0.3082473238042695</v>
      </c>
      <c r="CK54" s="94">
        <v>0.25414203750870928</v>
      </c>
      <c r="CL54" s="94">
        <v>2.1002210800327989</v>
      </c>
      <c r="CM54" s="94">
        <v>80.80960190711609</v>
      </c>
      <c r="CN54" s="94">
        <v>5.3468003068105827E-2</v>
      </c>
      <c r="CO54" s="94">
        <v>0.63187884904528591</v>
      </c>
      <c r="CP54" s="94">
        <v>23.188253434619217</v>
      </c>
      <c r="CQ54" s="94">
        <v>2.1804814433084072</v>
      </c>
      <c r="CR54" s="94">
        <v>-3.5749370887304219E-2</v>
      </c>
      <c r="CS54" s="94">
        <v>0.53937738014500825</v>
      </c>
      <c r="CT54" s="94">
        <v>9.7133364388616625E-2</v>
      </c>
      <c r="CU54" s="94">
        <v>1.3730153550428956</v>
      </c>
      <c r="CV54" s="94">
        <v>38.347981365604802</v>
      </c>
      <c r="CW54" s="94">
        <v>0.12274774123802386</v>
      </c>
      <c r="CX54" s="94">
        <v>5.9069342742300739E-2</v>
      </c>
      <c r="CY54" s="94">
        <v>2.3294453317852792E-3</v>
      </c>
      <c r="CZ54" s="94">
        <v>0.18991735134893811</v>
      </c>
      <c r="DA54" s="94">
        <v>7.3204537195255596E-4</v>
      </c>
      <c r="DB54" s="94">
        <v>1.1131777581761404E-2</v>
      </c>
      <c r="DC54" s="94">
        <v>7.9781105829264658E-3</v>
      </c>
      <c r="DD54" s="94">
        <v>0.33677289475195055</v>
      </c>
      <c r="DE54" s="94">
        <v>6.1037075656521309E-3</v>
      </c>
      <c r="DF54" s="94">
        <v>14.22512464804201</v>
      </c>
      <c r="DG54" s="94">
        <v>0.24797137479000148</v>
      </c>
      <c r="DH54" s="94">
        <v>0.27764417101999539</v>
      </c>
      <c r="DI54" s="94">
        <v>5.586258262733839E-2</v>
      </c>
      <c r="DJ54" s="94">
        <v>0.22990560791550627</v>
      </c>
      <c r="DK54" s="94">
        <v>3.7725976788566699E-2</v>
      </c>
      <c r="DL54" s="94">
        <v>6.750142056728926E-3</v>
      </c>
      <c r="DM54" s="94">
        <v>3.3912908396711801E-2</v>
      </c>
      <c r="DN54" s="94">
        <v>3.5720160183776136E-3</v>
      </c>
      <c r="DO54" s="94">
        <v>1.9921286257655352E-2</v>
      </c>
      <c r="DP54" s="94">
        <v>3.9328299081087554E-3</v>
      </c>
      <c r="DQ54" s="94">
        <v>1.0792051257016197E-2</v>
      </c>
      <c r="DR54" s="94">
        <v>1.842504375783634E-3</v>
      </c>
      <c r="DS54" s="94">
        <v>1.0289415123288816E-2</v>
      </c>
      <c r="DT54" s="94">
        <v>2.012142137775944E-3</v>
      </c>
      <c r="DU54" s="94">
        <v>1.675169848712909E-3</v>
      </c>
      <c r="DV54" s="94">
        <v>3.2094787495190837E-4</v>
      </c>
      <c r="DW54" s="94">
        <v>1.1359849615057271E-2</v>
      </c>
      <c r="DX54" s="94">
        <v>9.7256919006883432E-3</v>
      </c>
      <c r="DY54" s="94">
        <v>0.16868133684988934</v>
      </c>
      <c r="DZ54" s="94">
        <v>1.1488958314590601E-3</v>
      </c>
      <c r="EA54" s="94">
        <v>2.2544898191508202E-2</v>
      </c>
      <c r="EB54" s="94">
        <v>6.6252661311374611E-2</v>
      </c>
    </row>
    <row r="55" spans="1:132" s="78" customFormat="1">
      <c r="A55" s="53">
        <v>14770</v>
      </c>
      <c r="B55" s="41" t="s">
        <v>751</v>
      </c>
      <c r="C55" s="41" t="s">
        <v>749</v>
      </c>
      <c r="D55" s="53"/>
      <c r="E55" s="53"/>
      <c r="F55" s="41" t="s">
        <v>385</v>
      </c>
      <c r="G55" s="53">
        <v>14704</v>
      </c>
      <c r="T55" s="41" t="s">
        <v>751</v>
      </c>
      <c r="U55" s="41" t="s">
        <v>749</v>
      </c>
      <c r="AQ55" s="85"/>
      <c r="AR55" s="85"/>
      <c r="BV55" s="41" t="s">
        <v>751</v>
      </c>
      <c r="BW55" s="41" t="s">
        <v>749</v>
      </c>
      <c r="BX55" s="94">
        <v>0.34801626221486498</v>
      </c>
      <c r="BY55" s="94">
        <v>7.0042332056732886E-3</v>
      </c>
      <c r="BZ55" s="94">
        <v>1.7322586416965691</v>
      </c>
      <c r="CA55" s="94">
        <v>2.7627493129145089</v>
      </c>
      <c r="CB55" s="94">
        <v>1.9740981172038345</v>
      </c>
      <c r="CC55" s="94">
        <v>33.54075376967743</v>
      </c>
      <c r="CD55" s="94">
        <v>2424.7788952944379</v>
      </c>
      <c r="CE55" s="94">
        <v>1.5293178527872871E-3</v>
      </c>
      <c r="CF55" s="94">
        <v>1.948152065662679</v>
      </c>
      <c r="CG55" s="94">
        <v>0.61890771613469886</v>
      </c>
      <c r="CH55" s="94">
        <v>8.6113278703060256</v>
      </c>
      <c r="CI55" s="94">
        <v>0.477418497169876</v>
      </c>
      <c r="CJ55" s="94">
        <v>0.30513947485716852</v>
      </c>
      <c r="CK55" s="94">
        <v>0.22855479745676829</v>
      </c>
      <c r="CL55" s="94">
        <v>2.0849791240778188</v>
      </c>
      <c r="CM55" s="94">
        <v>78.94812345790659</v>
      </c>
      <c r="CN55" s="94">
        <v>5.3154841964988229E-2</v>
      </c>
      <c r="CO55" s="94">
        <v>0.60765510478833296</v>
      </c>
      <c r="CP55" s="94">
        <v>22.692504418193415</v>
      </c>
      <c r="CQ55" s="94">
        <v>2.1932717607751573</v>
      </c>
      <c r="CR55" s="94">
        <v>-3.8287303173123219E-2</v>
      </c>
      <c r="CS55" s="94">
        <v>0.48443971878553821</v>
      </c>
      <c r="CT55" s="94">
        <v>8.9105054005631915E-2</v>
      </c>
      <c r="CU55" s="94">
        <v>1.4571375718661357</v>
      </c>
      <c r="CV55" s="94">
        <v>39.316764218238902</v>
      </c>
      <c r="CW55" s="94">
        <v>0.12107082523670985</v>
      </c>
      <c r="CX55" s="94">
        <v>5.8820674985590939E-2</v>
      </c>
      <c r="CY55" s="94">
        <v>2.6911760194935391E-3</v>
      </c>
      <c r="CZ55" s="94">
        <v>0.19284012357968411</v>
      </c>
      <c r="DA55" s="94">
        <v>-1.2105162953429599E-4</v>
      </c>
      <c r="DB55" s="94">
        <v>9.3311944579946935E-3</v>
      </c>
      <c r="DC55" s="94">
        <v>3.4613559275702057E-3</v>
      </c>
      <c r="DD55" s="94">
        <v>0.33540558417129657</v>
      </c>
      <c r="DE55" s="94">
        <v>3.1023892796101112E-3</v>
      </c>
      <c r="DF55" s="94">
        <v>14.004559721995111</v>
      </c>
      <c r="DG55" s="94">
        <v>0.23513897553972748</v>
      </c>
      <c r="DH55" s="94">
        <v>0.27870259541754139</v>
      </c>
      <c r="DI55" s="94">
        <v>5.5779734342430588E-2</v>
      </c>
      <c r="DJ55" s="94">
        <v>0.23733502752697025</v>
      </c>
      <c r="DK55" s="94">
        <v>3.23106280542549E-2</v>
      </c>
      <c r="DL55" s="94">
        <v>6.9092790672902549E-3</v>
      </c>
      <c r="DM55" s="94">
        <v>3.1882077284480399E-2</v>
      </c>
      <c r="DN55" s="94">
        <v>3.1868310198198335E-3</v>
      </c>
      <c r="DO55" s="94">
        <v>2.1598799699383952E-2</v>
      </c>
      <c r="DP55" s="94">
        <v>3.5695080831909657E-3</v>
      </c>
      <c r="DQ55" s="94">
        <v>9.9802084294720265E-3</v>
      </c>
      <c r="DR55" s="94">
        <v>1.6471493608914342E-3</v>
      </c>
      <c r="DS55" s="94">
        <v>1.1189103091190117E-2</v>
      </c>
      <c r="DT55" s="94">
        <v>2.1518866238645642E-3</v>
      </c>
      <c r="DU55" s="94">
        <v>2.0657402054878489E-3</v>
      </c>
      <c r="DV55" s="94">
        <v>6.8777732326990511E-6</v>
      </c>
      <c r="DW55" s="94">
        <v>1.084663613067797E-2</v>
      </c>
      <c r="DX55" s="94">
        <v>7.3135776390854538E-3</v>
      </c>
      <c r="DY55" s="94">
        <v>0.17593963440761334</v>
      </c>
      <c r="DZ55" s="94">
        <v>6.4413204057972595E-4</v>
      </c>
      <c r="EA55" s="94">
        <v>2.2626111663236401E-2</v>
      </c>
      <c r="EB55" s="94">
        <v>6.4740145792605813E-2</v>
      </c>
    </row>
    <row r="56" spans="1:132" s="80" customFormat="1">
      <c r="A56" s="47"/>
      <c r="B56" s="43"/>
      <c r="C56" s="47"/>
      <c r="D56" s="47"/>
      <c r="E56" s="47"/>
      <c r="F56" s="93" t="s">
        <v>389</v>
      </c>
      <c r="G56" s="47">
        <v>14704</v>
      </c>
      <c r="T56" s="93"/>
      <c r="AQ56" s="84"/>
      <c r="AR56" s="84"/>
      <c r="BW56" s="47" t="s">
        <v>376</v>
      </c>
      <c r="BX56" s="95">
        <f>AVERAGE(BX53:BX55)</f>
        <v>0.29788672026953633</v>
      </c>
      <c r="BY56" s="95">
        <f t="shared" ref="BY56:EB56" si="42">AVERAGE(BY53:BY55)</f>
        <v>1.1917339709756542E-2</v>
      </c>
      <c r="BZ56" s="95">
        <f t="shared" si="42"/>
        <v>4.0506769033468819</v>
      </c>
      <c r="CA56" s="95">
        <f t="shared" si="42"/>
        <v>2.6580728518906489</v>
      </c>
      <c r="CB56" s="95">
        <f t="shared" si="42"/>
        <v>1.9492637612014712</v>
      </c>
      <c r="CC56" s="95">
        <f t="shared" si="42"/>
        <v>32.341691387228224</v>
      </c>
      <c r="CD56" s="95">
        <f t="shared" si="42"/>
        <v>2368.8358909556378</v>
      </c>
      <c r="CE56" s="95">
        <f t="shared" si="42"/>
        <v>1.4834266343954378E-3</v>
      </c>
      <c r="CF56" s="95">
        <f t="shared" si="42"/>
        <v>1.8375053806518322</v>
      </c>
      <c r="CG56" s="95">
        <f t="shared" si="42"/>
        <v>0.61775945815207678</v>
      </c>
      <c r="CH56" s="95">
        <f t="shared" si="42"/>
        <v>8.6261682788457659</v>
      </c>
      <c r="CI56" s="95">
        <f t="shared" si="42"/>
        <v>0.4834244910746967</v>
      </c>
      <c r="CJ56" s="95">
        <f t="shared" si="42"/>
        <v>0.31307735501915618</v>
      </c>
      <c r="CK56" s="95">
        <f t="shared" si="42"/>
        <v>0.26954707892188562</v>
      </c>
      <c r="CL56" s="95">
        <f t="shared" si="42"/>
        <v>2.1079336466220888</v>
      </c>
      <c r="CM56" s="95">
        <f t="shared" si="42"/>
        <v>80.655851760891494</v>
      </c>
      <c r="CN56" s="95">
        <f t="shared" si="42"/>
        <v>5.415120736114043E-2</v>
      </c>
      <c r="CO56" s="95">
        <f t="shared" si="42"/>
        <v>0.63520889847347661</v>
      </c>
      <c r="CP56" s="95">
        <f t="shared" si="42"/>
        <v>23.213586310595883</v>
      </c>
      <c r="CQ56" s="95">
        <f t="shared" si="42"/>
        <v>2.2234985512944743</v>
      </c>
      <c r="CR56" s="95">
        <f t="shared" si="42"/>
        <v>-4.1459857671346557E-2</v>
      </c>
      <c r="CS56" s="95">
        <f t="shared" si="42"/>
        <v>0.53708189249731186</v>
      </c>
      <c r="CT56" s="95">
        <f t="shared" si="42"/>
        <v>9.4942769054091158E-2</v>
      </c>
      <c r="CU56" s="95">
        <f t="shared" si="42"/>
        <v>1.4211163882044457</v>
      </c>
      <c r="CV56" s="95">
        <f t="shared" si="42"/>
        <v>38.859356543919937</v>
      </c>
      <c r="CW56" s="95">
        <f t="shared" si="42"/>
        <v>0.12256323322834652</v>
      </c>
      <c r="CX56" s="95">
        <f t="shared" si="42"/>
        <v>6.0297924438201971E-2</v>
      </c>
      <c r="CY56" s="95">
        <f t="shared" si="42"/>
        <v>2.3056204607357291E-3</v>
      </c>
      <c r="CZ56" s="95">
        <f t="shared" si="42"/>
        <v>0.19618279071847111</v>
      </c>
      <c r="DA56" s="95">
        <f t="shared" si="42"/>
        <v>4.322472238323136E-4</v>
      </c>
      <c r="DB56" s="95">
        <f t="shared" si="42"/>
        <v>7.7221119497712402E-3</v>
      </c>
      <c r="DC56" s="95">
        <f t="shared" si="42"/>
        <v>6.5137606421473938E-3</v>
      </c>
      <c r="DD56" s="95">
        <f t="shared" si="42"/>
        <v>0.33364869472343089</v>
      </c>
      <c r="DE56" s="95">
        <f t="shared" si="42"/>
        <v>4.3242641620091678E-3</v>
      </c>
      <c r="DF56" s="95">
        <f t="shared" si="42"/>
        <v>14.152384792979442</v>
      </c>
      <c r="DG56" s="95">
        <f t="shared" si="42"/>
        <v>0.24581572810814448</v>
      </c>
      <c r="DH56" s="95">
        <f t="shared" si="42"/>
        <v>0.27884073076370769</v>
      </c>
      <c r="DI56" s="95">
        <f t="shared" si="42"/>
        <v>5.6371382874571115E-2</v>
      </c>
      <c r="DJ56" s="95">
        <f t="shared" si="42"/>
        <v>0.23156834159525261</v>
      </c>
      <c r="DK56" s="95">
        <f t="shared" si="42"/>
        <v>3.4796574753758462E-2</v>
      </c>
      <c r="DL56" s="95">
        <f t="shared" si="42"/>
        <v>6.3017299477688337E-3</v>
      </c>
      <c r="DM56" s="95">
        <f t="shared" si="42"/>
        <v>3.1953588485789559E-2</v>
      </c>
      <c r="DN56" s="95">
        <f t="shared" si="42"/>
        <v>3.4027587272011136E-3</v>
      </c>
      <c r="DO56" s="95">
        <f t="shared" si="42"/>
        <v>2.0452049314622217E-2</v>
      </c>
      <c r="DP56" s="95">
        <f t="shared" si="42"/>
        <v>3.8918279038431323E-3</v>
      </c>
      <c r="DQ56" s="95">
        <f t="shared" si="42"/>
        <v>1.1644961913316173E-2</v>
      </c>
      <c r="DR56" s="95">
        <f t="shared" si="42"/>
        <v>1.7960532641209507E-3</v>
      </c>
      <c r="DS56" s="95">
        <f t="shared" si="42"/>
        <v>1.1026611881945083E-2</v>
      </c>
      <c r="DT56" s="95">
        <f t="shared" si="42"/>
        <v>2.0025510134350842E-3</v>
      </c>
      <c r="DU56" s="95">
        <f t="shared" si="42"/>
        <v>2.3763075250145789E-3</v>
      </c>
      <c r="DV56" s="95">
        <f t="shared" si="42"/>
        <v>1.2943963257244749E-4</v>
      </c>
      <c r="DW56" s="95">
        <f t="shared" si="42"/>
        <v>1.0984384780789003E-2</v>
      </c>
      <c r="DX56" s="95">
        <f t="shared" si="42"/>
        <v>8.1811218960888468E-3</v>
      </c>
      <c r="DY56" s="95">
        <f t="shared" si="42"/>
        <v>0.17227585952852364</v>
      </c>
      <c r="DZ56" s="95">
        <f t="shared" si="42"/>
        <v>1.4330618505352521E-3</v>
      </c>
      <c r="EA56" s="95">
        <f t="shared" si="42"/>
        <v>2.2279568935160237E-2</v>
      </c>
      <c r="EB56" s="95">
        <f t="shared" si="42"/>
        <v>6.6685096707386773E-2</v>
      </c>
    </row>
    <row r="57" spans="1:132" s="80" customFormat="1">
      <c r="A57" s="47"/>
      <c r="B57" s="43"/>
      <c r="C57" s="47"/>
      <c r="D57" s="47"/>
      <c r="E57" s="47"/>
      <c r="F57" s="93" t="s">
        <v>390</v>
      </c>
      <c r="G57" s="47">
        <v>14704</v>
      </c>
      <c r="AQ57" s="84"/>
      <c r="AR57" s="84"/>
      <c r="BR57" s="47"/>
      <c r="BW57" s="47" t="s">
        <v>718</v>
      </c>
      <c r="BX57" s="95">
        <f>(BX56/BX52)*100</f>
        <v>81.612800073845577</v>
      </c>
      <c r="BY57" s="96">
        <f>(BY56/BY52)*100</f>
        <v>180.56575317812943</v>
      </c>
      <c r="BZ57" s="96">
        <f t="shared" ref="BZ57:EB57" si="43">(BZ56/BZ52)*100</f>
        <v>155.61570892611917</v>
      </c>
      <c r="CA57" s="96">
        <f t="shared" si="43"/>
        <v>95.959308732514401</v>
      </c>
      <c r="CB57" s="96">
        <f t="shared" si="43"/>
        <v>91.386017871611401</v>
      </c>
      <c r="CC57" s="96">
        <f t="shared" si="43"/>
        <v>95.685477477006586</v>
      </c>
      <c r="CD57" s="96">
        <f t="shared" si="43"/>
        <v>105.3510800437105</v>
      </c>
      <c r="CE57" s="96">
        <v>100</v>
      </c>
      <c r="CF57" s="96">
        <f t="shared" si="43"/>
        <v>100.6852263370867</v>
      </c>
      <c r="CG57" s="96">
        <f t="shared" si="43"/>
        <v>94.893925983421937</v>
      </c>
      <c r="CH57" s="96">
        <f t="shared" si="43"/>
        <v>98.472240626093225</v>
      </c>
      <c r="CI57" s="96">
        <f t="shared" si="43"/>
        <v>66.67924014823403</v>
      </c>
      <c r="CJ57" s="96">
        <f t="shared" si="43"/>
        <v>89.19582764078524</v>
      </c>
      <c r="CK57" s="96">
        <f t="shared" si="43"/>
        <v>106.96312655630382</v>
      </c>
      <c r="CL57" s="96">
        <f t="shared" si="43"/>
        <v>99.430832387834371</v>
      </c>
      <c r="CM57" s="96">
        <f t="shared" si="43"/>
        <v>95.677166976146495</v>
      </c>
      <c r="CN57" s="96">
        <f t="shared" si="43"/>
        <v>102.17208936064233</v>
      </c>
      <c r="CO57" s="96">
        <f t="shared" si="43"/>
        <v>103.11832767426567</v>
      </c>
      <c r="CP57" s="96">
        <f t="shared" si="43"/>
        <v>97.12797619496186</v>
      </c>
      <c r="CQ57" s="96">
        <f t="shared" si="43"/>
        <v>126.33514495991332</v>
      </c>
      <c r="CR57" s="96">
        <f t="shared" si="43"/>
        <v>414.5985767134656</v>
      </c>
      <c r="CS57" s="96">
        <f t="shared" si="43"/>
        <v>94.22489342058104</v>
      </c>
      <c r="CT57" s="96">
        <f t="shared" si="43"/>
        <v>66.861104967669831</v>
      </c>
      <c r="CU57" s="96">
        <f t="shared" si="43"/>
        <v>105.34591461856529</v>
      </c>
      <c r="CV57" s="96">
        <f t="shared" si="43"/>
        <v>95.571462232956065</v>
      </c>
      <c r="CW57" s="96">
        <f t="shared" si="43"/>
        <v>97.272407324084526</v>
      </c>
      <c r="CX57" s="96">
        <f t="shared" si="43"/>
        <v>51.980969343277565</v>
      </c>
      <c r="CY57" s="96">
        <f t="shared" si="43"/>
        <v>0.16575272902485472</v>
      </c>
      <c r="CZ57" s="96">
        <f t="shared" si="43"/>
        <v>91.247809636498189</v>
      </c>
      <c r="DA57" s="96">
        <f t="shared" si="43"/>
        <v>10.80618059580784</v>
      </c>
      <c r="DB57" s="96">
        <f t="shared" si="43"/>
        <v>122.57320555192446</v>
      </c>
      <c r="DC57" s="96">
        <f t="shared" si="43"/>
        <v>93.053723459248488</v>
      </c>
      <c r="DD57" s="96">
        <f t="shared" si="43"/>
        <v>101.10566506770633</v>
      </c>
      <c r="DE57" s="96">
        <f t="shared" si="43"/>
        <v>33.2635704769936</v>
      </c>
      <c r="DF57" s="96">
        <f t="shared" si="43"/>
        <v>106.98000448242075</v>
      </c>
      <c r="DG57" s="96">
        <f t="shared" si="43"/>
        <v>102.42322004506019</v>
      </c>
      <c r="DH57" s="96">
        <f t="shared" si="43"/>
        <v>100.30242113802434</v>
      </c>
      <c r="DI57" s="96">
        <f t="shared" si="43"/>
        <v>98.897162937844058</v>
      </c>
      <c r="DJ57" s="96">
        <f t="shared" si="43"/>
        <v>98.539719827767073</v>
      </c>
      <c r="DK57" s="96">
        <f t="shared" si="43"/>
        <v>91.56993356252228</v>
      </c>
      <c r="DL57" s="96">
        <f t="shared" si="43"/>
        <v>1.2454011754483862</v>
      </c>
      <c r="DM57" s="96">
        <f t="shared" si="43"/>
        <v>84.088390752077785</v>
      </c>
      <c r="DN57" s="96">
        <f t="shared" si="43"/>
        <v>24.305419480007952</v>
      </c>
      <c r="DO57" s="96">
        <f t="shared" si="43"/>
        <v>88.921953541835734</v>
      </c>
      <c r="DP57" s="96" t="e">
        <f t="shared" si="43"/>
        <v>#VALUE!</v>
      </c>
      <c r="DQ57" s="96" t="e">
        <f t="shared" si="43"/>
        <v>#VALUE!</v>
      </c>
      <c r="DR57" s="96" t="e">
        <f t="shared" si="43"/>
        <v>#VALUE!</v>
      </c>
      <c r="DS57" s="96">
        <f t="shared" si="43"/>
        <v>91.888432349542356</v>
      </c>
      <c r="DT57" s="96">
        <f t="shared" si="43"/>
        <v>100.12755067175421</v>
      </c>
      <c r="DU57" s="96">
        <f t="shared" si="43"/>
        <v>79.210250833819302</v>
      </c>
      <c r="DV57" s="96">
        <v>100</v>
      </c>
      <c r="DW57" s="96">
        <f t="shared" si="43"/>
        <v>91.536539839908343</v>
      </c>
      <c r="DX57" s="96">
        <f t="shared" si="43"/>
        <v>90.901354400987188</v>
      </c>
      <c r="DY57" s="96">
        <f t="shared" si="43"/>
        <v>101.33874089913155</v>
      </c>
      <c r="DZ57" s="96">
        <f t="shared" si="43"/>
        <v>71.653092526762592</v>
      </c>
      <c r="EA57" s="96">
        <f t="shared" si="43"/>
        <v>101.27076788709199</v>
      </c>
      <c r="EB57" s="96">
        <f t="shared" si="43"/>
        <v>95.537387832932339</v>
      </c>
    </row>
    <row r="58" spans="1:132" s="78" customFormat="1">
      <c r="A58" s="41"/>
      <c r="B58" s="41"/>
      <c r="AQ58" s="85"/>
      <c r="AR58" s="85"/>
      <c r="BR58" s="53"/>
      <c r="BW58" s="47" t="s">
        <v>719</v>
      </c>
      <c r="BX58" s="79">
        <f>STDEV(BX53:BX55)</f>
        <v>5.3657168266058916E-2</v>
      </c>
      <c r="BY58" s="79">
        <f t="shared" ref="BY58:EB58" si="44">STDEV(BY53:BY55)</f>
        <v>4.2831485872685399E-3</v>
      </c>
      <c r="BZ58" s="79">
        <f t="shared" si="44"/>
        <v>2.0379276391142609</v>
      </c>
      <c r="CA58" s="79">
        <f t="shared" si="44"/>
        <v>0.12051689495064151</v>
      </c>
      <c r="CB58" s="79">
        <f t="shared" si="44"/>
        <v>2.7361689608129632E-2</v>
      </c>
      <c r="CC58" s="79">
        <f t="shared" si="44"/>
        <v>1.2208478022158404</v>
      </c>
      <c r="CD58" s="79">
        <f t="shared" si="44"/>
        <v>85.131114488052589</v>
      </c>
      <c r="CE58" s="79">
        <f t="shared" si="44"/>
        <v>4.4904846878366853E-4</v>
      </c>
      <c r="CF58" s="79">
        <f t="shared" si="44"/>
        <v>0.15696187556096738</v>
      </c>
      <c r="CG58" s="79">
        <f t="shared" si="44"/>
        <v>2.0067962472164812E-3</v>
      </c>
      <c r="CH58" s="79">
        <f t="shared" si="44"/>
        <v>1.4851526845277008E-2</v>
      </c>
      <c r="CI58" s="79">
        <f t="shared" si="44"/>
        <v>3.7076476628159306E-2</v>
      </c>
      <c r="CJ58" s="79">
        <f t="shared" si="44"/>
        <v>1.1165990863568126E-2</v>
      </c>
      <c r="CK58" s="79">
        <f t="shared" si="44"/>
        <v>5.0489308118133201E-2</v>
      </c>
      <c r="CL58" s="79">
        <f t="shared" si="44"/>
        <v>2.7630274560302173E-2</v>
      </c>
      <c r="CM58" s="79">
        <f t="shared" si="44"/>
        <v>1.6362798012515931</v>
      </c>
      <c r="CN58" s="79">
        <f t="shared" si="44"/>
        <v>1.4629535962404063E-3</v>
      </c>
      <c r="CO58" s="79">
        <f t="shared" si="44"/>
        <v>2.9360794787323959E-2</v>
      </c>
      <c r="CP58" s="79">
        <f t="shared" si="44"/>
        <v>0.53419902297636568</v>
      </c>
      <c r="CQ58" s="79">
        <f t="shared" si="44"/>
        <v>6.3752643524996253E-2</v>
      </c>
      <c r="CR58" s="79">
        <f t="shared" si="44"/>
        <v>7.7968962984432165E-3</v>
      </c>
      <c r="CS58" s="79">
        <f t="shared" si="44"/>
        <v>5.1532788175471592E-2</v>
      </c>
      <c r="CT58" s="79">
        <f t="shared" si="44"/>
        <v>5.1077934137167564E-3</v>
      </c>
      <c r="CU58" s="79">
        <f t="shared" si="44"/>
        <v>4.3342576224406695E-2</v>
      </c>
      <c r="CV58" s="79">
        <f t="shared" si="44"/>
        <v>0.48664095851577083</v>
      </c>
      <c r="CW58" s="79">
        <f t="shared" si="44"/>
        <v>1.4092422045101579E-3</v>
      </c>
      <c r="CX58" s="79">
        <f t="shared" si="44"/>
        <v>2.3466147034613819E-3</v>
      </c>
      <c r="CY58" s="79">
        <f t="shared" si="44"/>
        <v>3.9800317189617575E-4</v>
      </c>
      <c r="CZ58" s="79">
        <f t="shared" si="44"/>
        <v>8.4482206638215162E-3</v>
      </c>
      <c r="DA58" s="79">
        <f t="shared" si="44"/>
        <v>4.7972969384515763E-4</v>
      </c>
      <c r="DB58" s="79">
        <f t="shared" si="44"/>
        <v>4.4386258647887422E-3</v>
      </c>
      <c r="DC58" s="79">
        <f t="shared" si="44"/>
        <v>2.6441835465050106E-3</v>
      </c>
      <c r="DD58" s="79">
        <f t="shared" si="44"/>
        <v>4.2820743119838262E-3</v>
      </c>
      <c r="DE58" s="79">
        <f t="shared" si="44"/>
        <v>1.5764326358725703E-3</v>
      </c>
      <c r="DF58" s="79">
        <f t="shared" si="44"/>
        <v>0.12802563762009644</v>
      </c>
      <c r="DG58" s="79">
        <f t="shared" si="44"/>
        <v>9.778780689691513E-3</v>
      </c>
      <c r="DH58" s="79">
        <f t="shared" si="44"/>
        <v>1.2712685745112384E-3</v>
      </c>
      <c r="DI58" s="79">
        <f t="shared" si="44"/>
        <v>9.5391645158059905E-4</v>
      </c>
      <c r="DJ58" s="79">
        <f t="shared" si="44"/>
        <v>5.1410978405051645E-3</v>
      </c>
      <c r="DK58" s="79">
        <f t="shared" si="44"/>
        <v>2.7347742053706612E-3</v>
      </c>
      <c r="DL58" s="79">
        <f t="shared" si="44"/>
        <v>9.1794429791504199E-4</v>
      </c>
      <c r="DM58" s="79">
        <f t="shared" si="44"/>
        <v>1.9245610005063423E-3</v>
      </c>
      <c r="DN58" s="79">
        <f t="shared" si="44"/>
        <v>1.9678787206033505E-4</v>
      </c>
      <c r="DO58" s="79">
        <f t="shared" si="44"/>
        <v>9.9402873590149761E-4</v>
      </c>
      <c r="DP58" s="79">
        <f t="shared" si="44"/>
        <v>3.0390043184860404E-4</v>
      </c>
      <c r="DQ58" s="79">
        <f t="shared" si="44"/>
        <v>2.2178247757847019E-3</v>
      </c>
      <c r="DR58" s="79">
        <f t="shared" si="44"/>
        <v>1.3195956325996478E-4</v>
      </c>
      <c r="DS58" s="79">
        <f t="shared" si="44"/>
        <v>6.7087589112267536E-4</v>
      </c>
      <c r="DT58" s="79">
        <f t="shared" si="44"/>
        <v>1.5435482051628533E-4</v>
      </c>
      <c r="DU58" s="79">
        <f t="shared" si="44"/>
        <v>8.9766171235935717E-4</v>
      </c>
      <c r="DV58" s="79">
        <f t="shared" si="44"/>
        <v>1.6800360114941788E-4</v>
      </c>
      <c r="DW58" s="79">
        <f t="shared" si="44"/>
        <v>3.2898139505888827E-4</v>
      </c>
      <c r="DX58" s="79">
        <f t="shared" si="44"/>
        <v>1.3410244963974593E-3</v>
      </c>
      <c r="DY58" s="79">
        <f t="shared" si="44"/>
        <v>3.6296443020723788E-3</v>
      </c>
      <c r="DZ58" s="79">
        <f t="shared" si="44"/>
        <v>9.6298889654017914E-4</v>
      </c>
      <c r="EA58" s="79">
        <f t="shared" si="44"/>
        <v>5.3145028082585686E-4</v>
      </c>
      <c r="EB58" s="79">
        <f t="shared" si="44"/>
        <v>2.1933764044707524E-3</v>
      </c>
    </row>
    <row r="59" spans="1:132" s="47" customFormat="1">
      <c r="AQ59" s="84"/>
      <c r="AR59" s="84"/>
      <c r="BV59" s="80"/>
      <c r="BW59" s="47" t="s">
        <v>720</v>
      </c>
      <c r="BX59" s="80"/>
      <c r="BY59" s="96">
        <f>(BY58/BY56)*100</f>
        <v>35.940475740252602</v>
      </c>
      <c r="BZ59" s="96">
        <f t="shared" ref="BZ59:EB59" si="45">(BZ58/BZ56)*100</f>
        <v>50.310792189582386</v>
      </c>
      <c r="CA59" s="96">
        <f t="shared" si="45"/>
        <v>4.533995178684421</v>
      </c>
      <c r="CB59" s="96">
        <f t="shared" si="45"/>
        <v>1.4036935458782991</v>
      </c>
      <c r="CC59" s="96">
        <f t="shared" si="45"/>
        <v>3.7748421614645511</v>
      </c>
      <c r="CD59" s="96">
        <f t="shared" si="45"/>
        <v>3.5937953664535587</v>
      </c>
      <c r="CE59" s="96">
        <f t="shared" si="45"/>
        <v>30.27102644457208</v>
      </c>
      <c r="CF59" s="96">
        <f t="shared" si="45"/>
        <v>8.5421178742500938</v>
      </c>
      <c r="CG59" s="96">
        <f t="shared" si="45"/>
        <v>0.32485075230081845</v>
      </c>
      <c r="CH59" s="96">
        <f t="shared" si="45"/>
        <v>0.1721682949508172</v>
      </c>
      <c r="CI59" s="96">
        <f t="shared" si="45"/>
        <v>7.6695486705141729</v>
      </c>
      <c r="CJ59" s="96">
        <f t="shared" si="45"/>
        <v>3.5665277876405068</v>
      </c>
      <c r="CK59" s="96">
        <f t="shared" si="45"/>
        <v>18.731165004672498</v>
      </c>
      <c r="CL59" s="96">
        <f t="shared" si="45"/>
        <v>1.3107753464905785</v>
      </c>
      <c r="CM59" s="96">
        <f t="shared" si="45"/>
        <v>2.0287180229680426</v>
      </c>
      <c r="CN59" s="96">
        <f t="shared" si="45"/>
        <v>2.7016084544224581</v>
      </c>
      <c r="CO59" s="96">
        <f t="shared" si="45"/>
        <v>4.622226618342931</v>
      </c>
      <c r="CP59" s="96">
        <f t="shared" si="45"/>
        <v>2.3012343540064277</v>
      </c>
      <c r="CQ59" s="96">
        <f t="shared" si="45"/>
        <v>2.8672221750664422</v>
      </c>
      <c r="CR59" s="96">
        <f t="shared" si="45"/>
        <v>-18.805892582288706</v>
      </c>
      <c r="CS59" s="96">
        <f t="shared" si="45"/>
        <v>9.5949591478229781</v>
      </c>
      <c r="CT59" s="96">
        <f t="shared" si="45"/>
        <v>5.3798656439088317</v>
      </c>
      <c r="CU59" s="96">
        <f t="shared" si="45"/>
        <v>3.049896305760659</v>
      </c>
      <c r="CV59" s="96">
        <f t="shared" si="45"/>
        <v>1.2523134755609129</v>
      </c>
      <c r="CW59" s="96">
        <f t="shared" si="45"/>
        <v>1.1498082805017151</v>
      </c>
      <c r="CX59" s="96">
        <f t="shared" si="45"/>
        <v>3.8917006270528867</v>
      </c>
      <c r="CY59" s="96">
        <f t="shared" si="45"/>
        <v>17.262302216435572</v>
      </c>
      <c r="CZ59" s="96">
        <f t="shared" si="45"/>
        <v>4.3063005847159124</v>
      </c>
      <c r="DA59" s="96">
        <f t="shared" si="45"/>
        <v>110.98502602095704</v>
      </c>
      <c r="DB59" s="96">
        <f t="shared" si="45"/>
        <v>57.479429120685467</v>
      </c>
      <c r="DC59" s="96">
        <f t="shared" si="45"/>
        <v>40.593808888152537</v>
      </c>
      <c r="DD59" s="96">
        <f t="shared" si="45"/>
        <v>1.2834080815251911</v>
      </c>
      <c r="DE59" s="96">
        <f t="shared" si="45"/>
        <v>36.455511893152199</v>
      </c>
      <c r="DF59" s="96">
        <f t="shared" si="45"/>
        <v>0.9046223621873678</v>
      </c>
      <c r="DG59" s="96">
        <f t="shared" si="45"/>
        <v>3.9780939832252815</v>
      </c>
      <c r="DH59" s="96">
        <f t="shared" si="45"/>
        <v>0.45591207964109215</v>
      </c>
      <c r="DI59" s="96">
        <f t="shared" si="45"/>
        <v>1.6921998413682815</v>
      </c>
      <c r="DJ59" s="96">
        <f t="shared" si="45"/>
        <v>2.2201211983851605</v>
      </c>
      <c r="DK59" s="96">
        <f t="shared" si="45"/>
        <v>7.859320133442937</v>
      </c>
      <c r="DL59" s="96">
        <f t="shared" si="45"/>
        <v>14.56654451274996</v>
      </c>
      <c r="DM59" s="96">
        <f t="shared" si="45"/>
        <v>6.0229886272780773</v>
      </c>
      <c r="DN59" s="96">
        <f t="shared" si="45"/>
        <v>5.7831861685415422</v>
      </c>
      <c r="DO59" s="96">
        <f t="shared" si="45"/>
        <v>4.860289160318108</v>
      </c>
      <c r="DP59" s="96">
        <f t="shared" si="45"/>
        <v>7.8086811482210221</v>
      </c>
      <c r="DQ59" s="96">
        <f t="shared" si="45"/>
        <v>19.045358776558892</v>
      </c>
      <c r="DR59" s="96">
        <f t="shared" si="45"/>
        <v>7.3471965389929714</v>
      </c>
      <c r="DS59" s="96">
        <f t="shared" si="45"/>
        <v>6.0841525783741783</v>
      </c>
      <c r="DT59" s="96">
        <f t="shared" si="45"/>
        <v>7.7079095354236262</v>
      </c>
      <c r="DU59" s="96">
        <f t="shared" si="45"/>
        <v>37.77548582874811</v>
      </c>
      <c r="DV59" s="96">
        <f t="shared" si="45"/>
        <v>129.79301455864848</v>
      </c>
      <c r="DW59" s="96">
        <f t="shared" si="45"/>
        <v>2.994991541394799</v>
      </c>
      <c r="DX59" s="96">
        <f t="shared" si="45"/>
        <v>16.39169435965211</v>
      </c>
      <c r="DY59" s="96">
        <f t="shared" si="45"/>
        <v>2.1068792296296279</v>
      </c>
      <c r="DZ59" s="96">
        <f t="shared" si="45"/>
        <v>67.197999596493375</v>
      </c>
      <c r="EA59" s="96">
        <f t="shared" si="45"/>
        <v>2.3853705714528206</v>
      </c>
      <c r="EB59" s="96">
        <f t="shared" si="45"/>
        <v>3.2891553177095267</v>
      </c>
    </row>
    <row r="60" spans="1:132">
      <c r="BR60" s="78"/>
      <c r="BV60" s="78"/>
      <c r="BW60" s="78"/>
      <c r="BX60" s="78"/>
      <c r="BY60" s="78"/>
      <c r="BZ60" s="78"/>
      <c r="CA60" s="78"/>
      <c r="CB60" s="78"/>
      <c r="CC60" s="78"/>
      <c r="CD60" s="78"/>
      <c r="CE60" s="78"/>
      <c r="CF60" s="78"/>
      <c r="CG60" s="78"/>
      <c r="CH60" s="78"/>
      <c r="CI60" s="78"/>
      <c r="CJ60" s="78"/>
    </row>
    <row r="61" spans="1:132">
      <c r="BV61" s="78"/>
      <c r="BW61" s="88"/>
    </row>
    <row r="62" spans="1:132">
      <c r="BW62" s="47"/>
    </row>
    <row r="63" spans="1:132" s="78" customFormat="1"/>
    <row r="64" spans="1:132" s="78" customFormat="1"/>
    <row r="65" s="78" customFormat="1"/>
    <row r="66" s="78" customFormat="1"/>
    <row r="67" s="78" customFormat="1"/>
    <row r="68" s="78" customFormat="1"/>
    <row r="69" s="78" customFormat="1"/>
    <row r="70" s="78" customFormat="1"/>
    <row r="71" s="78" customFormat="1"/>
  </sheetData>
  <conditionalFormatting sqref="DP42:DR47">
    <cfRule type="cellIs" dxfId="0" priority="3" operator="lessThan">
      <formula>ABS(DP$4)</formula>
    </cfRule>
  </conditionalFormatting>
  <printOptions horizontalCentered="1" gridLines="1" gridLinesSet="0"/>
  <pageMargins left="0.59055118110236227" right="0.59055118110236227" top="0.98425196850393704" bottom="0.98425196850393704" header="0.51181102362204722" footer="0.51181102362204722"/>
  <pageSetup paperSize="9" scale="64" fitToWidth="5" orientation="landscape" r:id="rId1"/>
  <headerFooter alignWithMargins="0">
    <oddHeader>&amp;L&amp;"Times New Roman,Regular"Report Number: 14703/1&amp;C&amp;"Times New Roman,Regular"British Geological Survey
ANALYSIS REPORT&amp;R&amp;"Times New Roman,Regular"Report date: 25 June 2020</oddHeader>
    <oddFooter>&amp;L&amp;"Times New Roman,Regular"Status: Complete&amp;C&amp;"Times New Roman,Regular"Page 1of 5</oddFooter>
  </headerFooter>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FD32"/>
  <sheetViews>
    <sheetView workbookViewId="0"/>
  </sheetViews>
  <sheetFormatPr defaultColWidth="9.140625" defaultRowHeight="15.75"/>
  <cols>
    <col min="1" max="1" width="12.28515625" style="46" customWidth="1"/>
    <col min="2" max="2" width="15.42578125" style="35" bestFit="1" customWidth="1"/>
    <col min="3" max="16384" width="9.140625" style="35"/>
  </cols>
  <sheetData>
    <row r="1" spans="1:160">
      <c r="A1" s="25" t="s">
        <v>725</v>
      </c>
    </row>
    <row r="2" spans="1:160">
      <c r="B2" s="46"/>
    </row>
    <row r="3" spans="1:160" s="46" customFormat="1" ht="47.25">
      <c r="B3" s="302" t="s">
        <v>705</v>
      </c>
      <c r="C3" s="46" t="s">
        <v>706</v>
      </c>
      <c r="D3" s="46" t="s">
        <v>707</v>
      </c>
      <c r="E3" s="46" t="s">
        <v>706</v>
      </c>
      <c r="F3" s="46" t="s">
        <v>707</v>
      </c>
      <c r="G3" s="46" t="s">
        <v>706</v>
      </c>
      <c r="H3" s="46" t="s">
        <v>707</v>
      </c>
      <c r="I3" s="46" t="s">
        <v>706</v>
      </c>
      <c r="J3" s="46" t="s">
        <v>707</v>
      </c>
      <c r="K3" s="46" t="s">
        <v>706</v>
      </c>
      <c r="L3" s="46" t="s">
        <v>707</v>
      </c>
      <c r="M3" s="46" t="s">
        <v>706</v>
      </c>
      <c r="N3" s="46" t="s">
        <v>707</v>
      </c>
      <c r="O3" s="46" t="s">
        <v>706</v>
      </c>
      <c r="P3" s="46" t="s">
        <v>707</v>
      </c>
      <c r="Q3" s="46" t="s">
        <v>706</v>
      </c>
      <c r="R3" s="46" t="s">
        <v>707</v>
      </c>
      <c r="S3" s="46" t="s">
        <v>706</v>
      </c>
      <c r="T3" s="46" t="s">
        <v>707</v>
      </c>
      <c r="U3" s="46" t="s">
        <v>706</v>
      </c>
      <c r="V3" s="46" t="s">
        <v>707</v>
      </c>
      <c r="W3" s="46" t="s">
        <v>706</v>
      </c>
      <c r="X3" s="46" t="s">
        <v>707</v>
      </c>
      <c r="Y3" s="46" t="s">
        <v>706</v>
      </c>
      <c r="Z3" s="46" t="s">
        <v>707</v>
      </c>
      <c r="AA3" s="46" t="s">
        <v>706</v>
      </c>
      <c r="AB3" s="46" t="s">
        <v>707</v>
      </c>
      <c r="AC3" s="46" t="s">
        <v>706</v>
      </c>
      <c r="AD3" s="46" t="s">
        <v>707</v>
      </c>
      <c r="AE3" s="46" t="s">
        <v>706</v>
      </c>
      <c r="AF3" s="46" t="s">
        <v>707</v>
      </c>
      <c r="AG3" s="46" t="s">
        <v>706</v>
      </c>
      <c r="AH3" s="46" t="s">
        <v>707</v>
      </c>
      <c r="AI3" s="46" t="s">
        <v>706</v>
      </c>
      <c r="AJ3" s="46" t="s">
        <v>707</v>
      </c>
      <c r="AK3" s="46" t="s">
        <v>706</v>
      </c>
      <c r="AL3" s="46" t="s">
        <v>707</v>
      </c>
      <c r="AM3" s="46" t="s">
        <v>706</v>
      </c>
      <c r="AN3" s="46" t="s">
        <v>707</v>
      </c>
      <c r="AO3" s="46" t="s">
        <v>706</v>
      </c>
      <c r="AP3" s="46" t="s">
        <v>707</v>
      </c>
      <c r="AQ3" s="46" t="s">
        <v>706</v>
      </c>
      <c r="AR3" s="46" t="s">
        <v>707</v>
      </c>
      <c r="AS3" s="46" t="s">
        <v>706</v>
      </c>
      <c r="AT3" s="46" t="s">
        <v>707</v>
      </c>
      <c r="AU3" s="46" t="s">
        <v>706</v>
      </c>
      <c r="AV3" s="46" t="s">
        <v>707</v>
      </c>
      <c r="AW3" s="46" t="s">
        <v>706</v>
      </c>
      <c r="AX3" s="46" t="s">
        <v>707</v>
      </c>
      <c r="AY3" s="46" t="s">
        <v>706</v>
      </c>
      <c r="AZ3" s="46" t="s">
        <v>707</v>
      </c>
      <c r="BA3" s="46" t="s">
        <v>706</v>
      </c>
      <c r="BB3" s="46" t="s">
        <v>707</v>
      </c>
      <c r="BC3" s="46" t="s">
        <v>706</v>
      </c>
      <c r="BD3" s="46" t="s">
        <v>707</v>
      </c>
      <c r="BE3" s="46" t="s">
        <v>706</v>
      </c>
      <c r="BF3" s="46" t="s">
        <v>707</v>
      </c>
      <c r="BG3" s="46" t="s">
        <v>706</v>
      </c>
      <c r="BH3" s="46" t="s">
        <v>707</v>
      </c>
      <c r="BI3" s="46" t="s">
        <v>706</v>
      </c>
      <c r="BJ3" s="46" t="s">
        <v>707</v>
      </c>
      <c r="BK3" s="46" t="s">
        <v>706</v>
      </c>
      <c r="BL3" s="46" t="s">
        <v>707</v>
      </c>
      <c r="BM3" s="46" t="s">
        <v>706</v>
      </c>
      <c r="BN3" s="46" t="s">
        <v>707</v>
      </c>
      <c r="BO3" s="46" t="s">
        <v>706</v>
      </c>
      <c r="BP3" s="46" t="s">
        <v>707</v>
      </c>
      <c r="BQ3" s="46" t="s">
        <v>706</v>
      </c>
      <c r="BR3" s="46" t="s">
        <v>707</v>
      </c>
      <c r="BS3" s="46" t="s">
        <v>706</v>
      </c>
      <c r="BT3" s="46" t="s">
        <v>707</v>
      </c>
      <c r="BU3" s="46" t="s">
        <v>706</v>
      </c>
      <c r="BV3" s="46" t="s">
        <v>707</v>
      </c>
      <c r="BW3" s="46" t="s">
        <v>706</v>
      </c>
      <c r="BX3" s="46" t="s">
        <v>707</v>
      </c>
      <c r="BY3" s="46" t="s">
        <v>706</v>
      </c>
      <c r="BZ3" s="46" t="s">
        <v>707</v>
      </c>
      <c r="CA3" s="46" t="s">
        <v>706</v>
      </c>
      <c r="CB3" s="46" t="s">
        <v>707</v>
      </c>
      <c r="CC3" s="46" t="s">
        <v>706</v>
      </c>
      <c r="CD3" s="46" t="s">
        <v>707</v>
      </c>
      <c r="CE3" s="46" t="s">
        <v>706</v>
      </c>
      <c r="CF3" s="46" t="s">
        <v>707</v>
      </c>
      <c r="CG3" s="46" t="s">
        <v>706</v>
      </c>
      <c r="CH3" s="46" t="s">
        <v>707</v>
      </c>
      <c r="CI3" s="46" t="s">
        <v>706</v>
      </c>
      <c r="CJ3" s="46" t="s">
        <v>707</v>
      </c>
      <c r="CK3" s="46" t="s">
        <v>706</v>
      </c>
      <c r="CL3" s="46" t="s">
        <v>707</v>
      </c>
      <c r="CM3" s="46" t="s">
        <v>706</v>
      </c>
      <c r="CN3" s="46" t="s">
        <v>707</v>
      </c>
      <c r="CO3" s="46" t="s">
        <v>706</v>
      </c>
      <c r="CP3" s="46" t="s">
        <v>707</v>
      </c>
      <c r="CQ3" s="46" t="s">
        <v>706</v>
      </c>
      <c r="CR3" s="46" t="s">
        <v>707</v>
      </c>
      <c r="CS3" s="46" t="s">
        <v>706</v>
      </c>
      <c r="CT3" s="46" t="s">
        <v>707</v>
      </c>
      <c r="CU3" s="46" t="s">
        <v>706</v>
      </c>
      <c r="CV3" s="46" t="s">
        <v>707</v>
      </c>
      <c r="CW3" s="46" t="s">
        <v>706</v>
      </c>
      <c r="CX3" s="46" t="s">
        <v>707</v>
      </c>
      <c r="CY3" s="46" t="s">
        <v>706</v>
      </c>
      <c r="CZ3" s="46" t="s">
        <v>707</v>
      </c>
      <c r="DA3" s="46" t="s">
        <v>706</v>
      </c>
      <c r="DB3" s="46" t="s">
        <v>707</v>
      </c>
      <c r="DC3" s="46" t="s">
        <v>706</v>
      </c>
      <c r="DD3" s="46" t="s">
        <v>707</v>
      </c>
      <c r="DE3" s="46" t="s">
        <v>706</v>
      </c>
      <c r="DF3" s="46" t="s">
        <v>707</v>
      </c>
      <c r="DG3" s="46" t="s">
        <v>706</v>
      </c>
      <c r="DH3" s="46" t="s">
        <v>707</v>
      </c>
      <c r="DI3" s="46" t="s">
        <v>706</v>
      </c>
      <c r="DJ3" s="46" t="s">
        <v>707</v>
      </c>
      <c r="DK3" s="46" t="s">
        <v>706</v>
      </c>
      <c r="DL3" s="46" t="s">
        <v>707</v>
      </c>
      <c r="DM3" s="46" t="s">
        <v>706</v>
      </c>
      <c r="DN3" s="46" t="s">
        <v>707</v>
      </c>
      <c r="DO3" s="46" t="s">
        <v>706</v>
      </c>
      <c r="DP3" s="46" t="s">
        <v>707</v>
      </c>
      <c r="DQ3" s="46" t="s">
        <v>706</v>
      </c>
      <c r="DR3" s="46" t="s">
        <v>707</v>
      </c>
      <c r="DS3" s="46" t="s">
        <v>706</v>
      </c>
      <c r="DT3" s="46" t="s">
        <v>707</v>
      </c>
      <c r="DU3" s="46" t="s">
        <v>706</v>
      </c>
      <c r="DV3" s="46" t="s">
        <v>707</v>
      </c>
      <c r="DW3" s="46" t="s">
        <v>706</v>
      </c>
      <c r="DX3" s="46" t="s">
        <v>707</v>
      </c>
      <c r="DY3" s="46" t="s">
        <v>706</v>
      </c>
      <c r="DZ3" s="46" t="s">
        <v>707</v>
      </c>
      <c r="EA3" s="46" t="s">
        <v>706</v>
      </c>
      <c r="EB3" s="46" t="s">
        <v>707</v>
      </c>
      <c r="EC3" s="46" t="s">
        <v>706</v>
      </c>
      <c r="ED3" s="46" t="s">
        <v>707</v>
      </c>
      <c r="EE3" s="46" t="s">
        <v>706</v>
      </c>
      <c r="EF3" s="46" t="s">
        <v>707</v>
      </c>
      <c r="EG3" s="46" t="s">
        <v>706</v>
      </c>
      <c r="EH3" s="46" t="s">
        <v>707</v>
      </c>
      <c r="EI3" s="46" t="s">
        <v>706</v>
      </c>
      <c r="EJ3" s="46" t="s">
        <v>707</v>
      </c>
      <c r="EK3" s="46" t="s">
        <v>706</v>
      </c>
      <c r="EL3" s="46" t="s">
        <v>707</v>
      </c>
      <c r="EM3" s="46" t="s">
        <v>706</v>
      </c>
      <c r="EN3" s="46" t="s">
        <v>707</v>
      </c>
      <c r="EO3" s="46" t="s">
        <v>706</v>
      </c>
      <c r="EP3" s="46" t="s">
        <v>707</v>
      </c>
      <c r="EQ3" s="46" t="s">
        <v>706</v>
      </c>
      <c r="ER3" s="46" t="s">
        <v>707</v>
      </c>
      <c r="ES3" s="46" t="s">
        <v>706</v>
      </c>
      <c r="ET3" s="46" t="s">
        <v>707</v>
      </c>
    </row>
    <row r="4" spans="1:160">
      <c r="B4" s="46" t="s">
        <v>694</v>
      </c>
      <c r="C4" s="46" t="s">
        <v>481</v>
      </c>
      <c r="D4" s="46" t="s">
        <v>481</v>
      </c>
      <c r="E4" s="46" t="s">
        <v>484</v>
      </c>
      <c r="F4" s="46" t="s">
        <v>484</v>
      </c>
      <c r="G4" s="46" t="s">
        <v>12</v>
      </c>
      <c r="H4" s="46" t="s">
        <v>12</v>
      </c>
      <c r="I4" s="46" t="s">
        <v>7</v>
      </c>
      <c r="J4" s="46" t="s">
        <v>7</v>
      </c>
      <c r="K4" s="46" t="s">
        <v>6</v>
      </c>
      <c r="L4" s="46" t="s">
        <v>6</v>
      </c>
      <c r="M4" s="46" t="s">
        <v>11</v>
      </c>
      <c r="N4" s="46" t="s">
        <v>635</v>
      </c>
      <c r="O4" s="46" t="s">
        <v>729</v>
      </c>
      <c r="P4" s="46" t="s">
        <v>729</v>
      </c>
      <c r="Q4" s="46" t="s">
        <v>730</v>
      </c>
      <c r="R4" s="46" t="s">
        <v>730</v>
      </c>
      <c r="S4" s="46" t="s">
        <v>731</v>
      </c>
      <c r="T4" s="46" t="s">
        <v>731</v>
      </c>
      <c r="U4" s="46" t="s">
        <v>732</v>
      </c>
      <c r="V4" s="46" t="s">
        <v>732</v>
      </c>
      <c r="W4" s="46" t="s">
        <v>486</v>
      </c>
      <c r="X4" s="46" t="s">
        <v>486</v>
      </c>
      <c r="Y4" s="46" t="s">
        <v>487</v>
      </c>
      <c r="Z4" s="46" t="s">
        <v>487</v>
      </c>
      <c r="AA4" s="46" t="s">
        <v>488</v>
      </c>
      <c r="AB4" s="46" t="s">
        <v>488</v>
      </c>
      <c r="AC4" s="46" t="s">
        <v>489</v>
      </c>
      <c r="AD4" s="46" t="s">
        <v>489</v>
      </c>
      <c r="AE4" s="46" t="s">
        <v>492</v>
      </c>
      <c r="AF4" s="46" t="s">
        <v>492</v>
      </c>
      <c r="AG4" s="46" t="s">
        <v>493</v>
      </c>
      <c r="AH4" s="46" t="s">
        <v>493</v>
      </c>
      <c r="AI4" s="46" t="s">
        <v>733</v>
      </c>
      <c r="AJ4" s="46" t="s">
        <v>733</v>
      </c>
      <c r="AK4" s="46" t="s">
        <v>734</v>
      </c>
      <c r="AL4" s="46" t="s">
        <v>734</v>
      </c>
      <c r="AM4" s="46" t="s">
        <v>735</v>
      </c>
      <c r="AN4" s="46" t="s">
        <v>735</v>
      </c>
      <c r="AO4" s="46" t="s">
        <v>736</v>
      </c>
      <c r="AP4" s="46" t="s">
        <v>736</v>
      </c>
      <c r="AQ4" s="46" t="s">
        <v>504</v>
      </c>
      <c r="AR4" s="46" t="s">
        <v>504</v>
      </c>
      <c r="AS4" s="46" t="s">
        <v>505</v>
      </c>
      <c r="AT4" s="46" t="s">
        <v>505</v>
      </c>
      <c r="AU4" s="46" t="s">
        <v>508</v>
      </c>
      <c r="AV4" s="46" t="s">
        <v>508</v>
      </c>
      <c r="AW4" s="46" t="s">
        <v>737</v>
      </c>
      <c r="AX4" s="46" t="s">
        <v>737</v>
      </c>
      <c r="AY4" s="46" t="s">
        <v>36</v>
      </c>
      <c r="AZ4" s="46" t="s">
        <v>36</v>
      </c>
      <c r="BA4" s="46" t="s">
        <v>26</v>
      </c>
      <c r="BB4" s="46" t="s">
        <v>26</v>
      </c>
      <c r="BC4" s="46" t="s">
        <v>16</v>
      </c>
      <c r="BD4" s="46" t="s">
        <v>16</v>
      </c>
      <c r="BE4" s="46" t="s">
        <v>509</v>
      </c>
      <c r="BF4" s="46" t="s">
        <v>509</v>
      </c>
      <c r="BG4" s="46" t="s">
        <v>4</v>
      </c>
      <c r="BH4" s="46" t="s">
        <v>4</v>
      </c>
      <c r="BI4" s="46" t="s">
        <v>5</v>
      </c>
      <c r="BJ4" s="46" t="s">
        <v>5</v>
      </c>
      <c r="BK4" s="46" t="s">
        <v>512</v>
      </c>
      <c r="BL4" s="46" t="s">
        <v>512</v>
      </c>
      <c r="BM4" s="46" t="s">
        <v>8</v>
      </c>
      <c r="BN4" s="46" t="s">
        <v>8</v>
      </c>
      <c r="BO4" s="46" t="s">
        <v>13</v>
      </c>
      <c r="BP4" s="46" t="s">
        <v>13</v>
      </c>
      <c r="BQ4" s="46" t="s">
        <v>14</v>
      </c>
      <c r="BR4" s="46" t="s">
        <v>14</v>
      </c>
      <c r="BS4" s="46" t="s">
        <v>15</v>
      </c>
      <c r="BT4" s="46" t="s">
        <v>15</v>
      </c>
      <c r="BU4" s="46" t="s">
        <v>18</v>
      </c>
      <c r="BV4" s="46" t="s">
        <v>18</v>
      </c>
      <c r="BW4" s="46" t="s">
        <v>19</v>
      </c>
      <c r="BX4" s="46" t="s">
        <v>19</v>
      </c>
      <c r="BY4" s="46" t="s">
        <v>20</v>
      </c>
      <c r="BZ4" s="46" t="s">
        <v>20</v>
      </c>
      <c r="CA4" s="46" t="s">
        <v>21</v>
      </c>
      <c r="CB4" s="46" t="s">
        <v>21</v>
      </c>
      <c r="CC4" s="46" t="s">
        <v>22</v>
      </c>
      <c r="CD4" s="46" t="s">
        <v>22</v>
      </c>
      <c r="CE4" s="46" t="s">
        <v>23</v>
      </c>
      <c r="CF4" s="46" t="s">
        <v>23</v>
      </c>
      <c r="CG4" s="46" t="s">
        <v>24</v>
      </c>
      <c r="CH4" s="46" t="s">
        <v>24</v>
      </c>
      <c r="CI4" s="46" t="s">
        <v>25</v>
      </c>
      <c r="CJ4" s="46" t="s">
        <v>25</v>
      </c>
      <c r="CK4" s="46" t="s">
        <v>27</v>
      </c>
      <c r="CL4" s="46" t="s">
        <v>27</v>
      </c>
      <c r="CM4" s="46" t="s">
        <v>28</v>
      </c>
      <c r="CN4" s="46" t="s">
        <v>28</v>
      </c>
      <c r="CO4" s="46" t="s">
        <v>29</v>
      </c>
      <c r="CP4" s="46" t="s">
        <v>29</v>
      </c>
      <c r="CQ4" s="46" t="s">
        <v>30</v>
      </c>
      <c r="CR4" s="46" t="s">
        <v>30</v>
      </c>
      <c r="CS4" s="46" t="s">
        <v>31</v>
      </c>
      <c r="CT4" s="46" t="s">
        <v>31</v>
      </c>
      <c r="CU4" s="46" t="s">
        <v>32</v>
      </c>
      <c r="CV4" s="46" t="s">
        <v>32</v>
      </c>
      <c r="CW4" s="46" t="s">
        <v>33</v>
      </c>
      <c r="CX4" s="46" t="s">
        <v>33</v>
      </c>
      <c r="CY4" s="46" t="s">
        <v>34</v>
      </c>
      <c r="CZ4" s="46" t="s">
        <v>34</v>
      </c>
      <c r="DA4" s="46" t="s">
        <v>35</v>
      </c>
      <c r="DB4" s="46" t="s">
        <v>35</v>
      </c>
      <c r="DC4" s="46" t="s">
        <v>37</v>
      </c>
      <c r="DD4" s="46" t="s">
        <v>37</v>
      </c>
      <c r="DE4" s="46" t="s">
        <v>38</v>
      </c>
      <c r="DF4" s="46" t="s">
        <v>38</v>
      </c>
      <c r="DG4" s="46" t="s">
        <v>39</v>
      </c>
      <c r="DH4" s="46" t="s">
        <v>39</v>
      </c>
      <c r="DI4" s="46" t="s">
        <v>40</v>
      </c>
      <c r="DJ4" s="46" t="s">
        <v>40</v>
      </c>
      <c r="DK4" s="46" t="s">
        <v>41</v>
      </c>
      <c r="DL4" s="46" t="s">
        <v>41</v>
      </c>
      <c r="DM4" s="46" t="s">
        <v>42</v>
      </c>
      <c r="DN4" s="46" t="s">
        <v>42</v>
      </c>
      <c r="DO4" s="46" t="s">
        <v>43</v>
      </c>
      <c r="DP4" s="46" t="s">
        <v>43</v>
      </c>
      <c r="DQ4" s="46" t="s">
        <v>44</v>
      </c>
      <c r="DR4" s="46" t="s">
        <v>44</v>
      </c>
      <c r="DS4" s="46" t="s">
        <v>45</v>
      </c>
      <c r="DT4" s="46" t="s">
        <v>45</v>
      </c>
      <c r="DU4" s="46" t="s">
        <v>46</v>
      </c>
      <c r="DV4" s="46" t="s">
        <v>46</v>
      </c>
      <c r="DW4" s="46" t="s">
        <v>47</v>
      </c>
      <c r="DX4" s="46" t="s">
        <v>47</v>
      </c>
      <c r="DY4" s="46" t="s">
        <v>48</v>
      </c>
      <c r="DZ4" s="46" t="s">
        <v>48</v>
      </c>
      <c r="EA4" s="46" t="s">
        <v>49</v>
      </c>
      <c r="EB4" s="46" t="s">
        <v>49</v>
      </c>
      <c r="EC4" s="46" t="s">
        <v>50</v>
      </c>
      <c r="ED4" s="46" t="s">
        <v>50</v>
      </c>
      <c r="EE4" s="46" t="s">
        <v>51</v>
      </c>
      <c r="EF4" s="46" t="s">
        <v>51</v>
      </c>
      <c r="EG4" s="46" t="s">
        <v>52</v>
      </c>
      <c r="EH4" s="46" t="s">
        <v>52</v>
      </c>
      <c r="EI4" s="46" t="s">
        <v>53</v>
      </c>
      <c r="EJ4" s="46" t="s">
        <v>53</v>
      </c>
      <c r="EK4" s="46" t="s">
        <v>54</v>
      </c>
      <c r="EL4" s="46" t="s">
        <v>54</v>
      </c>
      <c r="EM4" s="46" t="s">
        <v>55</v>
      </c>
      <c r="EN4" s="46" t="s">
        <v>55</v>
      </c>
      <c r="EO4" s="46" t="s">
        <v>56</v>
      </c>
      <c r="EP4" s="46" t="s">
        <v>56</v>
      </c>
      <c r="EQ4" s="46" t="s">
        <v>57</v>
      </c>
      <c r="ER4" s="46" t="s">
        <v>57</v>
      </c>
      <c r="ES4" s="46" t="s">
        <v>58</v>
      </c>
      <c r="ET4" s="46" t="s">
        <v>58</v>
      </c>
      <c r="EU4" s="46"/>
      <c r="EV4" s="46"/>
      <c r="EW4" s="46"/>
      <c r="EX4" s="46"/>
      <c r="EY4" s="46"/>
      <c r="EZ4" s="46"/>
      <c r="FA4" s="46"/>
      <c r="FB4" s="46"/>
      <c r="FC4" s="46"/>
      <c r="FD4" s="46"/>
    </row>
    <row r="5" spans="1:160" ht="18">
      <c r="C5" s="35" t="s">
        <v>741</v>
      </c>
      <c r="D5" s="35" t="s">
        <v>741</v>
      </c>
      <c r="G5" s="35" t="s">
        <v>654</v>
      </c>
      <c r="H5" s="35" t="s">
        <v>654</v>
      </c>
      <c r="I5" s="35" t="s">
        <v>654</v>
      </c>
      <c r="J5" s="35" t="s">
        <v>654</v>
      </c>
      <c r="K5" s="35" t="s">
        <v>654</v>
      </c>
      <c r="L5" s="35" t="s">
        <v>654</v>
      </c>
      <c r="M5" s="35" t="s">
        <v>654</v>
      </c>
      <c r="N5" s="35" t="s">
        <v>654</v>
      </c>
      <c r="O5" s="35" t="s">
        <v>654</v>
      </c>
      <c r="P5" s="35" t="s">
        <v>654</v>
      </c>
      <c r="Q5" s="35" t="s">
        <v>654</v>
      </c>
      <c r="R5" s="35" t="s">
        <v>654</v>
      </c>
      <c r="S5" s="35" t="s">
        <v>654</v>
      </c>
      <c r="T5" s="35" t="s">
        <v>654</v>
      </c>
      <c r="U5" s="35" t="s">
        <v>654</v>
      </c>
      <c r="V5" s="35" t="s">
        <v>654</v>
      </c>
      <c r="W5" s="35" t="s">
        <v>657</v>
      </c>
      <c r="X5" s="35" t="s">
        <v>657</v>
      </c>
      <c r="Y5" s="35" t="s">
        <v>657</v>
      </c>
      <c r="Z5" s="35" t="s">
        <v>657</v>
      </c>
      <c r="AA5" s="35" t="s">
        <v>657</v>
      </c>
      <c r="AB5" s="35" t="s">
        <v>657</v>
      </c>
      <c r="AC5" s="35" t="s">
        <v>657</v>
      </c>
      <c r="AD5" s="35" t="s">
        <v>657</v>
      </c>
      <c r="AE5" s="35" t="s">
        <v>657</v>
      </c>
      <c r="AF5" s="35" t="s">
        <v>657</v>
      </c>
      <c r="AG5" s="35" t="s">
        <v>657</v>
      </c>
      <c r="AH5" s="35" t="s">
        <v>657</v>
      </c>
      <c r="AI5" s="35" t="s">
        <v>654</v>
      </c>
      <c r="AJ5" s="35" t="s">
        <v>654</v>
      </c>
      <c r="AK5" s="35" t="s">
        <v>654</v>
      </c>
      <c r="AL5" s="35" t="s">
        <v>654</v>
      </c>
      <c r="AM5" s="35" t="s">
        <v>654</v>
      </c>
      <c r="AN5" s="35" t="s">
        <v>654</v>
      </c>
      <c r="AO5" s="35" t="s">
        <v>654</v>
      </c>
      <c r="AP5" s="35" t="s">
        <v>654</v>
      </c>
      <c r="AQ5" s="35" t="s">
        <v>654</v>
      </c>
      <c r="AR5" s="35" t="s">
        <v>654</v>
      </c>
      <c r="AS5" s="35" t="s">
        <v>654</v>
      </c>
      <c r="AT5" s="35" t="s">
        <v>654</v>
      </c>
      <c r="AU5" s="35" t="s">
        <v>654</v>
      </c>
      <c r="AV5" s="35" t="s">
        <v>654</v>
      </c>
      <c r="AW5" s="35" t="s">
        <v>654</v>
      </c>
      <c r="AX5" s="35" t="s">
        <v>654</v>
      </c>
      <c r="AY5" s="35" t="s">
        <v>659</v>
      </c>
      <c r="AZ5" s="35" t="s">
        <v>659</v>
      </c>
      <c r="BA5" s="35" t="s">
        <v>659</v>
      </c>
      <c r="BB5" s="35" t="s">
        <v>659</v>
      </c>
      <c r="BC5" s="35" t="s">
        <v>659</v>
      </c>
      <c r="BD5" s="35" t="s">
        <v>659</v>
      </c>
      <c r="BE5" s="35" t="s">
        <v>659</v>
      </c>
      <c r="BF5" s="35" t="s">
        <v>659</v>
      </c>
      <c r="BG5" s="35" t="s">
        <v>659</v>
      </c>
      <c r="BH5" s="35" t="s">
        <v>659</v>
      </c>
      <c r="BI5" s="35" t="s">
        <v>659</v>
      </c>
      <c r="BJ5" s="35" t="s">
        <v>659</v>
      </c>
      <c r="BK5" s="35" t="s">
        <v>659</v>
      </c>
      <c r="BL5" s="35" t="s">
        <v>659</v>
      </c>
      <c r="BM5" s="35" t="s">
        <v>659</v>
      </c>
      <c r="BN5" s="35" t="s">
        <v>659</v>
      </c>
      <c r="BO5" s="35" t="s">
        <v>659</v>
      </c>
      <c r="BP5" s="35" t="s">
        <v>659</v>
      </c>
      <c r="BQ5" s="35" t="s">
        <v>659</v>
      </c>
      <c r="BR5" s="35" t="s">
        <v>659</v>
      </c>
      <c r="BS5" s="35" t="s">
        <v>659</v>
      </c>
      <c r="BT5" s="35" t="s">
        <v>659</v>
      </c>
      <c r="BU5" s="35" t="s">
        <v>659</v>
      </c>
      <c r="BV5" s="35" t="s">
        <v>659</v>
      </c>
      <c r="BW5" s="35" t="s">
        <v>659</v>
      </c>
      <c r="BX5" s="35" t="s">
        <v>659</v>
      </c>
      <c r="BY5" s="35" t="s">
        <v>659</v>
      </c>
      <c r="BZ5" s="35" t="s">
        <v>659</v>
      </c>
      <c r="CA5" s="35" t="s">
        <v>659</v>
      </c>
      <c r="CB5" s="35" t="s">
        <v>659</v>
      </c>
      <c r="CC5" s="35" t="s">
        <v>659</v>
      </c>
      <c r="CD5" s="35" t="s">
        <v>659</v>
      </c>
      <c r="CE5" s="35" t="s">
        <v>659</v>
      </c>
      <c r="CF5" s="35" t="s">
        <v>659</v>
      </c>
      <c r="CG5" s="35" t="s">
        <v>659</v>
      </c>
      <c r="CH5" s="35" t="s">
        <v>659</v>
      </c>
      <c r="CI5" s="35" t="s">
        <v>659</v>
      </c>
      <c r="CJ5" s="35" t="s">
        <v>659</v>
      </c>
      <c r="CK5" s="35" t="s">
        <v>659</v>
      </c>
      <c r="CL5" s="35" t="s">
        <v>659</v>
      </c>
      <c r="CM5" s="35" t="s">
        <v>659</v>
      </c>
      <c r="CN5" s="35" t="s">
        <v>659</v>
      </c>
      <c r="CO5" s="35" t="s">
        <v>659</v>
      </c>
      <c r="CP5" s="35" t="s">
        <v>659</v>
      </c>
      <c r="CQ5" s="35" t="s">
        <v>659</v>
      </c>
      <c r="CR5" s="35" t="s">
        <v>659</v>
      </c>
      <c r="CS5" s="35" t="s">
        <v>659</v>
      </c>
      <c r="CT5" s="35" t="s">
        <v>659</v>
      </c>
      <c r="CU5" s="35" t="s">
        <v>659</v>
      </c>
      <c r="CV5" s="35" t="s">
        <v>659</v>
      </c>
      <c r="CW5" s="35" t="s">
        <v>659</v>
      </c>
      <c r="CX5" s="35" t="s">
        <v>659</v>
      </c>
      <c r="CY5" s="35" t="s">
        <v>659</v>
      </c>
      <c r="CZ5" s="35" t="s">
        <v>659</v>
      </c>
      <c r="DA5" s="35" t="s">
        <v>659</v>
      </c>
      <c r="DB5" s="35" t="s">
        <v>659</v>
      </c>
      <c r="DC5" s="35" t="s">
        <v>659</v>
      </c>
      <c r="DD5" s="35" t="s">
        <v>659</v>
      </c>
      <c r="DE5" s="35" t="s">
        <v>659</v>
      </c>
      <c r="DF5" s="35" t="s">
        <v>659</v>
      </c>
      <c r="DG5" s="35" t="s">
        <v>659</v>
      </c>
      <c r="DH5" s="35" t="s">
        <v>659</v>
      </c>
      <c r="DI5" s="35" t="s">
        <v>659</v>
      </c>
      <c r="DJ5" s="35" t="s">
        <v>659</v>
      </c>
      <c r="DK5" s="35" t="s">
        <v>659</v>
      </c>
      <c r="DL5" s="35" t="s">
        <v>659</v>
      </c>
      <c r="DM5" s="35" t="s">
        <v>659</v>
      </c>
      <c r="DN5" s="35" t="s">
        <v>659</v>
      </c>
      <c r="DO5" s="35" t="s">
        <v>659</v>
      </c>
      <c r="DP5" s="35" t="s">
        <v>659</v>
      </c>
      <c r="DQ5" s="35" t="s">
        <v>659</v>
      </c>
      <c r="DR5" s="35" t="s">
        <v>659</v>
      </c>
      <c r="DS5" s="35" t="s">
        <v>659</v>
      </c>
      <c r="DT5" s="35" t="s">
        <v>659</v>
      </c>
      <c r="DU5" s="35" t="s">
        <v>659</v>
      </c>
      <c r="DV5" s="35" t="s">
        <v>659</v>
      </c>
      <c r="DW5" s="35" t="s">
        <v>659</v>
      </c>
      <c r="DX5" s="35" t="s">
        <v>659</v>
      </c>
      <c r="DY5" s="35" t="s">
        <v>659</v>
      </c>
      <c r="DZ5" s="35" t="s">
        <v>659</v>
      </c>
      <c r="EA5" s="35" t="s">
        <v>659</v>
      </c>
      <c r="EB5" s="35" t="s">
        <v>659</v>
      </c>
      <c r="EC5" s="35" t="s">
        <v>659</v>
      </c>
      <c r="ED5" s="35" t="s">
        <v>659</v>
      </c>
      <c r="EE5" s="35" t="s">
        <v>659</v>
      </c>
      <c r="EF5" s="35" t="s">
        <v>659</v>
      </c>
      <c r="EG5" s="35" t="s">
        <v>659</v>
      </c>
      <c r="EH5" s="35" t="s">
        <v>659</v>
      </c>
      <c r="EI5" s="35" t="s">
        <v>659</v>
      </c>
      <c r="EJ5" s="35" t="s">
        <v>659</v>
      </c>
      <c r="EK5" s="35" t="s">
        <v>659</v>
      </c>
      <c r="EL5" s="35" t="s">
        <v>659</v>
      </c>
      <c r="EM5" s="35" t="s">
        <v>659</v>
      </c>
      <c r="EN5" s="35" t="s">
        <v>659</v>
      </c>
      <c r="EO5" s="35" t="s">
        <v>659</v>
      </c>
      <c r="EP5" s="35" t="s">
        <v>659</v>
      </c>
      <c r="EQ5" s="35" t="s">
        <v>659</v>
      </c>
      <c r="ER5" s="35" t="s">
        <v>659</v>
      </c>
      <c r="ES5" s="35" t="s">
        <v>659</v>
      </c>
      <c r="ET5" s="35" t="s">
        <v>659</v>
      </c>
    </row>
    <row r="6" spans="1:160">
      <c r="A6" s="393" t="s">
        <v>911</v>
      </c>
      <c r="B6" s="46" t="s">
        <v>697</v>
      </c>
      <c r="C6" s="312">
        <v>56.9</v>
      </c>
      <c r="D6" s="312">
        <v>70.7</v>
      </c>
      <c r="E6" s="100">
        <v>7.0129999999999999</v>
      </c>
      <c r="F6" s="100">
        <v>7.1269999999999998</v>
      </c>
      <c r="G6" s="100">
        <v>2.2000000000000002</v>
      </c>
      <c r="H6" s="100">
        <v>6.5</v>
      </c>
      <c r="I6" s="100">
        <v>0.58399999999999996</v>
      </c>
      <c r="J6" s="100">
        <v>1.3580000000000001</v>
      </c>
      <c r="K6" s="100">
        <v>1.5</v>
      </c>
      <c r="L6" s="100">
        <v>2</v>
      </c>
      <c r="M6" s="100">
        <v>0.46</v>
      </c>
      <c r="N6" s="100">
        <v>0.18</v>
      </c>
      <c r="O6" s="100">
        <v>19.71</v>
      </c>
      <c r="P6" s="100">
        <v>38.81</v>
      </c>
      <c r="Q6" s="100">
        <v>0.82548420629791797</v>
      </c>
      <c r="R6" s="100">
        <v>0.99309008759336304</v>
      </c>
      <c r="S6" s="100">
        <v>0.3809646538663769</v>
      </c>
      <c r="T6" s="100">
        <v>6.998982308002924E-2</v>
      </c>
      <c r="U6" s="100">
        <v>0.62999042632032654</v>
      </c>
      <c r="V6" s="100">
        <v>4.8727601168064298</v>
      </c>
      <c r="W6" s="100">
        <v>0.23485416000000001</v>
      </c>
      <c r="X6" s="100">
        <v>0.71091568999999999</v>
      </c>
      <c r="Y6" s="100">
        <v>2.144244E-3</v>
      </c>
      <c r="Z6" s="100">
        <v>1.1330533999999999E-3</v>
      </c>
      <c r="AA6" s="100">
        <v>0.47068552765913912</v>
      </c>
      <c r="AB6" s="100">
        <v>0.76067127935128531</v>
      </c>
      <c r="AC6" s="100">
        <v>4.1343298087716954E-3</v>
      </c>
      <c r="AD6" s="100">
        <v>1.5189902530354659E-3</v>
      </c>
      <c r="AE6" s="100">
        <v>0.2444128894</v>
      </c>
      <c r="AF6" s="100">
        <v>0.71275285980000003</v>
      </c>
      <c r="AG6" s="100">
        <v>0.47687034125646272</v>
      </c>
      <c r="AH6" s="100">
        <v>0.76260471023887422</v>
      </c>
      <c r="AI6" s="100">
        <v>1.3287914510612689E-2</v>
      </c>
      <c r="AJ6" s="100">
        <v>1.3986386339772278E-2</v>
      </c>
      <c r="AK6" s="100">
        <v>7.1780315274752203E-3</v>
      </c>
      <c r="AL6" s="100">
        <v>6.6947307951005022E-3</v>
      </c>
      <c r="AM6" s="100">
        <v>0.15924483265142575</v>
      </c>
      <c r="AN6" s="100" t="s">
        <v>603</v>
      </c>
      <c r="AO6" s="100">
        <v>6.700991418123288E-2</v>
      </c>
      <c r="AP6" s="100">
        <v>2.5892605377495301E-2</v>
      </c>
      <c r="AQ6" s="100">
        <v>7.0000000000000001E-3</v>
      </c>
      <c r="AR6" s="100">
        <v>8.9999999999999993E-3</v>
      </c>
      <c r="AS6" s="100">
        <v>0.09</v>
      </c>
      <c r="AT6" s="100">
        <v>0.05</v>
      </c>
      <c r="AU6" s="100">
        <v>2.82</v>
      </c>
      <c r="AV6" s="100">
        <v>11.53</v>
      </c>
      <c r="AW6" s="100">
        <v>6.032826</v>
      </c>
      <c r="AX6" s="100">
        <v>24.666128999999998</v>
      </c>
      <c r="AY6" s="100">
        <v>5.97</v>
      </c>
      <c r="AZ6" s="100">
        <v>8.19</v>
      </c>
      <c r="BA6" s="100">
        <v>24.1</v>
      </c>
      <c r="BB6" s="100">
        <v>23.7</v>
      </c>
      <c r="BC6" s="100">
        <v>4.5</v>
      </c>
      <c r="BD6" s="100">
        <v>2.2000000000000002</v>
      </c>
      <c r="BE6" s="100">
        <v>9.1999999999999993</v>
      </c>
      <c r="BF6" s="100">
        <v>1.9</v>
      </c>
      <c r="BG6" s="100" t="s">
        <v>604</v>
      </c>
      <c r="BH6" s="100">
        <v>10</v>
      </c>
      <c r="BI6" s="100" t="s">
        <v>605</v>
      </c>
      <c r="BJ6" s="100">
        <v>0.15</v>
      </c>
      <c r="BK6" s="100" t="s">
        <v>614</v>
      </c>
      <c r="BL6" s="100" t="s">
        <v>614</v>
      </c>
      <c r="BM6" s="100">
        <v>1.7</v>
      </c>
      <c r="BN6" s="100">
        <v>2.7</v>
      </c>
      <c r="BO6" s="100">
        <v>0.2</v>
      </c>
      <c r="BP6" s="100">
        <v>0.12</v>
      </c>
      <c r="BQ6" s="100">
        <v>0.17</v>
      </c>
      <c r="BR6" s="100">
        <v>0.2</v>
      </c>
      <c r="BS6" s="100">
        <v>0.08</v>
      </c>
      <c r="BT6" s="100">
        <v>0.2</v>
      </c>
      <c r="BU6" s="100">
        <v>6.9000000000000006E-2</v>
      </c>
      <c r="BV6" s="100">
        <v>1.7999999999999999E-2</v>
      </c>
      <c r="BW6" s="100">
        <v>0.32</v>
      </c>
      <c r="BX6" s="100">
        <v>0.1</v>
      </c>
      <c r="BY6" s="100">
        <v>0.2</v>
      </c>
      <c r="BZ6" s="100">
        <v>0.33</v>
      </c>
      <c r="CA6" s="100">
        <v>0.7</v>
      </c>
      <c r="CB6" s="100">
        <v>1.1000000000000001</v>
      </c>
      <c r="CC6" s="100" t="s">
        <v>607</v>
      </c>
      <c r="CD6" s="100" t="s">
        <v>615</v>
      </c>
      <c r="CE6" s="100">
        <v>0.06</v>
      </c>
      <c r="CF6" s="100">
        <v>0.06</v>
      </c>
      <c r="CG6" s="100">
        <v>0.08</v>
      </c>
      <c r="CH6" s="100">
        <v>0.09</v>
      </c>
      <c r="CI6" s="100">
        <v>0.23</v>
      </c>
      <c r="CJ6" s="100">
        <v>0.17</v>
      </c>
      <c r="CK6" s="100">
        <v>2.4E-2</v>
      </c>
      <c r="CL6" s="100" t="s">
        <v>349</v>
      </c>
      <c r="CM6" s="100">
        <v>0.02</v>
      </c>
      <c r="CN6" s="100">
        <v>2.5000000000000001E-2</v>
      </c>
      <c r="CO6" s="100">
        <v>0.02</v>
      </c>
      <c r="CP6" s="100">
        <v>0.1</v>
      </c>
      <c r="CQ6" s="100">
        <v>0.2</v>
      </c>
      <c r="CR6" s="100" t="s">
        <v>606</v>
      </c>
      <c r="CS6" s="100" t="s">
        <v>607</v>
      </c>
      <c r="CT6" s="100" t="s">
        <v>92</v>
      </c>
      <c r="CU6" s="100">
        <v>8.0000000000000002E-3</v>
      </c>
      <c r="CV6" s="100">
        <v>5.0000000000000001E-3</v>
      </c>
      <c r="CW6" s="100">
        <v>0.09</v>
      </c>
      <c r="CX6" s="100" t="s">
        <v>605</v>
      </c>
      <c r="CY6" s="100">
        <v>0.05</v>
      </c>
      <c r="CZ6" s="100">
        <v>0.06</v>
      </c>
      <c r="DA6" s="100">
        <v>0.06</v>
      </c>
      <c r="DB6" s="100">
        <v>0.23</v>
      </c>
      <c r="DC6" s="100">
        <v>5.0000000000000001E-3</v>
      </c>
      <c r="DD6" s="100">
        <v>2.9000000000000001E-2</v>
      </c>
      <c r="DE6" s="100">
        <v>8.0000000000000002E-3</v>
      </c>
      <c r="DF6" s="100">
        <v>1.2E-2</v>
      </c>
      <c r="DG6" s="100">
        <v>8.0000000000000002E-3</v>
      </c>
      <c r="DH6" s="100">
        <v>6.0000000000000001E-3</v>
      </c>
      <c r="DI6" s="100">
        <v>6.0000000000000001E-3</v>
      </c>
      <c r="DJ6" s="100">
        <v>2.1000000000000001E-2</v>
      </c>
      <c r="DK6" s="100">
        <v>5.0000000000000001E-3</v>
      </c>
      <c r="DL6" s="100">
        <v>7.0000000000000001E-3</v>
      </c>
      <c r="DM6" s="100">
        <v>3.0000000000000001E-3</v>
      </c>
      <c r="DN6" s="100">
        <v>1.4E-2</v>
      </c>
      <c r="DO6" s="100">
        <v>7.0000000000000001E-3</v>
      </c>
      <c r="DP6" s="100">
        <v>1.4E-2</v>
      </c>
      <c r="DQ6" s="100">
        <v>4.0000000000000001E-3</v>
      </c>
      <c r="DR6" s="100">
        <v>1.0999999999999999E-2</v>
      </c>
      <c r="DS6" s="100">
        <v>5.0000000000000001E-3</v>
      </c>
      <c r="DT6" s="100">
        <v>7.0000000000000001E-3</v>
      </c>
      <c r="DU6" s="100">
        <v>3.0000000000000001E-3</v>
      </c>
      <c r="DV6" s="100">
        <v>3.0000000000000001E-3</v>
      </c>
      <c r="DW6" s="100">
        <v>3.0000000000000001E-3</v>
      </c>
      <c r="DX6" s="100">
        <v>4.0000000000000001E-3</v>
      </c>
      <c r="DY6" s="100">
        <v>6.0000000000000001E-3</v>
      </c>
      <c r="DZ6" s="100">
        <v>0.01</v>
      </c>
      <c r="EA6" s="100">
        <v>3.4000000000000002E-2</v>
      </c>
      <c r="EB6" s="100">
        <v>6.0000000000000001E-3</v>
      </c>
      <c r="EC6" s="100">
        <v>5.0000000000000001E-3</v>
      </c>
      <c r="ED6" s="100">
        <v>1.4E-2</v>
      </c>
      <c r="EE6" s="100" t="s">
        <v>611</v>
      </c>
      <c r="EF6" s="100">
        <v>2.1000000000000001E-2</v>
      </c>
      <c r="EG6" s="100" t="s">
        <v>612</v>
      </c>
      <c r="EH6" s="100" t="s">
        <v>612</v>
      </c>
      <c r="EI6" s="100">
        <v>0.1</v>
      </c>
      <c r="EJ6" s="100" t="s">
        <v>615</v>
      </c>
      <c r="EK6" s="100">
        <v>0.02</v>
      </c>
      <c r="EL6" s="100" t="s">
        <v>304</v>
      </c>
      <c r="EM6" s="100">
        <v>7.0000000000000007E-2</v>
      </c>
      <c r="EN6" s="100">
        <v>0.06</v>
      </c>
      <c r="EO6" s="100" t="s">
        <v>605</v>
      </c>
      <c r="EP6" s="100" t="s">
        <v>605</v>
      </c>
      <c r="EQ6" s="100" t="s">
        <v>91</v>
      </c>
      <c r="ER6" s="100" t="s">
        <v>91</v>
      </c>
      <c r="ES6" s="100">
        <v>0.01</v>
      </c>
      <c r="ET6" s="100">
        <v>6.5000000000000002E-2</v>
      </c>
    </row>
    <row r="7" spans="1:160">
      <c r="A7" s="394"/>
      <c r="B7" s="46" t="s">
        <v>698</v>
      </c>
      <c r="C7" s="312">
        <v>250.9</v>
      </c>
      <c r="D7" s="312">
        <v>157.69999999999999</v>
      </c>
      <c r="E7" s="100">
        <v>7.9989999999999997</v>
      </c>
      <c r="F7" s="100">
        <v>7.4909999999999997</v>
      </c>
      <c r="G7" s="100">
        <v>27</v>
      </c>
      <c r="H7" s="100">
        <v>16.100000000000001</v>
      </c>
      <c r="I7" s="100">
        <v>9.8620000000000001</v>
      </c>
      <c r="J7" s="100">
        <v>3.891</v>
      </c>
      <c r="K7" s="100">
        <v>11.8</v>
      </c>
      <c r="L7" s="100">
        <v>15.8</v>
      </c>
      <c r="M7" s="100">
        <v>2.39</v>
      </c>
      <c r="N7" s="100">
        <v>7.97</v>
      </c>
      <c r="O7" s="100">
        <v>153.4</v>
      </c>
      <c r="P7" s="100">
        <v>69.959999999999994</v>
      </c>
      <c r="Q7" s="100">
        <v>4.9519852864546099</v>
      </c>
      <c r="R7" s="100">
        <v>6.2913237472660049</v>
      </c>
      <c r="S7" s="100">
        <v>28.11263425798705</v>
      </c>
      <c r="T7" s="100">
        <v>14.041145915459568</v>
      </c>
      <c r="U7" s="100">
        <v>11.610917854722972</v>
      </c>
      <c r="V7" s="100">
        <v>21.413922227022223</v>
      </c>
      <c r="W7" s="100">
        <v>2.6682873799999998</v>
      </c>
      <c r="X7" s="100">
        <v>1.5403961900000001</v>
      </c>
      <c r="Y7" s="100">
        <v>8.2964986199999993E-2</v>
      </c>
      <c r="Z7" s="100">
        <v>7.0414721999999992E-3</v>
      </c>
      <c r="AA7" s="100">
        <v>2.6999693214763241</v>
      </c>
      <c r="AB7" s="100">
        <v>1.5902200811076026</v>
      </c>
      <c r="AC7" s="100">
        <v>1.2807811014223408E-2</v>
      </c>
      <c r="AD7" s="100">
        <v>1.7360803603962426E-2</v>
      </c>
      <c r="AE7" s="100">
        <v>2.6802240475999999</v>
      </c>
      <c r="AF7" s="100">
        <v>1.5474376622000001</v>
      </c>
      <c r="AG7" s="100">
        <v>2.7096326907865032</v>
      </c>
      <c r="AH7" s="100">
        <v>1.5979487787067319</v>
      </c>
      <c r="AI7" s="100">
        <v>4.9611081825846337E-2</v>
      </c>
      <c r="AJ7" s="100">
        <v>6.0646153891566919E-2</v>
      </c>
      <c r="AK7" s="100">
        <v>6.4769102469972584E-2</v>
      </c>
      <c r="AL7" s="100">
        <v>1.0109649665362703E-2</v>
      </c>
      <c r="AM7" s="100">
        <v>0.25255059037663197</v>
      </c>
      <c r="AN7" s="100" t="s">
        <v>603</v>
      </c>
      <c r="AO7" s="100">
        <v>0.21585609575607187</v>
      </c>
      <c r="AP7" s="100">
        <v>0.3112030770044647</v>
      </c>
      <c r="AQ7" s="100">
        <v>0.121</v>
      </c>
      <c r="AR7" s="100">
        <v>0.113</v>
      </c>
      <c r="AS7" s="100">
        <v>10.52</v>
      </c>
      <c r="AT7" s="100">
        <v>4.99</v>
      </c>
      <c r="AU7" s="100">
        <v>25.38</v>
      </c>
      <c r="AV7" s="100">
        <v>31.26</v>
      </c>
      <c r="AW7" s="100">
        <v>54.295434</v>
      </c>
      <c r="AX7" s="100">
        <v>66.874518000000009</v>
      </c>
      <c r="AY7" s="100">
        <v>169.46</v>
      </c>
      <c r="AZ7" s="100">
        <v>173.79</v>
      </c>
      <c r="BA7" s="100">
        <v>336.1</v>
      </c>
      <c r="BB7" s="100">
        <v>214.3</v>
      </c>
      <c r="BC7" s="100">
        <v>1676.7</v>
      </c>
      <c r="BD7" s="100">
        <v>89.6</v>
      </c>
      <c r="BE7" s="100">
        <v>1372.5</v>
      </c>
      <c r="BF7" s="100">
        <v>29.5</v>
      </c>
      <c r="BG7" s="100" t="s">
        <v>604</v>
      </c>
      <c r="BH7" s="100">
        <v>10</v>
      </c>
      <c r="BI7" s="100" t="s">
        <v>605</v>
      </c>
      <c r="BJ7" s="100">
        <v>1.2</v>
      </c>
      <c r="BK7" s="100" t="s">
        <v>614</v>
      </c>
      <c r="BL7" s="100" t="s">
        <v>614</v>
      </c>
      <c r="BM7" s="100">
        <v>71.2</v>
      </c>
      <c r="BN7" s="100">
        <v>108.3</v>
      </c>
      <c r="BO7" s="100">
        <v>1.2</v>
      </c>
      <c r="BP7" s="100">
        <v>2.02</v>
      </c>
      <c r="BQ7" s="100">
        <v>2.82</v>
      </c>
      <c r="BR7" s="100">
        <v>1.57</v>
      </c>
      <c r="BS7" s="100">
        <v>4.8899999999999997</v>
      </c>
      <c r="BT7" s="100">
        <v>1.5</v>
      </c>
      <c r="BU7" s="100">
        <v>25.491</v>
      </c>
      <c r="BV7" s="100">
        <v>4.6319999999999997</v>
      </c>
      <c r="BW7" s="100">
        <v>32.200000000000003</v>
      </c>
      <c r="BX7" s="100">
        <v>16.64</v>
      </c>
      <c r="BY7" s="100">
        <v>9.1</v>
      </c>
      <c r="BZ7" s="100">
        <v>7.78</v>
      </c>
      <c r="CA7" s="100">
        <v>302.7</v>
      </c>
      <c r="CB7" s="100">
        <v>55.7</v>
      </c>
      <c r="CC7" s="100" t="s">
        <v>607</v>
      </c>
      <c r="CD7" s="100" t="s">
        <v>615</v>
      </c>
      <c r="CE7" s="100">
        <v>22.1</v>
      </c>
      <c r="CF7" s="100">
        <v>1.08</v>
      </c>
      <c r="CG7" s="100">
        <v>0.11</v>
      </c>
      <c r="CH7" s="100">
        <v>0.16</v>
      </c>
      <c r="CI7" s="100">
        <v>4.3899999999999997</v>
      </c>
      <c r="CJ7" s="100">
        <v>13.97</v>
      </c>
      <c r="CK7" s="100">
        <v>0.315</v>
      </c>
      <c r="CL7" s="100">
        <v>0.68600000000000005</v>
      </c>
      <c r="CM7" s="100">
        <v>0.25</v>
      </c>
      <c r="CN7" s="100">
        <v>0.91</v>
      </c>
      <c r="CO7" s="100">
        <v>0.04</v>
      </c>
      <c r="CP7" s="100">
        <v>0.1</v>
      </c>
      <c r="CQ7" s="100">
        <v>2.2000000000000002</v>
      </c>
      <c r="CR7" s="100" t="s">
        <v>606</v>
      </c>
      <c r="CS7" s="100" t="s">
        <v>607</v>
      </c>
      <c r="CT7" s="100" t="s">
        <v>92</v>
      </c>
      <c r="CU7" s="100">
        <v>0.122</v>
      </c>
      <c r="CV7" s="100">
        <v>3.3000000000000002E-2</v>
      </c>
      <c r="CW7" s="100">
        <v>0.92</v>
      </c>
      <c r="CX7" s="100" t="s">
        <v>605</v>
      </c>
      <c r="CY7" s="100">
        <v>0.23</v>
      </c>
      <c r="CZ7" s="100">
        <v>0.14000000000000001</v>
      </c>
      <c r="DA7" s="100">
        <v>0.15</v>
      </c>
      <c r="DB7" s="100">
        <v>0.23</v>
      </c>
      <c r="DC7" s="100">
        <v>0.71899999999999997</v>
      </c>
      <c r="DD7" s="100">
        <v>1.2190000000000001</v>
      </c>
      <c r="DE7" s="100">
        <v>0.88</v>
      </c>
      <c r="DF7" s="100">
        <v>0.47499999999999998</v>
      </c>
      <c r="DG7" s="100">
        <v>0.13300000000000001</v>
      </c>
      <c r="DH7" s="100">
        <v>0.22800000000000001</v>
      </c>
      <c r="DI7" s="100">
        <v>0.55400000000000005</v>
      </c>
      <c r="DJ7" s="100">
        <v>0.89</v>
      </c>
      <c r="DK7" s="100">
        <v>9.1999999999999998E-2</v>
      </c>
      <c r="DL7" s="100">
        <v>0.123</v>
      </c>
      <c r="DM7" s="100">
        <v>1.6E-2</v>
      </c>
      <c r="DN7" s="100">
        <v>3.2000000000000001E-2</v>
      </c>
      <c r="DO7" s="100">
        <v>6.7000000000000004E-2</v>
      </c>
      <c r="DP7" s="100">
        <v>0.108</v>
      </c>
      <c r="DQ7" s="100">
        <v>8.9999999999999993E-3</v>
      </c>
      <c r="DR7" s="100">
        <v>1.4E-2</v>
      </c>
      <c r="DS7" s="100">
        <v>5.0999999999999997E-2</v>
      </c>
      <c r="DT7" s="100">
        <v>9.8000000000000004E-2</v>
      </c>
      <c r="DU7" s="100">
        <v>8.9999999999999993E-3</v>
      </c>
      <c r="DV7" s="100">
        <v>2.3E-2</v>
      </c>
      <c r="DW7" s="100">
        <v>2.5000000000000001E-2</v>
      </c>
      <c r="DX7" s="100">
        <v>7.4999999999999997E-2</v>
      </c>
      <c r="DY7" s="100">
        <v>6.0000000000000001E-3</v>
      </c>
      <c r="DZ7" s="100">
        <v>0.01</v>
      </c>
      <c r="EA7" s="100">
        <v>3.4000000000000002E-2</v>
      </c>
      <c r="EB7" s="100">
        <v>8.5000000000000006E-2</v>
      </c>
      <c r="EC7" s="100">
        <v>5.0000000000000001E-3</v>
      </c>
      <c r="ED7" s="100">
        <v>1.4E-2</v>
      </c>
      <c r="EE7" s="100" t="s">
        <v>611</v>
      </c>
      <c r="EF7" s="100">
        <v>2.1000000000000001E-2</v>
      </c>
      <c r="EG7" s="100" t="s">
        <v>612</v>
      </c>
      <c r="EH7" s="100" t="s">
        <v>612</v>
      </c>
      <c r="EI7" s="100">
        <v>0.34</v>
      </c>
      <c r="EJ7" s="100" t="s">
        <v>615</v>
      </c>
      <c r="EK7" s="100">
        <v>0.04</v>
      </c>
      <c r="EL7" s="100" t="s">
        <v>304</v>
      </c>
      <c r="EM7" s="100">
        <v>0.52</v>
      </c>
      <c r="EN7" s="100">
        <v>0.28000000000000003</v>
      </c>
      <c r="EO7" s="100" t="s">
        <v>605</v>
      </c>
      <c r="EP7" s="100" t="s">
        <v>605</v>
      </c>
      <c r="EQ7" s="100" t="s">
        <v>91</v>
      </c>
      <c r="ER7" s="100" t="s">
        <v>91</v>
      </c>
      <c r="ES7" s="100">
        <v>5.0999999999999997E-2</v>
      </c>
      <c r="ET7" s="100">
        <v>7.5999999999999998E-2</v>
      </c>
    </row>
    <row r="8" spans="1:160">
      <c r="A8" s="394"/>
      <c r="B8" s="46" t="s">
        <v>699</v>
      </c>
      <c r="C8" s="312">
        <v>94.800000000000011</v>
      </c>
      <c r="D8" s="312">
        <v>85.8</v>
      </c>
      <c r="E8" s="100">
        <v>7.54</v>
      </c>
      <c r="F8" s="100">
        <v>7.266</v>
      </c>
      <c r="G8" s="100">
        <v>7.125</v>
      </c>
      <c r="H8" s="100">
        <v>8.3000000000000007</v>
      </c>
      <c r="I8" s="100">
        <v>3.004</v>
      </c>
      <c r="J8" s="100">
        <v>2.3809999999999998</v>
      </c>
      <c r="K8" s="100">
        <v>5.3249999999999993</v>
      </c>
      <c r="L8" s="100">
        <v>2.5</v>
      </c>
      <c r="M8" s="100">
        <v>0.89</v>
      </c>
      <c r="N8" s="100">
        <v>0.54</v>
      </c>
      <c r="O8" s="100">
        <v>49.97</v>
      </c>
      <c r="P8" s="100">
        <v>46.29</v>
      </c>
      <c r="Q8" s="100">
        <v>2.218638601255416</v>
      </c>
      <c r="R8" s="100">
        <v>1.4458731077883806</v>
      </c>
      <c r="S8" s="100">
        <v>0.61876013610393921</v>
      </c>
      <c r="T8" s="100">
        <v>0.10342826560212245</v>
      </c>
      <c r="U8" s="100">
        <v>2.9438826283194515</v>
      </c>
      <c r="V8" s="100">
        <v>5.0609995344537522</v>
      </c>
      <c r="W8" s="100">
        <v>0.9293847475</v>
      </c>
      <c r="X8" s="100">
        <v>0.8801557499999999</v>
      </c>
      <c r="Y8" s="100">
        <v>5.3171895999999993E-3</v>
      </c>
      <c r="Z8" s="100">
        <v>1.8371697999999999E-3</v>
      </c>
      <c r="AA8" s="100">
        <v>0.9091569733567274</v>
      </c>
      <c r="AB8" s="100">
        <v>0.92902527463450069</v>
      </c>
      <c r="AC8" s="100">
        <v>5.9295627157211319E-3</v>
      </c>
      <c r="AD8" s="100">
        <v>1.9334308875888747E-3</v>
      </c>
      <c r="AE8" s="100">
        <v>0.96722751094999992</v>
      </c>
      <c r="AF8" s="100">
        <v>0.88128880339999993</v>
      </c>
      <c r="AG8" s="100">
        <v>0.9144782809897839</v>
      </c>
      <c r="AH8" s="100">
        <v>0.93054426488753617</v>
      </c>
      <c r="AI8" s="100">
        <v>2.3478404636284606E-2</v>
      </c>
      <c r="AJ8" s="100">
        <v>3.5631814709049602E-2</v>
      </c>
      <c r="AK8" s="100">
        <v>8.4176893629349589E-3</v>
      </c>
      <c r="AL8" s="100">
        <v>6.9353025172400658E-3</v>
      </c>
      <c r="AM8" s="100">
        <v>0.1825712720827273</v>
      </c>
      <c r="AN8" s="100" t="s">
        <v>603</v>
      </c>
      <c r="AO8" s="100">
        <v>9.3230179097298069E-2</v>
      </c>
      <c r="AP8" s="100">
        <v>3.0637877719024337E-2</v>
      </c>
      <c r="AQ8" s="100">
        <v>1.2E-2</v>
      </c>
      <c r="AR8" s="100">
        <v>3.5000000000000003E-2</v>
      </c>
      <c r="AS8" s="100">
        <v>0.35749999999999998</v>
      </c>
      <c r="AT8" s="100">
        <v>0.08</v>
      </c>
      <c r="AU8" s="100">
        <v>18.987499999999997</v>
      </c>
      <c r="AV8" s="100">
        <v>13.43</v>
      </c>
      <c r="AW8" s="100">
        <v>40.619958749999995</v>
      </c>
      <c r="AX8" s="100">
        <v>28.730798999999998</v>
      </c>
      <c r="AY8" s="100">
        <v>25.344999999999999</v>
      </c>
      <c r="AZ8" s="100">
        <v>13.88</v>
      </c>
      <c r="BA8" s="100">
        <v>80.924999999999997</v>
      </c>
      <c r="BB8" s="100">
        <v>25.5</v>
      </c>
      <c r="BC8" s="100">
        <v>15.425000000000001</v>
      </c>
      <c r="BD8" s="100">
        <v>2.8</v>
      </c>
      <c r="BE8" s="100">
        <v>63.6</v>
      </c>
      <c r="BF8" s="100">
        <v>4.0999999999999996</v>
      </c>
      <c r="BG8" s="100" t="s">
        <v>604</v>
      </c>
      <c r="BH8" s="100">
        <v>10</v>
      </c>
      <c r="BI8" s="100" t="s">
        <v>605</v>
      </c>
      <c r="BJ8" s="100">
        <v>0.41249999999999998</v>
      </c>
      <c r="BK8" s="100" t="s">
        <v>614</v>
      </c>
      <c r="BL8" s="100" t="s">
        <v>614</v>
      </c>
      <c r="BM8" s="100">
        <v>6.4499999999999993</v>
      </c>
      <c r="BN8" s="100">
        <v>8.1999999999999993</v>
      </c>
      <c r="BO8" s="100">
        <v>0.3</v>
      </c>
      <c r="BP8" s="100">
        <v>0.155</v>
      </c>
      <c r="BQ8" s="100">
        <v>0.70499999999999996</v>
      </c>
      <c r="BR8" s="100">
        <v>0.79</v>
      </c>
      <c r="BS8" s="100">
        <v>0.23250000000000001</v>
      </c>
      <c r="BT8" s="100">
        <v>0.2</v>
      </c>
      <c r="BU8" s="100">
        <v>0.15375</v>
      </c>
      <c r="BV8" s="100">
        <v>2.5999999999999999E-2</v>
      </c>
      <c r="BW8" s="100">
        <v>1.17</v>
      </c>
      <c r="BX8" s="100">
        <v>0.56999999999999995</v>
      </c>
      <c r="BY8" s="100">
        <v>0.5</v>
      </c>
      <c r="BZ8" s="100">
        <v>0.36</v>
      </c>
      <c r="CA8" s="100">
        <v>3.6749999999999998</v>
      </c>
      <c r="CB8" s="100">
        <v>1.3</v>
      </c>
      <c r="CC8" s="100" t="s">
        <v>607</v>
      </c>
      <c r="CD8" s="100" t="s">
        <v>615</v>
      </c>
      <c r="CE8" s="100">
        <v>0.47250000000000003</v>
      </c>
      <c r="CF8" s="100">
        <v>0.35500000000000004</v>
      </c>
      <c r="CG8" s="100">
        <v>8.4999999999999992E-2</v>
      </c>
      <c r="CH8" s="100">
        <v>0.1</v>
      </c>
      <c r="CI8" s="100">
        <v>0.97</v>
      </c>
      <c r="CJ8" s="100">
        <v>0.27</v>
      </c>
      <c r="CK8" s="100">
        <v>6.3E-2</v>
      </c>
      <c r="CL8" s="100">
        <v>7.9000000000000001E-2</v>
      </c>
      <c r="CM8" s="100">
        <v>0.05</v>
      </c>
      <c r="CN8" s="100">
        <v>2.8000000000000001E-2</v>
      </c>
      <c r="CO8" s="100">
        <v>2.5000000000000001E-2</v>
      </c>
      <c r="CP8" s="100">
        <v>0.1</v>
      </c>
      <c r="CQ8" s="100">
        <v>0.27500000000000002</v>
      </c>
      <c r="CR8" s="100" t="s">
        <v>606</v>
      </c>
      <c r="CS8" s="100" t="s">
        <v>607</v>
      </c>
      <c r="CT8" s="100" t="s">
        <v>92</v>
      </c>
      <c r="CU8" s="100">
        <v>4.2999999999999997E-2</v>
      </c>
      <c r="CV8" s="100">
        <v>7.2500000000000004E-3</v>
      </c>
      <c r="CW8" s="100">
        <v>0.1</v>
      </c>
      <c r="CX8" s="100" t="s">
        <v>605</v>
      </c>
      <c r="CY8" s="100">
        <v>0.12</v>
      </c>
      <c r="CZ8" s="100">
        <v>0.08</v>
      </c>
      <c r="DA8" s="100">
        <v>0.08</v>
      </c>
      <c r="DB8" s="100">
        <v>0.23</v>
      </c>
      <c r="DC8" s="100">
        <v>9.6000000000000002E-2</v>
      </c>
      <c r="DD8" s="100">
        <v>8.1000000000000003E-2</v>
      </c>
      <c r="DE8" s="100">
        <v>0.05</v>
      </c>
      <c r="DF8" s="100">
        <v>2.5000000000000001E-2</v>
      </c>
      <c r="DG8" s="100">
        <v>2.1000000000000001E-2</v>
      </c>
      <c r="DH8" s="100">
        <v>1.7000000000000001E-2</v>
      </c>
      <c r="DI8" s="100">
        <v>4.5999999999999999E-2</v>
      </c>
      <c r="DJ8" s="100">
        <v>5.7000000000000002E-2</v>
      </c>
      <c r="DK8" s="100">
        <v>1.4250000000000001E-2</v>
      </c>
      <c r="DL8" s="100">
        <v>1.2999999999999999E-2</v>
      </c>
      <c r="DM8" s="100">
        <v>4.0000000000000001E-3</v>
      </c>
      <c r="DN8" s="100">
        <v>1.8500000000000003E-2</v>
      </c>
      <c r="DO8" s="100">
        <v>1.15E-2</v>
      </c>
      <c r="DP8" s="100">
        <v>1.55E-2</v>
      </c>
      <c r="DQ8" s="100">
        <v>5.2499999999999995E-3</v>
      </c>
      <c r="DR8" s="100">
        <v>1.175E-2</v>
      </c>
      <c r="DS8" s="100">
        <v>8.9999999999999993E-3</v>
      </c>
      <c r="DT8" s="100">
        <v>8.0000000000000002E-3</v>
      </c>
      <c r="DU8" s="100">
        <v>3.0000000000000001E-3</v>
      </c>
      <c r="DV8" s="100">
        <v>6.5000000000000006E-3</v>
      </c>
      <c r="DW8" s="100">
        <v>4.0000000000000001E-3</v>
      </c>
      <c r="DX8" s="100">
        <v>7.7499999999999999E-3</v>
      </c>
      <c r="DY8" s="100">
        <v>6.0000000000000001E-3</v>
      </c>
      <c r="DZ8" s="100">
        <v>0.01</v>
      </c>
      <c r="EA8" s="100">
        <v>3.4000000000000002E-2</v>
      </c>
      <c r="EB8" s="100">
        <v>8.2500000000000004E-3</v>
      </c>
      <c r="EC8" s="100">
        <v>5.0000000000000001E-3</v>
      </c>
      <c r="ED8" s="100">
        <v>1.4E-2</v>
      </c>
      <c r="EE8" s="100" t="s">
        <v>611</v>
      </c>
      <c r="EF8" s="100">
        <v>2.1000000000000001E-2</v>
      </c>
      <c r="EG8" s="100" t="s">
        <v>612</v>
      </c>
      <c r="EH8" s="100" t="s">
        <v>612</v>
      </c>
      <c r="EI8" s="100">
        <v>0.11499999999999999</v>
      </c>
      <c r="EJ8" s="100" t="s">
        <v>615</v>
      </c>
      <c r="EK8" s="100">
        <v>2.5000000000000001E-2</v>
      </c>
      <c r="EL8" s="100" t="s">
        <v>304</v>
      </c>
      <c r="EM8" s="100">
        <v>0.13</v>
      </c>
      <c r="EN8" s="100">
        <v>7.0000000000000007E-2</v>
      </c>
      <c r="EO8" s="100" t="s">
        <v>605</v>
      </c>
      <c r="EP8" s="100" t="s">
        <v>605</v>
      </c>
      <c r="EQ8" s="100" t="s">
        <v>91</v>
      </c>
      <c r="ER8" s="100" t="s">
        <v>91</v>
      </c>
      <c r="ES8" s="100">
        <v>1.7749999999999998E-2</v>
      </c>
      <c r="ET8" s="100">
        <v>6.7750000000000005E-2</v>
      </c>
    </row>
    <row r="9" spans="1:160">
      <c r="A9" s="394"/>
      <c r="B9" s="46" t="s">
        <v>700</v>
      </c>
      <c r="C9" s="312">
        <v>122.80000000000001</v>
      </c>
      <c r="D9" s="312">
        <v>143.69999999999999</v>
      </c>
      <c r="E9" s="100">
        <v>7.6240000000000006</v>
      </c>
      <c r="F9" s="100">
        <v>7.2910000000000004</v>
      </c>
      <c r="G9" s="100">
        <v>9.1999999999999993</v>
      </c>
      <c r="H9" s="100">
        <v>9.9</v>
      </c>
      <c r="I9" s="100">
        <v>4.6890000000000001</v>
      </c>
      <c r="J9" s="100">
        <v>3.03</v>
      </c>
      <c r="K9" s="100">
        <v>6.9</v>
      </c>
      <c r="L9" s="100">
        <v>3.5</v>
      </c>
      <c r="M9" s="100">
        <v>1.125</v>
      </c>
      <c r="N9" s="100">
        <v>1.01</v>
      </c>
      <c r="O9" s="100">
        <v>58.44</v>
      </c>
      <c r="P9" s="100">
        <v>47.18</v>
      </c>
      <c r="Q9" s="100">
        <v>2.7505703798985968</v>
      </c>
      <c r="R9" s="100">
        <v>2.5750231288070458</v>
      </c>
      <c r="S9" s="100">
        <v>0.9896676832395126</v>
      </c>
      <c r="T9" s="100">
        <v>6.2885332068535194</v>
      </c>
      <c r="U9" s="100">
        <v>4.018103203309054</v>
      </c>
      <c r="V9" s="100">
        <v>7.828444832421936</v>
      </c>
      <c r="W9" s="100">
        <v>1.2617761299999999</v>
      </c>
      <c r="X9" s="100">
        <v>1.3272724199999999</v>
      </c>
      <c r="Y9" s="100">
        <v>1.0287493200000001E-2</v>
      </c>
      <c r="Z9" s="100">
        <v>3.5394547999999999E-3</v>
      </c>
      <c r="AA9" s="100">
        <v>1.2510073081851083</v>
      </c>
      <c r="AB9" s="100">
        <v>1.3904073406381383</v>
      </c>
      <c r="AC9" s="100">
        <v>7.0336008870421126E-3</v>
      </c>
      <c r="AD9" s="100">
        <v>7.7286975991292736E-3</v>
      </c>
      <c r="AE9" s="100">
        <v>1.2671974922999998</v>
      </c>
      <c r="AF9" s="100">
        <v>1.3308118748</v>
      </c>
      <c r="AG9" s="100">
        <v>1.2569368709008295</v>
      </c>
      <c r="AH9" s="100">
        <v>1.4037295090642725</v>
      </c>
      <c r="AI9" s="100">
        <v>2.9573352070976854E-2</v>
      </c>
      <c r="AJ9" s="100">
        <v>4.9758404117715441E-2</v>
      </c>
      <c r="AK9" s="100">
        <v>1.0760941456213627E-2</v>
      </c>
      <c r="AL9" s="100">
        <v>7.1758742393796295E-3</v>
      </c>
      <c r="AM9" s="100">
        <v>0.20589771151402886</v>
      </c>
      <c r="AN9" s="100" t="s">
        <v>603</v>
      </c>
      <c r="AO9" s="100">
        <v>0.1037820476065579</v>
      </c>
      <c r="AP9" s="100">
        <v>0.13663095918017076</v>
      </c>
      <c r="AQ9" s="100">
        <v>1.7000000000000001E-2</v>
      </c>
      <c r="AR9" s="100">
        <v>6.1000000000000006E-2</v>
      </c>
      <c r="AS9" s="100">
        <v>0.48499999999999999</v>
      </c>
      <c r="AT9" s="100">
        <v>2.27</v>
      </c>
      <c r="AU9" s="100">
        <v>21.58</v>
      </c>
      <c r="AV9" s="100">
        <v>16.36</v>
      </c>
      <c r="AW9" s="100">
        <v>46.166094000000001</v>
      </c>
      <c r="AX9" s="100">
        <v>34.998947999999999</v>
      </c>
      <c r="AY9" s="100">
        <v>55.405000000000001</v>
      </c>
      <c r="AZ9" s="100">
        <v>17.28</v>
      </c>
      <c r="BA9" s="100">
        <v>90.9</v>
      </c>
      <c r="BB9" s="100">
        <v>74.599999999999994</v>
      </c>
      <c r="BC9" s="100">
        <v>143.5</v>
      </c>
      <c r="BD9" s="100">
        <v>11.4</v>
      </c>
      <c r="BE9" s="100">
        <v>139.5</v>
      </c>
      <c r="BF9" s="100">
        <v>8.8000000000000007</v>
      </c>
      <c r="BG9" s="100" t="s">
        <v>604</v>
      </c>
      <c r="BH9" s="100">
        <v>10</v>
      </c>
      <c r="BI9" s="100" t="s">
        <v>605</v>
      </c>
      <c r="BJ9" s="100">
        <v>0.67500000000000004</v>
      </c>
      <c r="BK9" s="100" t="s">
        <v>614</v>
      </c>
      <c r="BL9" s="100" t="s">
        <v>614</v>
      </c>
      <c r="BM9" s="100">
        <v>11.7</v>
      </c>
      <c r="BN9" s="100">
        <v>15.6</v>
      </c>
      <c r="BO9" s="100">
        <v>0.4</v>
      </c>
      <c r="BP9" s="100">
        <v>0.19</v>
      </c>
      <c r="BQ9" s="100">
        <v>0.83</v>
      </c>
      <c r="BR9" s="100">
        <v>1.21</v>
      </c>
      <c r="BS9" s="100">
        <v>0.48</v>
      </c>
      <c r="BT9" s="100">
        <v>0.3</v>
      </c>
      <c r="BU9" s="100">
        <v>0.71050000000000002</v>
      </c>
      <c r="BV9" s="100">
        <v>2.5999999999999999E-2</v>
      </c>
      <c r="BW9" s="100">
        <v>1.5699999999999998</v>
      </c>
      <c r="BX9" s="100">
        <v>0.64</v>
      </c>
      <c r="BY9" s="100">
        <v>0.6</v>
      </c>
      <c r="BZ9" s="100">
        <v>0.4</v>
      </c>
      <c r="CA9" s="100">
        <v>4.25</v>
      </c>
      <c r="CB9" s="100">
        <v>2.1</v>
      </c>
      <c r="CC9" s="100" t="s">
        <v>607</v>
      </c>
      <c r="CD9" s="100" t="s">
        <v>615</v>
      </c>
      <c r="CE9" s="100">
        <v>2.33</v>
      </c>
      <c r="CF9" s="100">
        <v>0.65</v>
      </c>
      <c r="CG9" s="100">
        <v>0.09</v>
      </c>
      <c r="CH9" s="100">
        <v>0.11</v>
      </c>
      <c r="CI9" s="100">
        <v>1.46</v>
      </c>
      <c r="CJ9" s="100">
        <v>0.88</v>
      </c>
      <c r="CK9" s="100">
        <v>8.4999999999999992E-2</v>
      </c>
      <c r="CL9" s="100">
        <v>8.3000000000000004E-2</v>
      </c>
      <c r="CM9" s="100">
        <v>5.5E-2</v>
      </c>
      <c r="CN9" s="100">
        <v>3.1E-2</v>
      </c>
      <c r="CO9" s="100">
        <v>0.03</v>
      </c>
      <c r="CP9" s="100">
        <v>0.1</v>
      </c>
      <c r="CQ9" s="100">
        <v>0.35</v>
      </c>
      <c r="CR9" s="100" t="s">
        <v>606</v>
      </c>
      <c r="CS9" s="100" t="s">
        <v>607</v>
      </c>
      <c r="CT9" s="100" t="s">
        <v>92</v>
      </c>
      <c r="CU9" s="100">
        <v>4.8000000000000001E-2</v>
      </c>
      <c r="CV9" s="100">
        <v>1.0999999999999999E-2</v>
      </c>
      <c r="CW9" s="100">
        <v>0.11</v>
      </c>
      <c r="CX9" s="100" t="s">
        <v>605</v>
      </c>
      <c r="CY9" s="100">
        <v>0.13</v>
      </c>
      <c r="CZ9" s="100">
        <v>0.1</v>
      </c>
      <c r="DA9" s="100">
        <v>0.09</v>
      </c>
      <c r="DB9" s="100">
        <v>0.23</v>
      </c>
      <c r="DC9" s="100">
        <v>0.122</v>
      </c>
      <c r="DD9" s="100">
        <v>8.6999999999999994E-2</v>
      </c>
      <c r="DE9" s="100">
        <v>0.186</v>
      </c>
      <c r="DF9" s="100">
        <v>9.7000000000000003E-2</v>
      </c>
      <c r="DG9" s="100">
        <v>2.8999999999999998E-2</v>
      </c>
      <c r="DH9" s="100">
        <v>0.02</v>
      </c>
      <c r="DI9" s="100">
        <v>0.106</v>
      </c>
      <c r="DJ9" s="100">
        <v>8.7999999999999995E-2</v>
      </c>
      <c r="DK9" s="100">
        <v>2.75E-2</v>
      </c>
      <c r="DL9" s="100">
        <v>1.2999999999999999E-2</v>
      </c>
      <c r="DM9" s="100">
        <v>5.0000000000000001E-3</v>
      </c>
      <c r="DN9" s="100">
        <v>2.3E-2</v>
      </c>
      <c r="DO9" s="100">
        <v>1.6E-2</v>
      </c>
      <c r="DP9" s="100">
        <v>5.8000000000000003E-2</v>
      </c>
      <c r="DQ9" s="100">
        <v>6.4999999999999997E-3</v>
      </c>
      <c r="DR9" s="100">
        <v>1.2500000000000001E-2</v>
      </c>
      <c r="DS9" s="100">
        <v>1.4999999999999999E-2</v>
      </c>
      <c r="DT9" s="100">
        <v>1.2999999999999999E-2</v>
      </c>
      <c r="DU9" s="100">
        <v>4.0000000000000001E-3</v>
      </c>
      <c r="DV9" s="100">
        <v>0.01</v>
      </c>
      <c r="DW9" s="100">
        <v>7.0000000000000001E-3</v>
      </c>
      <c r="DX9" s="100">
        <v>1.6500000000000001E-2</v>
      </c>
      <c r="DY9" s="100">
        <v>6.0000000000000001E-3</v>
      </c>
      <c r="DZ9" s="100">
        <v>0.01</v>
      </c>
      <c r="EA9" s="100">
        <v>3.4000000000000002E-2</v>
      </c>
      <c r="EB9" s="100">
        <v>1.3999999999999999E-2</v>
      </c>
      <c r="EC9" s="100">
        <v>5.0000000000000001E-3</v>
      </c>
      <c r="ED9" s="100">
        <v>1.4E-2</v>
      </c>
      <c r="EE9" s="100" t="s">
        <v>611</v>
      </c>
      <c r="EF9" s="100">
        <v>2.1000000000000001E-2</v>
      </c>
      <c r="EG9" s="100" t="s">
        <v>612</v>
      </c>
      <c r="EH9" s="100" t="s">
        <v>612</v>
      </c>
      <c r="EI9" s="100">
        <v>0.125</v>
      </c>
      <c r="EJ9" s="100" t="s">
        <v>615</v>
      </c>
      <c r="EK9" s="100">
        <v>0.03</v>
      </c>
      <c r="EL9" s="100" t="s">
        <v>304</v>
      </c>
      <c r="EM9" s="100">
        <v>0.18</v>
      </c>
      <c r="EN9" s="100">
        <v>0.1</v>
      </c>
      <c r="EO9" s="100" t="s">
        <v>605</v>
      </c>
      <c r="EP9" s="100" t="s">
        <v>605</v>
      </c>
      <c r="EQ9" s="100" t="s">
        <v>91</v>
      </c>
      <c r="ER9" s="100" t="s">
        <v>91</v>
      </c>
      <c r="ES9" s="100">
        <v>2.2499999999999999E-2</v>
      </c>
      <c r="ET9" s="100">
        <v>7.0500000000000007E-2</v>
      </c>
    </row>
    <row r="10" spans="1:160">
      <c r="A10" s="394"/>
      <c r="B10" s="46" t="s">
        <v>701</v>
      </c>
      <c r="C10" s="312">
        <v>184.08999999999989</v>
      </c>
      <c r="D10" s="312">
        <v>156.29999999999998</v>
      </c>
      <c r="E10" s="100">
        <v>7.7864999999999993</v>
      </c>
      <c r="F10" s="100">
        <v>7.4516</v>
      </c>
      <c r="G10" s="100">
        <v>15.524999999999981</v>
      </c>
      <c r="H10" s="100">
        <v>15.540000000000001</v>
      </c>
      <c r="I10" s="100">
        <v>9.0799999999999983</v>
      </c>
      <c r="J10" s="100">
        <v>3.7757999999999998</v>
      </c>
      <c r="K10" s="100">
        <v>10.609999999999998</v>
      </c>
      <c r="L10" s="100">
        <v>15.08</v>
      </c>
      <c r="M10" s="100">
        <v>2.2539999999999996</v>
      </c>
      <c r="N10" s="100">
        <v>7.7159999999999993</v>
      </c>
      <c r="O10" s="100">
        <v>89.935999999999936</v>
      </c>
      <c r="P10" s="100">
        <v>67.22999999999999</v>
      </c>
      <c r="Q10" s="100">
        <v>4.3226583419214979</v>
      </c>
      <c r="R10" s="100">
        <v>5.9450036714971368</v>
      </c>
      <c r="S10" s="100">
        <v>8.2133055102510593</v>
      </c>
      <c r="T10" s="100">
        <v>12.747593763040996</v>
      </c>
      <c r="U10" s="100">
        <v>9.5480137720462324</v>
      </c>
      <c r="V10" s="100">
        <v>19.137746222705285</v>
      </c>
      <c r="W10" s="100">
        <v>1.8187927559999986</v>
      </c>
      <c r="X10" s="100">
        <v>1.5075898919999999</v>
      </c>
      <c r="Y10" s="100">
        <v>6.5154241239999966E-2</v>
      </c>
      <c r="Z10" s="100">
        <v>6.8044124399999992E-3</v>
      </c>
      <c r="AA10" s="100">
        <v>1.843187386786157</v>
      </c>
      <c r="AB10" s="100">
        <v>1.5508079398962364</v>
      </c>
      <c r="AC10" s="100">
        <v>1.2084206184755027E-2</v>
      </c>
      <c r="AD10" s="100">
        <v>1.6002669685870097E-2</v>
      </c>
      <c r="AE10" s="100">
        <v>1.8911034944099987</v>
      </c>
      <c r="AF10" s="100">
        <v>1.5143943044400001</v>
      </c>
      <c r="AG10" s="100">
        <v>1.8546427046301033</v>
      </c>
      <c r="AH10" s="100">
        <v>1.5599126518138058</v>
      </c>
      <c r="AI10" s="100">
        <v>4.7048123933916622E-2</v>
      </c>
      <c r="AJ10" s="100">
        <v>6.0049708418325208E-2</v>
      </c>
      <c r="AK10" s="100">
        <v>5.8389787891409271E-2</v>
      </c>
      <c r="AL10" s="100">
        <v>9.816272122764395E-3</v>
      </c>
      <c r="AM10" s="100">
        <v>0.24788530249037166</v>
      </c>
      <c r="AN10" s="100" t="s">
        <v>603</v>
      </c>
      <c r="AO10" s="100">
        <v>0.1956890917462209</v>
      </c>
      <c r="AP10" s="100">
        <v>0.28642685173380839</v>
      </c>
      <c r="AQ10" s="100">
        <v>0.11339999999999999</v>
      </c>
      <c r="AR10" s="100">
        <v>0.10779999999999999</v>
      </c>
      <c r="AS10" s="100">
        <v>2.6829999999999865</v>
      </c>
      <c r="AT10" s="100">
        <v>4.5199999999999996</v>
      </c>
      <c r="AU10" s="100">
        <v>25.150499999999997</v>
      </c>
      <c r="AV10" s="100">
        <v>28.61</v>
      </c>
      <c r="AW10" s="100">
        <v>53.804464649999993</v>
      </c>
      <c r="AX10" s="100">
        <v>61.205373000000002</v>
      </c>
      <c r="AY10" s="100">
        <v>116.55599999999991</v>
      </c>
      <c r="AZ10" s="100">
        <v>145.73599999999996</v>
      </c>
      <c r="BA10" s="100">
        <v>188.96499999999975</v>
      </c>
      <c r="BB10" s="100">
        <v>187.06</v>
      </c>
      <c r="BC10" s="100">
        <v>932.26999999999873</v>
      </c>
      <c r="BD10" s="100">
        <v>74.439999999999984</v>
      </c>
      <c r="BE10" s="100">
        <v>1163.06</v>
      </c>
      <c r="BF10" s="100">
        <v>27.52</v>
      </c>
      <c r="BG10" s="100" t="s">
        <v>604</v>
      </c>
      <c r="BH10" s="100">
        <v>10</v>
      </c>
      <c r="BI10" s="100" t="s">
        <v>605</v>
      </c>
      <c r="BJ10" s="100">
        <v>1.1475</v>
      </c>
      <c r="BK10" s="100" t="s">
        <v>614</v>
      </c>
      <c r="BL10" s="100" t="s">
        <v>614</v>
      </c>
      <c r="BM10" s="100">
        <v>44.424999999999955</v>
      </c>
      <c r="BN10" s="100">
        <v>97.679999999999978</v>
      </c>
      <c r="BO10" s="100">
        <v>1.0799999999999998</v>
      </c>
      <c r="BP10" s="100">
        <v>1.8369999999999997</v>
      </c>
      <c r="BQ10" s="100">
        <v>2.4629999999999992</v>
      </c>
      <c r="BR10" s="100">
        <v>1.556</v>
      </c>
      <c r="BS10" s="100">
        <v>2.7309999999999963</v>
      </c>
      <c r="BT10" s="100">
        <v>1.42</v>
      </c>
      <c r="BU10" s="100">
        <v>9.3035999999999728</v>
      </c>
      <c r="BV10" s="100">
        <v>3.7329999999999988</v>
      </c>
      <c r="BW10" s="100">
        <v>9.7599999999999625</v>
      </c>
      <c r="BX10" s="100">
        <v>13.837999999999997</v>
      </c>
      <c r="BY10" s="100">
        <v>2.779999999999994</v>
      </c>
      <c r="BZ10" s="100">
        <v>6.355999999999999</v>
      </c>
      <c r="CA10" s="100">
        <v>51.524999999999579</v>
      </c>
      <c r="CB10" s="100">
        <v>45.239999999999995</v>
      </c>
      <c r="CC10" s="100" t="s">
        <v>607</v>
      </c>
      <c r="CD10" s="100" t="s">
        <v>615</v>
      </c>
      <c r="CE10" s="100">
        <v>17.909499999999994</v>
      </c>
      <c r="CF10" s="100">
        <v>1.0369999999999999</v>
      </c>
      <c r="CG10" s="100">
        <v>0.11</v>
      </c>
      <c r="CH10" s="100">
        <v>0.155</v>
      </c>
      <c r="CI10" s="100">
        <v>3.5654999999999983</v>
      </c>
      <c r="CJ10" s="100">
        <v>12.372</v>
      </c>
      <c r="CK10" s="100">
        <v>0.19950000000000001</v>
      </c>
      <c r="CL10" s="100">
        <v>0.63439999999999996</v>
      </c>
      <c r="CM10" s="100">
        <v>0.17799999999999983</v>
      </c>
      <c r="CN10" s="100">
        <v>0.82209999999999994</v>
      </c>
      <c r="CO10" s="100">
        <v>3.9E-2</v>
      </c>
      <c r="CP10" s="100">
        <v>0.1</v>
      </c>
      <c r="CQ10" s="100">
        <v>1.5699999999999994</v>
      </c>
      <c r="CR10" s="100" t="s">
        <v>606</v>
      </c>
      <c r="CS10" s="100" t="s">
        <v>607</v>
      </c>
      <c r="CT10" s="100" t="s">
        <v>92</v>
      </c>
      <c r="CU10" s="100">
        <v>0.10119999999999998</v>
      </c>
      <c r="CV10" s="100">
        <v>3.0149999999999996E-2</v>
      </c>
      <c r="CW10" s="100">
        <v>0.61999999999999977</v>
      </c>
      <c r="CX10" s="100" t="s">
        <v>605</v>
      </c>
      <c r="CY10" s="100">
        <v>0.19999999999999993</v>
      </c>
      <c r="CZ10" s="100">
        <v>0.13600000000000001</v>
      </c>
      <c r="DA10" s="100">
        <v>0.14099999999999996</v>
      </c>
      <c r="DB10" s="100">
        <v>0.23</v>
      </c>
      <c r="DC10" s="100">
        <v>0.39499999999999968</v>
      </c>
      <c r="DD10" s="100">
        <v>1.1412</v>
      </c>
      <c r="DE10" s="100">
        <v>0.5359999999999997</v>
      </c>
      <c r="DF10" s="100">
        <v>0.41399999999999992</v>
      </c>
      <c r="DG10" s="100">
        <v>9.1399999999999981E-2</v>
      </c>
      <c r="DH10" s="100">
        <v>0.214</v>
      </c>
      <c r="DI10" s="100">
        <v>0.3379999999999998</v>
      </c>
      <c r="DJ10" s="100">
        <v>0.81679999999999997</v>
      </c>
      <c r="DK10" s="100">
        <v>5.6899999999999978E-2</v>
      </c>
      <c r="DL10" s="100">
        <v>0.1196</v>
      </c>
      <c r="DM10" s="100">
        <v>1.1999999999999997E-2</v>
      </c>
      <c r="DN10" s="100">
        <v>3.1100000000000003E-2</v>
      </c>
      <c r="DO10" s="100">
        <v>4.6199999999999991E-2</v>
      </c>
      <c r="DP10" s="100">
        <v>0.10679999999999999</v>
      </c>
      <c r="DQ10" s="100">
        <v>8.7499999999999991E-3</v>
      </c>
      <c r="DR10" s="100">
        <v>1.3849999999999999E-2</v>
      </c>
      <c r="DS10" s="100">
        <v>3.1499999999999986E-2</v>
      </c>
      <c r="DT10" s="100">
        <v>8.8399999999999992E-2</v>
      </c>
      <c r="DU10" s="100">
        <v>8.3999999999999995E-3</v>
      </c>
      <c r="DV10" s="100">
        <v>2.1699999999999997E-2</v>
      </c>
      <c r="DW10" s="100">
        <v>1.7799999999999983E-2</v>
      </c>
      <c r="DX10" s="100">
        <v>6.7349999999999979E-2</v>
      </c>
      <c r="DY10" s="100">
        <v>6.0000000000000001E-3</v>
      </c>
      <c r="DZ10" s="100">
        <v>0.01</v>
      </c>
      <c r="EA10" s="100">
        <v>3.4000000000000002E-2</v>
      </c>
      <c r="EB10" s="100">
        <v>7.5099999999999972E-2</v>
      </c>
      <c r="EC10" s="100">
        <v>5.0000000000000001E-3</v>
      </c>
      <c r="ED10" s="100">
        <v>1.4E-2</v>
      </c>
      <c r="EE10" s="100" t="s">
        <v>611</v>
      </c>
      <c r="EF10" s="100">
        <v>2.1000000000000001E-2</v>
      </c>
      <c r="EG10" s="100" t="s">
        <v>612</v>
      </c>
      <c r="EH10" s="100" t="s">
        <v>612</v>
      </c>
      <c r="EI10" s="100">
        <v>0.30849999999999994</v>
      </c>
      <c r="EJ10" s="100" t="s">
        <v>615</v>
      </c>
      <c r="EK10" s="100">
        <v>3.9E-2</v>
      </c>
      <c r="EL10" s="100" t="s">
        <v>304</v>
      </c>
      <c r="EM10" s="100">
        <v>0.3919999999999999</v>
      </c>
      <c r="EN10" s="100">
        <v>0.26</v>
      </c>
      <c r="EO10" s="100" t="s">
        <v>605</v>
      </c>
      <c r="EP10" s="100" t="s">
        <v>605</v>
      </c>
      <c r="EQ10" s="100" t="s">
        <v>91</v>
      </c>
      <c r="ER10" s="100" t="s">
        <v>91</v>
      </c>
      <c r="ES10" s="100">
        <v>4.7149999999999991E-2</v>
      </c>
      <c r="ET10" s="100">
        <v>7.5450000000000003E-2</v>
      </c>
    </row>
    <row r="11" spans="1:160">
      <c r="A11" s="394"/>
      <c r="B11" s="46" t="s">
        <v>702</v>
      </c>
      <c r="C11" s="312">
        <v>118.07567130377778</v>
      </c>
      <c r="D11" s="312">
        <v>115.68090647273934</v>
      </c>
      <c r="E11" s="100">
        <v>7.5679549401073514</v>
      </c>
      <c r="F11" s="100">
        <v>7.2928782159169501</v>
      </c>
      <c r="G11" s="100">
        <v>8.7546460160877437</v>
      </c>
      <c r="H11" s="100">
        <v>10.272137689532453</v>
      </c>
      <c r="I11" s="100">
        <v>3.9588149647188144</v>
      </c>
      <c r="J11" s="100">
        <v>2.6322631955176399</v>
      </c>
      <c r="K11" s="100">
        <v>6.3134741171343238</v>
      </c>
      <c r="L11" s="100">
        <v>5.0770447721030063</v>
      </c>
      <c r="M11" s="100">
        <v>1.1740885053269503</v>
      </c>
      <c r="N11" s="100">
        <v>1.3928493715060084</v>
      </c>
      <c r="O11" s="100">
        <v>57.930104783969256</v>
      </c>
      <c r="P11" s="100">
        <v>50.666956510515838</v>
      </c>
      <c r="Q11" s="100">
        <v>2.5619949997489546</v>
      </c>
      <c r="R11" s="100">
        <v>2.5416520646544511</v>
      </c>
      <c r="S11" s="100">
        <v>1.1766209562352667</v>
      </c>
      <c r="T11" s="100">
        <v>1.3708287953617111</v>
      </c>
      <c r="U11" s="100">
        <v>3.7245238558614804</v>
      </c>
      <c r="V11" s="100">
        <v>8.3861598627089506</v>
      </c>
      <c r="W11" s="100">
        <v>1.0960188312877288</v>
      </c>
      <c r="X11" s="100">
        <v>1.1198006938520431</v>
      </c>
      <c r="Y11" s="100">
        <v>1.1277122312125522E-2</v>
      </c>
      <c r="Z11" s="100">
        <v>3.1370590139030092E-3</v>
      </c>
      <c r="AA11" s="100">
        <v>1.1605924900844764</v>
      </c>
      <c r="AB11" s="100">
        <v>1.1683283820669654</v>
      </c>
      <c r="AC11" s="100">
        <v>7.0984680731105273E-3</v>
      </c>
      <c r="AD11" s="100">
        <v>5.2957570669139482E-3</v>
      </c>
      <c r="AE11" s="100">
        <v>1.1166282182369234</v>
      </c>
      <c r="AF11" s="100">
        <v>1.1232408763001409</v>
      </c>
      <c r="AG11" s="100">
        <v>1.1682340344162476</v>
      </c>
      <c r="AH11" s="100">
        <v>1.1751215414871898</v>
      </c>
      <c r="AI11" s="100">
        <v>2.9375013142014888E-2</v>
      </c>
      <c r="AJ11" s="100">
        <v>3.7883073828970652E-2</v>
      </c>
      <c r="AK11" s="100">
        <v>1.4735423730061366E-2</v>
      </c>
      <c r="AL11" s="100">
        <v>7.8604609468262109E-3</v>
      </c>
      <c r="AM11" s="100">
        <v>0.20054270492976187</v>
      </c>
      <c r="AN11" s="100" t="s">
        <v>603</v>
      </c>
      <c r="AO11" s="100">
        <v>0.11186015695248766</v>
      </c>
      <c r="AP11" s="100">
        <v>9.1226963679943929E-2</v>
      </c>
      <c r="AQ11" s="100">
        <v>2.5028814605747057E-2</v>
      </c>
      <c r="AR11" s="100">
        <v>3.1890437438203946E-2</v>
      </c>
      <c r="AS11" s="100">
        <v>0.52825133139933134</v>
      </c>
      <c r="AT11" s="100">
        <v>0.6539703585373503</v>
      </c>
      <c r="AU11" s="100">
        <v>17.439253204861718</v>
      </c>
      <c r="AV11" s="100">
        <v>17.015247129041601</v>
      </c>
      <c r="AW11" s="100">
        <v>37.307794381160669</v>
      </c>
      <c r="AX11" s="100">
        <v>36.400718183158695</v>
      </c>
      <c r="AY11" s="100">
        <v>38.416228776429882</v>
      </c>
      <c r="AZ11" s="100">
        <v>25.805315894907377</v>
      </c>
      <c r="BA11" s="100">
        <v>88.748681257344757</v>
      </c>
      <c r="BB11" s="100">
        <v>59.640340156012257</v>
      </c>
      <c r="BC11" s="100">
        <v>87.619781496268558</v>
      </c>
      <c r="BD11" s="100">
        <v>9.7215280121949785</v>
      </c>
      <c r="BE11" s="100">
        <v>134.27696184169437</v>
      </c>
      <c r="BF11" s="100">
        <v>8.3103562849471135</v>
      </c>
      <c r="BG11" s="100" t="s">
        <v>604</v>
      </c>
      <c r="BH11" s="100">
        <v>10</v>
      </c>
      <c r="BI11" s="100" t="s">
        <v>605</v>
      </c>
      <c r="BJ11" s="100">
        <v>0.42426406871192851</v>
      </c>
      <c r="BK11" s="100" t="s">
        <v>614</v>
      </c>
      <c r="BL11" s="100" t="s">
        <v>614</v>
      </c>
      <c r="BM11" s="100">
        <v>10.857225194696436</v>
      </c>
      <c r="BN11" s="100">
        <v>18.322045185262372</v>
      </c>
      <c r="BO11" s="100">
        <v>0.42952941844429271</v>
      </c>
      <c r="BP11" s="100">
        <v>0.35845012718299796</v>
      </c>
      <c r="BQ11" s="100">
        <v>0.90808963614666627</v>
      </c>
      <c r="BR11" s="100">
        <v>0.8524848580711093</v>
      </c>
      <c r="BS11" s="100">
        <v>0.43103111043928166</v>
      </c>
      <c r="BT11" s="100">
        <v>0.4563867612775821</v>
      </c>
      <c r="BU11" s="100">
        <v>0.69444993076543504</v>
      </c>
      <c r="BV11" s="100">
        <v>9.4960209434758261E-2</v>
      </c>
      <c r="BW11" s="100">
        <v>1.909034011555383</v>
      </c>
      <c r="BX11" s="100">
        <v>1.098076962037581</v>
      </c>
      <c r="BY11" s="100">
        <v>0.66514939211643842</v>
      </c>
      <c r="BZ11" s="100">
        <v>0.75418865104824762</v>
      </c>
      <c r="CA11" s="100">
        <v>4.7137389866006183</v>
      </c>
      <c r="CB11" s="100">
        <v>3.5561321286915826</v>
      </c>
      <c r="CC11" s="100" t="s">
        <v>607</v>
      </c>
      <c r="CD11" s="100" t="s">
        <v>615</v>
      </c>
      <c r="CE11" s="100">
        <v>1.8613175078710369</v>
      </c>
      <c r="CF11" s="100">
        <v>0.3479333998589399</v>
      </c>
      <c r="CG11" s="100">
        <v>9.2943671274181308E-2</v>
      </c>
      <c r="CH11" s="100">
        <v>0.11656953366502912</v>
      </c>
      <c r="CI11" s="100">
        <v>1.3163439711973581</v>
      </c>
      <c r="CJ11" s="100">
        <v>1.2753770259958177</v>
      </c>
      <c r="CK11" s="100">
        <v>7.9464311198073873E-2</v>
      </c>
      <c r="CL11" s="100">
        <v>0.16089117340696091</v>
      </c>
      <c r="CM11" s="100">
        <v>6.2180094000118119E-2</v>
      </c>
      <c r="CN11" s="100">
        <v>8.9011823535446608E-2</v>
      </c>
      <c r="CO11" s="100">
        <v>2.8284271247461901E-2</v>
      </c>
      <c r="CP11" s="100">
        <v>0.1</v>
      </c>
      <c r="CQ11" s="100">
        <v>0.38735854825301641</v>
      </c>
      <c r="CR11" s="100" t="s">
        <v>606</v>
      </c>
      <c r="CS11" s="100" t="s">
        <v>607</v>
      </c>
      <c r="CT11" s="100" t="s">
        <v>92</v>
      </c>
      <c r="CU11" s="100">
        <v>4.5169296048145437E-2</v>
      </c>
      <c r="CV11" s="100">
        <v>1.1659380933125543E-2</v>
      </c>
      <c r="CW11" s="100">
        <v>0.14475042122815898</v>
      </c>
      <c r="CX11" s="100" t="s">
        <v>605</v>
      </c>
      <c r="CY11" s="100">
        <v>0.12265347420779356</v>
      </c>
      <c r="CZ11" s="100">
        <v>9.1651513899116813E-2</v>
      </c>
      <c r="DA11" s="100">
        <v>9.3443578703156865E-2</v>
      </c>
      <c r="DB11" s="100">
        <v>0.23</v>
      </c>
      <c r="DC11" s="100">
        <v>9.2769937308107925E-2</v>
      </c>
      <c r="DD11" s="100">
        <v>0.18327229297629408</v>
      </c>
      <c r="DE11" s="100">
        <v>0.13352502602361116</v>
      </c>
      <c r="DF11" s="100">
        <v>7.4852636860992389E-2</v>
      </c>
      <c r="DG11" s="100">
        <v>3.3333962652835128E-2</v>
      </c>
      <c r="DH11" s="100">
        <v>3.74321196403503E-2</v>
      </c>
      <c r="DI11" s="100">
        <v>7.9137673191556623E-2</v>
      </c>
      <c r="DJ11" s="100">
        <v>0.13748636291893182</v>
      </c>
      <c r="DK11" s="100">
        <v>2.1957529084312852E-2</v>
      </c>
      <c r="DL11" s="100">
        <v>2.7392971412413352E-2</v>
      </c>
      <c r="DM11" s="100">
        <v>5.3032039519935034E-3</v>
      </c>
      <c r="DN11" s="100">
        <v>2.1166010488516726E-2</v>
      </c>
      <c r="DO11" s="100">
        <v>1.7908980004537039E-2</v>
      </c>
      <c r="DP11" s="100">
        <v>3.9438277949447618E-2</v>
      </c>
      <c r="DQ11" s="100">
        <v>6.0000000000000001E-3</v>
      </c>
      <c r="DR11" s="100">
        <v>1.2409673645990856E-2</v>
      </c>
      <c r="DS11" s="100">
        <v>1.3337145493481277E-2</v>
      </c>
      <c r="DT11" s="100">
        <v>2.0439275233415696E-2</v>
      </c>
      <c r="DU11" s="100">
        <v>4.5471496995311946E-3</v>
      </c>
      <c r="DV11" s="100">
        <v>8.8365559224036112E-3</v>
      </c>
      <c r="DW11" s="100">
        <v>6.7513114476260632E-3</v>
      </c>
      <c r="DX11" s="100">
        <v>1.5954887690834967E-2</v>
      </c>
      <c r="DY11" s="100">
        <v>6.0000000000000001E-3</v>
      </c>
      <c r="DZ11" s="100">
        <v>0.01</v>
      </c>
      <c r="EA11" s="100">
        <v>3.4000000000000002E-2</v>
      </c>
      <c r="EB11" s="100">
        <v>1.7184684834345758E-2</v>
      </c>
      <c r="EC11" s="100">
        <v>5.0000000000000001E-3</v>
      </c>
      <c r="ED11" s="100">
        <v>1.4E-2</v>
      </c>
      <c r="EE11" s="100" t="s">
        <v>611</v>
      </c>
      <c r="EF11" s="100">
        <v>2.1000000000000001E-2</v>
      </c>
      <c r="EG11" s="100" t="s">
        <v>612</v>
      </c>
      <c r="EH11" s="100" t="s">
        <v>612</v>
      </c>
      <c r="EI11" s="100">
        <v>0.15175774995951821</v>
      </c>
      <c r="EJ11" s="100" t="s">
        <v>615</v>
      </c>
      <c r="EK11" s="100">
        <v>2.8284271247461901E-2</v>
      </c>
      <c r="EL11" s="100" t="s">
        <v>304</v>
      </c>
      <c r="EM11" s="100">
        <v>0.18417163803205866</v>
      </c>
      <c r="EN11" s="100">
        <v>0.11618122876096398</v>
      </c>
      <c r="EO11" s="100" t="s">
        <v>605</v>
      </c>
      <c r="EP11" s="100" t="s">
        <v>605</v>
      </c>
      <c r="EQ11" s="100" t="s">
        <v>91</v>
      </c>
      <c r="ER11" s="100" t="s">
        <v>91</v>
      </c>
      <c r="ES11" s="100">
        <v>2.421867453176808E-2</v>
      </c>
      <c r="ET11" s="100">
        <v>7.0285133563222316E-2</v>
      </c>
    </row>
    <row r="12" spans="1:160">
      <c r="A12" s="394"/>
      <c r="B12" s="46" t="s">
        <v>703</v>
      </c>
      <c r="C12" s="312">
        <v>123.98888888888889</v>
      </c>
      <c r="D12" s="312">
        <v>121.71999999999998</v>
      </c>
      <c r="E12" s="100">
        <v>7.5715000000000003</v>
      </c>
      <c r="F12" s="100">
        <v>7.2938000000000001</v>
      </c>
      <c r="G12" s="100">
        <v>10.016666666666666</v>
      </c>
      <c r="H12" s="100">
        <v>10.820000000000002</v>
      </c>
      <c r="I12" s="100">
        <v>4.6406666666666672</v>
      </c>
      <c r="J12" s="100">
        <v>2.7949999999999999</v>
      </c>
      <c r="K12" s="100">
        <v>6.9444444444444438</v>
      </c>
      <c r="L12" s="100">
        <v>7.2</v>
      </c>
      <c r="M12" s="100">
        <v>1.2766666666666666</v>
      </c>
      <c r="N12" s="100">
        <v>3.28</v>
      </c>
      <c r="O12" s="100">
        <v>62.567058823529415</v>
      </c>
      <c r="P12" s="100">
        <v>51.709999999999994</v>
      </c>
      <c r="Q12" s="100">
        <v>2.7613056034075374</v>
      </c>
      <c r="R12" s="100">
        <v>3.1730066879752927</v>
      </c>
      <c r="S12" s="100">
        <v>2.711699906353688</v>
      </c>
      <c r="T12" s="100">
        <v>5.6152964728723891</v>
      </c>
      <c r="U12" s="100">
        <v>4.7283961056953299</v>
      </c>
      <c r="V12" s="100">
        <v>9.8418337832283758</v>
      </c>
      <c r="W12" s="100">
        <v>1.2164525933333332</v>
      </c>
      <c r="X12" s="100">
        <v>1.1670209499999999</v>
      </c>
      <c r="Y12" s="100">
        <v>1.9692142633333333E-2</v>
      </c>
      <c r="Z12" s="100">
        <v>3.8814647199999996E-3</v>
      </c>
      <c r="AA12" s="100">
        <v>1.2360971464249229</v>
      </c>
      <c r="AB12" s="100">
        <v>1.2126966701564599</v>
      </c>
      <c r="AC12" s="100">
        <v>7.4947348244813828E-3</v>
      </c>
      <c r="AD12" s="100">
        <v>7.8224112714433656E-3</v>
      </c>
      <c r="AE12" s="100">
        <v>1.2361447359666669</v>
      </c>
      <c r="AF12" s="100">
        <v>1.17090241472</v>
      </c>
      <c r="AG12" s="100">
        <v>1.2435918812494045</v>
      </c>
      <c r="AH12" s="100">
        <v>1.2205190814279032</v>
      </c>
      <c r="AI12" s="100">
        <v>3.135504899834371E-2</v>
      </c>
      <c r="AJ12" s="100">
        <v>4.3537337116692519E-2</v>
      </c>
      <c r="AK12" s="100">
        <v>1.9512252366528829E-2</v>
      </c>
      <c r="AL12" s="100">
        <v>7.9934182332809453E-3</v>
      </c>
      <c r="AM12" s="100">
        <v>0.20589771151402886</v>
      </c>
      <c r="AN12" s="100" t="s">
        <v>603</v>
      </c>
      <c r="AO12" s="100">
        <v>0.11865801726287942</v>
      </c>
      <c r="AP12" s="100">
        <v>0.13833729398646766</v>
      </c>
      <c r="AQ12" s="100">
        <v>4.3444444444444445E-2</v>
      </c>
      <c r="AR12" s="100">
        <v>6.0999999999999999E-2</v>
      </c>
      <c r="AS12" s="100">
        <v>1.0699999999999998</v>
      </c>
      <c r="AT12" s="100">
        <v>2.0059999999999998</v>
      </c>
      <c r="AU12" s="100">
        <v>19.36611111111111</v>
      </c>
      <c r="AV12" s="100">
        <v>18.118000000000002</v>
      </c>
      <c r="AW12" s="100">
        <v>41.429921499999992</v>
      </c>
      <c r="AX12" s="100">
        <v>38.759837400000002</v>
      </c>
      <c r="AY12" s="100">
        <v>56.788333333333341</v>
      </c>
      <c r="AZ12" s="100">
        <v>49.332000000000001</v>
      </c>
      <c r="BA12" s="100">
        <v>101.76111111111109</v>
      </c>
      <c r="BB12" s="100">
        <v>83.240000000000009</v>
      </c>
      <c r="BC12" s="100">
        <v>262.41666666666669</v>
      </c>
      <c r="BD12" s="100">
        <v>23.96</v>
      </c>
      <c r="BE12" s="100">
        <v>324.94117647058829</v>
      </c>
      <c r="BF12" s="100">
        <v>12.78</v>
      </c>
      <c r="BG12" s="100" t="s">
        <v>604</v>
      </c>
      <c r="BH12" s="100">
        <v>10</v>
      </c>
      <c r="BI12" s="100" t="s">
        <v>605</v>
      </c>
      <c r="BJ12" s="100">
        <v>0.67499999999999993</v>
      </c>
      <c r="BK12" s="100" t="s">
        <v>614</v>
      </c>
      <c r="BL12" s="100" t="s">
        <v>614</v>
      </c>
      <c r="BM12" s="100">
        <v>16.611111111111107</v>
      </c>
      <c r="BN12" s="100">
        <v>38</v>
      </c>
      <c r="BO12" s="100">
        <v>0.5</v>
      </c>
      <c r="BP12" s="100">
        <v>0.77666666666666673</v>
      </c>
      <c r="BQ12" s="100">
        <v>1.1255555555555554</v>
      </c>
      <c r="BR12" s="100">
        <v>1.054</v>
      </c>
      <c r="BS12" s="100">
        <v>0.78222222222222226</v>
      </c>
      <c r="BT12" s="100">
        <v>0.66</v>
      </c>
      <c r="BU12" s="100">
        <v>2.6665555555555556</v>
      </c>
      <c r="BV12" s="100">
        <v>0.96779999999999988</v>
      </c>
      <c r="BW12" s="100">
        <v>3.6605555555555549</v>
      </c>
      <c r="BX12" s="100">
        <v>4.1160000000000005</v>
      </c>
      <c r="BY12" s="100">
        <v>1.1176470588235294</v>
      </c>
      <c r="BZ12" s="100">
        <v>1.9060000000000001</v>
      </c>
      <c r="CA12" s="100">
        <v>20.811111111111106</v>
      </c>
      <c r="CB12" s="100">
        <v>12.72</v>
      </c>
      <c r="CC12" s="100" t="s">
        <v>607</v>
      </c>
      <c r="CD12" s="100" t="s">
        <v>615</v>
      </c>
      <c r="CE12" s="100">
        <v>5.6738888888888894</v>
      </c>
      <c r="CF12" s="100">
        <v>0.59666666666666668</v>
      </c>
      <c r="CG12" s="100">
        <v>9.3636363636363615E-2</v>
      </c>
      <c r="CH12" s="100">
        <v>0.12</v>
      </c>
      <c r="CI12" s="100">
        <v>1.7422222222222223</v>
      </c>
      <c r="CJ12" s="100">
        <v>4.2540000000000004</v>
      </c>
      <c r="CK12" s="100">
        <v>9.8312499999999997E-2</v>
      </c>
      <c r="CL12" s="100">
        <v>0.26640000000000003</v>
      </c>
      <c r="CM12" s="100">
        <v>7.6999999999999999E-2</v>
      </c>
      <c r="CN12" s="100">
        <v>0.32200000000000001</v>
      </c>
      <c r="CO12" s="100">
        <v>0.03</v>
      </c>
      <c r="CP12" s="100">
        <v>0.1</v>
      </c>
      <c r="CQ12" s="100">
        <v>0.55000000000000004</v>
      </c>
      <c r="CR12" s="100" t="s">
        <v>606</v>
      </c>
      <c r="CS12" s="100" t="s">
        <v>607</v>
      </c>
      <c r="CT12" s="100" t="s">
        <v>92</v>
      </c>
      <c r="CU12" s="100">
        <v>5.252941176470588E-2</v>
      </c>
      <c r="CV12" s="100">
        <v>1.4999999999999999E-2</v>
      </c>
      <c r="CW12" s="100">
        <v>0.20666666666666667</v>
      </c>
      <c r="CX12" s="100" t="s">
        <v>605</v>
      </c>
      <c r="CY12" s="100">
        <v>0.13153846153846149</v>
      </c>
      <c r="CZ12" s="100">
        <v>0.1</v>
      </c>
      <c r="DA12" s="100">
        <v>9.7142857142857156E-2</v>
      </c>
      <c r="DB12" s="100">
        <v>0.23</v>
      </c>
      <c r="DC12" s="100">
        <v>0.16517647058823529</v>
      </c>
      <c r="DD12" s="100">
        <v>0.44919999999999999</v>
      </c>
      <c r="DE12" s="100">
        <v>0.23023529411764704</v>
      </c>
      <c r="DF12" s="100">
        <v>0.15579999999999999</v>
      </c>
      <c r="DG12" s="100">
        <v>4.2071428571428579E-2</v>
      </c>
      <c r="DH12" s="100">
        <v>8.5800000000000015E-2</v>
      </c>
      <c r="DI12" s="100">
        <v>0.14399999999999999</v>
      </c>
      <c r="DJ12" s="100">
        <v>0.316</v>
      </c>
      <c r="DK12" s="100">
        <v>2.8285714285714286E-2</v>
      </c>
      <c r="DL12" s="100">
        <v>5.2400000000000002E-2</v>
      </c>
      <c r="DM12" s="100">
        <v>6.000000000000001E-3</v>
      </c>
      <c r="DN12" s="100">
        <v>2.3E-2</v>
      </c>
      <c r="DO12" s="100">
        <v>2.2000000000000002E-2</v>
      </c>
      <c r="DP12" s="100">
        <v>5.9500000000000004E-2</v>
      </c>
      <c r="DQ12" s="100">
        <v>6.4999999999999997E-3</v>
      </c>
      <c r="DR12" s="100">
        <v>1.2500000000000001E-2</v>
      </c>
      <c r="DS12" s="100">
        <v>1.5857142857142854E-2</v>
      </c>
      <c r="DT12" s="100">
        <v>3.5199999999999995E-2</v>
      </c>
      <c r="DU12" s="100">
        <v>5.0000000000000001E-3</v>
      </c>
      <c r="DV12" s="100">
        <v>1.2000000000000002E-2</v>
      </c>
      <c r="DW12" s="100">
        <v>8.1538461538461539E-3</v>
      </c>
      <c r="DX12" s="100">
        <v>2.7999999999999997E-2</v>
      </c>
      <c r="DY12" s="100">
        <v>6.0000000000000001E-3</v>
      </c>
      <c r="DZ12" s="100">
        <v>0.01</v>
      </c>
      <c r="EA12" s="100">
        <v>3.4000000000000002E-2</v>
      </c>
      <c r="EB12" s="100">
        <v>2.9750000000000002E-2</v>
      </c>
      <c r="EC12" s="100">
        <v>5.0000000000000001E-3</v>
      </c>
      <c r="ED12" s="100">
        <v>1.4E-2</v>
      </c>
      <c r="EE12" s="100" t="s">
        <v>611</v>
      </c>
      <c r="EF12" s="100">
        <v>2.1000000000000001E-2</v>
      </c>
      <c r="EG12" s="100" t="s">
        <v>612</v>
      </c>
      <c r="EH12" s="100" t="s">
        <v>612</v>
      </c>
      <c r="EI12" s="100">
        <v>0.17250000000000001</v>
      </c>
      <c r="EJ12" s="100" t="s">
        <v>615</v>
      </c>
      <c r="EK12" s="100">
        <v>0.03</v>
      </c>
      <c r="EL12" s="100" t="s">
        <v>304</v>
      </c>
      <c r="EM12" s="100">
        <v>0.20529411764705882</v>
      </c>
      <c r="EN12" s="100">
        <v>0.13800000000000001</v>
      </c>
      <c r="EO12" s="100" t="s">
        <v>605</v>
      </c>
      <c r="EP12" s="100" t="s">
        <v>605</v>
      </c>
      <c r="EQ12" s="100" t="s">
        <v>91</v>
      </c>
      <c r="ER12" s="100" t="s">
        <v>91</v>
      </c>
      <c r="ES12" s="100">
        <v>2.6999999999999996E-2</v>
      </c>
      <c r="ET12" s="100">
        <v>7.0500000000000007E-2</v>
      </c>
    </row>
    <row r="13" spans="1:160">
      <c r="C13" s="100"/>
      <c r="D13" s="100"/>
      <c r="E13" s="100"/>
      <c r="F13" s="100"/>
      <c r="G13" s="100"/>
      <c r="H13" s="100"/>
      <c r="I13" s="100"/>
      <c r="J13" s="100"/>
      <c r="K13" s="100"/>
      <c r="L13" s="100"/>
      <c r="M13" s="100"/>
      <c r="N13" s="100"/>
      <c r="O13" s="100"/>
      <c r="P13" s="100"/>
      <c r="Q13" s="100"/>
      <c r="R13" s="100"/>
      <c r="S13" s="100"/>
      <c r="T13" s="100"/>
      <c r="U13" s="100"/>
      <c r="V13" s="100"/>
      <c r="W13" s="100"/>
      <c r="X13" s="100"/>
      <c r="Y13" s="100"/>
      <c r="Z13" s="100"/>
      <c r="AA13" s="100"/>
      <c r="AB13" s="100"/>
      <c r="AC13" s="100"/>
      <c r="AD13" s="100"/>
      <c r="AE13" s="100"/>
      <c r="AF13" s="100"/>
      <c r="AG13" s="100"/>
      <c r="AH13" s="100"/>
      <c r="AI13" s="100"/>
      <c r="AJ13" s="100"/>
      <c r="AK13" s="100"/>
      <c r="AL13" s="100"/>
      <c r="AM13" s="100"/>
      <c r="AN13" s="100"/>
      <c r="AO13" s="100"/>
      <c r="AP13" s="100"/>
      <c r="AQ13" s="100"/>
      <c r="AR13" s="100"/>
      <c r="AS13" s="100"/>
      <c r="AT13" s="100"/>
      <c r="AU13" s="100"/>
      <c r="AV13" s="100"/>
      <c r="AW13" s="100"/>
      <c r="AX13" s="100"/>
      <c r="AY13" s="100"/>
      <c r="AZ13" s="100"/>
      <c r="BA13" s="100"/>
      <c r="BB13" s="100"/>
      <c r="BC13" s="100"/>
      <c r="BD13" s="100"/>
      <c r="BE13" s="100"/>
      <c r="BF13" s="100"/>
      <c r="BG13" s="100"/>
      <c r="BH13" s="100"/>
      <c r="BI13" s="100"/>
      <c r="BJ13" s="100"/>
      <c r="BK13" s="100"/>
      <c r="BL13" s="100"/>
      <c r="BM13" s="100"/>
      <c r="BN13" s="100"/>
      <c r="BO13" s="100"/>
      <c r="BP13" s="100"/>
      <c r="BQ13" s="100"/>
      <c r="BR13" s="100"/>
      <c r="BS13" s="100"/>
      <c r="BT13" s="100"/>
      <c r="BU13" s="100"/>
      <c r="BV13" s="100"/>
      <c r="BW13" s="100"/>
      <c r="BX13" s="100"/>
      <c r="BY13" s="100"/>
      <c r="BZ13" s="100"/>
      <c r="CA13" s="100"/>
      <c r="CB13" s="100"/>
      <c r="CC13" s="100"/>
      <c r="CD13" s="100"/>
      <c r="CE13" s="100"/>
      <c r="CF13" s="100"/>
      <c r="CG13" s="100"/>
      <c r="CH13" s="100"/>
      <c r="CI13" s="100"/>
      <c r="CJ13" s="100"/>
      <c r="CK13" s="100"/>
      <c r="CL13" s="100"/>
      <c r="CM13" s="100"/>
      <c r="CN13" s="100"/>
      <c r="CO13" s="100"/>
      <c r="CP13" s="100"/>
      <c r="CQ13" s="100"/>
      <c r="CR13" s="100"/>
      <c r="CS13" s="100"/>
      <c r="CT13" s="100"/>
      <c r="CU13" s="100"/>
      <c r="CV13" s="100"/>
      <c r="CW13" s="100"/>
      <c r="CX13" s="100"/>
      <c r="CY13" s="100"/>
      <c r="CZ13" s="100"/>
      <c r="DA13" s="100"/>
      <c r="DB13" s="100"/>
      <c r="DC13" s="100"/>
      <c r="DD13" s="100"/>
      <c r="DE13" s="100"/>
      <c r="DF13" s="100"/>
      <c r="DG13" s="100"/>
      <c r="DH13" s="100"/>
      <c r="DI13" s="100"/>
      <c r="DJ13" s="100"/>
      <c r="DK13" s="100"/>
      <c r="DL13" s="100"/>
      <c r="DM13" s="100"/>
      <c r="DN13" s="100"/>
      <c r="DO13" s="100"/>
      <c r="DP13" s="100"/>
      <c r="DQ13" s="100"/>
      <c r="DR13" s="100"/>
      <c r="DS13" s="100"/>
      <c r="DT13" s="100"/>
      <c r="DU13" s="100"/>
      <c r="DV13" s="100"/>
      <c r="DW13" s="100"/>
      <c r="DX13" s="100"/>
      <c r="DY13" s="100"/>
      <c r="DZ13" s="100"/>
      <c r="EA13" s="100"/>
      <c r="EB13" s="100"/>
      <c r="EC13" s="100"/>
      <c r="ED13" s="100"/>
      <c r="EE13" s="100"/>
      <c r="EF13" s="100"/>
      <c r="EG13" s="100"/>
      <c r="EH13" s="100"/>
      <c r="EI13" s="100"/>
      <c r="EJ13" s="100"/>
      <c r="EK13" s="100"/>
      <c r="EL13" s="100"/>
      <c r="EM13" s="100"/>
      <c r="EN13" s="100"/>
      <c r="EO13" s="100"/>
      <c r="EP13" s="100"/>
      <c r="EQ13" s="100"/>
      <c r="ER13" s="100"/>
      <c r="ES13" s="100"/>
      <c r="ET13" s="100"/>
    </row>
    <row r="14" spans="1:160">
      <c r="A14" s="395" t="s">
        <v>910</v>
      </c>
      <c r="B14" s="396"/>
      <c r="C14" s="396"/>
      <c r="D14" s="396"/>
      <c r="E14" s="396"/>
      <c r="F14" s="396"/>
      <c r="G14" s="100"/>
      <c r="H14" s="100"/>
      <c r="I14" s="100"/>
      <c r="J14" s="100"/>
      <c r="K14" s="100"/>
      <c r="L14" s="100"/>
      <c r="M14" s="100"/>
      <c r="N14" s="100"/>
      <c r="O14" s="100"/>
      <c r="P14" s="100"/>
      <c r="Q14" s="100"/>
      <c r="R14" s="100"/>
      <c r="S14" s="100"/>
      <c r="T14" s="100"/>
      <c r="U14" s="100"/>
      <c r="V14" s="100"/>
      <c r="W14" s="100"/>
      <c r="X14" s="100"/>
      <c r="Y14" s="100"/>
      <c r="Z14" s="100"/>
      <c r="AA14" s="100"/>
      <c r="AB14" s="100"/>
      <c r="AC14" s="100"/>
      <c r="AD14" s="100"/>
      <c r="AE14" s="100"/>
      <c r="AF14" s="100"/>
      <c r="AG14" s="100"/>
      <c r="AH14" s="100"/>
      <c r="AI14" s="100"/>
      <c r="AJ14" s="100"/>
      <c r="AK14" s="100"/>
      <c r="AL14" s="100"/>
      <c r="AM14" s="100"/>
      <c r="AN14" s="100"/>
      <c r="AO14" s="100"/>
      <c r="AP14" s="100"/>
      <c r="AQ14" s="100"/>
      <c r="AR14" s="100"/>
      <c r="AS14" s="100"/>
      <c r="AT14" s="100"/>
      <c r="AU14" s="100"/>
      <c r="AV14" s="100"/>
      <c r="AW14" s="100"/>
      <c r="AX14" s="100"/>
      <c r="AY14" s="100"/>
      <c r="AZ14" s="100"/>
      <c r="BA14" s="100"/>
      <c r="BB14" s="100"/>
      <c r="BC14" s="100"/>
      <c r="BD14" s="100"/>
      <c r="BE14" s="100"/>
      <c r="BF14" s="100"/>
      <c r="BG14" s="100"/>
      <c r="BH14" s="100"/>
      <c r="BI14" s="100"/>
      <c r="BJ14" s="100"/>
      <c r="BK14" s="100"/>
      <c r="BL14" s="100"/>
      <c r="BM14" s="100"/>
      <c r="BN14" s="100"/>
      <c r="BO14" s="100"/>
      <c r="BP14" s="100"/>
      <c r="BQ14" s="100"/>
      <c r="BR14" s="100"/>
      <c r="BS14" s="100"/>
      <c r="BT14" s="100"/>
      <c r="BU14" s="100"/>
      <c r="BV14" s="100"/>
      <c r="BW14" s="100"/>
      <c r="BX14" s="100"/>
      <c r="BY14" s="100"/>
      <c r="BZ14" s="100"/>
      <c r="CA14" s="100"/>
      <c r="CB14" s="100"/>
      <c r="CC14" s="100"/>
      <c r="CD14" s="100"/>
      <c r="CE14" s="100"/>
      <c r="CF14" s="100"/>
      <c r="CG14" s="100"/>
      <c r="CH14" s="100"/>
      <c r="CI14" s="100"/>
      <c r="CJ14" s="100"/>
      <c r="CK14" s="100"/>
      <c r="CL14" s="100"/>
      <c r="CM14" s="100"/>
      <c r="CN14" s="100"/>
      <c r="CO14" s="100"/>
      <c r="CP14" s="100"/>
      <c r="CQ14" s="100"/>
      <c r="CR14" s="100"/>
      <c r="CS14" s="100"/>
      <c r="CT14" s="100"/>
      <c r="CU14" s="100"/>
      <c r="CV14" s="100"/>
      <c r="CW14" s="100"/>
      <c r="CX14" s="100"/>
      <c r="CY14" s="100"/>
      <c r="CZ14" s="100"/>
      <c r="DA14" s="100"/>
      <c r="DB14" s="100"/>
      <c r="DC14" s="100"/>
      <c r="DD14" s="100"/>
      <c r="DE14" s="100"/>
      <c r="DF14" s="100"/>
      <c r="DG14" s="100"/>
      <c r="DH14" s="100"/>
      <c r="DI14" s="100"/>
      <c r="DJ14" s="100"/>
      <c r="DK14" s="100"/>
      <c r="DL14" s="100"/>
      <c r="DM14" s="100"/>
      <c r="DN14" s="100"/>
      <c r="DO14" s="100"/>
      <c r="DP14" s="100"/>
      <c r="DQ14" s="100"/>
      <c r="DR14" s="100"/>
      <c r="DS14" s="100"/>
      <c r="DT14" s="100"/>
      <c r="DU14" s="100"/>
      <c r="DV14" s="100"/>
      <c r="DW14" s="100"/>
      <c r="DX14" s="100"/>
      <c r="DY14" s="100"/>
      <c r="DZ14" s="100"/>
      <c r="EA14" s="100"/>
      <c r="EB14" s="100"/>
      <c r="EC14" s="100"/>
      <c r="ED14" s="100"/>
      <c r="EE14" s="100"/>
      <c r="EF14" s="100"/>
      <c r="EG14" s="100"/>
      <c r="EH14" s="100"/>
      <c r="EI14" s="100"/>
      <c r="EJ14" s="100"/>
      <c r="EK14" s="100"/>
      <c r="EL14" s="100"/>
      <c r="EM14" s="100"/>
      <c r="EN14" s="100"/>
      <c r="EO14" s="100"/>
      <c r="EP14" s="100"/>
      <c r="EQ14" s="100"/>
      <c r="ER14" s="100"/>
      <c r="ES14" s="100"/>
      <c r="ET14" s="100"/>
    </row>
    <row r="15" spans="1:160">
      <c r="B15" s="106"/>
      <c r="C15" s="46"/>
      <c r="D15" s="46"/>
      <c r="E15" s="46"/>
      <c r="F15" s="46"/>
      <c r="G15" s="46"/>
      <c r="H15" s="46"/>
      <c r="I15" s="46"/>
      <c r="J15" s="46"/>
      <c r="K15" s="46"/>
      <c r="L15" s="46"/>
      <c r="M15" s="46"/>
      <c r="N15" s="46"/>
      <c r="O15" s="46"/>
      <c r="P15" s="46"/>
      <c r="Q15" s="46"/>
      <c r="R15" s="46"/>
      <c r="S15" s="46"/>
      <c r="T15" s="46"/>
      <c r="U15" s="46"/>
      <c r="V15" s="46"/>
      <c r="W15" s="46"/>
      <c r="X15" s="46"/>
      <c r="Y15" s="46"/>
      <c r="Z15" s="46"/>
      <c r="AA15" s="46"/>
      <c r="AB15" s="46"/>
      <c r="AC15" s="46"/>
      <c r="AD15" s="46"/>
      <c r="AE15" s="46"/>
      <c r="AF15" s="46"/>
      <c r="AG15" s="46"/>
      <c r="AH15" s="46"/>
      <c r="AI15" s="46"/>
      <c r="AJ15" s="46"/>
      <c r="AK15" s="46"/>
      <c r="AL15" s="46"/>
      <c r="AM15" s="46"/>
      <c r="AN15" s="46"/>
      <c r="AO15" s="46"/>
      <c r="AP15" s="46"/>
      <c r="AQ15" s="46"/>
      <c r="AR15" s="46"/>
      <c r="AS15" s="46"/>
      <c r="AT15" s="46"/>
      <c r="AU15" s="46"/>
      <c r="AV15" s="46"/>
      <c r="AW15" s="46"/>
      <c r="AX15" s="46"/>
      <c r="AY15" s="46"/>
      <c r="AZ15" s="46"/>
      <c r="BA15" s="46"/>
      <c r="BB15" s="46"/>
      <c r="BC15" s="46"/>
      <c r="BD15" s="46"/>
      <c r="BE15" s="46"/>
      <c r="BF15" s="46"/>
      <c r="BG15" s="46"/>
      <c r="BH15" s="46"/>
      <c r="BI15" s="46"/>
      <c r="BJ15" s="46"/>
      <c r="BK15" s="46"/>
      <c r="BL15" s="46"/>
      <c r="BM15" s="46"/>
      <c r="BN15" s="46"/>
      <c r="BO15" s="46"/>
      <c r="BP15" s="46"/>
      <c r="BQ15" s="46"/>
      <c r="BR15" s="46"/>
      <c r="BS15" s="46"/>
      <c r="BT15" s="46"/>
      <c r="BU15" s="46"/>
      <c r="BV15" s="46"/>
      <c r="BW15" s="46"/>
      <c r="BX15" s="46"/>
      <c r="BY15" s="100"/>
      <c r="BZ15" s="100"/>
      <c r="CA15" s="100"/>
      <c r="CB15" s="100"/>
      <c r="CC15" s="100"/>
      <c r="CD15" s="100"/>
      <c r="CE15" s="100"/>
      <c r="CF15" s="100"/>
      <c r="CG15" s="100"/>
      <c r="CH15" s="100"/>
      <c r="CI15" s="100"/>
      <c r="CJ15" s="100"/>
      <c r="CK15" s="100"/>
      <c r="CL15" s="100"/>
      <c r="CM15" s="100"/>
      <c r="CN15" s="100"/>
      <c r="CO15" s="100"/>
      <c r="CP15" s="100"/>
      <c r="CQ15" s="100"/>
      <c r="CR15" s="100"/>
      <c r="CS15" s="100"/>
      <c r="CT15" s="100"/>
      <c r="CU15" s="100"/>
      <c r="CV15" s="100"/>
      <c r="CW15" s="100"/>
      <c r="CX15" s="100"/>
      <c r="CY15" s="100"/>
      <c r="CZ15" s="100"/>
      <c r="DA15" s="100"/>
      <c r="DB15" s="100"/>
      <c r="DC15" s="100"/>
      <c r="DD15" s="100"/>
      <c r="DE15" s="100"/>
      <c r="DF15" s="100"/>
      <c r="DG15" s="100"/>
      <c r="DH15" s="100"/>
      <c r="DI15" s="100"/>
      <c r="DJ15" s="100"/>
      <c r="DK15" s="100"/>
      <c r="DL15" s="100"/>
      <c r="DM15" s="100"/>
      <c r="DN15" s="100"/>
      <c r="DO15" s="100"/>
      <c r="DP15" s="100"/>
      <c r="DQ15" s="100"/>
      <c r="DR15" s="100"/>
      <c r="DS15" s="100"/>
      <c r="DT15" s="100"/>
      <c r="DU15" s="100"/>
      <c r="DV15" s="100"/>
      <c r="DW15" s="100"/>
      <c r="DX15" s="100"/>
      <c r="DY15" s="100"/>
      <c r="DZ15" s="100"/>
      <c r="EA15" s="100"/>
      <c r="EB15" s="100"/>
      <c r="EC15" s="100"/>
      <c r="ED15" s="100"/>
      <c r="EE15" s="100"/>
      <c r="EF15" s="100"/>
      <c r="EG15" s="100"/>
      <c r="EH15" s="100"/>
      <c r="EI15" s="100"/>
      <c r="EJ15" s="100"/>
      <c r="EK15" s="100"/>
      <c r="EL15" s="100"/>
      <c r="EM15" s="100"/>
      <c r="EN15" s="100"/>
      <c r="EO15" s="100"/>
      <c r="EP15" s="100"/>
      <c r="EQ15" s="100"/>
      <c r="ER15" s="100"/>
      <c r="ES15" s="100"/>
      <c r="ET15" s="100"/>
    </row>
    <row r="16" spans="1:160" s="46" customFormat="1">
      <c r="A16" s="46" t="s">
        <v>900</v>
      </c>
      <c r="C16" s="303" t="s">
        <v>481</v>
      </c>
      <c r="D16" s="303" t="s">
        <v>484</v>
      </c>
      <c r="E16" s="303" t="s">
        <v>12</v>
      </c>
      <c r="F16" s="303" t="s">
        <v>7</v>
      </c>
      <c r="G16" s="303" t="s">
        <v>6</v>
      </c>
      <c r="H16" s="303" t="s">
        <v>11</v>
      </c>
      <c r="I16" s="303" t="s">
        <v>729</v>
      </c>
      <c r="J16" s="303" t="s">
        <v>730</v>
      </c>
      <c r="K16" s="303" t="s">
        <v>731</v>
      </c>
      <c r="L16" s="303" t="s">
        <v>732</v>
      </c>
      <c r="M16" s="303" t="s">
        <v>486</v>
      </c>
      <c r="N16" s="303" t="s">
        <v>487</v>
      </c>
      <c r="O16" s="303" t="s">
        <v>488</v>
      </c>
      <c r="P16" s="303" t="s">
        <v>489</v>
      </c>
      <c r="Q16" s="303" t="s">
        <v>492</v>
      </c>
      <c r="R16" s="303" t="s">
        <v>493</v>
      </c>
      <c r="S16" s="303" t="s">
        <v>494</v>
      </c>
      <c r="T16" s="303" t="s">
        <v>733</v>
      </c>
      <c r="U16" s="303" t="s">
        <v>734</v>
      </c>
      <c r="V16" s="303" t="s">
        <v>735</v>
      </c>
      <c r="W16" s="303" t="s">
        <v>736</v>
      </c>
      <c r="X16" s="303" t="s">
        <v>504</v>
      </c>
      <c r="Y16" s="303" t="s">
        <v>505</v>
      </c>
      <c r="Z16" s="303" t="s">
        <v>508</v>
      </c>
      <c r="AA16" s="303" t="s">
        <v>737</v>
      </c>
      <c r="AB16" s="303" t="s">
        <v>36</v>
      </c>
      <c r="AC16" s="303" t="s">
        <v>26</v>
      </c>
      <c r="AD16" s="303" t="s">
        <v>16</v>
      </c>
      <c r="AE16" s="303" t="s">
        <v>509</v>
      </c>
      <c r="AF16" s="46" t="s">
        <v>4</v>
      </c>
      <c r="AG16" s="303" t="s">
        <v>5</v>
      </c>
      <c r="AH16" s="303" t="s">
        <v>512</v>
      </c>
      <c r="AI16" s="303" t="s">
        <v>8</v>
      </c>
      <c r="AJ16" s="303" t="s">
        <v>13</v>
      </c>
      <c r="AK16" s="303" t="s">
        <v>14</v>
      </c>
      <c r="AL16" s="303" t="s">
        <v>15</v>
      </c>
      <c r="AM16" s="303" t="s">
        <v>18</v>
      </c>
      <c r="AN16" s="303" t="s">
        <v>19</v>
      </c>
      <c r="AO16" s="303" t="s">
        <v>20</v>
      </c>
      <c r="AP16" s="303" t="s">
        <v>21</v>
      </c>
      <c r="AQ16" s="303" t="s">
        <v>22</v>
      </c>
      <c r="AR16" s="303" t="s">
        <v>23</v>
      </c>
      <c r="AS16" s="303" t="s">
        <v>24</v>
      </c>
      <c r="AT16" s="303" t="s">
        <v>25</v>
      </c>
      <c r="AU16" s="303" t="s">
        <v>27</v>
      </c>
      <c r="AV16" s="303" t="s">
        <v>28</v>
      </c>
      <c r="AW16" s="303" t="s">
        <v>29</v>
      </c>
      <c r="AX16" s="46" t="s">
        <v>30</v>
      </c>
      <c r="AY16" s="303" t="s">
        <v>31</v>
      </c>
      <c r="AZ16" s="303" t="s">
        <v>32</v>
      </c>
      <c r="BA16" s="303" t="s">
        <v>33</v>
      </c>
      <c r="BB16" s="303" t="s">
        <v>34</v>
      </c>
      <c r="BC16" s="303" t="s">
        <v>35</v>
      </c>
      <c r="BD16" s="303" t="s">
        <v>37</v>
      </c>
      <c r="BE16" s="303" t="s">
        <v>38</v>
      </c>
      <c r="BF16" s="303" t="s">
        <v>39</v>
      </c>
      <c r="BG16" s="303" t="s">
        <v>40</v>
      </c>
      <c r="BH16" s="303" t="s">
        <v>41</v>
      </c>
      <c r="BI16" s="303" t="s">
        <v>42</v>
      </c>
      <c r="BJ16" s="303" t="s">
        <v>43</v>
      </c>
      <c r="BK16" s="303" t="s">
        <v>44</v>
      </c>
      <c r="BL16" s="303" t="s">
        <v>45</v>
      </c>
      <c r="BM16" s="303" t="s">
        <v>46</v>
      </c>
      <c r="BN16" s="303" t="s">
        <v>47</v>
      </c>
      <c r="BO16" s="303" t="s">
        <v>48</v>
      </c>
      <c r="BP16" s="303" t="s">
        <v>49</v>
      </c>
      <c r="BQ16" s="303" t="s">
        <v>50</v>
      </c>
      <c r="BR16" s="46" t="s">
        <v>51</v>
      </c>
      <c r="BS16" s="303" t="s">
        <v>52</v>
      </c>
      <c r="BT16" s="303" t="s">
        <v>53</v>
      </c>
      <c r="BU16" s="303" t="s">
        <v>54</v>
      </c>
      <c r="BV16" s="46" t="s">
        <v>55</v>
      </c>
      <c r="BW16" s="46" t="s">
        <v>56</v>
      </c>
      <c r="BX16" s="303" t="s">
        <v>57</v>
      </c>
      <c r="BY16" s="303" t="s">
        <v>58</v>
      </c>
      <c r="BZ16" s="303"/>
      <c r="CA16" s="303"/>
      <c r="CB16" s="303"/>
      <c r="CC16" s="303"/>
      <c r="CD16" s="303"/>
      <c r="CE16" s="303"/>
      <c r="CF16" s="303"/>
      <c r="CG16" s="303"/>
      <c r="CH16" s="303"/>
      <c r="CI16" s="303"/>
      <c r="CJ16" s="303"/>
      <c r="CK16" s="303"/>
      <c r="CL16" s="303"/>
      <c r="CM16" s="303"/>
      <c r="CN16" s="303"/>
      <c r="CO16" s="303"/>
      <c r="CP16" s="303"/>
      <c r="CQ16" s="303"/>
      <c r="CR16" s="303"/>
      <c r="CS16" s="303"/>
      <c r="CT16" s="303"/>
      <c r="CU16" s="303"/>
      <c r="CV16" s="303"/>
      <c r="CW16" s="303"/>
      <c r="CX16" s="303"/>
      <c r="CY16" s="303"/>
      <c r="CZ16" s="303"/>
      <c r="DA16" s="303"/>
      <c r="DB16" s="303"/>
      <c r="DC16" s="303"/>
      <c r="DD16" s="303"/>
      <c r="DE16" s="303"/>
      <c r="DF16" s="303"/>
      <c r="DG16" s="303"/>
      <c r="DH16" s="303"/>
      <c r="DI16" s="303"/>
      <c r="DJ16" s="303"/>
      <c r="DK16" s="303"/>
      <c r="DL16" s="303"/>
      <c r="DM16" s="303"/>
      <c r="DN16" s="303"/>
      <c r="DO16" s="303"/>
      <c r="DP16" s="303"/>
      <c r="DQ16" s="303"/>
      <c r="DR16" s="303"/>
      <c r="DS16" s="303"/>
      <c r="DT16" s="303"/>
      <c r="DU16" s="303"/>
      <c r="DV16" s="303"/>
      <c r="DW16" s="303"/>
      <c r="DX16" s="303"/>
      <c r="DY16" s="303"/>
      <c r="DZ16" s="303"/>
      <c r="EA16" s="303"/>
      <c r="EB16" s="303"/>
      <c r="EC16" s="303"/>
      <c r="ED16" s="303"/>
      <c r="EE16" s="303"/>
      <c r="EF16" s="303"/>
      <c r="EG16" s="303"/>
      <c r="EH16" s="303"/>
      <c r="EI16" s="303"/>
      <c r="EJ16" s="303"/>
      <c r="EK16" s="303"/>
      <c r="EL16" s="303"/>
      <c r="EM16" s="303"/>
      <c r="EN16" s="303"/>
      <c r="EO16" s="303"/>
      <c r="EP16" s="303"/>
      <c r="EQ16" s="303"/>
      <c r="ER16" s="303"/>
      <c r="ES16" s="303"/>
      <c r="ET16" s="303"/>
    </row>
    <row r="17" spans="1:77">
      <c r="B17" s="46" t="s">
        <v>697</v>
      </c>
      <c r="C17" s="312">
        <v>115.7</v>
      </c>
      <c r="D17" s="100">
        <v>6.91</v>
      </c>
      <c r="E17" s="100">
        <v>7.7</v>
      </c>
      <c r="F17" s="100">
        <v>1.76</v>
      </c>
      <c r="G17" s="100">
        <v>3.3</v>
      </c>
      <c r="H17" s="100">
        <v>0.9</v>
      </c>
      <c r="I17" s="100">
        <v>12.56</v>
      </c>
      <c r="J17" s="100">
        <v>1.7942284571076308</v>
      </c>
      <c r="K17" s="100">
        <v>1.3281496487772046</v>
      </c>
      <c r="L17" s="100">
        <v>6.0328195564643305E-2</v>
      </c>
      <c r="M17" s="100">
        <v>0.89208777000000006</v>
      </c>
      <c r="N17" s="100">
        <v>2.8837419999999999E-3</v>
      </c>
      <c r="O17" s="100">
        <v>0.63412909999999989</v>
      </c>
      <c r="P17" s="100">
        <v>1.1103673981748753E-2</v>
      </c>
      <c r="Q17" s="100">
        <v>0.94239897700000008</v>
      </c>
      <c r="R17" s="100">
        <v>0.63412909999999989</v>
      </c>
      <c r="S17" s="100">
        <v>-28.2</v>
      </c>
      <c r="T17" s="100">
        <v>2.15543263559837E-2</v>
      </c>
      <c r="U17" s="100">
        <v>5.6665030401274984E-2</v>
      </c>
      <c r="V17" s="100">
        <v>9.4831448439867655E-2</v>
      </c>
      <c r="W17" s="100">
        <v>8.9375607590173198E-2</v>
      </c>
      <c r="X17" s="100">
        <v>0.01</v>
      </c>
      <c r="Y17" s="100">
        <v>0.13</v>
      </c>
      <c r="Z17" s="100">
        <v>2.12</v>
      </c>
      <c r="AA17" s="100">
        <v>4.5353159999999999</v>
      </c>
      <c r="AB17" s="100">
        <v>11.22</v>
      </c>
      <c r="AC17" s="100">
        <v>59</v>
      </c>
      <c r="AD17" s="100">
        <v>1.6</v>
      </c>
      <c r="AE17" s="100">
        <v>2.1</v>
      </c>
      <c r="AF17" s="100">
        <v>7</v>
      </c>
      <c r="AG17" s="100" t="s">
        <v>605</v>
      </c>
      <c r="AH17" s="100">
        <v>56</v>
      </c>
      <c r="AI17" s="100">
        <v>3.1</v>
      </c>
      <c r="AJ17" s="100">
        <v>0.3</v>
      </c>
      <c r="AK17" s="100">
        <v>0.1</v>
      </c>
      <c r="AL17" s="100">
        <v>0.13</v>
      </c>
      <c r="AM17" s="100">
        <v>2.9000000000000001E-2</v>
      </c>
      <c r="AN17" s="100">
        <v>1.33</v>
      </c>
      <c r="AO17" s="100">
        <v>0.3</v>
      </c>
      <c r="AP17" s="100">
        <v>2.7</v>
      </c>
      <c r="AQ17" s="100">
        <v>0.06</v>
      </c>
      <c r="AR17" s="100">
        <v>0.41</v>
      </c>
      <c r="AS17" s="100">
        <v>0.08</v>
      </c>
      <c r="AT17" s="100">
        <v>0.24</v>
      </c>
      <c r="AU17" s="100">
        <v>1.2E-2</v>
      </c>
      <c r="AV17" s="100">
        <v>0.02</v>
      </c>
      <c r="AW17" s="100">
        <v>0.01</v>
      </c>
      <c r="AX17" s="100">
        <v>0.5</v>
      </c>
      <c r="AY17" s="100" t="s">
        <v>607</v>
      </c>
      <c r="AZ17" s="100">
        <v>1.4E-2</v>
      </c>
      <c r="BA17" s="100">
        <v>0.09</v>
      </c>
      <c r="BB17" s="100">
        <v>7.0000000000000007E-2</v>
      </c>
      <c r="BC17" s="100">
        <v>7.0000000000000007E-2</v>
      </c>
      <c r="BD17" s="100">
        <v>1.2999999999999999E-2</v>
      </c>
      <c r="BE17" s="100">
        <v>1.0999999999999999E-2</v>
      </c>
      <c r="BF17" s="100">
        <v>6.0000000000000001E-3</v>
      </c>
      <c r="BG17" s="100">
        <v>1.9E-2</v>
      </c>
      <c r="BH17" s="100">
        <v>5.0000000000000001E-3</v>
      </c>
      <c r="BI17" s="100">
        <v>3.0000000000000001E-3</v>
      </c>
      <c r="BJ17" s="100">
        <v>6.0000000000000001E-3</v>
      </c>
      <c r="BK17" s="100">
        <v>8.9999999999999993E-3</v>
      </c>
      <c r="BL17" s="100">
        <v>5.0000000000000001E-3</v>
      </c>
      <c r="BM17" s="100">
        <v>4.0000000000000001E-3</v>
      </c>
      <c r="BN17" s="100">
        <v>4.0000000000000001E-3</v>
      </c>
      <c r="BO17" s="100">
        <v>4.0000000000000001E-3</v>
      </c>
      <c r="BP17" s="100">
        <v>2.4E-2</v>
      </c>
      <c r="BQ17" s="100">
        <v>5.0000000000000001E-3</v>
      </c>
      <c r="BR17" s="100">
        <v>1.6E-2</v>
      </c>
      <c r="BS17" s="100" t="s">
        <v>612</v>
      </c>
      <c r="BT17" s="100">
        <v>0.06</v>
      </c>
      <c r="BU17" s="100">
        <v>0.03</v>
      </c>
      <c r="BV17" s="100">
        <v>0.11</v>
      </c>
      <c r="BW17" s="100" t="s">
        <v>605</v>
      </c>
      <c r="BX17" s="100" t="s">
        <v>91</v>
      </c>
      <c r="BY17" s="100">
        <v>1.2999999999999999E-2</v>
      </c>
    </row>
    <row r="18" spans="1:77">
      <c r="B18" s="46" t="s">
        <v>698</v>
      </c>
      <c r="C18" s="312">
        <v>1150.5999999999999</v>
      </c>
      <c r="D18" s="100">
        <v>8.2050000000000001</v>
      </c>
      <c r="E18" s="100">
        <v>87</v>
      </c>
      <c r="F18" s="100">
        <v>29.177</v>
      </c>
      <c r="G18" s="100">
        <v>47.3</v>
      </c>
      <c r="H18" s="100">
        <v>52.75</v>
      </c>
      <c r="I18" s="100">
        <v>186.2</v>
      </c>
      <c r="J18" s="100">
        <v>32.329961553895551</v>
      </c>
      <c r="K18" s="100">
        <v>499.31941549049679</v>
      </c>
      <c r="L18" s="100">
        <v>23.862331732295853</v>
      </c>
      <c r="M18" s="100">
        <v>9.2557478</v>
      </c>
      <c r="N18" s="100">
        <v>5.0311207000000004E-2</v>
      </c>
      <c r="O18" s="100">
        <v>11.89861625678947</v>
      </c>
      <c r="P18" s="100">
        <v>8.0555578252677354E-2</v>
      </c>
      <c r="Q18" s="100">
        <v>9.266906445</v>
      </c>
      <c r="R18" s="100">
        <v>11.937927745967366</v>
      </c>
      <c r="S18" s="100">
        <v>61.9</v>
      </c>
      <c r="T18" s="100">
        <v>0.37374139782938376</v>
      </c>
      <c r="U18" s="100">
        <v>2.3528112578436562</v>
      </c>
      <c r="V18" s="100">
        <v>9.4831448439867655E-2</v>
      </c>
      <c r="W18" s="100">
        <v>0.59144417126368798</v>
      </c>
      <c r="X18" s="100">
        <v>6.7000000000000004E-2</v>
      </c>
      <c r="Y18" s="100">
        <v>101.38</v>
      </c>
      <c r="Z18" s="100">
        <v>38.619999999999997</v>
      </c>
      <c r="AA18" s="100">
        <v>82.619765999999998</v>
      </c>
      <c r="AB18" s="100">
        <v>174.73</v>
      </c>
      <c r="AC18" s="100">
        <v>394.9</v>
      </c>
      <c r="AD18" s="100">
        <v>1648.9</v>
      </c>
      <c r="AE18" s="100">
        <v>882.7</v>
      </c>
      <c r="AF18" s="100">
        <v>34</v>
      </c>
      <c r="AG18" s="100" t="s">
        <v>605</v>
      </c>
      <c r="AH18" s="100">
        <v>77</v>
      </c>
      <c r="AI18" s="100">
        <v>230.7</v>
      </c>
      <c r="AJ18" s="100">
        <v>6.1</v>
      </c>
      <c r="AK18" s="100">
        <v>12.66</v>
      </c>
      <c r="AL18" s="100">
        <v>2.95</v>
      </c>
      <c r="AM18" s="100">
        <v>95.144000000000005</v>
      </c>
      <c r="AN18" s="100">
        <v>218.01</v>
      </c>
      <c r="AO18" s="100">
        <v>4.7</v>
      </c>
      <c r="AP18" s="100">
        <v>206.4</v>
      </c>
      <c r="AQ18" s="100">
        <v>0.22</v>
      </c>
      <c r="AR18" s="100">
        <v>863.94</v>
      </c>
      <c r="AS18" s="100">
        <v>1.17</v>
      </c>
      <c r="AT18" s="100">
        <v>32.619999999999997</v>
      </c>
      <c r="AU18" s="100">
        <v>1.585</v>
      </c>
      <c r="AV18" s="100">
        <v>0.48</v>
      </c>
      <c r="AW18" s="100">
        <v>0.09</v>
      </c>
      <c r="AX18" s="100">
        <v>20.8</v>
      </c>
      <c r="AY18" s="100" t="s">
        <v>607</v>
      </c>
      <c r="AZ18" s="100">
        <v>2.91</v>
      </c>
      <c r="BA18" s="100">
        <v>0.25</v>
      </c>
      <c r="BB18" s="100">
        <v>9.7100000000000009</v>
      </c>
      <c r="BC18" s="100">
        <v>0.95</v>
      </c>
      <c r="BD18" s="100">
        <v>3.129</v>
      </c>
      <c r="BE18" s="100">
        <v>2.1429999999999998</v>
      </c>
      <c r="BF18" s="100">
        <v>0.42699999999999999</v>
      </c>
      <c r="BG18" s="100">
        <v>1.734</v>
      </c>
      <c r="BH18" s="100">
        <v>0.22800000000000001</v>
      </c>
      <c r="BI18" s="100">
        <v>5.8000000000000003E-2</v>
      </c>
      <c r="BJ18" s="100">
        <v>0.24099999999999999</v>
      </c>
      <c r="BK18" s="100">
        <v>2.3E-2</v>
      </c>
      <c r="BL18" s="100">
        <v>0.13</v>
      </c>
      <c r="BM18" s="100">
        <v>0.03</v>
      </c>
      <c r="BN18" s="100">
        <v>6.0999999999999999E-2</v>
      </c>
      <c r="BO18" s="100">
        <v>6.0000000000000001E-3</v>
      </c>
      <c r="BP18" s="100">
        <v>4.3999999999999997E-2</v>
      </c>
      <c r="BQ18" s="100">
        <v>8.0000000000000002E-3</v>
      </c>
      <c r="BR18" s="100">
        <v>1.6E-2</v>
      </c>
      <c r="BS18" s="100" t="s">
        <v>612</v>
      </c>
      <c r="BT18" s="100">
        <v>2.92</v>
      </c>
      <c r="BU18" s="100">
        <v>0.11</v>
      </c>
      <c r="BV18" s="100">
        <v>0.65</v>
      </c>
      <c r="BW18" s="100" t="s">
        <v>605</v>
      </c>
      <c r="BX18" s="100" t="s">
        <v>91</v>
      </c>
      <c r="BY18" s="100">
        <v>1.5269999999999999</v>
      </c>
    </row>
    <row r="19" spans="1:77">
      <c r="B19" s="46" t="s">
        <v>699</v>
      </c>
      <c r="C19" s="312">
        <v>172.2</v>
      </c>
      <c r="D19" s="100">
        <v>7.4189999999999996</v>
      </c>
      <c r="E19" s="100">
        <v>15.7</v>
      </c>
      <c r="F19" s="100">
        <v>3.2930000000000001</v>
      </c>
      <c r="G19" s="100">
        <v>6.7</v>
      </c>
      <c r="H19" s="100">
        <v>2.16</v>
      </c>
      <c r="I19" s="100">
        <v>38.69</v>
      </c>
      <c r="J19" s="100">
        <v>5.0780174684449513</v>
      </c>
      <c r="K19" s="100">
        <v>19.256529564188277</v>
      </c>
      <c r="L19" s="100">
        <v>1.4046578449579856</v>
      </c>
      <c r="M19" s="100">
        <v>1.6784358699999999</v>
      </c>
      <c r="N19" s="100">
        <v>5.7424396000000004E-3</v>
      </c>
      <c r="O19" s="100">
        <v>1.3686709822400274</v>
      </c>
      <c r="P19" s="100">
        <v>1.3149805432257827E-2</v>
      </c>
      <c r="Q19" s="100">
        <v>1.7008737666</v>
      </c>
      <c r="R19" s="100">
        <v>1.3819735725343369</v>
      </c>
      <c r="S19" s="100">
        <v>-9.8000000000000004E-2</v>
      </c>
      <c r="T19" s="100">
        <v>5.4267211528942982E-2</v>
      </c>
      <c r="U19" s="100">
        <v>8.9223473616695942E-2</v>
      </c>
      <c r="V19" s="100">
        <v>9.4831448439867655E-2</v>
      </c>
      <c r="W19" s="100">
        <v>0.17687278315037519</v>
      </c>
      <c r="X19" s="100">
        <v>1.7500000000000002E-2</v>
      </c>
      <c r="Y19" s="100">
        <v>1.31</v>
      </c>
      <c r="Z19" s="100">
        <v>6.67</v>
      </c>
      <c r="AA19" s="100">
        <v>14.269131</v>
      </c>
      <c r="AB19" s="100">
        <v>23.75</v>
      </c>
      <c r="AC19" s="100">
        <v>88.9</v>
      </c>
      <c r="AD19" s="100">
        <v>107.7</v>
      </c>
      <c r="AE19" s="100">
        <v>7.7</v>
      </c>
      <c r="AF19" s="100">
        <v>8.25</v>
      </c>
      <c r="AG19" s="100" t="s">
        <v>605</v>
      </c>
      <c r="AH19" s="100">
        <v>61.25</v>
      </c>
      <c r="AI19" s="100">
        <v>8.6</v>
      </c>
      <c r="AJ19" s="100">
        <v>0.4</v>
      </c>
      <c r="AK19" s="100">
        <v>0.26</v>
      </c>
      <c r="AL19" s="100">
        <v>0.23249999999999998</v>
      </c>
      <c r="AM19" s="100">
        <v>0.66200000000000003</v>
      </c>
      <c r="AN19" s="100">
        <v>3.04</v>
      </c>
      <c r="AO19" s="100">
        <v>0.8</v>
      </c>
      <c r="AP19" s="100">
        <v>4</v>
      </c>
      <c r="AQ19" s="100">
        <v>8.4999999999999992E-2</v>
      </c>
      <c r="AR19" s="100">
        <v>1.21</v>
      </c>
      <c r="AS19" s="100">
        <v>0.1</v>
      </c>
      <c r="AT19" s="100">
        <v>2.14</v>
      </c>
      <c r="AU19" s="100">
        <v>6.8000000000000005E-2</v>
      </c>
      <c r="AV19" s="100">
        <v>0.06</v>
      </c>
      <c r="AW19" s="100">
        <v>0.01</v>
      </c>
      <c r="AX19" s="100">
        <v>0.9</v>
      </c>
      <c r="AY19" s="100" t="s">
        <v>607</v>
      </c>
      <c r="AZ19" s="100">
        <v>3.4000000000000002E-2</v>
      </c>
      <c r="BA19" s="100">
        <v>0.11499999999999999</v>
      </c>
      <c r="BB19" s="100">
        <v>0.24</v>
      </c>
      <c r="BC19" s="100">
        <v>0.15</v>
      </c>
      <c r="BD19" s="100">
        <v>8.8999999999999996E-2</v>
      </c>
      <c r="BE19" s="100">
        <v>0.10100000000000001</v>
      </c>
      <c r="BF19" s="100">
        <v>2.1249999999999998E-2</v>
      </c>
      <c r="BG19" s="100">
        <v>7.0500000000000007E-2</v>
      </c>
      <c r="BH19" s="100">
        <v>1.6250000000000001E-2</v>
      </c>
      <c r="BI19" s="100">
        <v>5.0000000000000001E-3</v>
      </c>
      <c r="BJ19" s="100">
        <v>1.0499999999999999E-2</v>
      </c>
      <c r="BK19" s="100">
        <v>8.9999999999999993E-3</v>
      </c>
      <c r="BL19" s="100">
        <v>8.9999999999999993E-3</v>
      </c>
      <c r="BM19" s="100">
        <v>0.01</v>
      </c>
      <c r="BN19" s="100">
        <v>4.7499999999999999E-3</v>
      </c>
      <c r="BO19" s="100">
        <v>4.0000000000000001E-3</v>
      </c>
      <c r="BP19" s="100">
        <v>2.5999999999999999E-2</v>
      </c>
      <c r="BQ19" s="100">
        <v>5.7499999999999999E-3</v>
      </c>
      <c r="BR19" s="100">
        <v>1.6E-2</v>
      </c>
      <c r="BS19" s="100" t="s">
        <v>612</v>
      </c>
      <c r="BT19" s="100">
        <v>0.17</v>
      </c>
      <c r="BU19" s="100">
        <v>4.4999999999999998E-2</v>
      </c>
      <c r="BV19" s="100">
        <v>0.15</v>
      </c>
      <c r="BW19" s="100" t="s">
        <v>605</v>
      </c>
      <c r="BX19" s="100" t="s">
        <v>91</v>
      </c>
      <c r="BY19" s="100">
        <v>2.8000000000000001E-2</v>
      </c>
    </row>
    <row r="20" spans="1:77">
      <c r="B20" s="46" t="s">
        <v>700</v>
      </c>
      <c r="C20" s="312">
        <v>301.2</v>
      </c>
      <c r="D20" s="100">
        <v>7.8879999999999999</v>
      </c>
      <c r="E20" s="100">
        <v>28.2</v>
      </c>
      <c r="F20" s="100">
        <v>11.042999999999999</v>
      </c>
      <c r="G20" s="100">
        <v>11.4</v>
      </c>
      <c r="H20" s="100">
        <v>4.42</v>
      </c>
      <c r="I20" s="100">
        <v>105.7</v>
      </c>
      <c r="J20" s="100">
        <v>7.6205895317246402</v>
      </c>
      <c r="K20" s="100">
        <v>31.67473367655996</v>
      </c>
      <c r="L20" s="100">
        <v>4.1437785803894265</v>
      </c>
      <c r="M20" s="100">
        <v>2.7391837699999995</v>
      </c>
      <c r="N20" s="100">
        <v>7.1667046000000005E-3</v>
      </c>
      <c r="O20" s="100">
        <v>2.9004257402655593</v>
      </c>
      <c r="P20" s="100">
        <v>1.7315034858410509E-2</v>
      </c>
      <c r="Q20" s="100">
        <v>2.7450991051999996</v>
      </c>
      <c r="R20" s="100">
        <v>2.9131171911116618</v>
      </c>
      <c r="S20" s="100">
        <v>0.59689778450794029</v>
      </c>
      <c r="T20" s="100">
        <v>0.11125849673616661</v>
      </c>
      <c r="U20" s="100">
        <v>0.15093482702884042</v>
      </c>
      <c r="V20" s="100">
        <v>9.4831448439867655E-2</v>
      </c>
      <c r="W20" s="100">
        <v>0.21726690094390194</v>
      </c>
      <c r="X20" s="100">
        <v>3.7999999999999999E-2</v>
      </c>
      <c r="Y20" s="100">
        <v>10.65</v>
      </c>
      <c r="Z20" s="100">
        <v>8.68</v>
      </c>
      <c r="AA20" s="100">
        <v>18.569123999999999</v>
      </c>
      <c r="AB20" s="100">
        <v>39.200000000000003</v>
      </c>
      <c r="AC20" s="100">
        <v>135.19999999999999</v>
      </c>
      <c r="AD20" s="100">
        <v>239</v>
      </c>
      <c r="AE20" s="100">
        <v>11.1</v>
      </c>
      <c r="AF20" s="100">
        <v>9.5</v>
      </c>
      <c r="AG20" s="100" t="s">
        <v>605</v>
      </c>
      <c r="AH20" s="100">
        <v>66.5</v>
      </c>
      <c r="AI20" s="100">
        <v>14.5</v>
      </c>
      <c r="AJ20" s="100">
        <v>0.7</v>
      </c>
      <c r="AK20" s="100">
        <v>0.78</v>
      </c>
      <c r="AL20" s="100">
        <v>0.495</v>
      </c>
      <c r="AM20" s="100">
        <v>1.518</v>
      </c>
      <c r="AN20" s="100">
        <v>4.8099999999999996</v>
      </c>
      <c r="AO20" s="100">
        <v>1.6</v>
      </c>
      <c r="AP20" s="100">
        <v>4.5999999999999996</v>
      </c>
      <c r="AQ20" s="100">
        <v>0.11</v>
      </c>
      <c r="AR20" s="100">
        <v>7.75</v>
      </c>
      <c r="AS20" s="100">
        <v>0.19</v>
      </c>
      <c r="AT20" s="100">
        <v>5.41</v>
      </c>
      <c r="AU20" s="100">
        <v>9.7000000000000003E-2</v>
      </c>
      <c r="AV20" s="100">
        <v>0.14500000000000002</v>
      </c>
      <c r="AW20" s="100">
        <v>1.4999999999999999E-2</v>
      </c>
      <c r="AX20" s="100">
        <v>2.1</v>
      </c>
      <c r="AY20" s="100" t="s">
        <v>607</v>
      </c>
      <c r="AZ20" s="100">
        <v>4.1000000000000002E-2</v>
      </c>
      <c r="BA20" s="100">
        <v>0.13</v>
      </c>
      <c r="BB20" s="100">
        <v>0.37</v>
      </c>
      <c r="BC20" s="100">
        <v>0.25</v>
      </c>
      <c r="BD20" s="100">
        <v>0.19</v>
      </c>
      <c r="BE20" s="100">
        <v>0.20399999999999999</v>
      </c>
      <c r="BF20" s="100">
        <v>4.4499999999999998E-2</v>
      </c>
      <c r="BG20" s="100">
        <v>0.14399999999999999</v>
      </c>
      <c r="BH20" s="100">
        <v>4.1500000000000002E-2</v>
      </c>
      <c r="BI20" s="100">
        <v>1.7000000000000001E-2</v>
      </c>
      <c r="BJ20" s="100">
        <v>2.2499999999999999E-2</v>
      </c>
      <c r="BK20" s="100">
        <v>8.9999999999999993E-3</v>
      </c>
      <c r="BL20" s="100">
        <v>1.4499999999999999E-2</v>
      </c>
      <c r="BM20" s="100">
        <v>1.0499999999999999E-2</v>
      </c>
      <c r="BN20" s="100">
        <v>8.5000000000000006E-3</v>
      </c>
      <c r="BO20" s="100">
        <v>4.0000000000000001E-3</v>
      </c>
      <c r="BP20" s="100">
        <v>0.03</v>
      </c>
      <c r="BQ20" s="100">
        <v>6.5000000000000006E-3</v>
      </c>
      <c r="BR20" s="100">
        <v>1.6E-2</v>
      </c>
      <c r="BS20" s="100" t="s">
        <v>612</v>
      </c>
      <c r="BT20" s="100">
        <v>0.39500000000000002</v>
      </c>
      <c r="BU20" s="100">
        <v>0.05</v>
      </c>
      <c r="BV20" s="100">
        <v>0.2</v>
      </c>
      <c r="BW20" s="100" t="s">
        <v>605</v>
      </c>
      <c r="BX20" s="100" t="s">
        <v>91</v>
      </c>
      <c r="BY20" s="100">
        <v>5.8999999999999997E-2</v>
      </c>
    </row>
    <row r="21" spans="1:77">
      <c r="B21" s="46" t="s">
        <v>701</v>
      </c>
      <c r="C21" s="312">
        <v>975.81999999999948</v>
      </c>
      <c r="D21" s="100">
        <v>8.1137999999999995</v>
      </c>
      <c r="E21" s="100">
        <v>69.299999999999955</v>
      </c>
      <c r="F21" s="100">
        <v>28.003399999999996</v>
      </c>
      <c r="G21" s="100">
        <v>34.639999999999972</v>
      </c>
      <c r="H21" s="100">
        <v>30.969999999999949</v>
      </c>
      <c r="I21" s="100">
        <v>172.81999999999996</v>
      </c>
      <c r="J21" s="100">
        <v>27.142679620132792</v>
      </c>
      <c r="K21" s="100">
        <v>380.50845391753921</v>
      </c>
      <c r="L21" s="100">
        <v>17.318916250710274</v>
      </c>
      <c r="M21" s="100">
        <v>7.7041533739999961</v>
      </c>
      <c r="N21" s="100">
        <v>3.358722075999996E-2</v>
      </c>
      <c r="O21" s="100">
        <v>9.7953338881489476</v>
      </c>
      <c r="P21" s="100">
        <v>5.8333409451716861E-2</v>
      </c>
      <c r="Q21" s="100">
        <v>7.7160710299199966</v>
      </c>
      <c r="R21" s="100">
        <v>9.8593918307717132</v>
      </c>
      <c r="S21" s="100">
        <v>29.127051188233271</v>
      </c>
      <c r="T21" s="100">
        <v>0.27622264417782111</v>
      </c>
      <c r="U21" s="100">
        <v>1.839415412373389</v>
      </c>
      <c r="V21" s="100">
        <v>9.4831448439867655E-2</v>
      </c>
      <c r="W21" s="100">
        <v>0.55564757689005273</v>
      </c>
      <c r="X21" s="100">
        <v>6.5799999999999997E-2</v>
      </c>
      <c r="Y21" s="100">
        <v>100.87</v>
      </c>
      <c r="Z21" s="100">
        <v>37.491999999999997</v>
      </c>
      <c r="AA21" s="100">
        <v>80.206635599999998</v>
      </c>
      <c r="AB21" s="100">
        <v>123.07599999999988</v>
      </c>
      <c r="AC21" s="100">
        <v>362.43999999999994</v>
      </c>
      <c r="AD21" s="100">
        <v>1132.1199999999988</v>
      </c>
      <c r="AE21" s="100">
        <v>575.31999999999925</v>
      </c>
      <c r="AF21" s="100">
        <v>32.5</v>
      </c>
      <c r="AG21" s="100" t="s">
        <v>605</v>
      </c>
      <c r="AH21" s="100">
        <v>75.95</v>
      </c>
      <c r="AI21" s="100">
        <v>152.3399999999998</v>
      </c>
      <c r="AJ21" s="100">
        <v>5.0599999999999987</v>
      </c>
      <c r="AK21" s="100">
        <v>12.395999999999999</v>
      </c>
      <c r="AL21" s="100">
        <v>2.6584999999999996</v>
      </c>
      <c r="AM21" s="100">
        <v>41.325199999999874</v>
      </c>
      <c r="AN21" s="100">
        <v>98.885999999999711</v>
      </c>
      <c r="AO21" s="100">
        <v>4.4599999999999991</v>
      </c>
      <c r="AP21" s="100">
        <v>89.639999999999716</v>
      </c>
      <c r="AQ21" s="100">
        <v>0.20899999999999999</v>
      </c>
      <c r="AR21" s="100">
        <v>468.28199999999907</v>
      </c>
      <c r="AS21" s="100">
        <v>1.1639999999999999</v>
      </c>
      <c r="AT21" s="100">
        <v>25.293999999999983</v>
      </c>
      <c r="AU21" s="100">
        <v>1.186599999999999</v>
      </c>
      <c r="AV21" s="100">
        <v>0.42749999999999999</v>
      </c>
      <c r="AW21" s="100">
        <v>7.9499999999999973E-2</v>
      </c>
      <c r="AX21" s="100">
        <v>16.600000000000001</v>
      </c>
      <c r="AY21" s="100" t="s">
        <v>607</v>
      </c>
      <c r="AZ21" s="100">
        <v>1.2167999999999961</v>
      </c>
      <c r="BA21" s="100">
        <v>0.22500000000000001</v>
      </c>
      <c r="BB21" s="100">
        <v>5.9959999999999916</v>
      </c>
      <c r="BC21" s="100">
        <v>0.86599999999999988</v>
      </c>
      <c r="BD21" s="100">
        <v>2.0081999999999973</v>
      </c>
      <c r="BE21" s="100">
        <v>1.8423999999999991</v>
      </c>
      <c r="BF21" s="100">
        <v>0.31314999999999982</v>
      </c>
      <c r="BG21" s="100">
        <v>1.2741999999999993</v>
      </c>
      <c r="BH21" s="100">
        <v>0.17534999999999989</v>
      </c>
      <c r="BI21" s="100">
        <v>4.2799999999999991E-2</v>
      </c>
      <c r="BJ21" s="100">
        <v>0.1694999999999999</v>
      </c>
      <c r="BK21" s="100">
        <v>2.0599999999999997E-2</v>
      </c>
      <c r="BL21" s="100">
        <v>9.7549999999999956E-2</v>
      </c>
      <c r="BM21" s="100">
        <v>2.7E-2</v>
      </c>
      <c r="BN21" s="100">
        <v>5.1099999999999986E-2</v>
      </c>
      <c r="BO21" s="100">
        <v>5.7999999999999996E-3</v>
      </c>
      <c r="BP21" s="100">
        <v>4.2399999999999993E-2</v>
      </c>
      <c r="BQ21" s="100">
        <v>7.8499999999999993E-3</v>
      </c>
      <c r="BR21" s="100">
        <v>1.6E-2</v>
      </c>
      <c r="BS21" s="100" t="s">
        <v>612</v>
      </c>
      <c r="BT21" s="100">
        <v>2.6329999999999996</v>
      </c>
      <c r="BU21" s="100">
        <v>0.10099999999999998</v>
      </c>
      <c r="BV21" s="100">
        <v>0.46999999999999958</v>
      </c>
      <c r="BW21" s="100" t="s">
        <v>605</v>
      </c>
      <c r="BX21" s="100" t="s">
        <v>91</v>
      </c>
      <c r="BY21" s="100">
        <v>0.85559999999999836</v>
      </c>
    </row>
    <row r="22" spans="1:77">
      <c r="B22" s="46" t="s">
        <v>702</v>
      </c>
      <c r="C22" s="312">
        <v>308.24810191033896</v>
      </c>
      <c r="D22" s="100">
        <v>7.7351853411230458</v>
      </c>
      <c r="E22" s="100">
        <v>24.651488760770086</v>
      </c>
      <c r="F22" s="100">
        <v>8.4481359996056806</v>
      </c>
      <c r="G22" s="100">
        <v>11.529193384217633</v>
      </c>
      <c r="H22" s="100">
        <v>5.0152538795059245</v>
      </c>
      <c r="I22" s="100">
        <v>74.467224589760221</v>
      </c>
      <c r="J22" s="100">
        <v>7.7299959690502806</v>
      </c>
      <c r="K22" s="100">
        <v>33.186909487033823</v>
      </c>
      <c r="L22" s="100">
        <v>2.3848463667445898</v>
      </c>
      <c r="M22" s="100">
        <v>2.7721721503113508</v>
      </c>
      <c r="N22" s="100">
        <v>8.3626793977129542E-3</v>
      </c>
      <c r="O22" s="100">
        <v>2.6568085540395314</v>
      </c>
      <c r="P22" s="100">
        <v>2.1885537954909426E-2</v>
      </c>
      <c r="Q22" s="100">
        <v>2.7926417787336009</v>
      </c>
      <c r="R22" s="100">
        <v>2.677134585927794</v>
      </c>
      <c r="S22" s="100" t="e">
        <v>#NUM!</v>
      </c>
      <c r="T22" s="100">
        <v>9.2895194541078502E-2</v>
      </c>
      <c r="U22" s="100">
        <v>0.23777731930971488</v>
      </c>
      <c r="V22" s="100">
        <v>9.4831448439867655E-2</v>
      </c>
      <c r="W22" s="100">
        <v>0.24507207941516118</v>
      </c>
      <c r="X22" s="100">
        <v>2.9763506440893719E-2</v>
      </c>
      <c r="Y22" s="100">
        <v>7.3411245723170335</v>
      </c>
      <c r="Z22" s="100">
        <v>10.22065479873368</v>
      </c>
      <c r="AA22" s="100">
        <v>21.865046810930963</v>
      </c>
      <c r="AB22" s="100">
        <v>35.685557380106488</v>
      </c>
      <c r="AC22" s="100">
        <v>146.33907143827221</v>
      </c>
      <c r="AD22" s="100">
        <v>139.44719123297304</v>
      </c>
      <c r="AE22" s="100">
        <v>18.728332753694499</v>
      </c>
      <c r="AF22" s="100">
        <v>12.987071976510725</v>
      </c>
      <c r="AG22" s="100" t="s">
        <v>605</v>
      </c>
      <c r="AH22" s="100">
        <v>65.665820637528014</v>
      </c>
      <c r="AI22" s="100">
        <v>18.717916804496145</v>
      </c>
      <c r="AJ22" s="100">
        <v>0.85658472599654867</v>
      </c>
      <c r="AK22" s="100">
        <v>0.98349762107192051</v>
      </c>
      <c r="AL22" s="100">
        <v>0.49133781472787824</v>
      </c>
      <c r="AM22" s="100">
        <v>1.5586413362744054</v>
      </c>
      <c r="AN22" s="100">
        <v>6.4111668422778063</v>
      </c>
      <c r="AO22" s="100">
        <v>1.4668918163412128</v>
      </c>
      <c r="AP22" s="100">
        <v>6.5245532017362722</v>
      </c>
      <c r="AQ22" s="100">
        <v>0.11323713482401965</v>
      </c>
      <c r="AR22" s="100">
        <v>7.8745335994212349</v>
      </c>
      <c r="AS22" s="100">
        <v>0.25260763698738425</v>
      </c>
      <c r="AT22" s="100">
        <v>4.330282140505533</v>
      </c>
      <c r="AU22" s="100">
        <v>0.14523592861811818</v>
      </c>
      <c r="AV22" s="100">
        <v>0.11329763889408496</v>
      </c>
      <c r="AW22" s="100">
        <v>2.0597671439071177E-2</v>
      </c>
      <c r="AX22" s="100">
        <v>2.4375302632518761</v>
      </c>
      <c r="AY22" s="100" t="s">
        <v>607</v>
      </c>
      <c r="AZ22" s="100">
        <v>5.4513922392110246E-2</v>
      </c>
      <c r="BA22" s="100">
        <v>0.13942552347942605</v>
      </c>
      <c r="BB22" s="100">
        <v>0.54786456798223171</v>
      </c>
      <c r="BC22" s="100">
        <v>0.27038127014029018</v>
      </c>
      <c r="BD22" s="100">
        <v>0.21031472204926979</v>
      </c>
      <c r="BE22" s="100">
        <v>0.2029310370508107</v>
      </c>
      <c r="BF22" s="100">
        <v>5.414955151532394E-2</v>
      </c>
      <c r="BG22" s="100">
        <v>0.19547789568155591</v>
      </c>
      <c r="BH22" s="100">
        <v>3.7142956270405661E-2</v>
      </c>
      <c r="BI22" s="100">
        <v>1.0969704675504083E-2</v>
      </c>
      <c r="BJ22" s="100">
        <v>2.9420142243447606E-2</v>
      </c>
      <c r="BK22" s="100">
        <v>1.1302372327235922E-2</v>
      </c>
      <c r="BL22" s="100">
        <v>2.0148546091314501E-2</v>
      </c>
      <c r="BM22" s="100">
        <v>1.1551571556899041E-2</v>
      </c>
      <c r="BN22" s="100">
        <v>1.2093229401084874E-2</v>
      </c>
      <c r="BO22" s="100">
        <v>4.5358663105321091E-3</v>
      </c>
      <c r="BP22" s="100">
        <v>3.1218512383520903E-2</v>
      </c>
      <c r="BQ22" s="100">
        <v>6.3245553203367588E-3</v>
      </c>
      <c r="BR22" s="100">
        <v>1.6E-2</v>
      </c>
      <c r="BS22" s="100" t="s">
        <v>612</v>
      </c>
      <c r="BT22" s="100">
        <v>0.43498351993514345</v>
      </c>
      <c r="BU22" s="100">
        <v>5.5312357372507226E-2</v>
      </c>
      <c r="BV22" s="100">
        <v>0.20724880448859828</v>
      </c>
      <c r="BW22" s="100" t="s">
        <v>605</v>
      </c>
      <c r="BX22" s="100" t="s">
        <v>91</v>
      </c>
      <c r="BY22" s="100">
        <v>8.905404492882199E-2</v>
      </c>
    </row>
    <row r="23" spans="1:77">
      <c r="B23" s="46" t="s">
        <v>703</v>
      </c>
      <c r="C23" s="312">
        <v>388.64615384615382</v>
      </c>
      <c r="D23" s="100">
        <v>7.7452307692307683</v>
      </c>
      <c r="E23" s="100">
        <v>31.784615384615385</v>
      </c>
      <c r="F23" s="100">
        <v>11.759461538461538</v>
      </c>
      <c r="G23" s="100">
        <v>14.723076923076926</v>
      </c>
      <c r="H23" s="100">
        <v>9.5676923076923082</v>
      </c>
      <c r="I23" s="100">
        <v>95.767692307692315</v>
      </c>
      <c r="J23" s="100">
        <v>10.408245008697772</v>
      </c>
      <c r="K23" s="100">
        <v>98.79290557638295</v>
      </c>
      <c r="L23" s="100">
        <v>6.1995393598680471</v>
      </c>
      <c r="M23" s="100">
        <v>3.4389338130769227</v>
      </c>
      <c r="N23" s="100">
        <v>1.1674713953846155E-2</v>
      </c>
      <c r="O23" s="100">
        <v>3.6733965672264355</v>
      </c>
      <c r="P23" s="100">
        <v>2.6958623794326498E-2</v>
      </c>
      <c r="Q23" s="100">
        <v>3.4506085270307687</v>
      </c>
      <c r="R23" s="100">
        <v>3.6982814507288899</v>
      </c>
      <c r="S23" s="100">
        <v>1.4091197858910733</v>
      </c>
      <c r="T23" s="100">
        <v>0.12242894804628734</v>
      </c>
      <c r="U23" s="100">
        <v>0.51860710109987729</v>
      </c>
      <c r="V23" s="100">
        <v>9.4831448439867655E-2</v>
      </c>
      <c r="W23" s="100">
        <v>0.28355143559228135</v>
      </c>
      <c r="X23" s="100">
        <v>3.6571428571428574E-2</v>
      </c>
      <c r="Y23" s="100">
        <v>26.213076923076926</v>
      </c>
      <c r="Z23" s="100">
        <v>14.718461538461538</v>
      </c>
      <c r="AA23" s="100">
        <v>31.487204769230775</v>
      </c>
      <c r="AB23" s="100">
        <v>47.93</v>
      </c>
      <c r="AC23" s="100">
        <v>175.6076923076923</v>
      </c>
      <c r="AD23" s="100">
        <v>385.04615384615386</v>
      </c>
      <c r="AE23" s="100">
        <v>109.89999999999999</v>
      </c>
      <c r="AF23" s="100">
        <v>16</v>
      </c>
      <c r="AG23" s="100" t="s">
        <v>605</v>
      </c>
      <c r="AH23" s="100">
        <v>66.5</v>
      </c>
      <c r="AI23" s="100">
        <v>40.846153846153854</v>
      </c>
      <c r="AJ23" s="100">
        <v>1.6800000000000002</v>
      </c>
      <c r="AK23" s="100">
        <v>2.9361538461538461</v>
      </c>
      <c r="AL23" s="100">
        <v>0.80333333333333334</v>
      </c>
      <c r="AM23" s="100">
        <v>9.1628461538461536</v>
      </c>
      <c r="AN23" s="100">
        <v>22.594615384615381</v>
      </c>
      <c r="AO23" s="100">
        <v>2.0384615384615383</v>
      </c>
      <c r="AP23" s="100">
        <v>20.76923076923077</v>
      </c>
      <c r="AQ23" s="100">
        <v>0.13</v>
      </c>
      <c r="AR23" s="100">
        <v>89.529230769230779</v>
      </c>
      <c r="AS23" s="100">
        <v>0.403076923076923</v>
      </c>
      <c r="AT23" s="100">
        <v>9.1730769230769216</v>
      </c>
      <c r="AU23" s="100">
        <v>0.31923076923076921</v>
      </c>
      <c r="AV23" s="100">
        <v>0.18333333333333335</v>
      </c>
      <c r="AW23" s="100">
        <v>3.2500000000000001E-2</v>
      </c>
      <c r="AX23" s="100">
        <v>4.8363636363636369</v>
      </c>
      <c r="AY23" s="100" t="s">
        <v>607</v>
      </c>
      <c r="AZ23" s="100">
        <v>0.26407692307692304</v>
      </c>
      <c r="BA23" s="100">
        <v>0.14636363636363636</v>
      </c>
      <c r="BB23" s="100">
        <v>1.5592307692307694</v>
      </c>
      <c r="BC23" s="100">
        <v>0.39555555555555555</v>
      </c>
      <c r="BD23" s="100">
        <v>0.59846153846153838</v>
      </c>
      <c r="BE23" s="100">
        <v>0.50476923076923075</v>
      </c>
      <c r="BF23" s="100">
        <v>0.11099999999999999</v>
      </c>
      <c r="BG23" s="100">
        <v>0.43858333333333333</v>
      </c>
      <c r="BH23" s="100">
        <v>6.720000000000001E-2</v>
      </c>
      <c r="BI23" s="100">
        <v>1.6555555555555559E-2</v>
      </c>
      <c r="BJ23" s="100">
        <v>5.6416666666666664E-2</v>
      </c>
      <c r="BK23" s="100">
        <v>1.2199999999999999E-2</v>
      </c>
      <c r="BL23" s="100">
        <v>3.4416666666666665E-2</v>
      </c>
      <c r="BM23" s="100">
        <v>1.3833333333333331E-2</v>
      </c>
      <c r="BN23" s="100">
        <v>1.9583333333333335E-2</v>
      </c>
      <c r="BO23" s="100">
        <v>4.6000000000000008E-3</v>
      </c>
      <c r="BP23" s="100">
        <v>3.2000000000000001E-2</v>
      </c>
      <c r="BQ23" s="100">
        <v>6.5000000000000006E-3</v>
      </c>
      <c r="BR23" s="100">
        <v>1.6E-2</v>
      </c>
      <c r="BS23" s="100" t="s">
        <v>612</v>
      </c>
      <c r="BT23" s="100">
        <v>0.87875000000000003</v>
      </c>
      <c r="BU23" s="100">
        <v>0.06</v>
      </c>
      <c r="BV23" s="100">
        <v>0.23692307692307693</v>
      </c>
      <c r="BW23" s="100" t="s">
        <v>605</v>
      </c>
      <c r="BX23" s="100" t="s">
        <v>91</v>
      </c>
      <c r="BY23" s="100">
        <v>0.23800000000000002</v>
      </c>
    </row>
    <row r="24" spans="1:77">
      <c r="C24" s="100"/>
      <c r="D24" s="100"/>
      <c r="E24" s="100"/>
      <c r="F24" s="100"/>
      <c r="G24" s="100"/>
      <c r="H24" s="100"/>
      <c r="I24" s="100"/>
      <c r="J24" s="100"/>
      <c r="K24" s="100"/>
      <c r="L24" s="100"/>
      <c r="M24" s="100"/>
      <c r="N24" s="100"/>
      <c r="O24" s="100"/>
      <c r="P24" s="100"/>
      <c r="Q24" s="100"/>
      <c r="R24" s="100"/>
      <c r="S24" s="100"/>
      <c r="T24" s="100"/>
      <c r="U24" s="100"/>
      <c r="V24" s="100"/>
      <c r="W24" s="100"/>
      <c r="X24" s="100"/>
      <c r="Y24" s="100"/>
      <c r="Z24" s="100"/>
      <c r="AA24" s="100"/>
      <c r="AB24" s="100"/>
      <c r="AC24" s="100"/>
      <c r="AD24" s="100"/>
      <c r="AE24" s="100"/>
      <c r="AF24" s="100"/>
      <c r="AG24" s="100"/>
      <c r="AH24" s="100"/>
      <c r="AI24" s="100"/>
      <c r="AJ24" s="100"/>
      <c r="AK24" s="100"/>
      <c r="AL24" s="100"/>
      <c r="AM24" s="100"/>
      <c r="AN24" s="100"/>
      <c r="AO24" s="304"/>
      <c r="AP24" s="100"/>
      <c r="AQ24" s="100"/>
      <c r="AR24" s="100"/>
      <c r="AS24" s="100"/>
      <c r="AT24" s="100"/>
      <c r="AU24" s="100"/>
      <c r="AV24" s="100"/>
      <c r="AW24" s="100"/>
      <c r="AX24" s="100"/>
      <c r="AY24" s="100"/>
      <c r="AZ24" s="100"/>
      <c r="BA24" s="100"/>
      <c r="BB24" s="100"/>
      <c r="BC24" s="100"/>
      <c r="BD24" s="100"/>
      <c r="BE24" s="100"/>
      <c r="BF24" s="100"/>
      <c r="BG24" s="100"/>
      <c r="BH24" s="100"/>
      <c r="BI24" s="100"/>
      <c r="BJ24" s="100"/>
      <c r="BK24" s="100"/>
      <c r="BL24" s="100"/>
      <c r="BM24" s="100"/>
      <c r="BN24" s="100"/>
      <c r="BO24" s="100"/>
      <c r="BP24" s="100"/>
      <c r="BQ24" s="100"/>
      <c r="BR24" s="100"/>
      <c r="BS24" s="100"/>
      <c r="BT24" s="100"/>
      <c r="BU24" s="100"/>
      <c r="BV24" s="100"/>
      <c r="BW24" s="100"/>
      <c r="BX24" s="100"/>
    </row>
    <row r="25" spans="1:77">
      <c r="A25" s="46" t="s">
        <v>755</v>
      </c>
      <c r="B25" s="46"/>
      <c r="C25" s="46" t="s">
        <v>481</v>
      </c>
      <c r="D25" s="46" t="s">
        <v>484</v>
      </c>
      <c r="E25" s="46" t="s">
        <v>12</v>
      </c>
      <c r="F25" s="46" t="s">
        <v>7</v>
      </c>
      <c r="G25" s="46" t="s">
        <v>6</v>
      </c>
      <c r="H25" s="46" t="s">
        <v>11</v>
      </c>
      <c r="I25" s="46" t="s">
        <v>729</v>
      </c>
      <c r="J25" s="46" t="s">
        <v>730</v>
      </c>
      <c r="K25" s="46" t="s">
        <v>731</v>
      </c>
      <c r="L25" s="46" t="s">
        <v>732</v>
      </c>
      <c r="M25" s="46" t="s">
        <v>486</v>
      </c>
      <c r="N25" s="46" t="s">
        <v>487</v>
      </c>
      <c r="O25" s="46" t="s">
        <v>488</v>
      </c>
      <c r="P25" s="46" t="s">
        <v>489</v>
      </c>
      <c r="Q25" s="46" t="s">
        <v>492</v>
      </c>
      <c r="R25" s="46" t="s">
        <v>493</v>
      </c>
      <c r="S25" s="46" t="s">
        <v>733</v>
      </c>
      <c r="T25" s="46" t="s">
        <v>734</v>
      </c>
      <c r="U25" s="46" t="s">
        <v>735</v>
      </c>
      <c r="V25" s="46" t="s">
        <v>736</v>
      </c>
      <c r="W25" s="46" t="s">
        <v>504</v>
      </c>
      <c r="X25" s="46" t="s">
        <v>505</v>
      </c>
      <c r="Y25" s="46" t="s">
        <v>508</v>
      </c>
      <c r="Z25" s="46" t="s">
        <v>737</v>
      </c>
      <c r="AA25" s="46" t="s">
        <v>36</v>
      </c>
      <c r="AB25" s="46" t="s">
        <v>26</v>
      </c>
      <c r="AC25" s="46" t="s">
        <v>16</v>
      </c>
      <c r="AD25" s="46" t="s">
        <v>509</v>
      </c>
      <c r="AE25" s="46" t="s">
        <v>4</v>
      </c>
      <c r="AF25" s="46" t="s">
        <v>5</v>
      </c>
      <c r="AG25" s="46" t="s">
        <v>512</v>
      </c>
      <c r="AH25" s="46" t="s">
        <v>8</v>
      </c>
      <c r="AI25" s="46" t="s">
        <v>13</v>
      </c>
      <c r="AJ25" s="46" t="s">
        <v>14</v>
      </c>
      <c r="AK25" s="46" t="s">
        <v>15</v>
      </c>
      <c r="AL25" s="46" t="s">
        <v>18</v>
      </c>
      <c r="AM25" s="46" t="s">
        <v>19</v>
      </c>
      <c r="AN25" s="46" t="s">
        <v>20</v>
      </c>
      <c r="AO25" s="46" t="s">
        <v>21</v>
      </c>
      <c r="AP25" s="46" t="s">
        <v>22</v>
      </c>
      <c r="AQ25" s="46" t="s">
        <v>23</v>
      </c>
      <c r="AR25" s="46" t="s">
        <v>24</v>
      </c>
      <c r="AS25" s="46" t="s">
        <v>25</v>
      </c>
      <c r="AT25" s="46" t="s">
        <v>27</v>
      </c>
      <c r="AU25" s="46" t="s">
        <v>28</v>
      </c>
      <c r="AV25" s="46" t="s">
        <v>29</v>
      </c>
      <c r="AW25" s="46" t="s">
        <v>30</v>
      </c>
      <c r="AX25" s="46" t="s">
        <v>31</v>
      </c>
      <c r="AY25" s="46" t="s">
        <v>32</v>
      </c>
      <c r="AZ25" s="46" t="s">
        <v>33</v>
      </c>
      <c r="BA25" s="46" t="s">
        <v>34</v>
      </c>
      <c r="BB25" s="46" t="s">
        <v>35</v>
      </c>
      <c r="BC25" s="46" t="s">
        <v>37</v>
      </c>
      <c r="BD25" s="46" t="s">
        <v>38</v>
      </c>
      <c r="BE25" s="46" t="s">
        <v>39</v>
      </c>
      <c r="BF25" s="46" t="s">
        <v>40</v>
      </c>
      <c r="BG25" s="46" t="s">
        <v>41</v>
      </c>
      <c r="BH25" s="46" t="s">
        <v>42</v>
      </c>
      <c r="BI25" s="46" t="s">
        <v>43</v>
      </c>
      <c r="BJ25" s="46" t="s">
        <v>44</v>
      </c>
      <c r="BK25" s="46" t="s">
        <v>45</v>
      </c>
      <c r="BL25" s="46" t="s">
        <v>46</v>
      </c>
      <c r="BM25" s="46" t="s">
        <v>47</v>
      </c>
      <c r="BN25" s="46" t="s">
        <v>48</v>
      </c>
      <c r="BO25" s="46" t="s">
        <v>49</v>
      </c>
      <c r="BP25" s="46" t="s">
        <v>50</v>
      </c>
      <c r="BQ25" s="46" t="s">
        <v>51</v>
      </c>
      <c r="BR25" s="46" t="s">
        <v>52</v>
      </c>
      <c r="BS25" s="46" t="s">
        <v>53</v>
      </c>
      <c r="BT25" s="46" t="s">
        <v>54</v>
      </c>
      <c r="BU25" s="46" t="s">
        <v>55</v>
      </c>
      <c r="BV25" s="46" t="s">
        <v>56</v>
      </c>
      <c r="BW25" s="46" t="s">
        <v>57</v>
      </c>
      <c r="BX25" s="46" t="s">
        <v>58</v>
      </c>
    </row>
    <row r="26" spans="1:77">
      <c r="B26" s="46" t="s">
        <v>697</v>
      </c>
      <c r="C26" s="312">
        <v>118.9</v>
      </c>
      <c r="D26" s="100">
        <v>7.7309999999999999</v>
      </c>
      <c r="E26" s="100">
        <v>7.7</v>
      </c>
      <c r="F26" s="100">
        <v>2.9129999999999998</v>
      </c>
      <c r="G26" s="100">
        <v>4.9000000000000004</v>
      </c>
      <c r="H26" s="100">
        <v>1.53</v>
      </c>
      <c r="I26" s="100">
        <v>68.75</v>
      </c>
      <c r="J26" s="100">
        <v>1.7942284571076308</v>
      </c>
      <c r="K26" s="100">
        <v>1.3281496487772046</v>
      </c>
      <c r="L26" s="100">
        <v>6.0328195564643305E-2</v>
      </c>
      <c r="M26" s="100">
        <v>0.89208777000000006</v>
      </c>
      <c r="N26" s="100">
        <v>2.2437896599999996E-2</v>
      </c>
      <c r="O26" s="100">
        <v>1.1784997622924562</v>
      </c>
      <c r="P26" s="100">
        <v>1.1103673981748753E-2</v>
      </c>
      <c r="Q26" s="100">
        <v>0.94239897700000008</v>
      </c>
      <c r="R26" s="100">
        <v>1.189603436274205</v>
      </c>
      <c r="S26" s="100">
        <v>3.2863181419154966E-2</v>
      </c>
      <c r="T26" s="100">
        <v>5.6665030401274984E-2</v>
      </c>
      <c r="U26" s="100">
        <v>9.4831448439867655E-2</v>
      </c>
      <c r="V26" s="100">
        <v>0.17971749979971913</v>
      </c>
      <c r="W26" s="100">
        <v>1.4999999999999999E-2</v>
      </c>
      <c r="X26" s="100">
        <v>0.13</v>
      </c>
      <c r="Y26" s="100">
        <v>8.23</v>
      </c>
      <c r="Z26" s="100">
        <v>17.606439000000002</v>
      </c>
      <c r="AA26" s="100">
        <v>39.200000000000003</v>
      </c>
      <c r="AB26" s="100">
        <v>83.7</v>
      </c>
      <c r="AC26" s="100">
        <v>22.2</v>
      </c>
      <c r="AD26" s="100">
        <v>370.4</v>
      </c>
      <c r="AE26" s="100" t="s">
        <v>604</v>
      </c>
      <c r="AF26" s="100" t="s">
        <v>605</v>
      </c>
      <c r="AG26" s="100" t="s">
        <v>614</v>
      </c>
      <c r="AH26" s="100">
        <v>8.6</v>
      </c>
      <c r="AI26" s="100">
        <v>6.1</v>
      </c>
      <c r="AJ26" s="100">
        <v>0.23</v>
      </c>
      <c r="AK26" s="100">
        <v>0.13</v>
      </c>
      <c r="AL26" s="100">
        <v>0.621</v>
      </c>
      <c r="AM26" s="100">
        <v>1.33</v>
      </c>
      <c r="AN26" s="100">
        <v>0.5</v>
      </c>
      <c r="AO26" s="100">
        <v>4.7</v>
      </c>
      <c r="AP26" s="100" t="s">
        <v>607</v>
      </c>
      <c r="AQ26" s="100">
        <v>0.89</v>
      </c>
      <c r="AR26" s="100">
        <v>0.09</v>
      </c>
      <c r="AS26" s="100">
        <v>5.41</v>
      </c>
      <c r="AT26" s="100">
        <v>8.6999999999999994E-2</v>
      </c>
      <c r="AU26" s="100">
        <v>0.48</v>
      </c>
      <c r="AV26" s="100">
        <v>0.09</v>
      </c>
      <c r="AW26" s="100">
        <v>0.5</v>
      </c>
      <c r="AX26" s="100" t="s">
        <v>607</v>
      </c>
      <c r="AY26" s="100">
        <v>1.4E-2</v>
      </c>
      <c r="AZ26" s="100">
        <v>0.11</v>
      </c>
      <c r="BA26" s="100">
        <v>0.17</v>
      </c>
      <c r="BB26" s="100">
        <v>7.0000000000000007E-2</v>
      </c>
      <c r="BC26" s="100">
        <v>0.19</v>
      </c>
      <c r="BD26" s="100">
        <v>0.34200000000000003</v>
      </c>
      <c r="BE26" s="100">
        <v>4.4999999999999998E-2</v>
      </c>
      <c r="BF26" s="100">
        <v>0.14199999999999999</v>
      </c>
      <c r="BG26" s="100">
        <v>0.02</v>
      </c>
      <c r="BH26" s="100">
        <v>5.0000000000000001E-3</v>
      </c>
      <c r="BI26" s="100">
        <v>1.6E-2</v>
      </c>
      <c r="BJ26" s="100">
        <v>8.9999999999999993E-3</v>
      </c>
      <c r="BK26" s="100">
        <v>0.01</v>
      </c>
      <c r="BL26" s="100">
        <v>1.0999999999999999E-2</v>
      </c>
      <c r="BM26" s="100">
        <v>5.0000000000000001E-3</v>
      </c>
      <c r="BN26" s="100">
        <v>4.0000000000000001E-3</v>
      </c>
      <c r="BO26" s="100">
        <v>2.5999999999999999E-2</v>
      </c>
      <c r="BP26" s="100" t="s">
        <v>609</v>
      </c>
      <c r="BQ26" s="100">
        <v>1.6E-2</v>
      </c>
      <c r="BR26" s="100" t="s">
        <v>612</v>
      </c>
      <c r="BS26" s="100" t="s">
        <v>615</v>
      </c>
      <c r="BT26" s="100">
        <v>0.05</v>
      </c>
      <c r="BU26" s="100">
        <v>0.17</v>
      </c>
      <c r="BV26" s="100" t="s">
        <v>605</v>
      </c>
      <c r="BW26" s="100" t="s">
        <v>91</v>
      </c>
      <c r="BX26" s="100">
        <v>1.2999999999999999E-2</v>
      </c>
    </row>
    <row r="27" spans="1:77">
      <c r="B27" s="46" t="s">
        <v>698</v>
      </c>
      <c r="C27" s="312">
        <v>156.5</v>
      </c>
      <c r="D27" s="100">
        <v>7.8330000000000002</v>
      </c>
      <c r="E27" s="100">
        <v>8.8000000000000007</v>
      </c>
      <c r="F27" s="100">
        <v>11.042999999999999</v>
      </c>
      <c r="G27" s="100">
        <v>6.7</v>
      </c>
      <c r="H27" s="100">
        <v>2.15</v>
      </c>
      <c r="I27" s="100">
        <v>93.57</v>
      </c>
      <c r="J27" s="100">
        <v>3.5817941165537412</v>
      </c>
      <c r="K27" s="100">
        <v>1.3281496487772046</v>
      </c>
      <c r="L27" s="100">
        <v>6.6464818192810166E-2</v>
      </c>
      <c r="M27" s="100">
        <v>1.6784358699999999</v>
      </c>
      <c r="N27" s="100">
        <v>5.0311207000000004E-2</v>
      </c>
      <c r="O27" s="100">
        <v>1.6632798815099799</v>
      </c>
      <c r="P27" s="100">
        <v>1.4567012838787471E-2</v>
      </c>
      <c r="Q27" s="100">
        <v>1.7008737666</v>
      </c>
      <c r="R27" s="100">
        <v>1.6778468943487672</v>
      </c>
      <c r="S27" s="100">
        <v>4.8677736573131174E-2</v>
      </c>
      <c r="T27" s="100">
        <v>5.6665030401274984E-2</v>
      </c>
      <c r="U27" s="100">
        <v>9.4831448439867655E-2</v>
      </c>
      <c r="V27" s="100">
        <v>0.22760790637167602</v>
      </c>
      <c r="W27" s="100">
        <v>4.2999999999999997E-2</v>
      </c>
      <c r="X27" s="100">
        <v>0.69</v>
      </c>
      <c r="Y27" s="100">
        <v>21.28</v>
      </c>
      <c r="Z27" s="100">
        <v>45.524304000000001</v>
      </c>
      <c r="AA27" s="100">
        <v>43.21</v>
      </c>
      <c r="AB27" s="100">
        <v>101.7</v>
      </c>
      <c r="AC27" s="100">
        <v>787.6</v>
      </c>
      <c r="AD27" s="100">
        <v>882.7</v>
      </c>
      <c r="AE27" s="100" t="s">
        <v>604</v>
      </c>
      <c r="AF27" s="100" t="s">
        <v>605</v>
      </c>
      <c r="AG27" s="100" t="s">
        <v>614</v>
      </c>
      <c r="AH27" s="100">
        <v>230.7</v>
      </c>
      <c r="AI27" s="100">
        <v>6.1</v>
      </c>
      <c r="AJ27" s="100">
        <v>4.37</v>
      </c>
      <c r="AK27" s="100">
        <v>2.95</v>
      </c>
      <c r="AL27" s="100">
        <v>2.3119999999999998</v>
      </c>
      <c r="AM27" s="100">
        <v>5.87</v>
      </c>
      <c r="AN27" s="100">
        <v>4.3</v>
      </c>
      <c r="AO27" s="100">
        <v>6.3</v>
      </c>
      <c r="AP27" s="100" t="s">
        <v>607</v>
      </c>
      <c r="AQ27" s="100">
        <v>3.13</v>
      </c>
      <c r="AR27" s="100">
        <v>0.15</v>
      </c>
      <c r="AS27" s="100">
        <v>5.89</v>
      </c>
      <c r="AT27" s="100">
        <v>0.31</v>
      </c>
      <c r="AU27" s="100">
        <v>0.48</v>
      </c>
      <c r="AV27" s="100">
        <v>0.09</v>
      </c>
      <c r="AW27" s="100">
        <v>0.7</v>
      </c>
      <c r="AX27" s="100" t="s">
        <v>607</v>
      </c>
      <c r="AY27" s="100">
        <v>3.9E-2</v>
      </c>
      <c r="AZ27" s="100">
        <v>0.11</v>
      </c>
      <c r="BA27" s="100">
        <v>0.25</v>
      </c>
      <c r="BB27" s="100">
        <v>7.0000000000000007E-2</v>
      </c>
      <c r="BC27" s="100">
        <v>0.60699999999999998</v>
      </c>
      <c r="BD27" s="100">
        <v>1.6419999999999999</v>
      </c>
      <c r="BE27" s="100">
        <v>0.13300000000000001</v>
      </c>
      <c r="BF27" s="100">
        <v>0.49299999999999999</v>
      </c>
      <c r="BG27" s="100">
        <v>9.7000000000000003E-2</v>
      </c>
      <c r="BH27" s="100">
        <v>1.7999999999999999E-2</v>
      </c>
      <c r="BI27" s="100">
        <v>6.8000000000000005E-2</v>
      </c>
      <c r="BJ27" s="100">
        <v>8.9999999999999993E-3</v>
      </c>
      <c r="BK27" s="100">
        <v>6.0999999999999999E-2</v>
      </c>
      <c r="BL27" s="100">
        <v>1.0999999999999999E-2</v>
      </c>
      <c r="BM27" s="100">
        <v>2.9000000000000001E-2</v>
      </c>
      <c r="BN27" s="100">
        <v>4.0000000000000001E-3</v>
      </c>
      <c r="BO27" s="100">
        <v>2.5999999999999999E-2</v>
      </c>
      <c r="BP27" s="100" t="s">
        <v>609</v>
      </c>
      <c r="BQ27" s="100">
        <v>1.6E-2</v>
      </c>
      <c r="BR27" s="100" t="s">
        <v>612</v>
      </c>
      <c r="BS27" s="100" t="s">
        <v>615</v>
      </c>
      <c r="BT27" s="100">
        <v>0.05</v>
      </c>
      <c r="BU27" s="100">
        <v>0.33</v>
      </c>
      <c r="BV27" s="100" t="s">
        <v>605</v>
      </c>
      <c r="BW27" s="100" t="s">
        <v>91</v>
      </c>
      <c r="BX27" s="100">
        <v>7.2999999999999995E-2</v>
      </c>
    </row>
    <row r="28" spans="1:77">
      <c r="B28" s="46" t="s">
        <v>699</v>
      </c>
      <c r="C28" s="312">
        <v>128.30000000000001</v>
      </c>
      <c r="D28" s="100">
        <v>7.7565</v>
      </c>
      <c r="E28" s="100">
        <v>7.9750000000000005</v>
      </c>
      <c r="F28" s="100">
        <v>4.9454999999999991</v>
      </c>
      <c r="G28" s="100">
        <v>5.3500000000000005</v>
      </c>
      <c r="H28" s="100">
        <v>1.6850000000000001</v>
      </c>
      <c r="I28" s="100">
        <v>74.954999999999998</v>
      </c>
      <c r="J28" s="100">
        <v>2.2411198719691585</v>
      </c>
      <c r="K28" s="100">
        <v>1.3281496487772046</v>
      </c>
      <c r="L28" s="100">
        <v>6.186235122168502E-2</v>
      </c>
      <c r="M28" s="100">
        <v>1.088674795</v>
      </c>
      <c r="N28" s="100">
        <v>2.9406224199999997E-2</v>
      </c>
      <c r="O28" s="100">
        <v>1.2996947920968371</v>
      </c>
      <c r="P28" s="100">
        <v>1.1969508696008432E-2</v>
      </c>
      <c r="Q28" s="100">
        <v>1.1320176744000001</v>
      </c>
      <c r="R28" s="100">
        <v>1.3116643007928455</v>
      </c>
      <c r="S28" s="100">
        <v>3.6816820207649016E-2</v>
      </c>
      <c r="T28" s="100">
        <v>5.6665030401274984E-2</v>
      </c>
      <c r="U28" s="100">
        <v>9.4831448439867655E-2</v>
      </c>
      <c r="V28" s="100">
        <v>0.19169010144270834</v>
      </c>
      <c r="W28" s="100">
        <v>2.1999999999999999E-2</v>
      </c>
      <c r="X28" s="100">
        <v>0.27</v>
      </c>
      <c r="Y28" s="100">
        <v>11.4925</v>
      </c>
      <c r="Z28" s="100">
        <v>24.585905250000003</v>
      </c>
      <c r="AA28" s="100">
        <v>40.202500000000001</v>
      </c>
      <c r="AB28" s="100">
        <v>88.2</v>
      </c>
      <c r="AC28" s="100">
        <v>213.54999999999998</v>
      </c>
      <c r="AD28" s="100">
        <v>498.47500000000002</v>
      </c>
      <c r="AE28" s="100" t="s">
        <v>604</v>
      </c>
      <c r="AF28" s="100" t="s">
        <v>605</v>
      </c>
      <c r="AG28" s="100" t="s">
        <v>614</v>
      </c>
      <c r="AH28" s="100">
        <v>64.125</v>
      </c>
      <c r="AI28" s="100">
        <v>6.1</v>
      </c>
      <c r="AJ28" s="100">
        <v>1.2649999999999999</v>
      </c>
      <c r="AK28" s="100">
        <v>0.83500000000000008</v>
      </c>
      <c r="AL28" s="100">
        <v>1.04375</v>
      </c>
      <c r="AM28" s="100">
        <v>2.4649999999999999</v>
      </c>
      <c r="AN28" s="100">
        <v>1.45</v>
      </c>
      <c r="AO28" s="100">
        <v>5.0999999999999996</v>
      </c>
      <c r="AP28" s="100" t="s">
        <v>607</v>
      </c>
      <c r="AQ28" s="100">
        <v>1.45</v>
      </c>
      <c r="AR28" s="100">
        <v>0.105</v>
      </c>
      <c r="AS28" s="100">
        <v>5.53</v>
      </c>
      <c r="AT28" s="100">
        <v>0.14274999999999999</v>
      </c>
      <c r="AU28" s="100">
        <v>0.48</v>
      </c>
      <c r="AV28" s="100">
        <v>0.09</v>
      </c>
      <c r="AW28" s="100">
        <v>0.55000000000000004</v>
      </c>
      <c r="AX28" s="100" t="s">
        <v>607</v>
      </c>
      <c r="AY28" s="100">
        <v>2.0250000000000001E-2</v>
      </c>
      <c r="AZ28" s="100">
        <v>0.11</v>
      </c>
      <c r="BA28" s="100">
        <v>0.19</v>
      </c>
      <c r="BB28" s="100">
        <v>7.0000000000000007E-2</v>
      </c>
      <c r="BC28" s="100">
        <v>0.29425000000000001</v>
      </c>
      <c r="BD28" s="100">
        <v>0.66700000000000004</v>
      </c>
      <c r="BE28" s="100">
        <v>6.7000000000000004E-2</v>
      </c>
      <c r="BF28" s="100">
        <v>0.22974999999999998</v>
      </c>
      <c r="BG28" s="100">
        <v>3.925E-2</v>
      </c>
      <c r="BH28" s="100">
        <v>8.2500000000000004E-3</v>
      </c>
      <c r="BI28" s="100">
        <v>2.9000000000000001E-2</v>
      </c>
      <c r="BJ28" s="100">
        <v>8.9999999999999993E-3</v>
      </c>
      <c r="BK28" s="100">
        <v>2.2749999999999999E-2</v>
      </c>
      <c r="BL28" s="100">
        <v>1.0999999999999999E-2</v>
      </c>
      <c r="BM28" s="100">
        <v>1.0999999999999999E-2</v>
      </c>
      <c r="BN28" s="100">
        <v>4.0000000000000001E-3</v>
      </c>
      <c r="BO28" s="100">
        <v>2.5999999999999999E-2</v>
      </c>
      <c r="BP28" s="100" t="s">
        <v>609</v>
      </c>
      <c r="BQ28" s="100">
        <v>1.6E-2</v>
      </c>
      <c r="BR28" s="100" t="s">
        <v>612</v>
      </c>
      <c r="BS28" s="100" t="s">
        <v>615</v>
      </c>
      <c r="BT28" s="100">
        <v>0.05</v>
      </c>
      <c r="BU28" s="100">
        <v>0.21000000000000002</v>
      </c>
      <c r="BV28" s="100" t="s">
        <v>605</v>
      </c>
      <c r="BW28" s="100" t="s">
        <v>91</v>
      </c>
      <c r="BX28" s="100">
        <v>2.7999999999999997E-2</v>
      </c>
    </row>
    <row r="29" spans="1:77">
      <c r="B29" s="46" t="s">
        <v>700</v>
      </c>
      <c r="C29" s="312">
        <v>137.69999999999999</v>
      </c>
      <c r="D29" s="100">
        <v>7.782</v>
      </c>
      <c r="E29" s="100">
        <v>8.25</v>
      </c>
      <c r="F29" s="100">
        <v>6.9779999999999998</v>
      </c>
      <c r="G29" s="100">
        <v>5.8000000000000007</v>
      </c>
      <c r="H29" s="100">
        <v>1.8399999999999999</v>
      </c>
      <c r="I29" s="100">
        <v>81.16</v>
      </c>
      <c r="J29" s="100">
        <v>2.6880112868306858</v>
      </c>
      <c r="K29" s="100">
        <v>1.3281496487772046</v>
      </c>
      <c r="L29" s="100">
        <v>6.3396506878726736E-2</v>
      </c>
      <c r="M29" s="100">
        <v>1.2852618200000001</v>
      </c>
      <c r="N29" s="100">
        <v>3.6374551800000002E-2</v>
      </c>
      <c r="O29" s="100">
        <v>1.420889821901218</v>
      </c>
      <c r="P29" s="100">
        <v>1.2835343410268112E-2</v>
      </c>
      <c r="Q29" s="100">
        <v>1.3216363717999999</v>
      </c>
      <c r="R29" s="100">
        <v>1.4337251653114862</v>
      </c>
      <c r="S29" s="100">
        <v>4.0770458996143066E-2</v>
      </c>
      <c r="T29" s="100">
        <v>5.6665030401274984E-2</v>
      </c>
      <c r="U29" s="100">
        <v>9.4831448439867655E-2</v>
      </c>
      <c r="V29" s="100">
        <v>0.20366270308569756</v>
      </c>
      <c r="W29" s="100">
        <v>2.8999999999999998E-2</v>
      </c>
      <c r="X29" s="100">
        <v>0.41</v>
      </c>
      <c r="Y29" s="100">
        <v>14.755000000000001</v>
      </c>
      <c r="Z29" s="100">
        <v>31.565371500000001</v>
      </c>
      <c r="AA29" s="100">
        <v>41.204999999999998</v>
      </c>
      <c r="AB29" s="100">
        <v>92.7</v>
      </c>
      <c r="AC29" s="100">
        <v>404.9</v>
      </c>
      <c r="AD29" s="100">
        <v>626.54999999999995</v>
      </c>
      <c r="AE29" s="100" t="s">
        <v>604</v>
      </c>
      <c r="AF29" s="100" t="s">
        <v>605</v>
      </c>
      <c r="AG29" s="100" t="s">
        <v>614</v>
      </c>
      <c r="AH29" s="100">
        <v>119.64999999999999</v>
      </c>
      <c r="AI29" s="100">
        <v>6.1</v>
      </c>
      <c r="AJ29" s="100">
        <v>2.2999999999999998</v>
      </c>
      <c r="AK29" s="100">
        <v>1.54</v>
      </c>
      <c r="AL29" s="100">
        <v>1.4664999999999999</v>
      </c>
      <c r="AM29" s="100">
        <v>3.6</v>
      </c>
      <c r="AN29" s="100">
        <v>2.4</v>
      </c>
      <c r="AO29" s="100">
        <v>5.5</v>
      </c>
      <c r="AP29" s="100" t="s">
        <v>607</v>
      </c>
      <c r="AQ29" s="100">
        <v>2.0099999999999998</v>
      </c>
      <c r="AR29" s="100">
        <v>0.12</v>
      </c>
      <c r="AS29" s="100">
        <v>5.65</v>
      </c>
      <c r="AT29" s="100">
        <v>0.19850000000000001</v>
      </c>
      <c r="AU29" s="100">
        <v>0.48</v>
      </c>
      <c r="AV29" s="100">
        <v>0.09</v>
      </c>
      <c r="AW29" s="100">
        <v>0.6</v>
      </c>
      <c r="AX29" s="100" t="s">
        <v>607</v>
      </c>
      <c r="AY29" s="100">
        <v>2.6500000000000003E-2</v>
      </c>
      <c r="AZ29" s="100">
        <v>0.11</v>
      </c>
      <c r="BA29" s="100">
        <v>0.21000000000000002</v>
      </c>
      <c r="BB29" s="100">
        <v>7.0000000000000007E-2</v>
      </c>
      <c r="BC29" s="100">
        <v>0.39849999999999997</v>
      </c>
      <c r="BD29" s="100">
        <v>0.99199999999999999</v>
      </c>
      <c r="BE29" s="100">
        <v>8.8999999999999996E-2</v>
      </c>
      <c r="BF29" s="100">
        <v>0.3175</v>
      </c>
      <c r="BG29" s="100">
        <v>5.8499999999999996E-2</v>
      </c>
      <c r="BH29" s="100">
        <v>1.15E-2</v>
      </c>
      <c r="BI29" s="100">
        <v>4.2000000000000003E-2</v>
      </c>
      <c r="BJ29" s="100">
        <v>8.9999999999999993E-3</v>
      </c>
      <c r="BK29" s="100">
        <v>3.5499999999999997E-2</v>
      </c>
      <c r="BL29" s="100">
        <v>1.0999999999999999E-2</v>
      </c>
      <c r="BM29" s="100">
        <v>1.7000000000000001E-2</v>
      </c>
      <c r="BN29" s="100">
        <v>4.0000000000000001E-3</v>
      </c>
      <c r="BO29" s="100">
        <v>2.5999999999999999E-2</v>
      </c>
      <c r="BP29" s="100" t="s">
        <v>609</v>
      </c>
      <c r="BQ29" s="100">
        <v>1.6E-2</v>
      </c>
      <c r="BR29" s="100" t="s">
        <v>612</v>
      </c>
      <c r="BS29" s="100" t="s">
        <v>615</v>
      </c>
      <c r="BT29" s="100">
        <v>0.05</v>
      </c>
      <c r="BU29" s="100">
        <v>0.25</v>
      </c>
      <c r="BV29" s="100" t="s">
        <v>605</v>
      </c>
      <c r="BW29" s="100" t="s">
        <v>91</v>
      </c>
      <c r="BX29" s="100">
        <v>4.2999999999999997E-2</v>
      </c>
    </row>
    <row r="30" spans="1:77">
      <c r="B30" s="46" t="s">
        <v>701</v>
      </c>
      <c r="C30" s="312">
        <v>154.62</v>
      </c>
      <c r="D30" s="100">
        <v>7.8279000000000005</v>
      </c>
      <c r="E30" s="100">
        <v>8.745000000000001</v>
      </c>
      <c r="F30" s="100">
        <v>10.636499999999998</v>
      </c>
      <c r="G30" s="100">
        <v>6.61</v>
      </c>
      <c r="H30" s="100">
        <v>2.1189999999999998</v>
      </c>
      <c r="I30" s="100">
        <v>92.328999999999994</v>
      </c>
      <c r="J30" s="100">
        <v>3.4924158335814357</v>
      </c>
      <c r="K30" s="100">
        <v>1.3281496487772046</v>
      </c>
      <c r="L30" s="100">
        <v>6.6157987061401829E-2</v>
      </c>
      <c r="M30" s="100">
        <v>1.6391184649999999</v>
      </c>
      <c r="N30" s="100">
        <v>4.8917541480000007E-2</v>
      </c>
      <c r="O30" s="100">
        <v>1.6390408755491037</v>
      </c>
      <c r="P30" s="100">
        <v>1.4393845895935535E-2</v>
      </c>
      <c r="Q30" s="100">
        <v>1.66295002712</v>
      </c>
      <c r="R30" s="100">
        <v>1.6534347214450391</v>
      </c>
      <c r="S30" s="100">
        <v>4.7887008815432362E-2</v>
      </c>
      <c r="T30" s="100">
        <v>5.6665030401274984E-2</v>
      </c>
      <c r="U30" s="100">
        <v>9.4831448439867655E-2</v>
      </c>
      <c r="V30" s="100">
        <v>0.22521338604307817</v>
      </c>
      <c r="W30" s="100">
        <v>4.1599999999999998E-2</v>
      </c>
      <c r="X30" s="100">
        <v>0.66199999999999992</v>
      </c>
      <c r="Y30" s="100">
        <v>20.627500000000001</v>
      </c>
      <c r="Z30" s="100">
        <v>44.12841075</v>
      </c>
      <c r="AA30" s="100">
        <v>43.009500000000003</v>
      </c>
      <c r="AB30" s="100">
        <v>100.8</v>
      </c>
      <c r="AC30" s="100">
        <v>749.33</v>
      </c>
      <c r="AD30" s="100">
        <v>857.08500000000004</v>
      </c>
      <c r="AE30" s="100" t="s">
        <v>604</v>
      </c>
      <c r="AF30" s="100" t="s">
        <v>605</v>
      </c>
      <c r="AG30" s="100" t="s">
        <v>614</v>
      </c>
      <c r="AH30" s="100">
        <v>219.59499999999997</v>
      </c>
      <c r="AI30" s="100">
        <v>6.1</v>
      </c>
      <c r="AJ30" s="100">
        <v>4.1629999999999994</v>
      </c>
      <c r="AK30" s="100">
        <v>2.8090000000000002</v>
      </c>
      <c r="AL30" s="100">
        <v>2.2274499999999997</v>
      </c>
      <c r="AM30" s="100">
        <v>5.6429999999999998</v>
      </c>
      <c r="AN30" s="100">
        <v>4.1099999999999994</v>
      </c>
      <c r="AO30" s="100">
        <v>6.22</v>
      </c>
      <c r="AP30" s="100" t="s">
        <v>607</v>
      </c>
      <c r="AQ30" s="100">
        <v>3.0179999999999998</v>
      </c>
      <c r="AR30" s="100">
        <v>0.14699999999999999</v>
      </c>
      <c r="AS30" s="100">
        <v>5.8659999999999997</v>
      </c>
      <c r="AT30" s="100">
        <v>0.29884999999999995</v>
      </c>
      <c r="AU30" s="100">
        <v>0.48</v>
      </c>
      <c r="AV30" s="100">
        <v>0.09</v>
      </c>
      <c r="AW30" s="100">
        <v>0.69</v>
      </c>
      <c r="AX30" s="100" t="s">
        <v>607</v>
      </c>
      <c r="AY30" s="100">
        <v>3.7749999999999999E-2</v>
      </c>
      <c r="AZ30" s="100">
        <v>0.11</v>
      </c>
      <c r="BA30" s="100">
        <v>0.246</v>
      </c>
      <c r="BB30" s="100">
        <v>7.0000000000000007E-2</v>
      </c>
      <c r="BC30" s="100">
        <v>0.58614999999999995</v>
      </c>
      <c r="BD30" s="100">
        <v>1.577</v>
      </c>
      <c r="BE30" s="100">
        <v>0.12859999999999999</v>
      </c>
      <c r="BF30" s="100">
        <v>0.47544999999999993</v>
      </c>
      <c r="BG30" s="100">
        <v>9.3149999999999997E-2</v>
      </c>
      <c r="BH30" s="100">
        <v>1.7349999999999997E-2</v>
      </c>
      <c r="BI30" s="100">
        <v>6.54E-2</v>
      </c>
      <c r="BJ30" s="100">
        <v>8.9999999999999993E-3</v>
      </c>
      <c r="BK30" s="100">
        <v>5.8449999999999995E-2</v>
      </c>
      <c r="BL30" s="100">
        <v>1.0999999999999999E-2</v>
      </c>
      <c r="BM30" s="100">
        <v>2.7800000000000002E-2</v>
      </c>
      <c r="BN30" s="100">
        <v>4.0000000000000001E-3</v>
      </c>
      <c r="BO30" s="100">
        <v>2.5999999999999999E-2</v>
      </c>
      <c r="BP30" s="100" t="s">
        <v>609</v>
      </c>
      <c r="BQ30" s="100">
        <v>1.6E-2</v>
      </c>
      <c r="BR30" s="100" t="s">
        <v>612</v>
      </c>
      <c r="BS30" s="100" t="s">
        <v>615</v>
      </c>
      <c r="BT30" s="100">
        <v>0.05</v>
      </c>
      <c r="BU30" s="100">
        <v>0.32200000000000001</v>
      </c>
      <c r="BV30" s="100" t="s">
        <v>605</v>
      </c>
      <c r="BW30" s="100" t="s">
        <v>91</v>
      </c>
      <c r="BX30" s="100">
        <v>6.9999999999999993E-2</v>
      </c>
    </row>
    <row r="31" spans="1:77">
      <c r="B31" s="46" t="s">
        <v>702</v>
      </c>
      <c r="C31" s="312">
        <v>136.41059343027581</v>
      </c>
      <c r="D31" s="100">
        <v>7.7818328817830578</v>
      </c>
      <c r="E31" s="100">
        <v>8.2316462509026707</v>
      </c>
      <c r="F31" s="100">
        <v>5.6717068859383062</v>
      </c>
      <c r="G31" s="100">
        <v>5.7297469403107151</v>
      </c>
      <c r="H31" s="100">
        <v>1.8136978800230208</v>
      </c>
      <c r="I31" s="100">
        <v>80.205595191358057</v>
      </c>
      <c r="J31" s="100">
        <v>2.5350654688629657</v>
      </c>
      <c r="K31" s="100">
        <v>1.3281496487772046</v>
      </c>
      <c r="L31" s="100">
        <v>6.3322212138429868E-2</v>
      </c>
      <c r="M31" s="100">
        <v>1.22364705383387</v>
      </c>
      <c r="N31" s="100">
        <v>3.3598774687288765E-2</v>
      </c>
      <c r="O31" s="100">
        <v>1.4000624789577556</v>
      </c>
      <c r="P31" s="100">
        <v>1.2717993609443453E-2</v>
      </c>
      <c r="Q31" s="100">
        <v>1.2660575412081305</v>
      </c>
      <c r="R31" s="100">
        <v>1.4127888841080596</v>
      </c>
      <c r="S31" s="100">
        <v>3.9996315931303532E-2</v>
      </c>
      <c r="T31" s="100">
        <v>5.6665030401274984E-2</v>
      </c>
      <c r="U31" s="100">
        <v>9.4831448439867655E-2</v>
      </c>
      <c r="V31" s="100">
        <v>0.20225015171259125</v>
      </c>
      <c r="W31" s="100">
        <v>2.5396850198400586E-2</v>
      </c>
      <c r="X31" s="100">
        <v>0.29949958263743875</v>
      </c>
      <c r="Y31" s="100">
        <v>13.233835422884782</v>
      </c>
      <c r="Z31" s="100">
        <v>28.311144120177413</v>
      </c>
      <c r="AA31" s="100">
        <v>41.15619029988077</v>
      </c>
      <c r="AB31" s="100">
        <v>92.26207238080012</v>
      </c>
      <c r="AC31" s="100">
        <v>132.22979996959839</v>
      </c>
      <c r="AD31" s="100">
        <v>571.79723678940593</v>
      </c>
      <c r="AE31" s="100" t="s">
        <v>604</v>
      </c>
      <c r="AF31" s="100" t="s">
        <v>605</v>
      </c>
      <c r="AG31" s="100" t="s">
        <v>614</v>
      </c>
      <c r="AH31" s="100">
        <v>44.542339408701913</v>
      </c>
      <c r="AI31" s="100">
        <v>6.1</v>
      </c>
      <c r="AJ31" s="100">
        <v>1.0025467570143549</v>
      </c>
      <c r="AK31" s="100">
        <v>0.61927376821564151</v>
      </c>
      <c r="AL31" s="100">
        <v>1.1982286926960144</v>
      </c>
      <c r="AM31" s="100">
        <v>2.7941188235291641</v>
      </c>
      <c r="AN31" s="100">
        <v>1.4662878298615181</v>
      </c>
      <c r="AO31" s="100">
        <v>5.4415071441651159</v>
      </c>
      <c r="AP31" s="100" t="s">
        <v>607</v>
      </c>
      <c r="AQ31" s="100">
        <v>1.6690416411821485</v>
      </c>
      <c r="AR31" s="100">
        <v>0.1161895003862225</v>
      </c>
      <c r="AS31" s="100">
        <v>5.6449003534163467</v>
      </c>
      <c r="AT31" s="100">
        <v>0.16422545478700917</v>
      </c>
      <c r="AU31" s="100">
        <v>0.48</v>
      </c>
      <c r="AV31" s="100">
        <v>0.09</v>
      </c>
      <c r="AW31" s="100">
        <v>0.59160797830996159</v>
      </c>
      <c r="AX31" s="100" t="s">
        <v>607</v>
      </c>
      <c r="AY31" s="100">
        <v>2.3366642891095846E-2</v>
      </c>
      <c r="AZ31" s="100">
        <v>0.11</v>
      </c>
      <c r="BA31" s="100">
        <v>0.20615528128088303</v>
      </c>
      <c r="BB31" s="100">
        <v>7.0000000000000007E-2</v>
      </c>
      <c r="BC31" s="100">
        <v>0.33960270905868817</v>
      </c>
      <c r="BD31" s="100">
        <v>0.74937574019980124</v>
      </c>
      <c r="BE31" s="100">
        <v>7.7362781749365755E-2</v>
      </c>
      <c r="BF31" s="100">
        <v>0.26458646979768258</v>
      </c>
      <c r="BG31" s="100">
        <v>4.4045431091090485E-2</v>
      </c>
      <c r="BH31" s="100">
        <v>9.4868329805051377E-3</v>
      </c>
      <c r="BI31" s="100">
        <v>3.2984845004941289E-2</v>
      </c>
      <c r="BJ31" s="100">
        <v>8.9999999999999993E-3</v>
      </c>
      <c r="BK31" s="100">
        <v>2.4698178070456937E-2</v>
      </c>
      <c r="BL31" s="100">
        <v>1.0999999999999999E-2</v>
      </c>
      <c r="BM31" s="100">
        <v>1.2041594578792296E-2</v>
      </c>
      <c r="BN31" s="100">
        <v>4.0000000000000001E-3</v>
      </c>
      <c r="BO31" s="100">
        <v>2.5999999999999999E-2</v>
      </c>
      <c r="BP31" s="100" t="s">
        <v>609</v>
      </c>
      <c r="BQ31" s="100">
        <v>1.6E-2</v>
      </c>
      <c r="BR31" s="100" t="s">
        <v>612</v>
      </c>
      <c r="BS31" s="100" t="s">
        <v>615</v>
      </c>
      <c r="BT31" s="100">
        <v>0.05</v>
      </c>
      <c r="BU31" s="100">
        <v>0.23685438564654024</v>
      </c>
      <c r="BV31" s="100" t="s">
        <v>605</v>
      </c>
      <c r="BW31" s="100" t="s">
        <v>91</v>
      </c>
      <c r="BX31" s="100">
        <v>3.0805843601498725E-2</v>
      </c>
    </row>
    <row r="32" spans="1:77">
      <c r="B32" s="46" t="s">
        <v>703</v>
      </c>
      <c r="C32" s="312">
        <v>137.69999999999999</v>
      </c>
      <c r="D32" s="100">
        <v>7.782</v>
      </c>
      <c r="E32" s="100">
        <v>8.25</v>
      </c>
      <c r="F32" s="100">
        <v>6.9779999999999998</v>
      </c>
      <c r="G32" s="100">
        <v>5.8000000000000007</v>
      </c>
      <c r="H32" s="100">
        <v>1.8399999999999999</v>
      </c>
      <c r="I32" s="100">
        <v>81.16</v>
      </c>
      <c r="J32" s="100">
        <v>2.6880112868306858</v>
      </c>
      <c r="K32" s="100">
        <v>1.3281496487772046</v>
      </c>
      <c r="L32" s="100">
        <v>6.3396506878726736E-2</v>
      </c>
      <c r="M32" s="100">
        <v>1.2852618200000001</v>
      </c>
      <c r="N32" s="100">
        <v>3.6374551800000002E-2</v>
      </c>
      <c r="O32" s="100">
        <v>1.420889821901218</v>
      </c>
      <c r="P32" s="100">
        <v>1.2835343410268112E-2</v>
      </c>
      <c r="Q32" s="100">
        <v>1.3216363717999999</v>
      </c>
      <c r="R32" s="100">
        <v>1.4337251653114862</v>
      </c>
      <c r="S32" s="100">
        <v>4.0770458996143066E-2</v>
      </c>
      <c r="T32" s="100">
        <v>5.6665030401274984E-2</v>
      </c>
      <c r="U32" s="100">
        <v>9.4831448439867655E-2</v>
      </c>
      <c r="V32" s="100">
        <v>0.20366270308569756</v>
      </c>
      <c r="W32" s="100">
        <v>2.8999999999999998E-2</v>
      </c>
      <c r="X32" s="100">
        <v>0.41</v>
      </c>
      <c r="Y32" s="100">
        <v>14.755000000000001</v>
      </c>
      <c r="Z32" s="100">
        <v>31.565371500000001</v>
      </c>
      <c r="AA32" s="100">
        <v>41.204999999999998</v>
      </c>
      <c r="AB32" s="100">
        <v>92.7</v>
      </c>
      <c r="AC32" s="100">
        <v>404.90000000000003</v>
      </c>
      <c r="AD32" s="100">
        <v>626.54999999999995</v>
      </c>
      <c r="AE32" s="100" t="s">
        <v>604</v>
      </c>
      <c r="AF32" s="100" t="s">
        <v>605</v>
      </c>
      <c r="AG32" s="100" t="s">
        <v>614</v>
      </c>
      <c r="AH32" s="100">
        <v>119.64999999999999</v>
      </c>
      <c r="AI32" s="100">
        <v>6.1</v>
      </c>
      <c r="AJ32" s="100">
        <v>2.3000000000000003</v>
      </c>
      <c r="AK32" s="100">
        <v>1.54</v>
      </c>
      <c r="AL32" s="100">
        <v>1.4664999999999999</v>
      </c>
      <c r="AM32" s="100">
        <v>3.6</v>
      </c>
      <c r="AN32" s="100">
        <v>2.4</v>
      </c>
      <c r="AO32" s="100">
        <v>5.5</v>
      </c>
      <c r="AP32" s="100" t="s">
        <v>607</v>
      </c>
      <c r="AQ32" s="100">
        <v>2.0099999999999998</v>
      </c>
      <c r="AR32" s="100">
        <v>0.12</v>
      </c>
      <c r="AS32" s="100">
        <v>5.65</v>
      </c>
      <c r="AT32" s="100">
        <v>0.19850000000000001</v>
      </c>
      <c r="AU32" s="100">
        <v>0.48</v>
      </c>
      <c r="AV32" s="100">
        <v>0.09</v>
      </c>
      <c r="AW32" s="100">
        <v>0.6</v>
      </c>
      <c r="AX32" s="100" t="s">
        <v>607</v>
      </c>
      <c r="AY32" s="100">
        <v>2.6499999999999999E-2</v>
      </c>
      <c r="AZ32" s="100">
        <v>0.11</v>
      </c>
      <c r="BA32" s="100">
        <v>0.21000000000000002</v>
      </c>
      <c r="BB32" s="100">
        <v>7.0000000000000007E-2</v>
      </c>
      <c r="BC32" s="100">
        <v>0.39849999999999997</v>
      </c>
      <c r="BD32" s="100">
        <v>0.99199999999999999</v>
      </c>
      <c r="BE32" s="100">
        <v>8.8999999999999996E-2</v>
      </c>
      <c r="BF32" s="100">
        <v>0.3175</v>
      </c>
      <c r="BG32" s="100">
        <v>5.8500000000000003E-2</v>
      </c>
      <c r="BH32" s="100">
        <v>1.15E-2</v>
      </c>
      <c r="BI32" s="100">
        <v>4.2000000000000003E-2</v>
      </c>
      <c r="BJ32" s="100">
        <v>8.9999999999999993E-3</v>
      </c>
      <c r="BK32" s="100">
        <v>3.5499999999999997E-2</v>
      </c>
      <c r="BL32" s="100">
        <v>1.0999999999999999E-2</v>
      </c>
      <c r="BM32" s="100">
        <v>1.7000000000000001E-2</v>
      </c>
      <c r="BN32" s="100">
        <v>4.0000000000000001E-3</v>
      </c>
      <c r="BO32" s="100">
        <v>2.5999999999999999E-2</v>
      </c>
      <c r="BP32" s="100" t="s">
        <v>609</v>
      </c>
      <c r="BQ32" s="100">
        <v>1.6E-2</v>
      </c>
      <c r="BR32" s="100" t="s">
        <v>612</v>
      </c>
      <c r="BS32" s="100" t="s">
        <v>615</v>
      </c>
      <c r="BT32" s="100">
        <v>0.05</v>
      </c>
      <c r="BU32" s="100">
        <v>0.25</v>
      </c>
      <c r="BV32" s="100" t="s">
        <v>605</v>
      </c>
      <c r="BW32" s="100" t="s">
        <v>91</v>
      </c>
      <c r="BX32" s="100">
        <v>4.2999999999999997E-2</v>
      </c>
    </row>
  </sheetData>
  <mergeCells count="2">
    <mergeCell ref="A6:A12"/>
    <mergeCell ref="A14:F14"/>
  </mergeCells>
  <phoneticPr fontId="22"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O25"/>
  <sheetViews>
    <sheetView workbookViewId="0"/>
  </sheetViews>
  <sheetFormatPr defaultColWidth="9.140625" defaultRowHeight="15.75"/>
  <cols>
    <col min="1" max="1" width="17.85546875" style="105" bestFit="1" customWidth="1"/>
    <col min="2" max="2" width="6.5703125" style="105" bestFit="1" customWidth="1"/>
    <col min="3" max="3" width="51.7109375" style="104" bestFit="1" customWidth="1"/>
    <col min="4" max="4" width="28.42578125" style="104" bestFit="1" customWidth="1"/>
    <col min="5" max="6" width="34.42578125" style="104" bestFit="1" customWidth="1"/>
    <col min="7" max="7" width="76.28515625" style="104" bestFit="1" customWidth="1"/>
    <col min="8" max="16384" width="9.140625" style="104"/>
  </cols>
  <sheetData>
    <row r="1" spans="1:15" s="113" customFormat="1">
      <c r="A1" s="107" t="s">
        <v>893</v>
      </c>
      <c r="B1" s="108"/>
      <c r="C1" s="108"/>
      <c r="D1" s="108"/>
      <c r="E1" s="108"/>
      <c r="F1" s="108"/>
      <c r="G1" s="108"/>
      <c r="H1" s="108"/>
      <c r="I1" s="108"/>
      <c r="J1" s="108"/>
      <c r="K1" s="108"/>
      <c r="L1" s="108"/>
      <c r="M1" s="108"/>
      <c r="N1" s="108"/>
      <c r="O1" s="108"/>
    </row>
    <row r="2" spans="1:15" s="109" customFormat="1">
      <c r="A2" s="109" t="s">
        <v>756</v>
      </c>
      <c r="B2" s="109" t="s">
        <v>757</v>
      </c>
      <c r="C2" s="109" t="s">
        <v>758</v>
      </c>
      <c r="D2" s="109" t="s">
        <v>759</v>
      </c>
      <c r="E2" s="109" t="s">
        <v>760</v>
      </c>
      <c r="G2" s="109" t="s">
        <v>761</v>
      </c>
    </row>
    <row r="3" spans="1:15" s="109" customFormat="1">
      <c r="E3" s="109" t="s">
        <v>762</v>
      </c>
      <c r="F3" s="109" t="s">
        <v>763</v>
      </c>
    </row>
    <row r="4" spans="1:15" s="110" customFormat="1">
      <c r="A4" s="109" t="s">
        <v>764</v>
      </c>
      <c r="B4" s="109" t="s">
        <v>765</v>
      </c>
      <c r="C4" s="110" t="s">
        <v>766</v>
      </c>
      <c r="D4" s="110" t="s">
        <v>767</v>
      </c>
      <c r="E4" s="110" t="s">
        <v>768</v>
      </c>
      <c r="F4" s="110" t="s">
        <v>768</v>
      </c>
      <c r="G4" s="110" t="s">
        <v>769</v>
      </c>
    </row>
    <row r="5" spans="1:15" s="110" customFormat="1">
      <c r="A5" s="109"/>
      <c r="B5" s="109" t="s">
        <v>770</v>
      </c>
      <c r="C5" s="110" t="s">
        <v>771</v>
      </c>
      <c r="D5" s="110" t="s">
        <v>772</v>
      </c>
      <c r="E5" s="110">
        <v>350</v>
      </c>
      <c r="F5" s="110">
        <v>350</v>
      </c>
      <c r="G5" s="110" t="s">
        <v>773</v>
      </c>
    </row>
    <row r="6" spans="1:15" s="110" customFormat="1">
      <c r="A6" s="109"/>
      <c r="B6" s="109" t="s">
        <v>774</v>
      </c>
      <c r="C6" s="110" t="s">
        <v>775</v>
      </c>
      <c r="D6" s="110" t="s">
        <v>776</v>
      </c>
      <c r="E6" s="110">
        <v>6</v>
      </c>
      <c r="F6" s="110">
        <v>30</v>
      </c>
      <c r="G6" s="110" t="s">
        <v>777</v>
      </c>
    </row>
    <row r="7" spans="1:15" s="110" customFormat="1">
      <c r="A7" s="109"/>
      <c r="B7" s="109" t="s">
        <v>778</v>
      </c>
      <c r="C7" s="110" t="s">
        <v>779</v>
      </c>
      <c r="D7" s="110" t="s">
        <v>780</v>
      </c>
      <c r="E7" s="110" t="s">
        <v>781</v>
      </c>
      <c r="F7" s="110" t="s">
        <v>782</v>
      </c>
    </row>
    <row r="8" spans="1:15" s="110" customFormat="1">
      <c r="A8" s="109"/>
      <c r="B8" s="109"/>
      <c r="C8" s="110" t="s">
        <v>783</v>
      </c>
      <c r="D8" s="110" t="s">
        <v>780</v>
      </c>
      <c r="E8" s="110" t="s">
        <v>784</v>
      </c>
      <c r="F8" s="110" t="s">
        <v>785</v>
      </c>
    </row>
    <row r="9" spans="1:15" s="110" customFormat="1">
      <c r="A9" s="109"/>
      <c r="B9" s="109" t="s">
        <v>786</v>
      </c>
      <c r="C9" s="110" t="s">
        <v>787</v>
      </c>
      <c r="D9" s="110" t="s">
        <v>788</v>
      </c>
      <c r="E9" s="110">
        <v>15</v>
      </c>
      <c r="F9" s="110">
        <v>70</v>
      </c>
      <c r="G9" s="110" t="s">
        <v>789</v>
      </c>
    </row>
    <row r="10" spans="1:15" s="110" customFormat="1" ht="16.5" thickBot="1">
      <c r="A10" s="109"/>
      <c r="B10" s="109" t="s">
        <v>790</v>
      </c>
      <c r="C10" s="110" t="s">
        <v>791</v>
      </c>
      <c r="D10" s="110" t="s">
        <v>834</v>
      </c>
      <c r="E10" s="110" t="s">
        <v>768</v>
      </c>
      <c r="F10" s="110" t="s">
        <v>768</v>
      </c>
      <c r="G10" s="110" t="s">
        <v>773</v>
      </c>
    </row>
    <row r="11" spans="1:15" s="110" customFormat="1" ht="16.5" thickBot="1">
      <c r="A11" s="109" t="s">
        <v>792</v>
      </c>
      <c r="B11" s="111" t="s">
        <v>793</v>
      </c>
      <c r="C11" s="110" t="s">
        <v>794</v>
      </c>
      <c r="D11" s="110" t="s">
        <v>795</v>
      </c>
      <c r="E11" s="110">
        <v>200</v>
      </c>
      <c r="F11" s="110">
        <v>100</v>
      </c>
      <c r="G11" s="110" t="s">
        <v>796</v>
      </c>
    </row>
    <row r="12" spans="1:15" s="110" customFormat="1">
      <c r="A12" s="109"/>
      <c r="B12" s="109"/>
      <c r="C12" s="110" t="s">
        <v>797</v>
      </c>
      <c r="D12" s="110" t="s">
        <v>798</v>
      </c>
      <c r="E12" s="110">
        <v>0.78</v>
      </c>
      <c r="F12" s="110">
        <v>1.488</v>
      </c>
      <c r="G12" s="110" t="s">
        <v>799</v>
      </c>
    </row>
    <row r="13" spans="1:15" s="110" customFormat="1">
      <c r="A13" s="109"/>
      <c r="B13" s="109" t="s">
        <v>800</v>
      </c>
      <c r="C13" s="110" t="s">
        <v>801</v>
      </c>
      <c r="D13" s="110" t="s">
        <v>802</v>
      </c>
      <c r="E13" s="110" t="s">
        <v>835</v>
      </c>
      <c r="F13" s="110" t="s">
        <v>835</v>
      </c>
      <c r="G13" s="110" t="s">
        <v>803</v>
      </c>
    </row>
    <row r="14" spans="1:15" s="110" customFormat="1">
      <c r="A14" s="109"/>
      <c r="B14" s="109"/>
      <c r="C14" s="110" t="s">
        <v>804</v>
      </c>
      <c r="D14" s="110" t="s">
        <v>836</v>
      </c>
      <c r="E14" s="110" t="s">
        <v>837</v>
      </c>
      <c r="F14" s="110" t="s">
        <v>837</v>
      </c>
    </row>
    <row r="15" spans="1:15" s="110" customFormat="1">
      <c r="A15" s="109" t="s">
        <v>805</v>
      </c>
      <c r="B15" s="109" t="s">
        <v>806</v>
      </c>
      <c r="C15" s="110" t="s">
        <v>807</v>
      </c>
      <c r="D15" s="110" t="s">
        <v>838</v>
      </c>
      <c r="E15" s="114">
        <v>2800</v>
      </c>
      <c r="F15" s="114">
        <v>5700</v>
      </c>
    </row>
    <row r="16" spans="1:15" s="110" customFormat="1">
      <c r="A16" s="109"/>
      <c r="B16" s="109" t="s">
        <v>808</v>
      </c>
      <c r="C16" s="110" t="s">
        <v>809</v>
      </c>
      <c r="D16" s="110" t="s">
        <v>810</v>
      </c>
      <c r="E16" s="110">
        <v>0.61</v>
      </c>
      <c r="F16" s="110">
        <v>0.61</v>
      </c>
      <c r="G16" s="110" t="s">
        <v>811</v>
      </c>
    </row>
    <row r="17" spans="1:7" s="110" customFormat="1">
      <c r="A17" s="109"/>
      <c r="B17" s="109" t="s">
        <v>812</v>
      </c>
      <c r="C17" s="110" t="s">
        <v>813</v>
      </c>
      <c r="D17" s="110" t="s">
        <v>839</v>
      </c>
      <c r="E17" s="110">
        <v>7.0000000000000007E-2</v>
      </c>
      <c r="F17" s="110">
        <v>0.2</v>
      </c>
    </row>
    <row r="18" spans="1:7" s="110" customFormat="1">
      <c r="A18" s="109"/>
      <c r="B18" s="109" t="s">
        <v>814</v>
      </c>
      <c r="C18" s="110" t="s">
        <v>815</v>
      </c>
      <c r="D18" s="110" t="s">
        <v>810</v>
      </c>
      <c r="E18" s="110" t="s">
        <v>816</v>
      </c>
      <c r="F18" s="110" t="s">
        <v>816</v>
      </c>
      <c r="G18" s="110" t="s">
        <v>818</v>
      </c>
    </row>
    <row r="19" spans="1:7" s="110" customFormat="1">
      <c r="A19" s="109"/>
      <c r="B19" s="109"/>
      <c r="E19" s="110" t="s">
        <v>817</v>
      </c>
      <c r="F19" s="110" t="s">
        <v>817</v>
      </c>
    </row>
    <row r="20" spans="1:7" s="110" customFormat="1">
      <c r="A20" s="109"/>
      <c r="B20" s="112" t="s">
        <v>819</v>
      </c>
      <c r="C20" s="110" t="s">
        <v>820</v>
      </c>
      <c r="D20" s="110" t="s">
        <v>822</v>
      </c>
      <c r="E20" s="110" t="s">
        <v>840</v>
      </c>
      <c r="F20" s="110" t="s">
        <v>840</v>
      </c>
      <c r="G20" s="110" t="s">
        <v>818</v>
      </c>
    </row>
    <row r="21" spans="1:7" s="110" customFormat="1">
      <c r="A21" s="109"/>
      <c r="B21" s="109"/>
      <c r="C21" s="110" t="s">
        <v>821</v>
      </c>
    </row>
    <row r="22" spans="1:7" s="110" customFormat="1">
      <c r="A22" s="109"/>
      <c r="B22" s="109" t="s">
        <v>823</v>
      </c>
      <c r="C22" s="110" t="s">
        <v>824</v>
      </c>
      <c r="D22" s="110" t="s">
        <v>826</v>
      </c>
      <c r="E22" s="110">
        <v>0.57999999999999996</v>
      </c>
      <c r="F22" s="110">
        <v>0.57999999999999996</v>
      </c>
      <c r="G22" s="110" t="s">
        <v>818</v>
      </c>
    </row>
    <row r="23" spans="1:7" s="110" customFormat="1">
      <c r="A23" s="109"/>
      <c r="B23" s="109"/>
      <c r="C23" s="110" t="s">
        <v>825</v>
      </c>
    </row>
    <row r="24" spans="1:7" s="110" customFormat="1">
      <c r="A24" s="109" t="s">
        <v>827</v>
      </c>
      <c r="B24" s="112" t="s">
        <v>828</v>
      </c>
      <c r="C24" s="110" t="s">
        <v>829</v>
      </c>
      <c r="D24" s="110" t="s">
        <v>841</v>
      </c>
      <c r="E24" s="110">
        <v>7.6</v>
      </c>
      <c r="F24" s="110">
        <v>20</v>
      </c>
      <c r="G24" s="110" t="s">
        <v>830</v>
      </c>
    </row>
    <row r="25" spans="1:7" s="110" customFormat="1">
      <c r="A25" s="109"/>
      <c r="B25" s="109" t="s">
        <v>831</v>
      </c>
      <c r="C25" s="110" t="s">
        <v>832</v>
      </c>
      <c r="D25" s="110" t="s">
        <v>842</v>
      </c>
      <c r="E25" s="110" t="s">
        <v>843</v>
      </c>
      <c r="F25" s="110" t="s">
        <v>843</v>
      </c>
      <c r="G25" s="110" t="s">
        <v>833</v>
      </c>
    </row>
  </sheetData>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J11"/>
  <sheetViews>
    <sheetView workbookViewId="0">
      <selection activeCell="D16" sqref="D16"/>
    </sheetView>
  </sheetViews>
  <sheetFormatPr defaultColWidth="9.140625" defaultRowHeight="15.75"/>
  <cols>
    <col min="1" max="1" width="16.140625" style="34" customWidth="1"/>
    <col min="2" max="2" width="23.5703125" style="34" customWidth="1"/>
    <col min="3" max="3" width="14" style="34" customWidth="1"/>
    <col min="4" max="4" width="9.28515625" style="34" bestFit="1" customWidth="1"/>
    <col min="5" max="5" width="13" style="34" customWidth="1"/>
    <col min="6" max="6" width="9.140625" style="34"/>
    <col min="7" max="7" width="12.7109375" style="34" customWidth="1"/>
    <col min="8" max="8" width="9.5703125" style="34" bestFit="1" customWidth="1"/>
    <col min="9" max="9" width="13.42578125" style="34" customWidth="1"/>
    <col min="10" max="16384" width="9.140625" style="34"/>
  </cols>
  <sheetData>
    <row r="1" spans="1:10" ht="16.5" thickBot="1">
      <c r="A1" s="120" t="s">
        <v>853</v>
      </c>
    </row>
    <row r="2" spans="1:10" ht="22.5" customHeight="1" thickBot="1">
      <c r="A2" s="397" t="s">
        <v>844</v>
      </c>
      <c r="B2" s="397" t="s">
        <v>854</v>
      </c>
      <c r="C2" s="399" t="s">
        <v>845</v>
      </c>
      <c r="D2" s="399"/>
      <c r="E2" s="399"/>
      <c r="F2" s="121"/>
      <c r="G2" s="399" t="s">
        <v>846</v>
      </c>
      <c r="H2" s="399"/>
      <c r="I2" s="399"/>
      <c r="J2" s="399"/>
    </row>
    <row r="3" spans="1:10" ht="16.5" thickBot="1">
      <c r="A3" s="398"/>
      <c r="B3" s="398"/>
      <c r="C3" s="122" t="s">
        <v>792</v>
      </c>
      <c r="D3" s="122" t="s">
        <v>805</v>
      </c>
      <c r="E3" s="122" t="s">
        <v>827</v>
      </c>
      <c r="F3" s="122" t="s">
        <v>847</v>
      </c>
      <c r="G3" s="122" t="s">
        <v>792</v>
      </c>
      <c r="H3" s="123" t="s">
        <v>805</v>
      </c>
      <c r="I3" s="123" t="s">
        <v>827</v>
      </c>
      <c r="J3" s="123" t="s">
        <v>847</v>
      </c>
    </row>
    <row r="4" spans="1:10" ht="18.75" thickTop="1">
      <c r="A4" s="124" t="s">
        <v>23</v>
      </c>
      <c r="B4" s="125" t="s">
        <v>848</v>
      </c>
      <c r="C4" s="126">
        <v>2.9999999999999997E-4</v>
      </c>
      <c r="D4" s="126">
        <v>2.9999999999999997E-4</v>
      </c>
      <c r="E4" s="126">
        <v>2.9999999999999997E-4</v>
      </c>
      <c r="F4" s="125" t="s">
        <v>855</v>
      </c>
      <c r="G4" s="126">
        <v>1.5</v>
      </c>
      <c r="H4" s="126">
        <v>3.66</v>
      </c>
      <c r="I4" s="126">
        <v>15.1</v>
      </c>
      <c r="J4" s="125" t="s">
        <v>849</v>
      </c>
    </row>
    <row r="5" spans="1:10">
      <c r="A5" s="124" t="s">
        <v>55</v>
      </c>
      <c r="B5" s="125" t="s">
        <v>850</v>
      </c>
      <c r="C5" s="126">
        <v>3.5999999999999999E-3</v>
      </c>
      <c r="D5" s="126">
        <v>3.5000000000000001E-3</v>
      </c>
      <c r="E5" s="126">
        <v>3.5200000000000001E-3</v>
      </c>
      <c r="F5" s="125" t="s">
        <v>849</v>
      </c>
      <c r="G5" s="126">
        <v>8.5000000000000006E-3</v>
      </c>
      <c r="H5" s="126">
        <v>8.4999999999999999E-6</v>
      </c>
      <c r="I5" s="126">
        <v>4.2000000000000003E-2</v>
      </c>
      <c r="J5" s="125" t="s">
        <v>849</v>
      </c>
    </row>
    <row r="6" spans="1:10">
      <c r="A6" s="124" t="s">
        <v>3</v>
      </c>
      <c r="B6" s="125" t="s">
        <v>851</v>
      </c>
      <c r="C6" s="126">
        <v>2.9999999999999997E-4</v>
      </c>
      <c r="D6" s="126">
        <v>2.9999999999999997E-4</v>
      </c>
      <c r="E6" s="126">
        <v>8.6000000000000003E-5</v>
      </c>
      <c r="F6" s="125" t="s">
        <v>849</v>
      </c>
      <c r="G6" s="125" t="s">
        <v>852</v>
      </c>
      <c r="H6" s="125" t="s">
        <v>852</v>
      </c>
      <c r="I6" s="125" t="s">
        <v>852</v>
      </c>
      <c r="J6" s="125" t="s">
        <v>849</v>
      </c>
    </row>
    <row r="7" spans="1:10">
      <c r="A7" s="124" t="s">
        <v>15</v>
      </c>
      <c r="B7" s="125" t="s">
        <v>848</v>
      </c>
      <c r="C7" s="126">
        <v>3.0000000000000001E-3</v>
      </c>
      <c r="D7" s="126">
        <v>5.0000000000000001E-3</v>
      </c>
      <c r="E7" s="126">
        <v>3.0000000000000001E-5</v>
      </c>
      <c r="F7" s="125" t="s">
        <v>849</v>
      </c>
      <c r="G7" s="126">
        <v>0.5</v>
      </c>
      <c r="H7" s="126">
        <v>20</v>
      </c>
      <c r="I7" s="126">
        <v>41</v>
      </c>
      <c r="J7" s="125" t="s">
        <v>849</v>
      </c>
    </row>
    <row r="8" spans="1:10">
      <c r="A8" s="124" t="s">
        <v>32</v>
      </c>
      <c r="B8" s="125" t="s">
        <v>848</v>
      </c>
      <c r="C8" s="126">
        <v>5.0000000000000001E-4</v>
      </c>
      <c r="D8" s="126">
        <v>5.0000000000000001E-4</v>
      </c>
      <c r="E8" s="126">
        <v>5.7000000000000003E-5</v>
      </c>
      <c r="F8" s="125" t="s">
        <v>849</v>
      </c>
      <c r="G8" s="126">
        <v>0.501</v>
      </c>
      <c r="H8" s="126">
        <v>20</v>
      </c>
      <c r="I8" s="126">
        <v>6.3</v>
      </c>
      <c r="J8" s="125" t="s">
        <v>849</v>
      </c>
    </row>
    <row r="9" spans="1:10" ht="16.5" thickBot="1">
      <c r="A9" s="127" t="s">
        <v>19</v>
      </c>
      <c r="B9" s="128" t="s">
        <v>848</v>
      </c>
      <c r="C9" s="129">
        <v>0.02</v>
      </c>
      <c r="D9" s="129">
        <v>5.5999999999999999E-3</v>
      </c>
      <c r="E9" s="129">
        <v>2.06E-2</v>
      </c>
      <c r="F9" s="128" t="s">
        <v>849</v>
      </c>
      <c r="G9" s="129">
        <v>1.7</v>
      </c>
      <c r="H9" s="129">
        <v>42.5</v>
      </c>
      <c r="I9" s="129">
        <v>0.91</v>
      </c>
      <c r="J9" s="128" t="s">
        <v>849</v>
      </c>
    </row>
    <row r="10" spans="1:10" s="115" customFormat="1">
      <c r="A10" s="103" t="s">
        <v>856</v>
      </c>
      <c r="B10" s="34"/>
      <c r="C10" s="34"/>
      <c r="D10" s="34"/>
      <c r="E10" s="34"/>
      <c r="F10" s="34"/>
      <c r="G10" s="34"/>
      <c r="H10" s="34"/>
      <c r="I10" s="34"/>
    </row>
    <row r="11" spans="1:10">
      <c r="A11" s="103" t="s">
        <v>857</v>
      </c>
    </row>
  </sheetData>
  <mergeCells count="4">
    <mergeCell ref="A2:A3"/>
    <mergeCell ref="B2:B3"/>
    <mergeCell ref="C2:E2"/>
    <mergeCell ref="G2:J2"/>
  </mergeCells>
  <pageMargins left="0.7" right="0.7" top="0.75" bottom="0.75" header="0.3" footer="0.3"/>
  <pageSetup paperSize="9"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HY170"/>
  <sheetViews>
    <sheetView zoomScale="107" workbookViewId="0"/>
  </sheetViews>
  <sheetFormatPr defaultColWidth="9.140625" defaultRowHeight="15.75"/>
  <cols>
    <col min="1" max="1" width="9.140625" style="46"/>
    <col min="2" max="2" width="9.140625" style="35"/>
    <col min="3" max="5" width="9.28515625" style="35" bestFit="1" customWidth="1"/>
    <col min="6" max="6" width="9.28515625" style="46" bestFit="1" customWidth="1"/>
    <col min="7" max="14" width="9.28515625" style="35" bestFit="1" customWidth="1"/>
    <col min="15" max="15" width="11.140625" style="35" bestFit="1" customWidth="1"/>
    <col min="16" max="16" width="9.42578125" style="35" bestFit="1" customWidth="1"/>
    <col min="17" max="17" width="10.140625" style="35" bestFit="1" customWidth="1"/>
    <col min="18" max="20" width="9.42578125" style="35" bestFit="1" customWidth="1"/>
    <col min="21" max="22" width="9.140625" style="35"/>
    <col min="23" max="23" width="19.85546875" style="35" customWidth="1"/>
    <col min="24" max="24" width="18.140625" style="35" bestFit="1" customWidth="1"/>
    <col min="25" max="25" width="9.5703125" style="35" bestFit="1" customWidth="1"/>
    <col min="26" max="26" width="10.7109375" style="35" bestFit="1" customWidth="1"/>
    <col min="27" max="34" width="9.140625" style="35"/>
    <col min="35" max="37" width="9" style="35" bestFit="1" customWidth="1"/>
    <col min="38" max="39" width="9.140625" style="35" bestFit="1" customWidth="1"/>
    <col min="40" max="41" width="9.5703125" style="35" bestFit="1" customWidth="1"/>
    <col min="42" max="42" width="10.7109375" style="35" bestFit="1" customWidth="1"/>
    <col min="43" max="43" width="9.140625" style="35" bestFit="1" customWidth="1"/>
    <col min="44" max="44" width="10.7109375" style="35" bestFit="1" customWidth="1"/>
    <col min="45" max="45" width="9.7109375" style="35" bestFit="1" customWidth="1"/>
    <col min="46" max="47" width="9.5703125" style="35" bestFit="1" customWidth="1"/>
    <col min="48" max="50" width="9.140625" style="35" bestFit="1" customWidth="1"/>
    <col min="51" max="51" width="10.85546875" style="35" bestFit="1" customWidth="1"/>
    <col min="52" max="56" width="9.140625" style="35" bestFit="1" customWidth="1"/>
    <col min="57" max="57" width="9.5703125" style="35" bestFit="1" customWidth="1"/>
    <col min="58" max="92" width="9.140625" style="35" bestFit="1" customWidth="1"/>
    <col min="93" max="93" width="9.140625" style="35"/>
    <col min="94" max="94" width="13.85546875" style="35" bestFit="1" customWidth="1"/>
    <col min="95" max="105" width="9.42578125" style="35" bestFit="1" customWidth="1"/>
    <col min="106" max="106" width="9.140625" style="35"/>
    <col min="107" max="107" width="11.140625" style="35" bestFit="1" customWidth="1"/>
    <col min="108" max="108" width="9.28515625" style="35" bestFit="1" customWidth="1"/>
    <col min="109" max="109" width="10.140625" style="35" bestFit="1" customWidth="1"/>
    <col min="110" max="112" width="9.28515625" style="35" bestFit="1" customWidth="1"/>
    <col min="113" max="16384" width="9.140625" style="35"/>
  </cols>
  <sheetData>
    <row r="1" spans="1:112">
      <c r="A1" s="133" t="s">
        <v>1168</v>
      </c>
      <c r="B1" s="17"/>
      <c r="C1" s="17"/>
      <c r="D1" s="17"/>
      <c r="E1" s="17"/>
      <c r="F1" s="25"/>
      <c r="G1" s="17"/>
      <c r="H1" s="17"/>
      <c r="I1" s="17"/>
      <c r="J1" s="17"/>
      <c r="K1" s="17"/>
      <c r="L1" s="17"/>
      <c r="V1" s="134"/>
    </row>
    <row r="2" spans="1:112">
      <c r="A2" s="46" t="s">
        <v>878</v>
      </c>
      <c r="C2" s="46" t="s">
        <v>863</v>
      </c>
      <c r="D2" s="46" t="s">
        <v>864</v>
      </c>
      <c r="E2" s="46" t="s">
        <v>875</v>
      </c>
      <c r="F2" s="46" t="s">
        <v>865</v>
      </c>
      <c r="G2" s="46" t="s">
        <v>866</v>
      </c>
      <c r="H2" s="46" t="s">
        <v>867</v>
      </c>
      <c r="I2" s="46" t="s">
        <v>868</v>
      </c>
      <c r="J2" s="46" t="s">
        <v>869</v>
      </c>
      <c r="K2" s="46" t="s">
        <v>876</v>
      </c>
      <c r="L2" s="46" t="s">
        <v>870</v>
      </c>
      <c r="M2" s="46" t="s">
        <v>871</v>
      </c>
      <c r="N2" s="46" t="s">
        <v>872</v>
      </c>
      <c r="O2" s="47" t="s">
        <v>1155</v>
      </c>
      <c r="P2" s="47" t="s">
        <v>1156</v>
      </c>
      <c r="Q2" s="47" t="s">
        <v>1157</v>
      </c>
      <c r="R2" s="47" t="s">
        <v>1158</v>
      </c>
      <c r="S2" s="47" t="s">
        <v>1159</v>
      </c>
      <c r="T2" s="47" t="s">
        <v>1160</v>
      </c>
      <c r="V2" s="46" t="s">
        <v>892</v>
      </c>
      <c r="CP2" s="46" t="s">
        <v>873</v>
      </c>
      <c r="CQ2" s="46"/>
      <c r="CR2" s="46"/>
      <c r="CS2" s="46"/>
      <c r="CT2" s="46"/>
      <c r="CU2" s="46"/>
      <c r="CV2" s="46" t="s">
        <v>874</v>
      </c>
      <c r="CW2" s="46"/>
      <c r="CX2" s="46"/>
      <c r="CY2" s="46"/>
      <c r="CZ2" s="46"/>
      <c r="DA2" s="46"/>
      <c r="DC2" s="46" t="s">
        <v>1161</v>
      </c>
    </row>
    <row r="3" spans="1:112" s="26" customFormat="1">
      <c r="A3" s="46" t="s">
        <v>879</v>
      </c>
      <c r="B3" s="35" t="s">
        <v>880</v>
      </c>
      <c r="C3" s="135">
        <v>2.0506699823997963</v>
      </c>
      <c r="D3" s="135">
        <v>0.41599951549523073</v>
      </c>
      <c r="E3" s="135">
        <v>1.5234761750952972</v>
      </c>
      <c r="F3" s="140">
        <v>0.68176976895122998</v>
      </c>
      <c r="G3" s="135">
        <v>0.45486809480935803</v>
      </c>
      <c r="H3" s="135">
        <v>0.79620905944629061</v>
      </c>
      <c r="I3" s="135">
        <v>7.6522474600338652</v>
      </c>
      <c r="J3" s="135">
        <v>8.178854044507613</v>
      </c>
      <c r="K3" s="135">
        <v>11.905830070824818</v>
      </c>
      <c r="L3" s="135">
        <v>12.412993172817899</v>
      </c>
      <c r="M3" s="135">
        <v>-7.2757397378833737</v>
      </c>
      <c r="N3" s="135">
        <v>8.7810857940546274</v>
      </c>
      <c r="O3" s="36">
        <v>0.11666666666666665</v>
      </c>
      <c r="P3" s="36">
        <v>1.44E-2</v>
      </c>
      <c r="Q3" s="36">
        <v>2.2800000000000001E-2</v>
      </c>
      <c r="R3" s="36">
        <v>0.73906249999999996</v>
      </c>
      <c r="S3" s="36">
        <v>1.2000000000000001E-3</v>
      </c>
      <c r="T3" s="36">
        <v>0.10779999999999999</v>
      </c>
      <c r="V3" s="1" t="s">
        <v>0</v>
      </c>
      <c r="W3" s="1" t="s">
        <v>692</v>
      </c>
      <c r="X3" s="2" t="s">
        <v>1</v>
      </c>
      <c r="Y3" s="2" t="s">
        <v>301</v>
      </c>
      <c r="Z3" s="2" t="s">
        <v>300</v>
      </c>
      <c r="AA3" s="2" t="s">
        <v>348</v>
      </c>
      <c r="AB3" s="2" t="s">
        <v>302</v>
      </c>
      <c r="AC3" s="1" t="s">
        <v>303</v>
      </c>
      <c r="AD3" s="1" t="s">
        <v>363</v>
      </c>
      <c r="AE3" s="64" t="s">
        <v>681</v>
      </c>
      <c r="AF3" s="1" t="s">
        <v>680</v>
      </c>
      <c r="AG3" s="2" t="s">
        <v>686</v>
      </c>
      <c r="AH3" s="2" t="s">
        <v>693</v>
      </c>
      <c r="AI3" s="3" t="s">
        <v>299</v>
      </c>
      <c r="AJ3" s="4" t="s">
        <v>2</v>
      </c>
      <c r="AK3" s="4" t="s">
        <v>3</v>
      </c>
      <c r="AL3" s="58" t="s">
        <v>4</v>
      </c>
      <c r="AM3" s="58" t="s">
        <v>5</v>
      </c>
      <c r="AN3" s="59" t="s">
        <v>6</v>
      </c>
      <c r="AO3" s="59" t="s">
        <v>7</v>
      </c>
      <c r="AP3" s="60" t="s">
        <v>8</v>
      </c>
      <c r="AQ3" s="59" t="s">
        <v>9</v>
      </c>
      <c r="AR3" s="59" t="s">
        <v>10</v>
      </c>
      <c r="AS3" s="59" t="s">
        <v>11</v>
      </c>
      <c r="AT3" s="59" t="s">
        <v>12</v>
      </c>
      <c r="AU3" s="59" t="s">
        <v>13</v>
      </c>
      <c r="AV3" s="59" t="s">
        <v>14</v>
      </c>
      <c r="AW3" s="59" t="s">
        <v>15</v>
      </c>
      <c r="AX3" s="59" t="s">
        <v>16</v>
      </c>
      <c r="AY3" s="60" t="s">
        <v>17</v>
      </c>
      <c r="AZ3" s="58" t="s">
        <v>18</v>
      </c>
      <c r="BA3" s="59" t="s">
        <v>19</v>
      </c>
      <c r="BB3" s="59" t="s">
        <v>20</v>
      </c>
      <c r="BC3" s="58" t="s">
        <v>21</v>
      </c>
      <c r="BD3" s="58" t="s">
        <v>22</v>
      </c>
      <c r="BE3" s="58" t="s">
        <v>23</v>
      </c>
      <c r="BF3" s="58" t="s">
        <v>24</v>
      </c>
      <c r="BG3" s="58" t="s">
        <v>25</v>
      </c>
      <c r="BH3" s="59" t="s">
        <v>26</v>
      </c>
      <c r="BI3" s="58" t="s">
        <v>27</v>
      </c>
      <c r="BJ3" s="59" t="s">
        <v>28</v>
      </c>
      <c r="BK3" s="58" t="s">
        <v>29</v>
      </c>
      <c r="BL3" s="59" t="s">
        <v>30</v>
      </c>
      <c r="BM3" s="58" t="s">
        <v>31</v>
      </c>
      <c r="BN3" s="58" t="s">
        <v>32</v>
      </c>
      <c r="BO3" s="59" t="s">
        <v>33</v>
      </c>
      <c r="BP3" s="58" t="s">
        <v>34</v>
      </c>
      <c r="BQ3" s="58" t="s">
        <v>35</v>
      </c>
      <c r="BR3" s="59" t="s">
        <v>36</v>
      </c>
      <c r="BS3" s="58" t="s">
        <v>37</v>
      </c>
      <c r="BT3" s="58" t="s">
        <v>38</v>
      </c>
      <c r="BU3" s="58" t="s">
        <v>39</v>
      </c>
      <c r="BV3" s="58" t="s">
        <v>40</v>
      </c>
      <c r="BW3" s="58" t="s">
        <v>41</v>
      </c>
      <c r="BX3" s="58" t="s">
        <v>42</v>
      </c>
      <c r="BY3" s="58" t="s">
        <v>43</v>
      </c>
      <c r="BZ3" s="58" t="s">
        <v>44</v>
      </c>
      <c r="CA3" s="58" t="s">
        <v>45</v>
      </c>
      <c r="CB3" s="58" t="s">
        <v>46</v>
      </c>
      <c r="CC3" s="58" t="s">
        <v>47</v>
      </c>
      <c r="CD3" s="58" t="s">
        <v>48</v>
      </c>
      <c r="CE3" s="58" t="s">
        <v>49</v>
      </c>
      <c r="CF3" s="58" t="s">
        <v>50</v>
      </c>
      <c r="CG3" s="58" t="s">
        <v>51</v>
      </c>
      <c r="CH3" s="59" t="s">
        <v>52</v>
      </c>
      <c r="CI3" s="59" t="s">
        <v>53</v>
      </c>
      <c r="CJ3" s="59" t="s">
        <v>54</v>
      </c>
      <c r="CK3" s="59" t="s">
        <v>55</v>
      </c>
      <c r="CL3" s="59" t="s">
        <v>56</v>
      </c>
      <c r="CM3" s="58" t="s">
        <v>57</v>
      </c>
      <c r="CN3" s="58" t="s">
        <v>58</v>
      </c>
      <c r="CP3" s="46" t="s">
        <v>863</v>
      </c>
      <c r="CQ3" s="46" t="s">
        <v>864</v>
      </c>
      <c r="CR3" s="46" t="s">
        <v>875</v>
      </c>
      <c r="CS3" s="46" t="s">
        <v>865</v>
      </c>
      <c r="CT3" s="46" t="s">
        <v>866</v>
      </c>
      <c r="CU3" s="46" t="s">
        <v>867</v>
      </c>
      <c r="CV3" s="46" t="s">
        <v>868</v>
      </c>
      <c r="CW3" s="46" t="s">
        <v>869</v>
      </c>
      <c r="CX3" s="46" t="s">
        <v>876</v>
      </c>
      <c r="CY3" s="46" t="s">
        <v>870</v>
      </c>
      <c r="CZ3" s="46" t="s">
        <v>871</v>
      </c>
      <c r="DA3" s="46" t="s">
        <v>872</v>
      </c>
      <c r="DC3" s="46" t="s">
        <v>1155</v>
      </c>
      <c r="DD3" s="46" t="s">
        <v>1156</v>
      </c>
      <c r="DE3" s="46" t="s">
        <v>1157</v>
      </c>
      <c r="DF3" s="46" t="s">
        <v>1158</v>
      </c>
      <c r="DG3" s="46" t="s">
        <v>1159</v>
      </c>
      <c r="DH3" s="46" t="s">
        <v>1160</v>
      </c>
    </row>
    <row r="4" spans="1:112" s="27" customFormat="1" ht="18">
      <c r="A4" s="46"/>
      <c r="B4" s="35" t="s">
        <v>881</v>
      </c>
      <c r="C4" s="135">
        <v>537.36993635269914</v>
      </c>
      <c r="D4" s="135">
        <v>7.3402225857863153</v>
      </c>
      <c r="E4" s="135">
        <v>954.73655447239457</v>
      </c>
      <c r="F4" s="140">
        <v>5.0111090779709269</v>
      </c>
      <c r="G4" s="135">
        <v>9.5982847197466921</v>
      </c>
      <c r="H4" s="135">
        <v>7.266186180746331</v>
      </c>
      <c r="I4" s="135">
        <v>14.887338042307848</v>
      </c>
      <c r="J4" s="135">
        <v>11.588062464984262</v>
      </c>
      <c r="K4" s="135">
        <v>21.305229806568082</v>
      </c>
      <c r="L4" s="135">
        <v>16.060442627316633</v>
      </c>
      <c r="M4" s="135">
        <v>-3.5753000197422811</v>
      </c>
      <c r="N4" s="135">
        <v>13.231354861857465</v>
      </c>
      <c r="O4" s="36">
        <v>7936.6166666666659</v>
      </c>
      <c r="P4" s="36">
        <v>16.133749999999999</v>
      </c>
      <c r="Q4" s="36">
        <v>144.67769999999999</v>
      </c>
      <c r="R4" s="36">
        <v>26.285937499999999</v>
      </c>
      <c r="S4" s="36">
        <v>1.4455</v>
      </c>
      <c r="T4" s="36">
        <v>12.8392</v>
      </c>
      <c r="U4" s="348"/>
      <c r="V4" s="5"/>
      <c r="W4" s="5"/>
      <c r="X4" s="6"/>
      <c r="Y4" s="6"/>
      <c r="Z4" s="6"/>
      <c r="AA4" s="6"/>
      <c r="AB4" s="6"/>
      <c r="AC4" s="6"/>
      <c r="AD4" s="6" t="s">
        <v>349</v>
      </c>
      <c r="AE4" s="65"/>
      <c r="AF4" s="6"/>
      <c r="AG4" s="6"/>
      <c r="AH4" s="6"/>
      <c r="AI4" s="7" t="s">
        <v>298</v>
      </c>
      <c r="AJ4" s="8"/>
      <c r="AK4" s="9" t="s">
        <v>403</v>
      </c>
      <c r="AL4" s="9" t="s">
        <v>403</v>
      </c>
      <c r="AM4" s="9" t="s">
        <v>403</v>
      </c>
      <c r="AN4" s="9" t="s">
        <v>403</v>
      </c>
      <c r="AO4" s="9" t="s">
        <v>403</v>
      </c>
      <c r="AP4" s="9" t="s">
        <v>403</v>
      </c>
      <c r="AQ4" s="9" t="s">
        <v>403</v>
      </c>
      <c r="AR4" s="9" t="s">
        <v>403</v>
      </c>
      <c r="AS4" s="9" t="s">
        <v>403</v>
      </c>
      <c r="AT4" s="9" t="s">
        <v>403</v>
      </c>
      <c r="AU4" s="9" t="s">
        <v>403</v>
      </c>
      <c r="AV4" s="9" t="s">
        <v>403</v>
      </c>
      <c r="AW4" s="9" t="s">
        <v>403</v>
      </c>
      <c r="AX4" s="9" t="s">
        <v>403</v>
      </c>
      <c r="AY4" s="9" t="s">
        <v>403</v>
      </c>
      <c r="AZ4" s="9" t="s">
        <v>403</v>
      </c>
      <c r="BA4" s="9" t="s">
        <v>403</v>
      </c>
      <c r="BB4" s="9" t="s">
        <v>403</v>
      </c>
      <c r="BC4" s="9" t="s">
        <v>403</v>
      </c>
      <c r="BD4" s="9" t="s">
        <v>403</v>
      </c>
      <c r="BE4" s="9" t="s">
        <v>403</v>
      </c>
      <c r="BF4" s="9" t="s">
        <v>403</v>
      </c>
      <c r="BG4" s="9" t="s">
        <v>403</v>
      </c>
      <c r="BH4" s="9" t="s">
        <v>403</v>
      </c>
      <c r="BI4" s="9" t="s">
        <v>403</v>
      </c>
      <c r="BJ4" s="9" t="s">
        <v>403</v>
      </c>
      <c r="BK4" s="9" t="s">
        <v>403</v>
      </c>
      <c r="BL4" s="9" t="s">
        <v>403</v>
      </c>
      <c r="BM4" s="9" t="s">
        <v>403</v>
      </c>
      <c r="BN4" s="9" t="s">
        <v>403</v>
      </c>
      <c r="BO4" s="9" t="s">
        <v>403</v>
      </c>
      <c r="BP4" s="9" t="s">
        <v>403</v>
      </c>
      <c r="BQ4" s="9" t="s">
        <v>403</v>
      </c>
      <c r="BR4" s="9" t="s">
        <v>403</v>
      </c>
      <c r="BS4" s="9" t="s">
        <v>403</v>
      </c>
      <c r="BT4" s="9" t="s">
        <v>403</v>
      </c>
      <c r="BU4" s="9" t="s">
        <v>403</v>
      </c>
      <c r="BV4" s="9" t="s">
        <v>403</v>
      </c>
      <c r="BW4" s="9" t="s">
        <v>403</v>
      </c>
      <c r="BX4" s="9" t="s">
        <v>403</v>
      </c>
      <c r="BY4" s="9" t="s">
        <v>403</v>
      </c>
      <c r="BZ4" s="9" t="s">
        <v>403</v>
      </c>
      <c r="CA4" s="9" t="s">
        <v>403</v>
      </c>
      <c r="CB4" s="9" t="s">
        <v>403</v>
      </c>
      <c r="CC4" s="9" t="s">
        <v>403</v>
      </c>
      <c r="CD4" s="9" t="s">
        <v>403</v>
      </c>
      <c r="CE4" s="9" t="s">
        <v>403</v>
      </c>
      <c r="CF4" s="9" t="s">
        <v>403</v>
      </c>
      <c r="CG4" s="9" t="s">
        <v>403</v>
      </c>
      <c r="CH4" s="9" t="s">
        <v>403</v>
      </c>
      <c r="CI4" s="9" t="s">
        <v>403</v>
      </c>
      <c r="CJ4" s="9" t="s">
        <v>403</v>
      </c>
      <c r="CK4" s="9" t="s">
        <v>403</v>
      </c>
      <c r="CL4" s="9" t="s">
        <v>403</v>
      </c>
      <c r="CM4" s="9" t="s">
        <v>403</v>
      </c>
      <c r="CN4" s="9" t="s">
        <v>403</v>
      </c>
    </row>
    <row r="5" spans="1:112" s="13" customFormat="1">
      <c r="A5" s="46"/>
      <c r="B5" s="35" t="s">
        <v>882</v>
      </c>
      <c r="C5" s="135">
        <v>103.66463994860328</v>
      </c>
      <c r="D5" s="135">
        <v>2.9580636364865134</v>
      </c>
      <c r="E5" s="135">
        <v>92.665515590617247</v>
      </c>
      <c r="F5" s="140">
        <v>2.5445373624294563</v>
      </c>
      <c r="G5" s="135">
        <v>3.1682045366148088</v>
      </c>
      <c r="H5" s="135">
        <v>2.03553299239758</v>
      </c>
      <c r="I5" s="135">
        <v>10.576530730206398</v>
      </c>
      <c r="J5" s="135">
        <v>9.5755449657072642</v>
      </c>
      <c r="K5" s="135">
        <v>15.440838001375161</v>
      </c>
      <c r="L5" s="135">
        <v>13.874308227766864</v>
      </c>
      <c r="M5" s="135">
        <v>-5.8242761725654093</v>
      </c>
      <c r="N5" s="135">
        <v>10.819903398593162</v>
      </c>
      <c r="O5" s="36">
        <v>137.68836088154276</v>
      </c>
      <c r="P5" s="36">
        <v>0.28096549586776864</v>
      </c>
      <c r="Q5" s="36">
        <v>5.5721944210526315</v>
      </c>
      <c r="R5" s="36">
        <v>4.7231017561983464</v>
      </c>
      <c r="S5" s="36">
        <v>7.298807556080282E-2</v>
      </c>
      <c r="T5" s="36">
        <v>1.8933057851239667</v>
      </c>
      <c r="U5" s="360"/>
      <c r="V5" s="10" t="s">
        <v>297</v>
      </c>
      <c r="W5" s="11"/>
      <c r="X5" s="12"/>
      <c r="Y5" s="12"/>
      <c r="Z5" s="12"/>
      <c r="AA5" s="12"/>
      <c r="AB5" s="12"/>
      <c r="AC5" s="6"/>
      <c r="AD5" s="6"/>
      <c r="AE5" s="65"/>
      <c r="AF5" s="12"/>
      <c r="AG5" s="12"/>
      <c r="AH5" s="12"/>
      <c r="AJ5" s="58"/>
      <c r="AK5" s="56">
        <v>0.02</v>
      </c>
      <c r="AL5" s="57" t="s">
        <v>59</v>
      </c>
      <c r="AM5" s="57" t="s">
        <v>60</v>
      </c>
      <c r="AN5" s="57" t="s">
        <v>61</v>
      </c>
      <c r="AO5" s="57" t="s">
        <v>62</v>
      </c>
      <c r="AP5" s="57" t="s">
        <v>63</v>
      </c>
      <c r="AQ5" s="57" t="s">
        <v>64</v>
      </c>
      <c r="AR5" s="57" t="s">
        <v>65</v>
      </c>
      <c r="AS5" s="57" t="s">
        <v>66</v>
      </c>
      <c r="AT5" s="57" t="s">
        <v>67</v>
      </c>
      <c r="AU5" s="57" t="s">
        <v>68</v>
      </c>
      <c r="AV5" s="57" t="s">
        <v>69</v>
      </c>
      <c r="AW5" s="57" t="s">
        <v>69</v>
      </c>
      <c r="AX5" s="57" t="s">
        <v>70</v>
      </c>
      <c r="AY5" s="57" t="s">
        <v>71</v>
      </c>
      <c r="AZ5" s="57" t="s">
        <v>72</v>
      </c>
      <c r="BA5" s="57" t="s">
        <v>73</v>
      </c>
      <c r="BB5" s="57" t="s">
        <v>74</v>
      </c>
      <c r="BC5" s="57" t="s">
        <v>75</v>
      </c>
      <c r="BD5" s="57" t="s">
        <v>76</v>
      </c>
      <c r="BE5" s="57" t="s">
        <v>77</v>
      </c>
      <c r="BF5" s="57" t="s">
        <v>78</v>
      </c>
      <c r="BG5" s="57" t="s">
        <v>60</v>
      </c>
      <c r="BH5" s="57" t="s">
        <v>60</v>
      </c>
      <c r="BI5" s="57" t="s">
        <v>79</v>
      </c>
      <c r="BJ5" s="57" t="s">
        <v>80</v>
      </c>
      <c r="BK5" s="57" t="s">
        <v>81</v>
      </c>
      <c r="BL5" s="57" t="s">
        <v>76</v>
      </c>
      <c r="BM5" s="57" t="s">
        <v>82</v>
      </c>
      <c r="BN5" s="57" t="s">
        <v>83</v>
      </c>
      <c r="BO5" s="57" t="s">
        <v>76</v>
      </c>
      <c r="BP5" s="57" t="s">
        <v>72</v>
      </c>
      <c r="BQ5" s="57" t="s">
        <v>84</v>
      </c>
      <c r="BR5" s="57" t="s">
        <v>60</v>
      </c>
      <c r="BS5" s="57" t="s">
        <v>84</v>
      </c>
      <c r="BT5" s="57" t="s">
        <v>82</v>
      </c>
      <c r="BU5" s="57" t="s">
        <v>85</v>
      </c>
      <c r="BV5" s="57" t="s">
        <v>76</v>
      </c>
      <c r="BW5" s="57" t="s">
        <v>81</v>
      </c>
      <c r="BX5" s="57" t="s">
        <v>85</v>
      </c>
      <c r="BY5" s="57" t="s">
        <v>85</v>
      </c>
      <c r="BZ5" s="57" t="s">
        <v>85</v>
      </c>
      <c r="CA5" s="57" t="s">
        <v>86</v>
      </c>
      <c r="CB5" s="57" t="s">
        <v>85</v>
      </c>
      <c r="CC5" s="57" t="s">
        <v>86</v>
      </c>
      <c r="CD5" s="57" t="s">
        <v>85</v>
      </c>
      <c r="CE5" s="57" t="s">
        <v>83</v>
      </c>
      <c r="CF5" s="57" t="s">
        <v>86</v>
      </c>
      <c r="CG5" s="57" t="s">
        <v>84</v>
      </c>
      <c r="CH5" s="57" t="s">
        <v>85</v>
      </c>
      <c r="CI5" s="57" t="s">
        <v>82</v>
      </c>
      <c r="CJ5" s="57" t="s">
        <v>83</v>
      </c>
      <c r="CK5" s="57" t="s">
        <v>69</v>
      </c>
      <c r="CL5" s="57" t="s">
        <v>60</v>
      </c>
      <c r="CM5" s="57" t="s">
        <v>86</v>
      </c>
      <c r="CN5" s="57" t="s">
        <v>85</v>
      </c>
    </row>
    <row r="6" spans="1:112" s="100" customFormat="1">
      <c r="A6" s="46" t="s">
        <v>366</v>
      </c>
      <c r="B6" s="35" t="s">
        <v>880</v>
      </c>
      <c r="C6" s="135">
        <v>0.34624372307009876</v>
      </c>
      <c r="D6" s="135">
        <v>0.28749654105787109</v>
      </c>
      <c r="E6" s="135">
        <v>0.39545512045237174</v>
      </c>
      <c r="F6" s="140">
        <v>1.1615359353571295</v>
      </c>
      <c r="G6" s="135">
        <v>0.24546784782688977</v>
      </c>
      <c r="H6" s="135">
        <v>0.56194430525644334</v>
      </c>
      <c r="I6" s="135">
        <v>3.987927167699425</v>
      </c>
      <c r="J6" s="135">
        <v>7.0490861695372846</v>
      </c>
      <c r="K6" s="135">
        <v>9.3858490303115634</v>
      </c>
      <c r="L6" s="135">
        <v>12.269360484358728</v>
      </c>
      <c r="M6" s="135">
        <v>-7.7809750461337961</v>
      </c>
      <c r="N6" s="135">
        <v>8.3497998938361562</v>
      </c>
      <c r="O6" s="36">
        <v>0.23333333333333331</v>
      </c>
      <c r="P6" s="36">
        <v>2.1250000000000002E-2</v>
      </c>
      <c r="Q6" s="36">
        <v>2.2800000000000001E-2</v>
      </c>
      <c r="R6" s="36">
        <v>1.1343749999999999</v>
      </c>
      <c r="S6" s="36">
        <v>6.1999999999999998E-3</v>
      </c>
      <c r="T6" s="36">
        <v>0.24280000000000002</v>
      </c>
      <c r="U6" s="36"/>
      <c r="V6" s="100" t="s">
        <v>87</v>
      </c>
      <c r="W6" s="100" t="s">
        <v>88</v>
      </c>
      <c r="X6" s="100" t="s">
        <v>339</v>
      </c>
      <c r="Y6" s="100">
        <v>0.258245</v>
      </c>
      <c r="Z6" s="100">
        <v>34.717754999999997</v>
      </c>
      <c r="AA6" s="100" t="s">
        <v>372</v>
      </c>
      <c r="AB6" s="100" t="s">
        <v>330</v>
      </c>
      <c r="AC6" s="100" t="s">
        <v>347</v>
      </c>
      <c r="AD6" s="100" t="s">
        <v>371</v>
      </c>
      <c r="AE6" s="100" t="s">
        <v>687</v>
      </c>
      <c r="AF6" s="100" t="s">
        <v>361</v>
      </c>
      <c r="AG6" s="100" t="s">
        <v>685</v>
      </c>
      <c r="AH6" s="100" t="s">
        <v>690</v>
      </c>
      <c r="AI6" s="100">
        <v>6.7214412987528753</v>
      </c>
      <c r="AJ6" s="100">
        <v>5.8</v>
      </c>
      <c r="AK6" s="100">
        <v>11.04308</v>
      </c>
      <c r="AL6" s="100">
        <v>14.7</v>
      </c>
      <c r="AM6" s="100">
        <v>2.04</v>
      </c>
      <c r="AN6" s="100">
        <v>5701</v>
      </c>
      <c r="AO6" s="100">
        <v>9429</v>
      </c>
      <c r="AP6" s="100">
        <v>89309</v>
      </c>
      <c r="AQ6" s="100">
        <v>684</v>
      </c>
      <c r="AR6" s="100">
        <v>376</v>
      </c>
      <c r="AS6" s="100">
        <v>14386</v>
      </c>
      <c r="AT6" s="100">
        <v>11227</v>
      </c>
      <c r="AU6" s="100">
        <v>5875.7</v>
      </c>
      <c r="AV6" s="100">
        <v>240.1</v>
      </c>
      <c r="AW6" s="100">
        <v>517.5</v>
      </c>
      <c r="AX6" s="100">
        <v>2010.8</v>
      </c>
      <c r="AY6" s="100">
        <v>89638</v>
      </c>
      <c r="AZ6" s="100">
        <v>63.552999999999997</v>
      </c>
      <c r="BA6" s="100">
        <v>98.9</v>
      </c>
      <c r="BB6" s="100">
        <v>88.8</v>
      </c>
      <c r="BC6" s="100">
        <v>88</v>
      </c>
      <c r="BD6" s="100">
        <v>18.440000000000001</v>
      </c>
      <c r="BE6" s="100">
        <v>35.5</v>
      </c>
      <c r="BF6" s="100">
        <v>0.78</v>
      </c>
      <c r="BG6" s="100">
        <v>78.569999999999993</v>
      </c>
      <c r="BH6" s="100">
        <v>133.41</v>
      </c>
      <c r="BI6" s="100">
        <v>16.832000000000001</v>
      </c>
      <c r="BJ6" s="100">
        <v>180.55</v>
      </c>
      <c r="BK6" s="100">
        <v>30.201000000000001</v>
      </c>
      <c r="BL6" s="100">
        <v>2.2000000000000002</v>
      </c>
      <c r="BM6" s="100">
        <v>0.27600000000000002</v>
      </c>
      <c r="BN6" s="100">
        <v>0.11600000000000001</v>
      </c>
      <c r="BO6" s="100">
        <v>2.09</v>
      </c>
      <c r="BP6" s="100">
        <v>0.753</v>
      </c>
      <c r="BQ6" s="100">
        <v>2.589</v>
      </c>
      <c r="BR6" s="100">
        <v>545.64</v>
      </c>
      <c r="BS6" s="100">
        <v>28.745000000000001</v>
      </c>
      <c r="BT6" s="100">
        <v>108.15600000000001</v>
      </c>
      <c r="BU6" s="100">
        <v>6.1390000000000002</v>
      </c>
      <c r="BV6" s="100">
        <v>23.49</v>
      </c>
      <c r="BW6" s="100">
        <v>4.5030000000000001</v>
      </c>
      <c r="BX6" s="100">
        <v>0.99299999999999999</v>
      </c>
      <c r="BY6" s="100">
        <v>3.6360000000000001</v>
      </c>
      <c r="BZ6" s="100">
        <v>0.52900000000000003</v>
      </c>
      <c r="CA6" s="100">
        <v>3.2570000000000001</v>
      </c>
      <c r="CB6" s="100">
        <v>0.61799999999999999</v>
      </c>
      <c r="CC6" s="100">
        <v>1.8160000000000001</v>
      </c>
      <c r="CD6" s="100">
        <v>0.28399999999999997</v>
      </c>
      <c r="CE6" s="100">
        <v>1.7390000000000001</v>
      </c>
      <c r="CF6" s="100">
        <v>0.26100000000000001</v>
      </c>
      <c r="CG6" s="100">
        <v>4.5540000000000003</v>
      </c>
      <c r="CH6" s="100">
        <v>1.6879999999999999</v>
      </c>
      <c r="CI6" s="100">
        <v>12.823</v>
      </c>
      <c r="CJ6" s="100">
        <v>0.42</v>
      </c>
      <c r="CK6" s="100">
        <v>19.8</v>
      </c>
      <c r="CL6" s="100">
        <v>4.4800000000000004</v>
      </c>
      <c r="CM6" s="100">
        <v>7.38</v>
      </c>
      <c r="CN6" s="100">
        <v>1.821</v>
      </c>
      <c r="CP6" s="136">
        <f>(BE6/AY6)/(8.5/44012.75)</f>
        <v>2.0506699823997963</v>
      </c>
      <c r="CQ6" s="136">
        <f>(CK6/AY6)/(23.37/44012.75)</f>
        <v>0.41599951549523073</v>
      </c>
      <c r="CR6" s="136">
        <f>(AK6/AY6)/(0.079/44012.75)</f>
        <v>68.635606235883799</v>
      </c>
      <c r="CS6" s="136">
        <f>(AW6/AY6)/(102/44012.75)</f>
        <v>2.491130788478626</v>
      </c>
      <c r="CT6" s="136">
        <f>(BN6/AY6)/(0.11/44012.75)</f>
        <v>0.51778760631144671</v>
      </c>
      <c r="CU6" s="136">
        <f>(BA6/AY6)/(40.31/44012.75)</f>
        <v>1.2046748409015962</v>
      </c>
      <c r="CV6" s="136">
        <f>LOG(BE6/1.5*8.5,2)</f>
        <v>7.6522474600338652</v>
      </c>
      <c r="CW6" s="136">
        <f>LOG(CK6/1.5*23.37,2)</f>
        <v>8.2690518534791924</v>
      </c>
      <c r="CX6" s="136">
        <f>LOG(AK6/1.5*44012.75,2)</f>
        <v>18.305742097573361</v>
      </c>
      <c r="CY6" s="136">
        <f>LOG(AW6/1.5*102,2)</f>
        <v>15.102877893637027</v>
      </c>
      <c r="CZ6" s="136">
        <f>LOG(BN6/1.5*0.11,2)</f>
        <v>-6.8771903613930983</v>
      </c>
      <c r="DA6" s="136">
        <f>LOG(BA6/1.5*40.31,2)</f>
        <v>11.376001993226946</v>
      </c>
      <c r="DB6" s="137"/>
      <c r="DC6" s="135">
        <f>BE6/12</f>
        <v>2.9583333333333335</v>
      </c>
      <c r="DD6" s="135">
        <f>CK6/400</f>
        <v>4.9500000000000002E-2</v>
      </c>
      <c r="DE6" s="135">
        <f>AK6/1</f>
        <v>11.04308</v>
      </c>
      <c r="DF6" s="135">
        <f>AW6/64</f>
        <v>8.0859375</v>
      </c>
      <c r="DG6" s="135">
        <f>BN6/10</f>
        <v>1.1600000000000001E-2</v>
      </c>
      <c r="DH6" s="135">
        <f>BA6/50</f>
        <v>1.9780000000000002</v>
      </c>
    </row>
    <row r="7" spans="1:112" s="28" customFormat="1">
      <c r="A7" s="46"/>
      <c r="B7" s="35" t="s">
        <v>881</v>
      </c>
      <c r="C7" s="135">
        <v>1146.3871932616755</v>
      </c>
      <c r="D7" s="135">
        <v>8.8283547846230022</v>
      </c>
      <c r="E7" s="135">
        <v>96.559703975736397</v>
      </c>
      <c r="F7" s="140">
        <v>5.6348869407654751</v>
      </c>
      <c r="G7" s="135">
        <v>10.660245038962382</v>
      </c>
      <c r="H7" s="135">
        <v>6.6906629341935764</v>
      </c>
      <c r="I7" s="135">
        <v>15.567142072677353</v>
      </c>
      <c r="J7" s="135">
        <v>11.464653973928105</v>
      </c>
      <c r="K7" s="135">
        <v>17.62232591350304</v>
      </c>
      <c r="L7" s="135">
        <v>16.552008591584279</v>
      </c>
      <c r="M7" s="135">
        <v>-3.7253427391525626</v>
      </c>
      <c r="N7" s="135">
        <v>13.299965415727801</v>
      </c>
      <c r="O7" s="293">
        <v>713.94999999999993</v>
      </c>
      <c r="P7" s="293">
        <v>0.45350000000000001</v>
      </c>
      <c r="Q7" s="293">
        <v>6.8764050000000001</v>
      </c>
      <c r="R7" s="293">
        <v>22.078125</v>
      </c>
      <c r="S7" s="293">
        <v>0.1031</v>
      </c>
      <c r="T7" s="293">
        <v>7.5058000000000007</v>
      </c>
      <c r="U7" s="293"/>
      <c r="V7" s="17" t="s">
        <v>89</v>
      </c>
      <c r="W7" s="14" t="s">
        <v>90</v>
      </c>
      <c r="X7" s="15" t="s">
        <v>339</v>
      </c>
      <c r="Y7" s="17">
        <v>0.258245</v>
      </c>
      <c r="Z7" s="17">
        <v>34.717754999999997</v>
      </c>
      <c r="AA7" s="17" t="s">
        <v>372</v>
      </c>
      <c r="AB7" s="17" t="s">
        <v>330</v>
      </c>
      <c r="AC7" s="6" t="s">
        <v>347</v>
      </c>
      <c r="AD7" s="14" t="s">
        <v>371</v>
      </c>
      <c r="AE7" s="65" t="s">
        <v>687</v>
      </c>
      <c r="AF7" s="17" t="s">
        <v>364</v>
      </c>
      <c r="AG7" s="17" t="s">
        <v>685</v>
      </c>
      <c r="AH7" s="35" t="s">
        <v>690</v>
      </c>
      <c r="AI7" s="24">
        <v>1.3446215139442723</v>
      </c>
      <c r="AJ7" s="73">
        <v>6.45</v>
      </c>
      <c r="AK7" s="73">
        <v>4.1530000000000004E-2</v>
      </c>
      <c r="AL7" s="73">
        <v>8.5</v>
      </c>
      <c r="AM7" s="73">
        <v>1.74</v>
      </c>
      <c r="AN7" s="73">
        <v>24170</v>
      </c>
      <c r="AO7" s="73">
        <v>9908</v>
      </c>
      <c r="AP7" s="73">
        <v>83343</v>
      </c>
      <c r="AQ7" s="73">
        <v>768</v>
      </c>
      <c r="AR7" s="73">
        <v>15</v>
      </c>
      <c r="AS7" s="73">
        <v>29084</v>
      </c>
      <c r="AT7" s="73">
        <v>18829</v>
      </c>
      <c r="AU7" s="73">
        <v>2658.2</v>
      </c>
      <c r="AV7" s="73">
        <v>54.8</v>
      </c>
      <c r="AW7" s="73">
        <v>129.5</v>
      </c>
      <c r="AX7" s="73">
        <v>743</v>
      </c>
      <c r="AY7" s="73">
        <v>21641</v>
      </c>
      <c r="AZ7" s="73">
        <v>18.513000000000002</v>
      </c>
      <c r="BA7" s="73">
        <v>113.79</v>
      </c>
      <c r="BB7" s="73">
        <v>29.58</v>
      </c>
      <c r="BC7" s="73">
        <v>54</v>
      </c>
      <c r="BD7" s="73">
        <v>16.579999999999998</v>
      </c>
      <c r="BE7" s="73">
        <v>1.5</v>
      </c>
      <c r="BF7" s="73" t="s">
        <v>91</v>
      </c>
      <c r="BG7" s="73">
        <v>112.11</v>
      </c>
      <c r="BH7" s="73">
        <v>593.42999999999995</v>
      </c>
      <c r="BI7" s="73">
        <v>15.787000000000001</v>
      </c>
      <c r="BJ7" s="73">
        <v>139.53</v>
      </c>
      <c r="BK7" s="73">
        <v>6.1840000000000002</v>
      </c>
      <c r="BL7" s="73">
        <v>0.42</v>
      </c>
      <c r="BM7" s="73">
        <v>8.6999999999999994E-2</v>
      </c>
      <c r="BN7" s="73">
        <v>5.3999999999999999E-2</v>
      </c>
      <c r="BO7" s="73">
        <v>1.0900000000000001</v>
      </c>
      <c r="BP7" s="73">
        <v>0.36699999999999999</v>
      </c>
      <c r="BQ7" s="73">
        <v>2.0649999999999999</v>
      </c>
      <c r="BR7" s="73">
        <v>1176.01</v>
      </c>
      <c r="BS7" s="73">
        <v>43.86</v>
      </c>
      <c r="BT7" s="73">
        <v>122.74</v>
      </c>
      <c r="BU7" s="73">
        <v>9.7360000000000007</v>
      </c>
      <c r="BV7" s="73">
        <v>36.33</v>
      </c>
      <c r="BW7" s="73">
        <v>6.2169999999999996</v>
      </c>
      <c r="BX7" s="73">
        <v>1.6060000000000001</v>
      </c>
      <c r="BY7" s="73">
        <v>4.3490000000000002</v>
      </c>
      <c r="BZ7" s="73">
        <v>0.57399999999999995</v>
      </c>
      <c r="CA7" s="73">
        <v>3.0350000000000001</v>
      </c>
      <c r="CB7" s="73">
        <v>0.57699999999999996</v>
      </c>
      <c r="CC7" s="73">
        <v>1.5529999999999999</v>
      </c>
      <c r="CD7" s="73">
        <v>0.215</v>
      </c>
      <c r="CE7" s="73">
        <v>1.3720000000000001</v>
      </c>
      <c r="CF7" s="73">
        <v>0.221</v>
      </c>
      <c r="CG7" s="73">
        <v>3.9550000000000001</v>
      </c>
      <c r="CH7" s="73">
        <v>0.40400000000000003</v>
      </c>
      <c r="CI7" s="73">
        <v>6.9180000000000001</v>
      </c>
      <c r="CJ7" s="73">
        <v>0.56200000000000006</v>
      </c>
      <c r="CK7" s="73">
        <v>13.5</v>
      </c>
      <c r="CL7" s="73" t="s">
        <v>92</v>
      </c>
      <c r="CM7" s="73">
        <v>8.5210000000000008</v>
      </c>
      <c r="CN7" s="73">
        <v>1.9239999999999999</v>
      </c>
      <c r="CP7" s="136">
        <f t="shared" ref="CP7:CP73" si="0">(BE7/AY7)/(8.5/44012.75)</f>
        <v>0.35890004539313997</v>
      </c>
      <c r="CQ7" s="136">
        <f t="shared" ref="CQ7:CQ73" si="1">(CK7/AY7)/(23.37/44012.75)</f>
        <v>1.1748332679749767</v>
      </c>
      <c r="CR7" s="136">
        <f t="shared" ref="CR7:CR73" si="2">(AK7/AY7)/(0.079/44012.75)</f>
        <v>1.0691435487257837</v>
      </c>
      <c r="CS7" s="136">
        <f t="shared" ref="CS7:CS73" si="3">(AW7/AY7)/(102/44012.75)</f>
        <v>2.5820864376895347</v>
      </c>
      <c r="CT7" s="136">
        <f t="shared" ref="CT7:CT73" si="4">(BN7/AY7)/(0.11/44012.75)</f>
        <v>0.9983946717300074</v>
      </c>
      <c r="CU7" s="136">
        <f t="shared" ref="CU7:CU73" si="5">(BA7/AY7)/(40.31/44012.75)</f>
        <v>5.741065201437622</v>
      </c>
      <c r="CV7" s="136">
        <f t="shared" ref="CV7:CV73" si="6">LOG(BE7/1.5*8.5,2)</f>
        <v>3.0874628412503395</v>
      </c>
      <c r="CW7" s="136">
        <f t="shared" ref="CW7:CW73" si="7">LOG(CK7/1.5*23.37,2)</f>
        <v>7.7165108304504137</v>
      </c>
      <c r="CX7" s="136">
        <f t="shared" ref="CX7:CX73" si="8">LOG((AK7/1.5*44012.75),2)</f>
        <v>10.250969077684255</v>
      </c>
      <c r="CY7" s="136">
        <f t="shared" ref="CY7:CY73" si="9">LOG(AW7/1.5*102,2)</f>
        <v>13.104271128936894</v>
      </c>
      <c r="CZ7" s="136">
        <f t="shared" ref="CZ7:CZ73" si="10">LOG(BN7/1.5*0.11,2)</f>
        <v>-7.9802838543572028</v>
      </c>
      <c r="DA7" s="136">
        <f t="shared" ref="DA7:DA73" si="11">LOG(BA7/1.5*40.31,2)</f>
        <v>11.578333344595869</v>
      </c>
      <c r="DB7" s="22"/>
      <c r="DC7" s="141">
        <f t="shared" ref="DC7:DC71" si="12">BE7/12</f>
        <v>0.125</v>
      </c>
      <c r="DD7" s="141">
        <f t="shared" ref="DD7:DD71" si="13">CK7/400</f>
        <v>3.3750000000000002E-2</v>
      </c>
      <c r="DE7" s="141">
        <f t="shared" ref="DE7:DE71" si="14">AK7/1</f>
        <v>4.1530000000000004E-2</v>
      </c>
      <c r="DF7" s="141">
        <f t="shared" ref="DF7:DF71" si="15">AW7/64</f>
        <v>2.0234375</v>
      </c>
      <c r="DG7" s="141">
        <f t="shared" ref="DG7:DG26" si="16">BN7/10</f>
        <v>5.4000000000000003E-3</v>
      </c>
      <c r="DH7" s="141">
        <f t="shared" ref="DH7:DH71" si="17">BA7/50</f>
        <v>2.2758000000000003</v>
      </c>
    </row>
    <row r="8" spans="1:112" s="28" customFormat="1">
      <c r="A8" s="46"/>
      <c r="B8" s="35" t="s">
        <v>882</v>
      </c>
      <c r="C8" s="135">
        <v>80.308485223031823</v>
      </c>
      <c r="D8" s="135">
        <v>1.6678783636114398</v>
      </c>
      <c r="E8" s="135">
        <v>24.861079855685539</v>
      </c>
      <c r="F8" s="140">
        <v>2.6937671848526699</v>
      </c>
      <c r="G8" s="135">
        <v>2.168728341885616</v>
      </c>
      <c r="H8" s="135">
        <v>2.1147435802120542</v>
      </c>
      <c r="I8" s="135">
        <v>7.9104232381292157</v>
      </c>
      <c r="J8" s="135">
        <v>8.7956892067421357</v>
      </c>
      <c r="K8" s="135">
        <v>14.671623697849745</v>
      </c>
      <c r="L8" s="135">
        <v>14.358283702536355</v>
      </c>
      <c r="M8" s="135">
        <v>-6.3586212393445836</v>
      </c>
      <c r="N8" s="135">
        <v>11.256739727641365</v>
      </c>
      <c r="O8" s="293">
        <v>50.25921052631579</v>
      </c>
      <c r="P8" s="293">
        <v>0.10065789473684211</v>
      </c>
      <c r="Q8" s="293">
        <v>2.0863123684210527</v>
      </c>
      <c r="R8" s="293">
        <v>7.58873355263158</v>
      </c>
      <c r="S8" s="293">
        <v>2.3336842105263159E-2</v>
      </c>
      <c r="T8" s="293">
        <v>2.5950947368421056</v>
      </c>
      <c r="U8" s="293"/>
      <c r="V8" s="17" t="s">
        <v>93</v>
      </c>
      <c r="W8" s="14" t="s">
        <v>94</v>
      </c>
      <c r="X8" s="15" t="s">
        <v>339</v>
      </c>
      <c r="Y8" s="17">
        <v>0.258245</v>
      </c>
      <c r="Z8" s="17">
        <v>34.717754999999997</v>
      </c>
      <c r="AA8" s="17" t="s">
        <v>372</v>
      </c>
      <c r="AB8" s="17" t="s">
        <v>330</v>
      </c>
      <c r="AC8" s="6" t="s">
        <v>347</v>
      </c>
      <c r="AD8" s="14" t="s">
        <v>371</v>
      </c>
      <c r="AE8" s="65" t="s">
        <v>687</v>
      </c>
      <c r="AF8" s="17" t="s">
        <v>365</v>
      </c>
      <c r="AG8" s="17" t="s">
        <v>685</v>
      </c>
      <c r="AH8" s="35" t="s">
        <v>691</v>
      </c>
      <c r="AI8" s="24">
        <v>4.0481400437639525</v>
      </c>
      <c r="AJ8" s="73">
        <v>6.22</v>
      </c>
      <c r="AK8" s="73">
        <v>2.2132899999999998</v>
      </c>
      <c r="AL8" s="73">
        <v>10.199999999999999</v>
      </c>
      <c r="AM8" s="73">
        <v>1.72</v>
      </c>
      <c r="AN8" s="73">
        <v>8384</v>
      </c>
      <c r="AO8" s="73">
        <v>8255</v>
      </c>
      <c r="AP8" s="73">
        <v>57133</v>
      </c>
      <c r="AQ8" s="73">
        <v>541</v>
      </c>
      <c r="AR8" s="73">
        <v>429</v>
      </c>
      <c r="AS8" s="73">
        <v>11220</v>
      </c>
      <c r="AT8" s="73">
        <v>12822</v>
      </c>
      <c r="AU8" s="73">
        <v>3347.4</v>
      </c>
      <c r="AV8" s="73">
        <v>179.3</v>
      </c>
      <c r="AW8" s="73">
        <v>813.8</v>
      </c>
      <c r="AX8" s="73">
        <v>1643.4</v>
      </c>
      <c r="AY8" s="73">
        <v>71572</v>
      </c>
      <c r="AZ8" s="73">
        <v>46.491999999999997</v>
      </c>
      <c r="BA8" s="73">
        <v>123.55</v>
      </c>
      <c r="BB8" s="73">
        <v>59.67</v>
      </c>
      <c r="BC8" s="73">
        <v>93</v>
      </c>
      <c r="BD8" s="73">
        <v>13.77</v>
      </c>
      <c r="BE8" s="73">
        <v>482.6</v>
      </c>
      <c r="BF8" s="73">
        <v>0.6</v>
      </c>
      <c r="BG8" s="73">
        <v>51.01</v>
      </c>
      <c r="BH8" s="73">
        <v>189.81</v>
      </c>
      <c r="BI8" s="73">
        <v>10.083</v>
      </c>
      <c r="BJ8" s="73">
        <v>115.72</v>
      </c>
      <c r="BK8" s="73">
        <v>17.305</v>
      </c>
      <c r="BL8" s="73">
        <v>2.0699999999999998</v>
      </c>
      <c r="BM8" s="73">
        <v>0.27100000000000002</v>
      </c>
      <c r="BN8" s="73">
        <v>0.151</v>
      </c>
      <c r="BO8" s="73">
        <v>1.31</v>
      </c>
      <c r="BP8" s="73">
        <v>0.877</v>
      </c>
      <c r="BQ8" s="73">
        <v>1.5720000000000001</v>
      </c>
      <c r="BR8" s="73">
        <v>457.2</v>
      </c>
      <c r="BS8" s="73">
        <v>16.559000000000001</v>
      </c>
      <c r="BT8" s="73">
        <v>69.363</v>
      </c>
      <c r="BU8" s="73">
        <v>3.7839999999999998</v>
      </c>
      <c r="BV8" s="73">
        <v>14.88</v>
      </c>
      <c r="BW8" s="73">
        <v>2.91</v>
      </c>
      <c r="BX8" s="73">
        <v>0.70399999999999996</v>
      </c>
      <c r="BY8" s="73">
        <v>2.2989999999999999</v>
      </c>
      <c r="BZ8" s="73">
        <v>0.33</v>
      </c>
      <c r="CA8" s="73">
        <v>1.988</v>
      </c>
      <c r="CB8" s="73">
        <v>0.376</v>
      </c>
      <c r="CC8" s="73">
        <v>1.073</v>
      </c>
      <c r="CD8" s="73">
        <v>0.16800000000000001</v>
      </c>
      <c r="CE8" s="73">
        <v>1.0660000000000001</v>
      </c>
      <c r="CF8" s="73">
        <v>0.156</v>
      </c>
      <c r="CG8" s="73">
        <v>2.879</v>
      </c>
      <c r="CH8" s="73">
        <v>0.93</v>
      </c>
      <c r="CI8" s="73">
        <v>7.9560000000000004</v>
      </c>
      <c r="CJ8" s="73">
        <v>0.28100000000000003</v>
      </c>
      <c r="CK8" s="73">
        <v>16.8</v>
      </c>
      <c r="CL8" s="73">
        <v>15.06</v>
      </c>
      <c r="CM8" s="73">
        <v>4.9580000000000002</v>
      </c>
      <c r="CN8" s="73">
        <v>1.1839999999999999</v>
      </c>
      <c r="CP8" s="136">
        <f t="shared" si="0"/>
        <v>34.91433250268755</v>
      </c>
      <c r="CQ8" s="136">
        <f t="shared" si="1"/>
        <v>0.44206478577153152</v>
      </c>
      <c r="CR8" s="136">
        <f t="shared" si="2"/>
        <v>17.228464891422075</v>
      </c>
      <c r="CS8" s="136">
        <f t="shared" si="3"/>
        <v>4.9062860530955801</v>
      </c>
      <c r="CT8" s="136">
        <f t="shared" si="4"/>
        <v>0.84414997866103048</v>
      </c>
      <c r="CU8" s="136">
        <f t="shared" si="5"/>
        <v>1.8848001309376723</v>
      </c>
      <c r="CV8" s="136">
        <f t="shared" si="6"/>
        <v>11.417184445857574</v>
      </c>
      <c r="CW8" s="136">
        <f t="shared" si="7"/>
        <v>8.0320126561783436</v>
      </c>
      <c r="CX8" s="136">
        <f t="shared" si="8"/>
        <v>15.986863890735373</v>
      </c>
      <c r="CY8" s="136">
        <f t="shared" si="9"/>
        <v>15.755993311436688</v>
      </c>
      <c r="CZ8" s="136">
        <f t="shared" si="10"/>
        <v>-6.4967666171955925</v>
      </c>
      <c r="DA8" s="136">
        <f t="shared" si="11"/>
        <v>11.697054577796621</v>
      </c>
      <c r="DB8" s="22"/>
      <c r="DC8" s="141">
        <f t="shared" si="12"/>
        <v>40.216666666666669</v>
      </c>
      <c r="DD8" s="141">
        <f t="shared" si="13"/>
        <v>4.2000000000000003E-2</v>
      </c>
      <c r="DE8" s="141">
        <f t="shared" si="14"/>
        <v>2.2132899999999998</v>
      </c>
      <c r="DF8" s="141">
        <f t="shared" si="15"/>
        <v>12.715624999999999</v>
      </c>
      <c r="DG8" s="141">
        <f t="shared" si="16"/>
        <v>1.5099999999999999E-2</v>
      </c>
      <c r="DH8" s="141">
        <f t="shared" si="17"/>
        <v>2.4710000000000001</v>
      </c>
    </row>
    <row r="9" spans="1:112" s="28" customFormat="1">
      <c r="A9" s="46" t="s">
        <v>883</v>
      </c>
      <c r="B9" s="35" t="s">
        <v>880</v>
      </c>
      <c r="C9" s="135">
        <v>0.29209033650479382</v>
      </c>
      <c r="D9" s="135">
        <v>0.35723325429771186</v>
      </c>
      <c r="E9" s="135">
        <v>0.31463144160955575</v>
      </c>
      <c r="F9" s="140">
        <v>1.486015906442667</v>
      </c>
      <c r="G9" s="135">
        <v>0.62096587087965061</v>
      </c>
      <c r="H9" s="135">
        <v>0.9648845575811964</v>
      </c>
      <c r="I9" s="135">
        <v>4.7655347463629765</v>
      </c>
      <c r="J9" s="135">
        <v>8.090906345231911</v>
      </c>
      <c r="K9" s="135">
        <v>10.908310112571634</v>
      </c>
      <c r="L9" s="135">
        <v>13.298864478668813</v>
      </c>
      <c r="M9" s="135">
        <v>-6.5956200041218773</v>
      </c>
      <c r="N9" s="135">
        <v>10.469202566062384</v>
      </c>
      <c r="O9" s="293">
        <v>0.39999999999999997</v>
      </c>
      <c r="P9" s="293">
        <v>4.3749999999999997E-2</v>
      </c>
      <c r="Q9" s="293">
        <v>6.5500000000000003E-2</v>
      </c>
      <c r="R9" s="293">
        <v>2.3156249999999998</v>
      </c>
      <c r="S9" s="293">
        <v>1.4099999999999998E-2</v>
      </c>
      <c r="T9" s="293">
        <v>1.0549999999999999</v>
      </c>
      <c r="U9" s="293"/>
      <c r="V9" s="17" t="s">
        <v>95</v>
      </c>
      <c r="W9" s="14" t="s">
        <v>96</v>
      </c>
      <c r="X9" s="15" t="s">
        <v>339</v>
      </c>
      <c r="Y9" s="17">
        <v>0.25792300000000001</v>
      </c>
      <c r="Z9" s="17">
        <v>34.719996000000002</v>
      </c>
      <c r="AA9" s="17" t="s">
        <v>372</v>
      </c>
      <c r="AB9" s="17" t="s">
        <v>330</v>
      </c>
      <c r="AC9" s="6" t="s">
        <v>347</v>
      </c>
      <c r="AD9" s="14" t="s">
        <v>371</v>
      </c>
      <c r="AE9" s="65" t="s">
        <v>687</v>
      </c>
      <c r="AF9" s="17" t="s">
        <v>366</v>
      </c>
      <c r="AG9" s="17" t="s">
        <v>684</v>
      </c>
      <c r="AH9" s="35" t="s">
        <v>683</v>
      </c>
      <c r="AI9" s="24">
        <v>7.7716249761315792</v>
      </c>
      <c r="AJ9" s="73">
        <v>6.08</v>
      </c>
      <c r="AK9" s="73">
        <v>0.31496999999999997</v>
      </c>
      <c r="AL9" s="73">
        <v>14.9</v>
      </c>
      <c r="AM9" s="73">
        <v>2.54</v>
      </c>
      <c r="AN9" s="73">
        <v>1932</v>
      </c>
      <c r="AO9" s="73">
        <v>6340</v>
      </c>
      <c r="AP9" s="73">
        <v>73227</v>
      </c>
      <c r="AQ9" s="73">
        <v>873</v>
      </c>
      <c r="AR9" s="73">
        <v>225</v>
      </c>
      <c r="AS9" s="73">
        <v>14736</v>
      </c>
      <c r="AT9" s="73">
        <v>5123</v>
      </c>
      <c r="AU9" s="73">
        <v>5407.7</v>
      </c>
      <c r="AV9" s="73">
        <v>235.8</v>
      </c>
      <c r="AW9" s="73">
        <v>1257.0999999999999</v>
      </c>
      <c r="AX9" s="73">
        <v>2372.6</v>
      </c>
      <c r="AY9" s="73">
        <v>100615</v>
      </c>
      <c r="AZ9" s="73">
        <v>58.942</v>
      </c>
      <c r="BA9" s="73">
        <v>244.79</v>
      </c>
      <c r="BB9" s="73">
        <v>63.5</v>
      </c>
      <c r="BC9" s="73">
        <v>132</v>
      </c>
      <c r="BD9" s="73">
        <v>18.170000000000002</v>
      </c>
      <c r="BE9" s="73">
        <v>7.8</v>
      </c>
      <c r="BF9" s="73">
        <v>0.98</v>
      </c>
      <c r="BG9" s="73">
        <v>84.24</v>
      </c>
      <c r="BH9" s="73">
        <v>90.13</v>
      </c>
      <c r="BI9" s="73">
        <v>15.271000000000001</v>
      </c>
      <c r="BJ9" s="73">
        <v>235.97</v>
      </c>
      <c r="BK9" s="73">
        <v>38.65</v>
      </c>
      <c r="BL9" s="73">
        <v>2.31</v>
      </c>
      <c r="BM9" s="73">
        <v>6.8000000000000005E-2</v>
      </c>
      <c r="BN9" s="73">
        <v>9.2999999999999999E-2</v>
      </c>
      <c r="BO9" s="73">
        <v>2.25</v>
      </c>
      <c r="BP9" s="73">
        <v>0.73799999999999999</v>
      </c>
      <c r="BQ9" s="73">
        <v>2.5179999999999998</v>
      </c>
      <c r="BR9" s="73">
        <v>543.96</v>
      </c>
      <c r="BS9" s="73">
        <v>25.238</v>
      </c>
      <c r="BT9" s="73">
        <v>87.427000000000007</v>
      </c>
      <c r="BU9" s="73">
        <v>5.1989999999999998</v>
      </c>
      <c r="BV9" s="73">
        <v>19.79</v>
      </c>
      <c r="BW9" s="73">
        <v>3.9340000000000002</v>
      </c>
      <c r="BX9" s="73">
        <v>0.84699999999999998</v>
      </c>
      <c r="BY9" s="73">
        <v>3.1389999999999998</v>
      </c>
      <c r="BZ9" s="73">
        <v>0.48699999999999999</v>
      </c>
      <c r="CA9" s="73">
        <v>2.98</v>
      </c>
      <c r="CB9" s="73">
        <v>0.57299999999999995</v>
      </c>
      <c r="CC9" s="73">
        <v>1.694</v>
      </c>
      <c r="CD9" s="73">
        <v>0.25600000000000001</v>
      </c>
      <c r="CE9" s="73">
        <v>1.72</v>
      </c>
      <c r="CF9" s="73">
        <v>0.251</v>
      </c>
      <c r="CG9" s="73">
        <v>5.7409999999999997</v>
      </c>
      <c r="CH9" s="73">
        <v>2.0939999999999999</v>
      </c>
      <c r="CI9" s="73">
        <v>3.3010000000000002</v>
      </c>
      <c r="CJ9" s="73">
        <v>0.42699999999999999</v>
      </c>
      <c r="CK9" s="73">
        <v>20.3</v>
      </c>
      <c r="CL9" s="73">
        <v>2.27</v>
      </c>
      <c r="CM9" s="73">
        <v>9.1829999999999998</v>
      </c>
      <c r="CN9" s="73">
        <v>1.9750000000000001</v>
      </c>
      <c r="CP9" s="136">
        <f t="shared" si="0"/>
        <v>0.40141301583496791</v>
      </c>
      <c r="CQ9" s="136">
        <f t="shared" si="1"/>
        <v>0.37997331601068496</v>
      </c>
      <c r="CR9" s="136">
        <f t="shared" si="2"/>
        <v>1.7440457474506468</v>
      </c>
      <c r="CS9" s="136">
        <f t="shared" si="3"/>
        <v>5.3911998098946379</v>
      </c>
      <c r="CT9" s="136">
        <f t="shared" si="4"/>
        <v>0.3698333205332659</v>
      </c>
      <c r="CU9" s="136">
        <f t="shared" si="5"/>
        <v>2.6564194265056549</v>
      </c>
      <c r="CV9" s="136">
        <f t="shared" si="6"/>
        <v>5.4659744645040691</v>
      </c>
      <c r="CW9" s="136">
        <f t="shared" si="7"/>
        <v>8.3050311505847585</v>
      </c>
      <c r="CX9" s="136">
        <f t="shared" si="8"/>
        <v>13.173957723350508</v>
      </c>
      <c r="CY9" s="136">
        <f t="shared" si="9"/>
        <v>16.38334654398091</v>
      </c>
      <c r="CZ9" s="136">
        <f t="shared" si="10"/>
        <v>-7.1960125454126391</v>
      </c>
      <c r="DA9" s="136">
        <f t="shared" si="11"/>
        <v>12.683504190335796</v>
      </c>
      <c r="DB9" s="22"/>
      <c r="DC9" s="141">
        <f t="shared" si="12"/>
        <v>0.65</v>
      </c>
      <c r="DD9" s="141">
        <f t="shared" si="13"/>
        <v>5.0750000000000003E-2</v>
      </c>
      <c r="DE9" s="141">
        <f t="shared" si="14"/>
        <v>0.31496999999999997</v>
      </c>
      <c r="DF9" s="141">
        <f t="shared" si="15"/>
        <v>19.642187499999999</v>
      </c>
      <c r="DG9" s="141">
        <f t="shared" si="16"/>
        <v>9.2999999999999992E-3</v>
      </c>
      <c r="DH9" s="141">
        <f t="shared" si="17"/>
        <v>4.8957999999999995</v>
      </c>
    </row>
    <row r="10" spans="1:112" s="28" customFormat="1">
      <c r="A10" s="46"/>
      <c r="B10" s="35" t="s">
        <v>881</v>
      </c>
      <c r="C10" s="135">
        <v>235.7071623684555</v>
      </c>
      <c r="D10" s="135">
        <v>7.3154020650325631</v>
      </c>
      <c r="E10" s="135">
        <v>36.282173963870427</v>
      </c>
      <c r="F10" s="140">
        <v>6.2588015960725487</v>
      </c>
      <c r="G10" s="135">
        <v>8.9790547595124721</v>
      </c>
      <c r="H10" s="135">
        <v>4.7432147707169161</v>
      </c>
      <c r="I10" s="135">
        <v>13.160265375794546</v>
      </c>
      <c r="J10" s="135">
        <v>11.883464265361434</v>
      </c>
      <c r="K10" s="135">
        <v>16.728586531334404</v>
      </c>
      <c r="L10" s="135">
        <v>16.80368212634448</v>
      </c>
      <c r="M10" s="135">
        <v>-3.2829301160898523</v>
      </c>
      <c r="N10" s="135">
        <v>13.545635216927161</v>
      </c>
      <c r="O10" s="293">
        <v>134.625</v>
      </c>
      <c r="P10" s="293">
        <v>0.60624999999999996</v>
      </c>
      <c r="Q10" s="293">
        <v>3.7010000000000001</v>
      </c>
      <c r="R10" s="293">
        <v>26.285937499999999</v>
      </c>
      <c r="S10" s="293">
        <v>0.1401</v>
      </c>
      <c r="T10" s="293">
        <v>8.8992000000000004</v>
      </c>
      <c r="U10" s="293"/>
      <c r="V10" s="17" t="s">
        <v>97</v>
      </c>
      <c r="W10" s="14" t="s">
        <v>98</v>
      </c>
      <c r="X10" s="15" t="s">
        <v>339</v>
      </c>
      <c r="Y10" s="17">
        <v>0.258245</v>
      </c>
      <c r="Z10" s="17">
        <v>34.717754999999997</v>
      </c>
      <c r="AA10" s="17" t="s">
        <v>372</v>
      </c>
      <c r="AB10" s="17" t="s">
        <v>330</v>
      </c>
      <c r="AC10" s="6" t="s">
        <v>347</v>
      </c>
      <c r="AD10" s="14" t="s">
        <v>371</v>
      </c>
      <c r="AE10" s="65" t="s">
        <v>687</v>
      </c>
      <c r="AF10" s="17" t="s">
        <v>366</v>
      </c>
      <c r="AG10" s="17" t="s">
        <v>684</v>
      </c>
      <c r="AH10" s="35" t="s">
        <v>683</v>
      </c>
      <c r="AI10" s="24">
        <v>7.3947313835304858</v>
      </c>
      <c r="AJ10" s="73">
        <v>5.78</v>
      </c>
      <c r="AK10" s="73">
        <v>0.44583999999999996</v>
      </c>
      <c r="AL10" s="73">
        <v>17</v>
      </c>
      <c r="AM10" s="73">
        <v>3.2</v>
      </c>
      <c r="AN10" s="73">
        <v>1419</v>
      </c>
      <c r="AO10" s="73">
        <v>4722</v>
      </c>
      <c r="AP10" s="73">
        <v>84750</v>
      </c>
      <c r="AQ10" s="73">
        <v>761</v>
      </c>
      <c r="AR10" s="73">
        <v>222</v>
      </c>
      <c r="AS10" s="73">
        <v>13368</v>
      </c>
      <c r="AT10" s="73">
        <v>3154</v>
      </c>
      <c r="AU10" s="73">
        <v>5540.8</v>
      </c>
      <c r="AV10" s="73">
        <v>277.89999999999998</v>
      </c>
      <c r="AW10" s="73">
        <v>1344</v>
      </c>
      <c r="AX10" s="73">
        <v>1870.2</v>
      </c>
      <c r="AY10" s="73">
        <v>120621</v>
      </c>
      <c r="AZ10" s="73">
        <v>61</v>
      </c>
      <c r="BA10" s="73">
        <v>277.10000000000002</v>
      </c>
      <c r="BB10" s="73">
        <v>66.98</v>
      </c>
      <c r="BC10" s="73">
        <v>109</v>
      </c>
      <c r="BD10" s="73">
        <v>21.03</v>
      </c>
      <c r="BE10" s="73">
        <v>8.4</v>
      </c>
      <c r="BF10" s="73">
        <v>1.0900000000000001</v>
      </c>
      <c r="BG10" s="73">
        <v>79.430000000000007</v>
      </c>
      <c r="BH10" s="73">
        <v>73.41</v>
      </c>
      <c r="BI10" s="73">
        <v>14.095000000000001</v>
      </c>
      <c r="BJ10" s="73">
        <v>270.27</v>
      </c>
      <c r="BK10" s="73">
        <v>44.417999999999999</v>
      </c>
      <c r="BL10" s="73">
        <v>2.77</v>
      </c>
      <c r="BM10" s="73">
        <v>7.4999999999999997E-2</v>
      </c>
      <c r="BN10" s="73">
        <v>7.3999999999999996E-2</v>
      </c>
      <c r="BO10" s="73">
        <v>2.91</v>
      </c>
      <c r="BP10" s="73">
        <v>0.82599999999999996</v>
      </c>
      <c r="BQ10" s="73">
        <v>2.7069999999999999</v>
      </c>
      <c r="BR10" s="73">
        <v>453.17</v>
      </c>
      <c r="BS10" s="73">
        <v>21.922000000000001</v>
      </c>
      <c r="BT10" s="73">
        <v>98.762</v>
      </c>
      <c r="BU10" s="73">
        <v>4.5190000000000001</v>
      </c>
      <c r="BV10" s="73">
        <v>17.34</v>
      </c>
      <c r="BW10" s="73">
        <v>3.5190000000000001</v>
      </c>
      <c r="BX10" s="73">
        <v>0.72699999999999998</v>
      </c>
      <c r="BY10" s="73">
        <v>2.86</v>
      </c>
      <c r="BZ10" s="73">
        <v>0.45700000000000002</v>
      </c>
      <c r="CA10" s="73">
        <v>2.7360000000000002</v>
      </c>
      <c r="CB10" s="73">
        <v>0.56499999999999995</v>
      </c>
      <c r="CC10" s="73">
        <v>1.6379999999999999</v>
      </c>
      <c r="CD10" s="73">
        <v>0.26200000000000001</v>
      </c>
      <c r="CE10" s="73">
        <v>1.6870000000000001</v>
      </c>
      <c r="CF10" s="73">
        <v>0.25600000000000001</v>
      </c>
      <c r="CG10" s="73">
        <v>6.3079999999999998</v>
      </c>
      <c r="CH10" s="73">
        <v>2.456</v>
      </c>
      <c r="CI10" s="73">
        <v>2.859</v>
      </c>
      <c r="CJ10" s="73">
        <v>0.42399999999999999</v>
      </c>
      <c r="CK10" s="73">
        <v>18.5</v>
      </c>
      <c r="CL10" s="73">
        <v>1.92</v>
      </c>
      <c r="CM10" s="73">
        <v>8.7330000000000005</v>
      </c>
      <c r="CN10" s="73">
        <v>2.1110000000000002</v>
      </c>
      <c r="CP10" s="136">
        <f t="shared" si="0"/>
        <v>0.36059187820675065</v>
      </c>
      <c r="CQ10" s="136">
        <f t="shared" si="1"/>
        <v>0.28884748888487249</v>
      </c>
      <c r="CR10" s="136">
        <f t="shared" si="2"/>
        <v>2.05924262406183</v>
      </c>
      <c r="CS10" s="136">
        <f t="shared" si="3"/>
        <v>4.8078917094233429</v>
      </c>
      <c r="CT10" s="136">
        <f t="shared" si="4"/>
        <v>0.24546784782688977</v>
      </c>
      <c r="CU10" s="136">
        <f t="shared" si="5"/>
        <v>2.5082990169468466</v>
      </c>
      <c r="CV10" s="136">
        <f t="shared" si="6"/>
        <v>5.572889668420582</v>
      </c>
      <c r="CW10" s="136">
        <f t="shared" si="7"/>
        <v>8.1710766939158948</v>
      </c>
      <c r="CX10" s="136">
        <f t="shared" si="8"/>
        <v>13.675269359337564</v>
      </c>
      <c r="CY10" s="136">
        <f t="shared" si="9"/>
        <v>16.479780264029099</v>
      </c>
      <c r="CZ10" s="136">
        <f t="shared" si="10"/>
        <v>-7.5257179908917209</v>
      </c>
      <c r="DA10" s="136">
        <f t="shared" si="11"/>
        <v>12.862366277949253</v>
      </c>
      <c r="DB10" s="22"/>
      <c r="DC10" s="141">
        <f t="shared" si="12"/>
        <v>0.70000000000000007</v>
      </c>
      <c r="DD10" s="141">
        <f t="shared" si="13"/>
        <v>4.6249999999999999E-2</v>
      </c>
      <c r="DE10" s="141">
        <f t="shared" si="14"/>
        <v>0.44583999999999996</v>
      </c>
      <c r="DF10" s="141">
        <f t="shared" si="15"/>
        <v>21</v>
      </c>
      <c r="DG10" s="141">
        <f t="shared" si="16"/>
        <v>7.3999999999999995E-3</v>
      </c>
      <c r="DH10" s="141">
        <f t="shared" si="17"/>
        <v>5.5420000000000007</v>
      </c>
    </row>
    <row r="11" spans="1:112" s="28" customFormat="1">
      <c r="A11" s="46"/>
      <c r="B11" s="35" t="s">
        <v>882</v>
      </c>
      <c r="C11" s="135">
        <v>39.89346841116312</v>
      </c>
      <c r="D11" s="135">
        <v>2.5414300173705588</v>
      </c>
      <c r="E11" s="135">
        <v>12.199739335544628</v>
      </c>
      <c r="F11" s="140">
        <v>3.8612880756066801</v>
      </c>
      <c r="G11" s="135">
        <v>3.0170955085032802</v>
      </c>
      <c r="H11" s="135">
        <v>2.4854989584321294</v>
      </c>
      <c r="I11" s="135">
        <v>6.9271548591014485</v>
      </c>
      <c r="J11" s="135">
        <v>9.5246553037096131</v>
      </c>
      <c r="K11" s="135">
        <v>13.270211978583063</v>
      </c>
      <c r="L11" s="135">
        <v>15.110392303475981</v>
      </c>
      <c r="M11" s="135">
        <v>-5.6176842425635618</v>
      </c>
      <c r="N11" s="135">
        <v>11.772873573796502</v>
      </c>
      <c r="O11" s="293">
        <v>23.211111111111112</v>
      </c>
      <c r="P11" s="293">
        <v>0.18779166666666666</v>
      </c>
      <c r="Q11" s="293">
        <v>1.0965150000000001</v>
      </c>
      <c r="R11" s="293">
        <v>11.983593749999999</v>
      </c>
      <c r="S11" s="293">
        <v>4.2766666666666668E-2</v>
      </c>
      <c r="T11" s="293">
        <v>3.8478999999999997</v>
      </c>
      <c r="U11" s="293"/>
      <c r="V11" s="17" t="s">
        <v>99</v>
      </c>
      <c r="W11" s="14" t="s">
        <v>100</v>
      </c>
      <c r="X11" s="15" t="s">
        <v>339</v>
      </c>
      <c r="Y11" s="17">
        <v>0.25792300000000001</v>
      </c>
      <c r="Z11" s="17">
        <v>34.719996000000002</v>
      </c>
      <c r="AA11" s="17" t="s">
        <v>372</v>
      </c>
      <c r="AB11" s="17" t="s">
        <v>330</v>
      </c>
      <c r="AC11" s="6" t="s">
        <v>347</v>
      </c>
      <c r="AD11" s="14" t="s">
        <v>371</v>
      </c>
      <c r="AE11" s="65" t="s">
        <v>687</v>
      </c>
      <c r="AF11" s="17" t="s">
        <v>367</v>
      </c>
      <c r="AG11" s="17" t="s">
        <v>684</v>
      </c>
      <c r="AH11" s="35" t="s">
        <v>683</v>
      </c>
      <c r="AI11" s="24">
        <v>7.0130069363021814</v>
      </c>
      <c r="AJ11" s="73">
        <v>5.05</v>
      </c>
      <c r="AK11" s="73">
        <v>9.7669999999999993E-2</v>
      </c>
      <c r="AL11" s="73">
        <v>20.6</v>
      </c>
      <c r="AM11" s="73">
        <v>2.74</v>
      </c>
      <c r="AN11" s="73">
        <v>1906</v>
      </c>
      <c r="AO11" s="73">
        <v>3871</v>
      </c>
      <c r="AP11" s="73">
        <v>90294</v>
      </c>
      <c r="AQ11" s="73">
        <v>501</v>
      </c>
      <c r="AR11" s="73">
        <v>162</v>
      </c>
      <c r="AS11" s="73">
        <v>12362</v>
      </c>
      <c r="AT11" s="73">
        <v>2407</v>
      </c>
      <c r="AU11" s="73">
        <v>6890.8</v>
      </c>
      <c r="AV11" s="73">
        <v>252.8</v>
      </c>
      <c r="AW11" s="73">
        <v>611.9</v>
      </c>
      <c r="AX11" s="73">
        <v>1420.9</v>
      </c>
      <c r="AY11" s="73">
        <v>98434</v>
      </c>
      <c r="AZ11" s="73">
        <v>62.935000000000002</v>
      </c>
      <c r="BA11" s="73">
        <v>152.46</v>
      </c>
      <c r="BB11" s="73">
        <v>63.47</v>
      </c>
      <c r="BC11" s="73">
        <v>99</v>
      </c>
      <c r="BD11" s="73">
        <v>23.38</v>
      </c>
      <c r="BE11" s="73">
        <v>7.2</v>
      </c>
      <c r="BF11" s="73">
        <v>0.76</v>
      </c>
      <c r="BG11" s="73">
        <v>78.23</v>
      </c>
      <c r="BH11" s="73">
        <v>68.599999999999994</v>
      </c>
      <c r="BI11" s="73">
        <v>25.96</v>
      </c>
      <c r="BJ11" s="73">
        <v>333.61</v>
      </c>
      <c r="BK11" s="73">
        <v>68.930999999999997</v>
      </c>
      <c r="BL11" s="73">
        <v>3.87</v>
      </c>
      <c r="BM11" s="73">
        <v>7.0000000000000007E-2</v>
      </c>
      <c r="BN11" s="73">
        <v>6.6000000000000003E-2</v>
      </c>
      <c r="BO11" s="73">
        <v>3.34</v>
      </c>
      <c r="BP11" s="73">
        <v>0.61499999999999999</v>
      </c>
      <c r="BQ11" s="73">
        <v>2.9689999999999999</v>
      </c>
      <c r="BR11" s="73">
        <v>452.85</v>
      </c>
      <c r="BS11" s="73">
        <v>47.421999999999997</v>
      </c>
      <c r="BT11" s="73">
        <v>150.239</v>
      </c>
      <c r="BU11" s="73">
        <v>9.7629999999999999</v>
      </c>
      <c r="BV11" s="73">
        <v>36.42</v>
      </c>
      <c r="BW11" s="73">
        <v>6.609</v>
      </c>
      <c r="BX11" s="73">
        <v>1.2569999999999999</v>
      </c>
      <c r="BY11" s="73">
        <v>5.266</v>
      </c>
      <c r="BZ11" s="73">
        <v>0.82199999999999995</v>
      </c>
      <c r="CA11" s="73">
        <v>4.9290000000000003</v>
      </c>
      <c r="CB11" s="73">
        <v>0.97399999999999998</v>
      </c>
      <c r="CC11" s="73">
        <v>2.8159999999999998</v>
      </c>
      <c r="CD11" s="73">
        <v>0.437</v>
      </c>
      <c r="CE11" s="73">
        <v>2.762</v>
      </c>
      <c r="CF11" s="73">
        <v>0.40400000000000003</v>
      </c>
      <c r="CG11" s="73">
        <v>7.6870000000000003</v>
      </c>
      <c r="CH11" s="73">
        <v>3.69</v>
      </c>
      <c r="CI11" s="73">
        <v>5.3259999999999996</v>
      </c>
      <c r="CJ11" s="73">
        <v>0.48499999999999999</v>
      </c>
      <c r="CK11" s="73">
        <v>20.6</v>
      </c>
      <c r="CL11" s="73">
        <v>0.6</v>
      </c>
      <c r="CM11" s="73">
        <v>11.568</v>
      </c>
      <c r="CN11" s="73">
        <v>3.2040000000000002</v>
      </c>
      <c r="CP11" s="136">
        <f t="shared" si="0"/>
        <v>0.37874502951514838</v>
      </c>
      <c r="CQ11" s="136">
        <f t="shared" si="1"/>
        <v>0.3941321653360344</v>
      </c>
      <c r="CR11" s="136">
        <f t="shared" si="2"/>
        <v>0.55279927879452995</v>
      </c>
      <c r="CS11" s="136">
        <f t="shared" si="3"/>
        <v>2.6823389300962881</v>
      </c>
      <c r="CT11" s="136">
        <f t="shared" si="4"/>
        <v>0.26827772923989679</v>
      </c>
      <c r="CU11" s="136">
        <f t="shared" si="5"/>
        <v>1.6911280327426885</v>
      </c>
      <c r="CV11" s="136">
        <f t="shared" si="6"/>
        <v>5.3504972470841334</v>
      </c>
      <c r="CW11" s="136">
        <f t="shared" si="7"/>
        <v>8.3261957605828023</v>
      </c>
      <c r="CX11" s="136">
        <f t="shared" si="8"/>
        <v>11.484730702633641</v>
      </c>
      <c r="CY11" s="136">
        <f t="shared" si="9"/>
        <v>15.344614930197734</v>
      </c>
      <c r="CZ11" s="136">
        <f t="shared" si="10"/>
        <v>-7.6907772371622167</v>
      </c>
      <c r="DA11" s="136">
        <f t="shared" si="11"/>
        <v>12.000390348354985</v>
      </c>
      <c r="DB11" s="22"/>
      <c r="DC11" s="141">
        <f t="shared" si="12"/>
        <v>0.6</v>
      </c>
      <c r="DD11" s="141">
        <f t="shared" si="13"/>
        <v>5.1500000000000004E-2</v>
      </c>
      <c r="DE11" s="141">
        <f t="shared" si="14"/>
        <v>9.7669999999999993E-2</v>
      </c>
      <c r="DF11" s="141">
        <f t="shared" si="15"/>
        <v>9.5609374999999996</v>
      </c>
      <c r="DG11" s="141">
        <f>BN11/1.4</f>
        <v>4.7142857142857146E-2</v>
      </c>
      <c r="DH11" s="141">
        <f t="shared" si="17"/>
        <v>3.0492000000000004</v>
      </c>
    </row>
    <row r="12" spans="1:112" s="28" customFormat="1">
      <c r="A12" s="46" t="s">
        <v>884</v>
      </c>
      <c r="B12" s="35" t="s">
        <v>880</v>
      </c>
      <c r="C12" s="135">
        <v>0.27872803843161376</v>
      </c>
      <c r="D12" s="135">
        <v>0.31192494168017593</v>
      </c>
      <c r="E12" s="135">
        <v>0.55279927879452995</v>
      </c>
      <c r="F12" s="140">
        <v>0.65288732340958666</v>
      </c>
      <c r="G12" s="135">
        <v>0.26827772923989679</v>
      </c>
      <c r="H12" s="135">
        <v>0.68316998989254074</v>
      </c>
      <c r="I12" s="135">
        <v>2.9879271676994246</v>
      </c>
      <c r="J12" s="135">
        <v>7.0659599881016799</v>
      </c>
      <c r="K12" s="135">
        <v>10.692510368545616</v>
      </c>
      <c r="L12" s="135">
        <v>11.651231119702372</v>
      </c>
      <c r="M12" s="135">
        <v>-8.780975046133797</v>
      </c>
      <c r="N12" s="135">
        <v>8.6722032629959394</v>
      </c>
      <c r="O12" s="293">
        <v>0.11666666666666665</v>
      </c>
      <c r="P12" s="293">
        <v>2.1499999999999998E-2</v>
      </c>
      <c r="Q12" s="293">
        <v>5.6399999999999999E-2</v>
      </c>
      <c r="R12" s="293">
        <v>0.73906249999999996</v>
      </c>
      <c r="S12" s="293">
        <v>2.2142857142857145E-2</v>
      </c>
      <c r="T12" s="293">
        <v>0.30359999999999998</v>
      </c>
      <c r="U12" s="293"/>
      <c r="V12" s="17" t="s">
        <v>101</v>
      </c>
      <c r="W12" s="14" t="s">
        <v>102</v>
      </c>
      <c r="X12" s="15" t="s">
        <v>339</v>
      </c>
      <c r="Y12" s="17">
        <v>0.25812800000000002</v>
      </c>
      <c r="Z12" s="17">
        <v>34.720103999999999</v>
      </c>
      <c r="AA12" s="17" t="s">
        <v>372</v>
      </c>
      <c r="AB12" s="17" t="s">
        <v>330</v>
      </c>
      <c r="AC12" s="6" t="s">
        <v>347</v>
      </c>
      <c r="AD12" s="14" t="s">
        <v>371</v>
      </c>
      <c r="AE12" s="65" t="s">
        <v>687</v>
      </c>
      <c r="AF12" s="17" t="s">
        <v>366</v>
      </c>
      <c r="AG12" s="17" t="s">
        <v>684</v>
      </c>
      <c r="AH12" s="35" t="s">
        <v>683</v>
      </c>
      <c r="AI12" s="24">
        <v>1.9003498156376444</v>
      </c>
      <c r="AJ12" s="73">
        <v>7.52</v>
      </c>
      <c r="AK12" s="73">
        <v>2.2800000000000001E-2</v>
      </c>
      <c r="AL12" s="73">
        <v>10.3</v>
      </c>
      <c r="AM12" s="73">
        <v>1.59</v>
      </c>
      <c r="AN12" s="73">
        <v>21548</v>
      </c>
      <c r="AO12" s="73">
        <v>15263</v>
      </c>
      <c r="AP12" s="73">
        <v>77107</v>
      </c>
      <c r="AQ12" s="73">
        <v>874</v>
      </c>
      <c r="AR12" s="73">
        <v>54</v>
      </c>
      <c r="AS12" s="73">
        <v>26111</v>
      </c>
      <c r="AT12" s="73">
        <v>21368</v>
      </c>
      <c r="AU12" s="73">
        <v>2873.9</v>
      </c>
      <c r="AV12" s="73">
        <v>71.400000000000006</v>
      </c>
      <c r="AW12" s="73">
        <v>299.2</v>
      </c>
      <c r="AX12" s="73">
        <v>971.3</v>
      </c>
      <c r="AY12" s="73">
        <v>32121</v>
      </c>
      <c r="AZ12" s="73">
        <v>28.725999999999999</v>
      </c>
      <c r="BA12" s="73">
        <v>185.34</v>
      </c>
      <c r="BB12" s="73">
        <v>69.180000000000007</v>
      </c>
      <c r="BC12" s="73">
        <v>70</v>
      </c>
      <c r="BD12" s="73">
        <v>16.18</v>
      </c>
      <c r="BE12" s="73">
        <v>2.8</v>
      </c>
      <c r="BF12" s="73" t="s">
        <v>91</v>
      </c>
      <c r="BG12" s="73">
        <v>102.51</v>
      </c>
      <c r="BH12" s="73">
        <v>537.72</v>
      </c>
      <c r="BI12" s="73">
        <v>15.032</v>
      </c>
      <c r="BJ12" s="73">
        <v>131.77000000000001</v>
      </c>
      <c r="BK12" s="73">
        <v>6.032</v>
      </c>
      <c r="BL12" s="73">
        <v>0.38</v>
      </c>
      <c r="BM12" s="73">
        <v>8.5000000000000006E-2</v>
      </c>
      <c r="BN12" s="73">
        <v>7.6999999999999999E-2</v>
      </c>
      <c r="BO12" s="73">
        <v>1.25</v>
      </c>
      <c r="BP12" s="73">
        <v>0.34</v>
      </c>
      <c r="BQ12" s="73">
        <v>2.3559999999999999</v>
      </c>
      <c r="BR12" s="73">
        <v>1043.9100000000001</v>
      </c>
      <c r="BS12" s="73">
        <v>36.694000000000003</v>
      </c>
      <c r="BT12" s="73">
        <v>96.028999999999996</v>
      </c>
      <c r="BU12" s="73">
        <v>8.3160000000000007</v>
      </c>
      <c r="BV12" s="73">
        <v>31.97</v>
      </c>
      <c r="BW12" s="73">
        <v>5.6029999999999998</v>
      </c>
      <c r="BX12" s="73">
        <v>1.49</v>
      </c>
      <c r="BY12" s="73">
        <v>4.0279999999999996</v>
      </c>
      <c r="BZ12" s="73">
        <v>0.52500000000000002</v>
      </c>
      <c r="CA12" s="73">
        <v>2.8639999999999999</v>
      </c>
      <c r="CB12" s="73">
        <v>0.55400000000000005</v>
      </c>
      <c r="CC12" s="73">
        <v>1.4770000000000001</v>
      </c>
      <c r="CD12" s="73">
        <v>0.216</v>
      </c>
      <c r="CE12" s="73">
        <v>1.343</v>
      </c>
      <c r="CF12" s="73">
        <v>0.19400000000000001</v>
      </c>
      <c r="CG12" s="73">
        <v>3.8130000000000002</v>
      </c>
      <c r="CH12" s="73">
        <v>0.39500000000000002</v>
      </c>
      <c r="CI12" s="73">
        <v>5.7590000000000003</v>
      </c>
      <c r="CJ12" s="73">
        <v>0.51500000000000001</v>
      </c>
      <c r="CK12" s="73">
        <v>11.7</v>
      </c>
      <c r="CL12" s="73">
        <v>0.09</v>
      </c>
      <c r="CM12" s="73">
        <v>7.0890000000000004</v>
      </c>
      <c r="CN12" s="73">
        <v>1.6539999999999999</v>
      </c>
      <c r="CP12" s="136">
        <f t="shared" si="0"/>
        <v>0.45136569991777409</v>
      </c>
      <c r="CQ12" s="136">
        <f t="shared" si="1"/>
        <v>0.68598812361425887</v>
      </c>
      <c r="CR12" s="136">
        <f t="shared" si="2"/>
        <v>0.39545512045237174</v>
      </c>
      <c r="CS12" s="136">
        <f t="shared" si="3"/>
        <v>4.0193040897439891</v>
      </c>
      <c r="CT12" s="136">
        <f t="shared" si="4"/>
        <v>0.95915211232527009</v>
      </c>
      <c r="CU12" s="136">
        <f t="shared" si="5"/>
        <v>6.3000762837426212</v>
      </c>
      <c r="CV12" s="136">
        <f t="shared" si="6"/>
        <v>3.987927167699425</v>
      </c>
      <c r="CW12" s="136">
        <f t="shared" si="7"/>
        <v>7.5100599529829859</v>
      </c>
      <c r="CX12" s="136">
        <f t="shared" si="8"/>
        <v>9.3858490303115634</v>
      </c>
      <c r="CY12" s="136">
        <f t="shared" si="9"/>
        <v>14.312429206250615</v>
      </c>
      <c r="CZ12" s="136">
        <f t="shared" si="10"/>
        <v>-7.46838481582577</v>
      </c>
      <c r="DA12" s="136">
        <f t="shared" si="11"/>
        <v>12.282133843929268</v>
      </c>
      <c r="DB12" s="22"/>
      <c r="DC12" s="141">
        <f t="shared" si="12"/>
        <v>0.23333333333333331</v>
      </c>
      <c r="DD12" s="141">
        <f t="shared" si="13"/>
        <v>2.9249999999999998E-2</v>
      </c>
      <c r="DE12" s="141">
        <f t="shared" si="14"/>
        <v>2.2800000000000001E-2</v>
      </c>
      <c r="DF12" s="141">
        <f t="shared" si="15"/>
        <v>4.6749999999999998</v>
      </c>
      <c r="DG12" s="141">
        <f t="shared" si="16"/>
        <v>7.7000000000000002E-3</v>
      </c>
      <c r="DH12" s="141">
        <f t="shared" si="17"/>
        <v>3.7067999999999999</v>
      </c>
    </row>
    <row r="13" spans="1:112" s="28" customFormat="1">
      <c r="A13" s="46"/>
      <c r="B13" s="35" t="s">
        <v>881</v>
      </c>
      <c r="C13" s="135">
        <v>75.079002134539763</v>
      </c>
      <c r="D13" s="135">
        <v>6.2828418662882548</v>
      </c>
      <c r="E13" s="135">
        <v>195.46887618131939</v>
      </c>
      <c r="F13" s="140">
        <v>5.4426325039842993</v>
      </c>
      <c r="G13" s="135">
        <v>8.9941948696625502</v>
      </c>
      <c r="H13" s="135">
        <v>8.463243380095598</v>
      </c>
      <c r="I13" s="135">
        <v>11.888147075568794</v>
      </c>
      <c r="J13" s="135">
        <v>11.227472749727793</v>
      </c>
      <c r="K13" s="135">
        <v>19.242718174263363</v>
      </c>
      <c r="L13" s="135">
        <v>15.634935806141073</v>
      </c>
      <c r="M13" s="135">
        <v>-3.7169711777074452</v>
      </c>
      <c r="N13" s="135">
        <v>13.593122907544993</v>
      </c>
      <c r="O13" s="293">
        <v>55.741666666666667</v>
      </c>
      <c r="P13" s="293">
        <v>0.38475000000000004</v>
      </c>
      <c r="Q13" s="293">
        <v>21.142099999999999</v>
      </c>
      <c r="R13" s="293">
        <v>11.692187499999999</v>
      </c>
      <c r="S13" s="293">
        <v>0.74071428571428566</v>
      </c>
      <c r="T13" s="293">
        <v>9.197000000000001</v>
      </c>
      <c r="U13" s="293"/>
      <c r="V13" s="17" t="s">
        <v>103</v>
      </c>
      <c r="W13" s="17" t="s">
        <v>104</v>
      </c>
      <c r="X13" s="15" t="s">
        <v>339</v>
      </c>
      <c r="Y13" s="17">
        <v>0.25792300000000001</v>
      </c>
      <c r="Z13" s="17">
        <v>34.719996000000002</v>
      </c>
      <c r="AA13" s="17" t="s">
        <v>372</v>
      </c>
      <c r="AB13" s="17" t="s">
        <v>330</v>
      </c>
      <c r="AC13" s="6" t="s">
        <v>347</v>
      </c>
      <c r="AD13" s="14" t="s">
        <v>371</v>
      </c>
      <c r="AE13" s="65" t="s">
        <v>687</v>
      </c>
      <c r="AF13" s="17" t="s">
        <v>365</v>
      </c>
      <c r="AG13" s="17" t="s">
        <v>685</v>
      </c>
      <c r="AH13" s="35" t="s">
        <v>691</v>
      </c>
      <c r="AI13" s="24">
        <v>3.6492166602980403</v>
      </c>
      <c r="AJ13" s="73">
        <v>6.45</v>
      </c>
      <c r="AK13" s="73">
        <v>1.3671899999999999</v>
      </c>
      <c r="AL13" s="73">
        <v>11.8</v>
      </c>
      <c r="AM13" s="73">
        <v>2.44</v>
      </c>
      <c r="AN13" s="73">
        <v>5019</v>
      </c>
      <c r="AO13" s="73">
        <v>6937</v>
      </c>
      <c r="AP13" s="73">
        <v>59906</v>
      </c>
      <c r="AQ13" s="73">
        <v>605</v>
      </c>
      <c r="AR13" s="73">
        <v>643</v>
      </c>
      <c r="AS13" s="73">
        <v>10276</v>
      </c>
      <c r="AT13" s="73">
        <v>8744</v>
      </c>
      <c r="AU13" s="73">
        <v>4180.7</v>
      </c>
      <c r="AV13" s="73">
        <v>240.8</v>
      </c>
      <c r="AW13" s="73">
        <v>1244.5999999999999</v>
      </c>
      <c r="AX13" s="73">
        <v>1912</v>
      </c>
      <c r="AY13" s="73">
        <v>100650</v>
      </c>
      <c r="AZ13" s="73">
        <v>54.261000000000003</v>
      </c>
      <c r="BA13" s="73">
        <v>182.54</v>
      </c>
      <c r="BB13" s="73">
        <v>69.84</v>
      </c>
      <c r="BC13" s="73">
        <v>91</v>
      </c>
      <c r="BD13" s="73">
        <v>15.14</v>
      </c>
      <c r="BE13" s="73">
        <v>413</v>
      </c>
      <c r="BF13" s="73">
        <v>0.87</v>
      </c>
      <c r="BG13" s="73">
        <v>54.7</v>
      </c>
      <c r="BH13" s="73">
        <v>130.68</v>
      </c>
      <c r="BI13" s="73">
        <v>11.412000000000001</v>
      </c>
      <c r="BJ13" s="73">
        <v>165.93</v>
      </c>
      <c r="BK13" s="73">
        <v>25.398</v>
      </c>
      <c r="BL13" s="73">
        <v>2.4500000000000002</v>
      </c>
      <c r="BM13" s="73">
        <v>0.14299999999999999</v>
      </c>
      <c r="BN13" s="73">
        <v>0.112</v>
      </c>
      <c r="BO13" s="73">
        <v>1.72</v>
      </c>
      <c r="BP13" s="73">
        <v>1.02</v>
      </c>
      <c r="BQ13" s="73">
        <v>1.821</v>
      </c>
      <c r="BR13" s="73">
        <v>398.7</v>
      </c>
      <c r="BS13" s="73">
        <v>17.762</v>
      </c>
      <c r="BT13" s="73">
        <v>77.239999999999995</v>
      </c>
      <c r="BU13" s="73">
        <v>3.948</v>
      </c>
      <c r="BV13" s="73">
        <v>15.27</v>
      </c>
      <c r="BW13" s="73">
        <v>3.1059999999999999</v>
      </c>
      <c r="BX13" s="73">
        <v>0.71399999999999997</v>
      </c>
      <c r="BY13" s="73">
        <v>2.4980000000000002</v>
      </c>
      <c r="BZ13" s="73">
        <v>0.36599999999999999</v>
      </c>
      <c r="CA13" s="73">
        <v>2.3090000000000002</v>
      </c>
      <c r="CB13" s="73">
        <v>0.439</v>
      </c>
      <c r="CC13" s="73">
        <v>1.294</v>
      </c>
      <c r="CD13" s="73">
        <v>0.20699999999999999</v>
      </c>
      <c r="CE13" s="73">
        <v>1.3340000000000001</v>
      </c>
      <c r="CF13" s="73">
        <v>0.20699999999999999</v>
      </c>
      <c r="CG13" s="73">
        <v>4.1609999999999996</v>
      </c>
      <c r="CH13" s="73">
        <v>1.3560000000000001</v>
      </c>
      <c r="CI13" s="73">
        <v>5.6929999999999996</v>
      </c>
      <c r="CJ13" s="73">
        <v>0.312</v>
      </c>
      <c r="CK13" s="73">
        <v>25</v>
      </c>
      <c r="CL13" s="73">
        <v>8.35</v>
      </c>
      <c r="CM13" s="73">
        <v>5.5860000000000003</v>
      </c>
      <c r="CN13" s="73">
        <v>1.5640000000000001</v>
      </c>
      <c r="CP13" s="136">
        <f t="shared" si="0"/>
        <v>21.246913591069813</v>
      </c>
      <c r="CQ13" s="136">
        <f t="shared" si="1"/>
        <v>0.46778470961429358</v>
      </c>
      <c r="CR13" s="136">
        <f t="shared" si="2"/>
        <v>7.5677453102303378</v>
      </c>
      <c r="CS13" s="136">
        <f t="shared" si="3"/>
        <v>5.3357362097347636</v>
      </c>
      <c r="CT13" s="136">
        <f t="shared" si="4"/>
        <v>0.44523578557557697</v>
      </c>
      <c r="CU13" s="136">
        <f t="shared" si="5"/>
        <v>1.9802041838444551</v>
      </c>
      <c r="CV13" s="136">
        <f t="shared" si="6"/>
        <v>11.192498311948629</v>
      </c>
      <c r="CW13" s="136">
        <f t="shared" si="7"/>
        <v>8.605479518061669</v>
      </c>
      <c r="CX13" s="136">
        <f t="shared" si="8"/>
        <v>15.291885145597119</v>
      </c>
      <c r="CY13" s="136">
        <f t="shared" si="9"/>
        <v>16.368929277250352</v>
      </c>
      <c r="CZ13" s="136">
        <f t="shared" si="10"/>
        <v>-6.9278164344630664</v>
      </c>
      <c r="DA13" s="136">
        <f t="shared" si="11"/>
        <v>12.260172203607054</v>
      </c>
      <c r="DB13" s="22"/>
      <c r="DC13" s="141">
        <f t="shared" si="12"/>
        <v>34.416666666666664</v>
      </c>
      <c r="DD13" s="141">
        <f t="shared" si="13"/>
        <v>6.25E-2</v>
      </c>
      <c r="DE13" s="141">
        <f t="shared" si="14"/>
        <v>1.3671899999999999</v>
      </c>
      <c r="DF13" s="141">
        <f t="shared" si="15"/>
        <v>19.446874999999999</v>
      </c>
      <c r="DG13" s="141">
        <f t="shared" si="16"/>
        <v>1.12E-2</v>
      </c>
      <c r="DH13" s="141">
        <f t="shared" si="17"/>
        <v>3.6507999999999998</v>
      </c>
    </row>
    <row r="14" spans="1:112" s="28" customFormat="1">
      <c r="A14" s="46"/>
      <c r="B14" s="35" t="s">
        <v>882</v>
      </c>
      <c r="C14" s="135">
        <v>10.242543916480681</v>
      </c>
      <c r="D14" s="135">
        <v>1.2286075570541464</v>
      </c>
      <c r="E14" s="135">
        <v>27.988285672194987</v>
      </c>
      <c r="F14" s="140">
        <v>1.7615956932426926</v>
      </c>
      <c r="G14" s="135">
        <v>1.6315276994588084</v>
      </c>
      <c r="H14" s="135">
        <v>1.6533937741861555</v>
      </c>
      <c r="I14" s="135">
        <v>7.2233753302527646</v>
      </c>
      <c r="J14" s="135">
        <v>8.5924823126587864</v>
      </c>
      <c r="K14" s="135">
        <v>14.400224217333509</v>
      </c>
      <c r="L14" s="135">
        <v>13.630583452808352</v>
      </c>
      <c r="M14" s="135">
        <v>-6.5098653953674619</v>
      </c>
      <c r="N14" s="135">
        <v>10.752994632258249</v>
      </c>
      <c r="O14" s="293">
        <v>7.6986842105263165</v>
      </c>
      <c r="P14" s="293">
        <v>7.8169736842105222E-2</v>
      </c>
      <c r="Q14" s="293">
        <v>2.9069128947368421</v>
      </c>
      <c r="R14" s="293">
        <v>3.8231907894736841</v>
      </c>
      <c r="S14" s="293">
        <v>0.15526315789473685</v>
      </c>
      <c r="T14" s="293">
        <v>1.7991052631578952</v>
      </c>
      <c r="U14" s="293"/>
      <c r="V14" s="17" t="s">
        <v>105</v>
      </c>
      <c r="W14" s="17" t="s">
        <v>106</v>
      </c>
      <c r="X14" s="15" t="s">
        <v>339</v>
      </c>
      <c r="Y14" s="17">
        <v>0.25812800000000002</v>
      </c>
      <c r="Z14" s="17">
        <v>34.720103999999999</v>
      </c>
      <c r="AA14" s="17" t="s">
        <v>372</v>
      </c>
      <c r="AB14" s="17" t="s">
        <v>330</v>
      </c>
      <c r="AC14" s="6" t="s">
        <v>347</v>
      </c>
      <c r="AD14" s="14" t="s">
        <v>371</v>
      </c>
      <c r="AE14" s="65" t="s">
        <v>687</v>
      </c>
      <c r="AF14" s="17" t="s">
        <v>368</v>
      </c>
      <c r="AG14" s="17" t="s">
        <v>684</v>
      </c>
      <c r="AH14" s="35" t="s">
        <v>683</v>
      </c>
      <c r="AI14" s="24">
        <v>7.4476338246702518</v>
      </c>
      <c r="AJ14" s="73">
        <v>5.74</v>
      </c>
      <c r="AK14" s="73">
        <v>0.32069999999999999</v>
      </c>
      <c r="AL14" s="73">
        <v>12.9</v>
      </c>
      <c r="AM14" s="73">
        <v>2.61</v>
      </c>
      <c r="AN14" s="73">
        <v>2574</v>
      </c>
      <c r="AO14" s="73">
        <v>4040</v>
      </c>
      <c r="AP14" s="73">
        <v>70963</v>
      </c>
      <c r="AQ14" s="73">
        <v>777</v>
      </c>
      <c r="AR14" s="73">
        <v>295</v>
      </c>
      <c r="AS14" s="73">
        <v>17099</v>
      </c>
      <c r="AT14" s="73">
        <v>3535</v>
      </c>
      <c r="AU14" s="73">
        <v>6157.8</v>
      </c>
      <c r="AV14" s="73">
        <v>199.9</v>
      </c>
      <c r="AW14" s="73">
        <v>1071.9000000000001</v>
      </c>
      <c r="AX14" s="73">
        <v>2262.1</v>
      </c>
      <c r="AY14" s="73">
        <v>86066</v>
      </c>
      <c r="AZ14" s="73">
        <v>51.167999999999999</v>
      </c>
      <c r="BA14" s="73">
        <v>172.95</v>
      </c>
      <c r="BB14" s="73">
        <v>53.75</v>
      </c>
      <c r="BC14" s="73">
        <v>76</v>
      </c>
      <c r="BD14" s="73">
        <v>17.23</v>
      </c>
      <c r="BE14" s="73">
        <v>25.5</v>
      </c>
      <c r="BF14" s="73">
        <v>0.97</v>
      </c>
      <c r="BG14" s="73">
        <v>91.77</v>
      </c>
      <c r="BH14" s="73">
        <v>102.63</v>
      </c>
      <c r="BI14" s="73">
        <v>14.371</v>
      </c>
      <c r="BJ14" s="73">
        <v>300.93</v>
      </c>
      <c r="BK14" s="73">
        <v>46.469000000000001</v>
      </c>
      <c r="BL14" s="73">
        <v>2.63</v>
      </c>
      <c r="BM14" s="73">
        <v>9.2999999999999999E-2</v>
      </c>
      <c r="BN14" s="73">
        <v>0.14099999999999999</v>
      </c>
      <c r="BO14" s="73">
        <v>2.89</v>
      </c>
      <c r="BP14" s="73">
        <v>1.357</v>
      </c>
      <c r="BQ14" s="73">
        <v>2.15</v>
      </c>
      <c r="BR14" s="73">
        <v>662.44</v>
      </c>
      <c r="BS14" s="73">
        <v>23.119</v>
      </c>
      <c r="BT14" s="73">
        <v>89.614999999999995</v>
      </c>
      <c r="BU14" s="73">
        <v>4.6139999999999999</v>
      </c>
      <c r="BV14" s="73">
        <v>17.920000000000002</v>
      </c>
      <c r="BW14" s="73">
        <v>3.3290000000000002</v>
      </c>
      <c r="BX14" s="73">
        <v>0.751</v>
      </c>
      <c r="BY14" s="73">
        <v>2.8580000000000001</v>
      </c>
      <c r="BZ14" s="73">
        <v>0.433</v>
      </c>
      <c r="CA14" s="73">
        <v>2.7029999999999998</v>
      </c>
      <c r="CB14" s="73">
        <v>0.55400000000000005</v>
      </c>
      <c r="CC14" s="73">
        <v>1.6870000000000001</v>
      </c>
      <c r="CD14" s="73">
        <v>0.26700000000000002</v>
      </c>
      <c r="CE14" s="73">
        <v>1.6559999999999999</v>
      </c>
      <c r="CF14" s="73">
        <v>0.27700000000000002</v>
      </c>
      <c r="CG14" s="73">
        <v>7.8520000000000003</v>
      </c>
      <c r="CH14" s="73">
        <v>2.4929999999999999</v>
      </c>
      <c r="CI14" s="73">
        <v>2.7309999999999999</v>
      </c>
      <c r="CJ14" s="73">
        <v>0.42199999999999999</v>
      </c>
      <c r="CK14" s="73">
        <v>33.299999999999997</v>
      </c>
      <c r="CL14" s="73">
        <v>1.33</v>
      </c>
      <c r="CM14" s="73">
        <v>9.1999999999999993</v>
      </c>
      <c r="CN14" s="73">
        <v>2.3479999999999999</v>
      </c>
      <c r="CP14" s="136">
        <f t="shared" si="0"/>
        <v>1.5341511165849464</v>
      </c>
      <c r="CQ14" s="136">
        <f t="shared" si="1"/>
        <v>0.72867254574638018</v>
      </c>
      <c r="CR14" s="136">
        <f t="shared" si="2"/>
        <v>2.0759589159864653</v>
      </c>
      <c r="CS14" s="136">
        <f t="shared" si="3"/>
        <v>5.3740411172137401</v>
      </c>
      <c r="CT14" s="136">
        <f t="shared" si="4"/>
        <v>0.65550093163174972</v>
      </c>
      <c r="CU14" s="136">
        <f t="shared" si="5"/>
        <v>2.1940910908241662</v>
      </c>
      <c r="CV14" s="136">
        <f t="shared" si="6"/>
        <v>7.1749256825006791</v>
      </c>
      <c r="CW14" s="136">
        <f t="shared" si="7"/>
        <v>9.0190736004708452</v>
      </c>
      <c r="CX14" s="136">
        <f t="shared" si="8"/>
        <v>13.19996765458847</v>
      </c>
      <c r="CY14" s="136">
        <f t="shared" si="9"/>
        <v>16.153417445669405</v>
      </c>
      <c r="CZ14" s="136">
        <f t="shared" si="10"/>
        <v>-6.5956200041218773</v>
      </c>
      <c r="DA14" s="136">
        <f t="shared" si="11"/>
        <v>12.182314580840764</v>
      </c>
      <c r="DB14" s="22"/>
      <c r="DC14" s="141">
        <f t="shared" si="12"/>
        <v>2.125</v>
      </c>
      <c r="DD14" s="141">
        <f t="shared" si="13"/>
        <v>8.3249999999999991E-2</v>
      </c>
      <c r="DE14" s="141">
        <f t="shared" si="14"/>
        <v>0.32069999999999999</v>
      </c>
      <c r="DF14" s="141">
        <f t="shared" si="15"/>
        <v>16.748437500000001</v>
      </c>
      <c r="DG14" s="141">
        <f t="shared" si="16"/>
        <v>1.4099999999999998E-2</v>
      </c>
      <c r="DH14" s="141">
        <f t="shared" si="17"/>
        <v>3.4589999999999996</v>
      </c>
    </row>
    <row r="15" spans="1:112" s="28" customFormat="1">
      <c r="A15" s="46" t="s">
        <v>885</v>
      </c>
      <c r="B15" s="35" t="s">
        <v>880</v>
      </c>
      <c r="C15" s="135">
        <v>1.7528313530068784</v>
      </c>
      <c r="D15" s="135">
        <v>1.6070529580644735</v>
      </c>
      <c r="E15" s="135">
        <v>1.1438901771876993</v>
      </c>
      <c r="F15" s="140">
        <v>0.98055494343484961</v>
      </c>
      <c r="G15" s="135">
        <v>0.96943626053472254</v>
      </c>
      <c r="H15" s="135">
        <v>0.67893189621742978</v>
      </c>
      <c r="I15" s="135">
        <v>6.8026240650981968</v>
      </c>
      <c r="J15" s="135">
        <v>9.2470255471491942</v>
      </c>
      <c r="K15" s="135">
        <v>12.963834315652953</v>
      </c>
      <c r="L15" s="135">
        <v>13.094209673690925</v>
      </c>
      <c r="M15" s="135">
        <v>-6.5956200041218773</v>
      </c>
      <c r="N15" s="135">
        <v>10.3887821415889</v>
      </c>
      <c r="O15" s="293">
        <v>1.6416666666666666</v>
      </c>
      <c r="P15" s="293">
        <v>9.7500000000000003E-2</v>
      </c>
      <c r="Q15" s="293">
        <v>0.27227999999999997</v>
      </c>
      <c r="R15" s="293">
        <v>2.0093749999999999</v>
      </c>
      <c r="S15" s="293">
        <v>1.4099999999999998E-2</v>
      </c>
      <c r="T15" s="293">
        <v>0.99780000000000002</v>
      </c>
      <c r="U15" s="293"/>
      <c r="V15" s="17" t="s">
        <v>107</v>
      </c>
      <c r="W15" s="17" t="s">
        <v>108</v>
      </c>
      <c r="X15" s="15" t="s">
        <v>339</v>
      </c>
      <c r="Y15" s="17">
        <v>0.26020300000000002</v>
      </c>
      <c r="Z15" s="17">
        <v>34.719721</v>
      </c>
      <c r="AA15" s="17" t="s">
        <v>372</v>
      </c>
      <c r="AB15" s="17" t="s">
        <v>330</v>
      </c>
      <c r="AC15" s="6" t="s">
        <v>347</v>
      </c>
      <c r="AD15" s="14" t="s">
        <v>371</v>
      </c>
      <c r="AE15" s="65" t="s">
        <v>687</v>
      </c>
      <c r="AF15" s="17" t="s">
        <v>366</v>
      </c>
      <c r="AG15" s="17" t="s">
        <v>684</v>
      </c>
      <c r="AH15" s="35" t="s">
        <v>683</v>
      </c>
      <c r="AI15" s="24">
        <v>7.3774485917553108</v>
      </c>
      <c r="AJ15" s="73">
        <v>5.97</v>
      </c>
      <c r="AK15" s="73">
        <v>0.15060000000000001</v>
      </c>
      <c r="AL15" s="73">
        <v>22.6</v>
      </c>
      <c r="AM15" s="73">
        <v>2.79</v>
      </c>
      <c r="AN15" s="73">
        <v>1928</v>
      </c>
      <c r="AO15" s="73">
        <v>3720</v>
      </c>
      <c r="AP15" s="73">
        <v>98864</v>
      </c>
      <c r="AQ15" s="73">
        <v>759</v>
      </c>
      <c r="AR15" s="73">
        <v>235</v>
      </c>
      <c r="AS15" s="73">
        <v>13918</v>
      </c>
      <c r="AT15" s="73">
        <v>2590</v>
      </c>
      <c r="AU15" s="73">
        <v>7149</v>
      </c>
      <c r="AV15" s="73">
        <v>311.39999999999998</v>
      </c>
      <c r="AW15" s="73">
        <v>718.2</v>
      </c>
      <c r="AX15" s="73">
        <v>1908.6</v>
      </c>
      <c r="AY15" s="73">
        <v>101064</v>
      </c>
      <c r="AZ15" s="73">
        <v>58.804000000000002</v>
      </c>
      <c r="BA15" s="73">
        <v>140.78</v>
      </c>
      <c r="BB15" s="73">
        <v>68.2</v>
      </c>
      <c r="BC15" s="73">
        <v>84</v>
      </c>
      <c r="BD15" s="73">
        <v>23.77</v>
      </c>
      <c r="BE15" s="73">
        <v>10.8</v>
      </c>
      <c r="BF15" s="73">
        <v>1.02</v>
      </c>
      <c r="BG15" s="73">
        <v>85.73</v>
      </c>
      <c r="BH15" s="73">
        <v>66.53</v>
      </c>
      <c r="BI15" s="73">
        <v>14.882</v>
      </c>
      <c r="BJ15" s="73">
        <v>300.72000000000003</v>
      </c>
      <c r="BK15" s="73">
        <v>54.555999999999997</v>
      </c>
      <c r="BL15" s="73">
        <v>3.44</v>
      </c>
      <c r="BM15" s="73">
        <v>7.0000000000000007E-2</v>
      </c>
      <c r="BN15" s="73">
        <v>0.104</v>
      </c>
      <c r="BO15" s="73">
        <v>3.03</v>
      </c>
      <c r="BP15" s="73">
        <v>0.98099999999999998</v>
      </c>
      <c r="BQ15" s="73">
        <v>3.1150000000000002</v>
      </c>
      <c r="BR15" s="73">
        <v>484.26</v>
      </c>
      <c r="BS15" s="73">
        <v>25.463000000000001</v>
      </c>
      <c r="BT15" s="73">
        <v>112.871</v>
      </c>
      <c r="BU15" s="73">
        <v>5.0250000000000004</v>
      </c>
      <c r="BV15" s="73">
        <v>19.07</v>
      </c>
      <c r="BW15" s="73">
        <v>3.758</v>
      </c>
      <c r="BX15" s="73">
        <v>0.78800000000000003</v>
      </c>
      <c r="BY15" s="73">
        <v>3.0550000000000002</v>
      </c>
      <c r="BZ15" s="73">
        <v>0.47499999999999998</v>
      </c>
      <c r="CA15" s="73">
        <v>2.8980000000000001</v>
      </c>
      <c r="CB15" s="73">
        <v>0.58599999999999997</v>
      </c>
      <c r="CC15" s="73">
        <v>1.7210000000000001</v>
      </c>
      <c r="CD15" s="73">
        <v>0.27100000000000002</v>
      </c>
      <c r="CE15" s="73">
        <v>1.8080000000000001</v>
      </c>
      <c r="CF15" s="73">
        <v>0.254</v>
      </c>
      <c r="CG15" s="73">
        <v>7.1710000000000003</v>
      </c>
      <c r="CH15" s="73">
        <v>3.008</v>
      </c>
      <c r="CI15" s="73">
        <v>6.9050000000000002</v>
      </c>
      <c r="CJ15" s="73">
        <v>0.46500000000000002</v>
      </c>
      <c r="CK15" s="73">
        <v>18.399999999999999</v>
      </c>
      <c r="CL15" s="73">
        <v>1.47</v>
      </c>
      <c r="CM15" s="73">
        <v>10.872</v>
      </c>
      <c r="CN15" s="73">
        <v>2.4169999999999998</v>
      </c>
      <c r="CP15" s="136">
        <f t="shared" si="0"/>
        <v>0.55333335661502792</v>
      </c>
      <c r="CQ15" s="136">
        <f t="shared" si="1"/>
        <v>0.34287919370588421</v>
      </c>
      <c r="CR15" s="136">
        <f t="shared" si="2"/>
        <v>0.83019459658098604</v>
      </c>
      <c r="CS15" s="136">
        <f t="shared" si="3"/>
        <v>3.0663890179082798</v>
      </c>
      <c r="CT15" s="136">
        <f t="shared" si="4"/>
        <v>0.41173963573037425</v>
      </c>
      <c r="CU15" s="136">
        <f t="shared" si="5"/>
        <v>1.5209333556746343</v>
      </c>
      <c r="CV15" s="136">
        <f t="shared" si="6"/>
        <v>5.9354597478052895</v>
      </c>
      <c r="CW15" s="136">
        <f t="shared" si="7"/>
        <v>8.1632571894565942</v>
      </c>
      <c r="CX15" s="136">
        <f t="shared" si="8"/>
        <v>12.10946507081875</v>
      </c>
      <c r="CY15" s="136">
        <f t="shared" si="9"/>
        <v>15.575704684027636</v>
      </c>
      <c r="CZ15" s="136">
        <f t="shared" si="10"/>
        <v>-7.0347316383795793</v>
      </c>
      <c r="DA15" s="136">
        <f t="shared" si="11"/>
        <v>11.885401958276336</v>
      </c>
      <c r="DB15" s="22"/>
      <c r="DC15" s="141">
        <f t="shared" si="12"/>
        <v>0.9</v>
      </c>
      <c r="DD15" s="141">
        <f t="shared" si="13"/>
        <v>4.5999999999999999E-2</v>
      </c>
      <c r="DE15" s="141">
        <f t="shared" si="14"/>
        <v>0.15060000000000001</v>
      </c>
      <c r="DF15" s="141">
        <f t="shared" si="15"/>
        <v>11.221875000000001</v>
      </c>
      <c r="DG15" s="141">
        <f t="shared" si="16"/>
        <v>1.04E-2</v>
      </c>
      <c r="DH15" s="141">
        <f t="shared" si="17"/>
        <v>2.8155999999999999</v>
      </c>
    </row>
    <row r="16" spans="1:112" s="28" customFormat="1">
      <c r="A16" s="46"/>
      <c r="B16" s="35" t="s">
        <v>881</v>
      </c>
      <c r="C16" s="135">
        <v>455.83906908295842</v>
      </c>
      <c r="D16" s="135">
        <v>9.1764380215752066</v>
      </c>
      <c r="E16" s="135">
        <v>104.47597266809022</v>
      </c>
      <c r="F16" s="140">
        <v>2.3338481121487629</v>
      </c>
      <c r="G16" s="135">
        <v>50.605795414526611</v>
      </c>
      <c r="H16" s="135">
        <v>1.5737635971270445</v>
      </c>
      <c r="I16" s="135">
        <v>14.353780898407795</v>
      </c>
      <c r="J16" s="135">
        <v>11.637580361228693</v>
      </c>
      <c r="K16" s="135">
        <v>17.817132185511134</v>
      </c>
      <c r="L16" s="135">
        <v>14.684397983637574</v>
      </c>
      <c r="M16" s="135">
        <v>-1.4394024221001629</v>
      </c>
      <c r="N16" s="135">
        <v>11.113725933468539</v>
      </c>
      <c r="O16" s="293">
        <v>307.90000000000003</v>
      </c>
      <c r="P16" s="293">
        <v>0.51124999999999998</v>
      </c>
      <c r="Q16" s="293">
        <v>7.8705299999999996</v>
      </c>
      <c r="R16" s="293">
        <v>6.05</v>
      </c>
      <c r="S16" s="293">
        <v>0.50279999999999991</v>
      </c>
      <c r="T16" s="293">
        <v>1.6491999999999998</v>
      </c>
      <c r="U16" s="293"/>
      <c r="V16" s="17" t="s">
        <v>109</v>
      </c>
      <c r="W16" s="17" t="s">
        <v>110</v>
      </c>
      <c r="X16" s="15" t="s">
        <v>339</v>
      </c>
      <c r="Y16" s="17">
        <v>0.26076500000000002</v>
      </c>
      <c r="Z16" s="17">
        <v>34.720081</v>
      </c>
      <c r="AA16" s="17" t="s">
        <v>372</v>
      </c>
      <c r="AB16" s="17" t="s">
        <v>330</v>
      </c>
      <c r="AC16" s="6" t="s">
        <v>347</v>
      </c>
      <c r="AD16" s="14" t="s">
        <v>371</v>
      </c>
      <c r="AE16" s="65" t="s">
        <v>687</v>
      </c>
      <c r="AF16" s="17" t="s">
        <v>361</v>
      </c>
      <c r="AG16" s="17" t="s">
        <v>685</v>
      </c>
      <c r="AH16" s="35" t="s">
        <v>690</v>
      </c>
      <c r="AI16" s="24">
        <v>7.330106876386469</v>
      </c>
      <c r="AJ16" s="73">
        <v>6.36</v>
      </c>
      <c r="AK16" s="73">
        <v>4.4837199999999999</v>
      </c>
      <c r="AL16" s="73">
        <v>17.399999999999999</v>
      </c>
      <c r="AM16" s="73">
        <v>2.89</v>
      </c>
      <c r="AN16" s="73">
        <v>3324</v>
      </c>
      <c r="AO16" s="73">
        <v>6852</v>
      </c>
      <c r="AP16" s="73">
        <v>80012</v>
      </c>
      <c r="AQ16" s="73">
        <v>682</v>
      </c>
      <c r="AR16" s="73">
        <v>335</v>
      </c>
      <c r="AS16" s="73">
        <v>13830</v>
      </c>
      <c r="AT16" s="73">
        <v>6450</v>
      </c>
      <c r="AU16" s="73">
        <v>5250.2</v>
      </c>
      <c r="AV16" s="73">
        <v>225.6</v>
      </c>
      <c r="AW16" s="73">
        <v>1005</v>
      </c>
      <c r="AX16" s="73">
        <v>2298</v>
      </c>
      <c r="AY16" s="73">
        <v>95772</v>
      </c>
      <c r="AZ16" s="73">
        <v>67.945999999999998</v>
      </c>
      <c r="BA16" s="73">
        <v>239.98</v>
      </c>
      <c r="BB16" s="73">
        <v>71.989999999999995</v>
      </c>
      <c r="BC16" s="73">
        <v>122</v>
      </c>
      <c r="BD16" s="73">
        <v>18.760000000000002</v>
      </c>
      <c r="BE16" s="73">
        <v>95.9</v>
      </c>
      <c r="BF16" s="73">
        <v>0.89</v>
      </c>
      <c r="BG16" s="73">
        <v>76.69</v>
      </c>
      <c r="BH16" s="73">
        <v>107.9</v>
      </c>
      <c r="BI16" s="73">
        <v>15.179</v>
      </c>
      <c r="BJ16" s="73">
        <v>220.05</v>
      </c>
      <c r="BK16" s="73">
        <v>38.061999999999998</v>
      </c>
      <c r="BL16" s="73">
        <v>2.5299999999999998</v>
      </c>
      <c r="BM16" s="73">
        <v>0.13400000000000001</v>
      </c>
      <c r="BN16" s="73">
        <v>0.124</v>
      </c>
      <c r="BO16" s="73">
        <v>2.4</v>
      </c>
      <c r="BP16" s="73">
        <v>0.83499999999999996</v>
      </c>
      <c r="BQ16" s="73">
        <v>2.4769999999999999</v>
      </c>
      <c r="BR16" s="73">
        <v>507.55</v>
      </c>
      <c r="BS16" s="73">
        <v>24.565999999999999</v>
      </c>
      <c r="BT16" s="73">
        <v>110.967</v>
      </c>
      <c r="BU16" s="73">
        <v>5.2270000000000003</v>
      </c>
      <c r="BV16" s="73">
        <v>20</v>
      </c>
      <c r="BW16" s="73">
        <v>3.8450000000000002</v>
      </c>
      <c r="BX16" s="73">
        <v>0.878</v>
      </c>
      <c r="BY16" s="73">
        <v>3.1360000000000001</v>
      </c>
      <c r="BZ16" s="73">
        <v>0.48199999999999998</v>
      </c>
      <c r="CA16" s="73">
        <v>3.0059999999999998</v>
      </c>
      <c r="CB16" s="73">
        <v>0.56899999999999995</v>
      </c>
      <c r="CC16" s="73">
        <v>1.6850000000000001</v>
      </c>
      <c r="CD16" s="73">
        <v>0.25900000000000001</v>
      </c>
      <c r="CE16" s="73">
        <v>1.7130000000000001</v>
      </c>
      <c r="CF16" s="73">
        <v>0.25700000000000001</v>
      </c>
      <c r="CG16" s="73">
        <v>5.4729999999999999</v>
      </c>
      <c r="CH16" s="73">
        <v>2.0859999999999999</v>
      </c>
      <c r="CI16" s="73">
        <v>5.7370000000000001</v>
      </c>
      <c r="CJ16" s="73">
        <v>0.435</v>
      </c>
      <c r="CK16" s="73">
        <v>24.8</v>
      </c>
      <c r="CL16" s="73">
        <v>6.37</v>
      </c>
      <c r="CM16" s="73">
        <v>7.758</v>
      </c>
      <c r="CN16" s="73">
        <v>1.91</v>
      </c>
      <c r="CP16" s="136">
        <f t="shared" si="0"/>
        <v>5.1848909849618332</v>
      </c>
      <c r="CQ16" s="136">
        <f t="shared" si="1"/>
        <v>0.4876777218236773</v>
      </c>
      <c r="CR16" s="136">
        <f t="shared" si="2"/>
        <v>26.082627599990904</v>
      </c>
      <c r="CS16" s="136">
        <f t="shared" si="3"/>
        <v>4.5279939519348646</v>
      </c>
      <c r="CT16" s="136">
        <f t="shared" si="4"/>
        <v>0.51804674359178815</v>
      </c>
      <c r="CU16" s="136">
        <f t="shared" si="5"/>
        <v>2.7359124702881901</v>
      </c>
      <c r="CV16" s="136">
        <f t="shared" si="6"/>
        <v>9.0859592506599522</v>
      </c>
      <c r="CW16" s="136">
        <f t="shared" si="7"/>
        <v>8.5938915437864587</v>
      </c>
      <c r="CX16" s="136">
        <f t="shared" si="8"/>
        <v>17.005367583022419</v>
      </c>
      <c r="CY16" s="136">
        <f t="shared" si="9"/>
        <v>16.060442627316633</v>
      </c>
      <c r="CZ16" s="136">
        <f t="shared" si="10"/>
        <v>-6.7809750461337961</v>
      </c>
      <c r="DA16" s="136">
        <f t="shared" si="11"/>
        <v>12.654873743367341</v>
      </c>
      <c r="DB16" s="22"/>
      <c r="DC16" s="141">
        <f t="shared" si="12"/>
        <v>7.9916666666666671</v>
      </c>
      <c r="DD16" s="141">
        <f t="shared" si="13"/>
        <v>6.2E-2</v>
      </c>
      <c r="DE16" s="141">
        <f t="shared" si="14"/>
        <v>4.4837199999999999</v>
      </c>
      <c r="DF16" s="141">
        <f t="shared" si="15"/>
        <v>15.703125</v>
      </c>
      <c r="DG16" s="141">
        <f t="shared" si="16"/>
        <v>1.24E-2</v>
      </c>
      <c r="DH16" s="141">
        <f t="shared" si="17"/>
        <v>4.7995999999999999</v>
      </c>
    </row>
    <row r="17" spans="1:112" s="28" customFormat="1">
      <c r="A17" s="46"/>
      <c r="B17" s="35" t="s">
        <v>882</v>
      </c>
      <c r="C17" s="135">
        <v>144.61908204271847</v>
      </c>
      <c r="D17" s="135">
        <v>3.9922434268473004</v>
      </c>
      <c r="E17" s="135">
        <v>38.887877992337593</v>
      </c>
      <c r="F17" s="140">
        <v>1.6192175605718859</v>
      </c>
      <c r="G17" s="135">
        <v>13.125127445124861</v>
      </c>
      <c r="H17" s="135">
        <v>1.1831083938306008</v>
      </c>
      <c r="I17" s="135">
        <v>10.827063143582896</v>
      </c>
      <c r="J17" s="135">
        <v>10.619312278074936</v>
      </c>
      <c r="K17" s="135">
        <v>15.972091838406621</v>
      </c>
      <c r="L17" s="135">
        <v>13.732669466669295</v>
      </c>
      <c r="M17" s="135">
        <v>-4.4516630313430063</v>
      </c>
      <c r="N17" s="135">
        <v>10.627536130967867</v>
      </c>
      <c r="O17" s="293">
        <v>100.9513888888889</v>
      </c>
      <c r="P17" s="293">
        <v>0.28230416666666663</v>
      </c>
      <c r="Q17" s="293">
        <v>3.2416750000000003</v>
      </c>
      <c r="R17" s="293">
        <v>3.3604166666666671</v>
      </c>
      <c r="S17" s="293">
        <v>0.14159999999999998</v>
      </c>
      <c r="T17" s="293">
        <v>1.1940333333333333</v>
      </c>
      <c r="U17" s="293"/>
      <c r="V17" s="17" t="s">
        <v>111</v>
      </c>
      <c r="W17" s="17" t="s">
        <v>112</v>
      </c>
      <c r="X17" s="15" t="s">
        <v>339</v>
      </c>
      <c r="Y17" s="17">
        <v>0.26067699999999999</v>
      </c>
      <c r="Z17" s="17">
        <v>34.720677999999999</v>
      </c>
      <c r="AA17" s="17" t="s">
        <v>372</v>
      </c>
      <c r="AB17" s="17" t="s">
        <v>330</v>
      </c>
      <c r="AC17" s="6" t="s">
        <v>347</v>
      </c>
      <c r="AD17" s="14" t="s">
        <v>371</v>
      </c>
      <c r="AE17" s="65" t="s">
        <v>687</v>
      </c>
      <c r="AF17" s="17" t="s">
        <v>365</v>
      </c>
      <c r="AG17" s="17" t="s">
        <v>685</v>
      </c>
      <c r="AH17" s="35" t="s">
        <v>691</v>
      </c>
      <c r="AI17" s="24">
        <v>3.2835233975619693</v>
      </c>
      <c r="AJ17" s="73">
        <v>6.02</v>
      </c>
      <c r="AK17" s="73">
        <v>0.94225999999999999</v>
      </c>
      <c r="AL17" s="73">
        <v>10.6</v>
      </c>
      <c r="AM17" s="73">
        <v>1.36</v>
      </c>
      <c r="AN17" s="73">
        <v>10602</v>
      </c>
      <c r="AO17" s="73">
        <v>13328</v>
      </c>
      <c r="AP17" s="73">
        <v>61125</v>
      </c>
      <c r="AQ17" s="73">
        <v>661</v>
      </c>
      <c r="AR17" s="73">
        <v>160</v>
      </c>
      <c r="AS17" s="73">
        <v>14540</v>
      </c>
      <c r="AT17" s="73">
        <v>16363</v>
      </c>
      <c r="AU17" s="73">
        <v>4510.8</v>
      </c>
      <c r="AV17" s="73">
        <v>184.1</v>
      </c>
      <c r="AW17" s="73">
        <v>691.9</v>
      </c>
      <c r="AX17" s="73">
        <v>1704.4</v>
      </c>
      <c r="AY17" s="73">
        <v>69612</v>
      </c>
      <c r="AZ17" s="73">
        <v>50.932000000000002</v>
      </c>
      <c r="BA17" s="73">
        <v>111.8</v>
      </c>
      <c r="BB17" s="73">
        <v>71.81</v>
      </c>
      <c r="BC17" s="73">
        <v>93</v>
      </c>
      <c r="BD17" s="73">
        <v>13.7</v>
      </c>
      <c r="BE17" s="73">
        <v>45.2</v>
      </c>
      <c r="BF17" s="73">
        <v>0.36</v>
      </c>
      <c r="BG17" s="73">
        <v>59.74</v>
      </c>
      <c r="BH17" s="73">
        <v>249.03</v>
      </c>
      <c r="BI17" s="73">
        <v>13.281000000000001</v>
      </c>
      <c r="BJ17" s="73">
        <v>115.04</v>
      </c>
      <c r="BK17" s="73">
        <v>17.132000000000001</v>
      </c>
      <c r="BL17" s="73">
        <v>2.04</v>
      </c>
      <c r="BM17" s="73">
        <v>0.20100000000000001</v>
      </c>
      <c r="BN17" s="73">
        <v>9.7000000000000003E-2</v>
      </c>
      <c r="BO17" s="73">
        <v>16.68</v>
      </c>
      <c r="BP17" s="73">
        <v>3.8490000000000002</v>
      </c>
      <c r="BQ17" s="73">
        <v>1.899</v>
      </c>
      <c r="BR17" s="73">
        <v>616.29</v>
      </c>
      <c r="BS17" s="73">
        <v>23.777000000000001</v>
      </c>
      <c r="BT17" s="73">
        <v>82.173000000000002</v>
      </c>
      <c r="BU17" s="73">
        <v>5.319</v>
      </c>
      <c r="BV17" s="73">
        <v>20.71</v>
      </c>
      <c r="BW17" s="73">
        <v>3.851</v>
      </c>
      <c r="BX17" s="73">
        <v>0.95099999999999996</v>
      </c>
      <c r="BY17" s="73">
        <v>2.9769999999999999</v>
      </c>
      <c r="BZ17" s="73">
        <v>0.437</v>
      </c>
      <c r="CA17" s="73">
        <v>2.512</v>
      </c>
      <c r="CB17" s="73">
        <v>0.5</v>
      </c>
      <c r="CC17" s="73">
        <v>1.4119999999999999</v>
      </c>
      <c r="CD17" s="73">
        <v>0.215</v>
      </c>
      <c r="CE17" s="73">
        <v>1.3520000000000001</v>
      </c>
      <c r="CF17" s="73">
        <v>0.19900000000000001</v>
      </c>
      <c r="CG17" s="73">
        <v>2.9849999999999999</v>
      </c>
      <c r="CH17" s="73">
        <v>0.91600000000000004</v>
      </c>
      <c r="CI17" s="73">
        <v>10.756</v>
      </c>
      <c r="CJ17" s="73">
        <v>0.32800000000000001</v>
      </c>
      <c r="CK17" s="73">
        <v>32.700000000000003</v>
      </c>
      <c r="CL17" s="73">
        <v>9.25</v>
      </c>
      <c r="CM17" s="73">
        <v>5.2</v>
      </c>
      <c r="CN17" s="73">
        <v>1.369</v>
      </c>
      <c r="CP17" s="136">
        <f t="shared" si="0"/>
        <v>3.3621253604010133</v>
      </c>
      <c r="CQ17" s="136">
        <f t="shared" si="1"/>
        <v>0.88467434605619266</v>
      </c>
      <c r="CR17" s="136">
        <f t="shared" si="2"/>
        <v>7.541158300038477</v>
      </c>
      <c r="CS17" s="136">
        <f t="shared" si="3"/>
        <v>4.2888173614702447</v>
      </c>
      <c r="CT17" s="136">
        <f t="shared" si="4"/>
        <v>0.55753667732313661</v>
      </c>
      <c r="CU17" s="136">
        <f t="shared" si="5"/>
        <v>1.7535711784494736</v>
      </c>
      <c r="CV17" s="136">
        <f t="shared" si="6"/>
        <v>8.0007512080570091</v>
      </c>
      <c r="CW17" s="136">
        <f t="shared" si="7"/>
        <v>8.992842058897665</v>
      </c>
      <c r="CX17" s="136">
        <f t="shared" si="8"/>
        <v>14.754868501787799</v>
      </c>
      <c r="CY17" s="136">
        <f t="shared" si="9"/>
        <v>15.521882571879566</v>
      </c>
      <c r="CZ17" s="136">
        <f t="shared" si="10"/>
        <v>-7.1352585143335441</v>
      </c>
      <c r="DA17" s="136">
        <f t="shared" si="11"/>
        <v>11.552879755311027</v>
      </c>
      <c r="DB17" s="22"/>
      <c r="DC17" s="141">
        <f t="shared" si="12"/>
        <v>3.7666666666666671</v>
      </c>
      <c r="DD17" s="141">
        <f t="shared" si="13"/>
        <v>8.1750000000000003E-2</v>
      </c>
      <c r="DE17" s="141">
        <f t="shared" si="14"/>
        <v>0.94225999999999999</v>
      </c>
      <c r="DF17" s="141">
        <f t="shared" si="15"/>
        <v>10.8109375</v>
      </c>
      <c r="DG17" s="141">
        <f t="shared" si="16"/>
        <v>9.7000000000000003E-3</v>
      </c>
      <c r="DH17" s="141">
        <f t="shared" si="17"/>
        <v>2.2359999999999998</v>
      </c>
    </row>
    <row r="18" spans="1:112" s="28" customFormat="1">
      <c r="A18" s="46" t="s">
        <v>365</v>
      </c>
      <c r="B18" s="35" t="s">
        <v>880</v>
      </c>
      <c r="C18" s="135">
        <v>1.8815432218598918</v>
      </c>
      <c r="D18" s="135">
        <v>0.44206478577153152</v>
      </c>
      <c r="E18" s="135">
        <v>2.3051029294518623</v>
      </c>
      <c r="F18" s="140">
        <v>0.47074992956956885</v>
      </c>
      <c r="G18" s="135">
        <v>0.40830604805483245</v>
      </c>
      <c r="H18" s="135">
        <v>0.55565963671526897</v>
      </c>
      <c r="I18" s="135">
        <v>6.7730292829099019</v>
      </c>
      <c r="J18" s="135">
        <v>6.9972472380176658</v>
      </c>
      <c r="K18" s="135">
        <v>11.075834744807604</v>
      </c>
      <c r="L18" s="135">
        <v>12.15570370256316</v>
      </c>
      <c r="M18" s="135">
        <v>-8.6058883395757046</v>
      </c>
      <c r="N18" s="135">
        <v>7.5718527376634714</v>
      </c>
      <c r="O18" s="293">
        <v>1.6083333333333334</v>
      </c>
      <c r="P18" s="293">
        <v>2.0499999999999997E-2</v>
      </c>
      <c r="Q18" s="293">
        <v>7.3565000000000005E-2</v>
      </c>
      <c r="R18" s="293">
        <v>1.0484374999999999</v>
      </c>
      <c r="S18" s="293">
        <v>3.5000000000000005E-3</v>
      </c>
      <c r="T18" s="293">
        <v>0.1416</v>
      </c>
      <c r="U18" s="293"/>
      <c r="V18" s="17" t="s">
        <v>113</v>
      </c>
      <c r="W18" s="17" t="s">
        <v>114</v>
      </c>
      <c r="X18" s="15" t="s">
        <v>339</v>
      </c>
      <c r="Y18" s="17">
        <v>0.26076500000000002</v>
      </c>
      <c r="Z18" s="17">
        <v>34.720081</v>
      </c>
      <c r="AA18" s="17" t="s">
        <v>372</v>
      </c>
      <c r="AB18" s="17" t="s">
        <v>330</v>
      </c>
      <c r="AC18" s="6" t="s">
        <v>347</v>
      </c>
      <c r="AD18" s="14" t="s">
        <v>371</v>
      </c>
      <c r="AE18" s="65" t="s">
        <v>687</v>
      </c>
      <c r="AF18" s="17" t="s">
        <v>366</v>
      </c>
      <c r="AG18" s="17" t="s">
        <v>684</v>
      </c>
      <c r="AH18" s="35" t="s">
        <v>683</v>
      </c>
      <c r="AI18" s="24">
        <v>7.237722639761107</v>
      </c>
      <c r="AJ18" s="73">
        <v>6.3</v>
      </c>
      <c r="AK18" s="73">
        <v>1.03304</v>
      </c>
      <c r="AL18" s="73">
        <v>14.2</v>
      </c>
      <c r="AM18" s="73">
        <v>2.82</v>
      </c>
      <c r="AN18" s="73">
        <v>2229</v>
      </c>
      <c r="AO18" s="73">
        <v>4608</v>
      </c>
      <c r="AP18" s="73">
        <v>77049</v>
      </c>
      <c r="AQ18" s="73">
        <v>927</v>
      </c>
      <c r="AR18" s="73">
        <v>266</v>
      </c>
      <c r="AS18" s="73">
        <v>16162</v>
      </c>
      <c r="AT18" s="73">
        <v>3263</v>
      </c>
      <c r="AU18" s="73">
        <v>5543.6</v>
      </c>
      <c r="AV18" s="73">
        <v>243.8</v>
      </c>
      <c r="AW18" s="73">
        <v>1413</v>
      </c>
      <c r="AX18" s="73">
        <v>2170.8000000000002</v>
      </c>
      <c r="AY18" s="73">
        <v>108202</v>
      </c>
      <c r="AZ18" s="73">
        <v>53.386000000000003</v>
      </c>
      <c r="BA18" s="73">
        <v>215.62</v>
      </c>
      <c r="BB18" s="73">
        <v>60.33</v>
      </c>
      <c r="BC18" s="73">
        <v>126</v>
      </c>
      <c r="BD18" s="73">
        <v>19.34</v>
      </c>
      <c r="BE18" s="73">
        <v>16.399999999999999</v>
      </c>
      <c r="BF18" s="73">
        <v>1.03</v>
      </c>
      <c r="BG18" s="73">
        <v>90.99</v>
      </c>
      <c r="BH18" s="73">
        <v>91.73</v>
      </c>
      <c r="BI18" s="73">
        <v>13.721</v>
      </c>
      <c r="BJ18" s="73">
        <v>292.08</v>
      </c>
      <c r="BK18" s="73">
        <v>47.746000000000002</v>
      </c>
      <c r="BL18" s="73">
        <v>3.08</v>
      </c>
      <c r="BM18" s="73">
        <v>0.185</v>
      </c>
      <c r="BN18" s="73">
        <v>0.12</v>
      </c>
      <c r="BO18" s="73">
        <v>3.16</v>
      </c>
      <c r="BP18" s="73">
        <v>4.8840000000000003</v>
      </c>
      <c r="BQ18" s="73">
        <v>2.379</v>
      </c>
      <c r="BR18" s="73">
        <v>619.48</v>
      </c>
      <c r="BS18" s="73">
        <v>22.44</v>
      </c>
      <c r="BT18" s="73">
        <v>97.808000000000007</v>
      </c>
      <c r="BU18" s="73">
        <v>4.5940000000000003</v>
      </c>
      <c r="BV18" s="73">
        <v>17.68</v>
      </c>
      <c r="BW18" s="73">
        <v>3.4390000000000001</v>
      </c>
      <c r="BX18" s="73">
        <v>0.76100000000000001</v>
      </c>
      <c r="BY18" s="73">
        <v>2.8010000000000002</v>
      </c>
      <c r="BZ18" s="73">
        <v>0.44</v>
      </c>
      <c r="CA18" s="73">
        <v>2.6819999999999999</v>
      </c>
      <c r="CB18" s="73">
        <v>0.52600000000000002</v>
      </c>
      <c r="CC18" s="73">
        <v>1.5389999999999999</v>
      </c>
      <c r="CD18" s="73">
        <v>0.24199999999999999</v>
      </c>
      <c r="CE18" s="73">
        <v>1.6759999999999999</v>
      </c>
      <c r="CF18" s="73">
        <v>0.24</v>
      </c>
      <c r="CG18" s="73">
        <v>6.8460000000000001</v>
      </c>
      <c r="CH18" s="73">
        <v>2.5030000000000001</v>
      </c>
      <c r="CI18" s="73">
        <v>4.6769999999999996</v>
      </c>
      <c r="CJ18" s="73">
        <v>0.435</v>
      </c>
      <c r="CK18" s="73">
        <v>50.7</v>
      </c>
      <c r="CL18" s="73">
        <v>2.62</v>
      </c>
      <c r="CM18" s="73">
        <v>9.3030000000000008</v>
      </c>
      <c r="CN18" s="73">
        <v>2.3679999999999999</v>
      </c>
      <c r="CP18" s="136">
        <f t="shared" si="0"/>
        <v>0.78481652508325928</v>
      </c>
      <c r="CQ18" s="136">
        <f t="shared" si="1"/>
        <v>0.88245478747150985</v>
      </c>
      <c r="CR18" s="136">
        <f t="shared" si="2"/>
        <v>5.3190400865329472</v>
      </c>
      <c r="CS18" s="136">
        <f t="shared" si="3"/>
        <v>5.6348869407654751</v>
      </c>
      <c r="CT18" s="136">
        <f t="shared" si="4"/>
        <v>0.44374326806259673</v>
      </c>
      <c r="CU18" s="136">
        <f t="shared" si="5"/>
        <v>2.1758024436786325</v>
      </c>
      <c r="CV18" s="136">
        <f t="shared" si="6"/>
        <v>6.5381242502599042</v>
      </c>
      <c r="CW18" s="136">
        <f t="shared" si="7"/>
        <v>9.6255371704029233</v>
      </c>
      <c r="CX18" s="136">
        <f t="shared" si="8"/>
        <v>14.887567513098061</v>
      </c>
      <c r="CY18" s="136">
        <f t="shared" si="9"/>
        <v>16.552008591584279</v>
      </c>
      <c r="CZ18" s="136">
        <f t="shared" si="10"/>
        <v>-6.8282807609121514</v>
      </c>
      <c r="DA18" s="136">
        <f t="shared" si="11"/>
        <v>12.500450569722169</v>
      </c>
      <c r="DB18" s="22"/>
      <c r="DC18" s="141">
        <f t="shared" si="12"/>
        <v>1.3666666666666665</v>
      </c>
      <c r="DD18" s="141">
        <f t="shared" si="13"/>
        <v>0.12675</v>
      </c>
      <c r="DE18" s="141">
        <f t="shared" si="14"/>
        <v>1.03304</v>
      </c>
      <c r="DF18" s="141">
        <f t="shared" si="15"/>
        <v>22.078125</v>
      </c>
      <c r="DG18" s="141">
        <f t="shared" si="16"/>
        <v>1.2E-2</v>
      </c>
      <c r="DH18" s="141">
        <f t="shared" si="17"/>
        <v>4.3124000000000002</v>
      </c>
    </row>
    <row r="19" spans="1:112" s="28" customFormat="1">
      <c r="A19" s="46"/>
      <c r="B19" s="35" t="s">
        <v>881</v>
      </c>
      <c r="C19" s="135">
        <v>1448.8788883642728</v>
      </c>
      <c r="D19" s="135">
        <v>34.422369252931389</v>
      </c>
      <c r="E19" s="135">
        <v>830.66934028125343</v>
      </c>
      <c r="F19" s="140">
        <v>12.685624237100383</v>
      </c>
      <c r="G19" s="135">
        <v>21.863058629053697</v>
      </c>
      <c r="H19" s="135">
        <v>7.5785805188866213</v>
      </c>
      <c r="I19" s="135">
        <v>19.041771251861267</v>
      </c>
      <c r="J19" s="135">
        <v>16.617489418932585</v>
      </c>
      <c r="K19" s="135">
        <v>22.01737015365218</v>
      </c>
      <c r="L19" s="135">
        <v>16.368929277250352</v>
      </c>
      <c r="M19" s="135">
        <v>8.410963184374122E-2</v>
      </c>
      <c r="N19" s="135">
        <v>14.074442974135664</v>
      </c>
      <c r="O19" s="293">
        <v>7936.6166666666659</v>
      </c>
      <c r="P19" s="293">
        <v>16.133749999999999</v>
      </c>
      <c r="Q19" s="293">
        <v>144.67769999999999</v>
      </c>
      <c r="R19" s="293">
        <v>19.446874999999999</v>
      </c>
      <c r="S19" s="293">
        <v>1.4455</v>
      </c>
      <c r="T19" s="293">
        <v>12.8392</v>
      </c>
      <c r="U19" s="293"/>
      <c r="V19" s="17" t="s">
        <v>115</v>
      </c>
      <c r="W19" s="17" t="s">
        <v>116</v>
      </c>
      <c r="X19" s="15" t="s">
        <v>339</v>
      </c>
      <c r="Y19" s="17">
        <v>0.256575</v>
      </c>
      <c r="Z19" s="17">
        <v>34.722569999999997</v>
      </c>
      <c r="AA19" s="17" t="s">
        <v>372</v>
      </c>
      <c r="AB19" s="17" t="s">
        <v>330</v>
      </c>
      <c r="AC19" s="6" t="s">
        <v>347</v>
      </c>
      <c r="AD19" s="14" t="s">
        <v>371</v>
      </c>
      <c r="AE19" s="65" t="s">
        <v>687</v>
      </c>
      <c r="AF19" s="17" t="s">
        <v>365</v>
      </c>
      <c r="AG19" s="17" t="s">
        <v>685</v>
      </c>
      <c r="AH19" s="35" t="s">
        <v>691</v>
      </c>
      <c r="AI19" s="24">
        <v>0.89558759283515432</v>
      </c>
      <c r="AJ19" s="73">
        <v>3.55</v>
      </c>
      <c r="AK19" s="73">
        <v>0.36993999999999999</v>
      </c>
      <c r="AL19" s="73">
        <v>10.5</v>
      </c>
      <c r="AM19" s="73">
        <v>0.89</v>
      </c>
      <c r="AN19" s="73">
        <v>18700</v>
      </c>
      <c r="AO19" s="73">
        <v>17939</v>
      </c>
      <c r="AP19" s="73">
        <v>54142</v>
      </c>
      <c r="AQ19" s="73">
        <v>601</v>
      </c>
      <c r="AR19" s="73">
        <v>3157</v>
      </c>
      <c r="AS19" s="73">
        <v>11632</v>
      </c>
      <c r="AT19" s="73">
        <v>25075</v>
      </c>
      <c r="AU19" s="73">
        <v>2156.9</v>
      </c>
      <c r="AV19" s="73">
        <v>105.1</v>
      </c>
      <c r="AW19" s="73">
        <v>99.5</v>
      </c>
      <c r="AX19" s="73">
        <v>504.3</v>
      </c>
      <c r="AY19" s="73">
        <v>49537</v>
      </c>
      <c r="AZ19" s="73">
        <v>11.324999999999999</v>
      </c>
      <c r="BA19" s="73">
        <v>25.21</v>
      </c>
      <c r="BB19" s="73">
        <v>354.75</v>
      </c>
      <c r="BC19" s="73">
        <v>54</v>
      </c>
      <c r="BD19" s="73">
        <v>11.4</v>
      </c>
      <c r="BE19" s="73">
        <v>19.5</v>
      </c>
      <c r="BF19" s="73">
        <v>1.04</v>
      </c>
      <c r="BG19" s="73">
        <v>39.86</v>
      </c>
      <c r="BH19" s="73">
        <v>393.79</v>
      </c>
      <c r="BI19" s="73">
        <v>8.6969999999999992</v>
      </c>
      <c r="BJ19" s="73">
        <v>47.8</v>
      </c>
      <c r="BK19" s="73">
        <v>2.242</v>
      </c>
      <c r="BL19" s="73">
        <v>3.02</v>
      </c>
      <c r="BM19" s="73">
        <v>0.13300000000000001</v>
      </c>
      <c r="BN19" s="73">
        <v>0.06</v>
      </c>
      <c r="BO19" s="73">
        <v>1.1000000000000001</v>
      </c>
      <c r="BP19" s="73">
        <v>0.441</v>
      </c>
      <c r="BQ19" s="73">
        <v>2.6819999999999999</v>
      </c>
      <c r="BR19" s="73">
        <v>613.17999999999995</v>
      </c>
      <c r="BS19" s="73">
        <v>16.625</v>
      </c>
      <c r="BT19" s="73">
        <v>32.427</v>
      </c>
      <c r="BU19" s="73">
        <v>3.9590000000000001</v>
      </c>
      <c r="BV19" s="73">
        <v>16.14</v>
      </c>
      <c r="BW19" s="73">
        <v>3.0790000000000002</v>
      </c>
      <c r="BX19" s="73">
        <v>0.749</v>
      </c>
      <c r="BY19" s="73">
        <v>2.2450000000000001</v>
      </c>
      <c r="BZ19" s="73">
        <v>0.31</v>
      </c>
      <c r="CA19" s="73">
        <v>1.665</v>
      </c>
      <c r="CB19" s="73">
        <v>0.33200000000000002</v>
      </c>
      <c r="CC19" s="73">
        <v>0.89600000000000002</v>
      </c>
      <c r="CD19" s="73">
        <v>0.13200000000000001</v>
      </c>
      <c r="CE19" s="73">
        <v>0.82399999999999995</v>
      </c>
      <c r="CF19" s="73">
        <v>0.123</v>
      </c>
      <c r="CG19" s="73">
        <v>1.375</v>
      </c>
      <c r="CH19" s="73">
        <v>0.14399999999999999</v>
      </c>
      <c r="CI19" s="73">
        <v>34.557000000000002</v>
      </c>
      <c r="CJ19" s="73">
        <v>0.2</v>
      </c>
      <c r="CK19" s="73">
        <v>95.3</v>
      </c>
      <c r="CL19" s="73">
        <v>20.309999999999999</v>
      </c>
      <c r="CM19" s="73">
        <v>2.3069999999999999</v>
      </c>
      <c r="CN19" s="73">
        <v>0.71799999999999997</v>
      </c>
      <c r="CP19" s="136">
        <f t="shared" si="0"/>
        <v>2.0382830302720842</v>
      </c>
      <c r="CQ19" s="136">
        <f t="shared" si="1"/>
        <v>3.6231222774582839</v>
      </c>
      <c r="CR19" s="136">
        <f t="shared" si="2"/>
        <v>4.1605716363909551</v>
      </c>
      <c r="CS19" s="136">
        <f t="shared" si="3"/>
        <v>0.86670581842765981</v>
      </c>
      <c r="CT19" s="136">
        <f t="shared" si="4"/>
        <v>0.48462673447028576</v>
      </c>
      <c r="CU19" s="136">
        <f t="shared" si="5"/>
        <v>0.55565963671526897</v>
      </c>
      <c r="CV19" s="136">
        <f t="shared" si="6"/>
        <v>6.7879025593914326</v>
      </c>
      <c r="CW19" s="136">
        <f t="shared" si="7"/>
        <v>10.536027637309525</v>
      </c>
      <c r="CX19" s="136">
        <f t="shared" si="8"/>
        <v>13.406034602032312</v>
      </c>
      <c r="CY19" s="136">
        <f t="shared" si="9"/>
        <v>12.724087461793987</v>
      </c>
      <c r="CZ19" s="136">
        <f t="shared" si="10"/>
        <v>-7.8282807609121523</v>
      </c>
      <c r="DA19" s="136">
        <f t="shared" si="11"/>
        <v>9.4040275904390143</v>
      </c>
      <c r="DB19" s="22"/>
      <c r="DC19" s="141">
        <f t="shared" si="12"/>
        <v>1.625</v>
      </c>
      <c r="DD19" s="141">
        <f t="shared" si="13"/>
        <v>0.23824999999999999</v>
      </c>
      <c r="DE19" s="141">
        <f t="shared" si="14"/>
        <v>0.36993999999999999</v>
      </c>
      <c r="DF19" s="141">
        <f t="shared" si="15"/>
        <v>1.5546875</v>
      </c>
      <c r="DG19" s="141">
        <f t="shared" si="16"/>
        <v>6.0000000000000001E-3</v>
      </c>
      <c r="DH19" s="141">
        <f t="shared" si="17"/>
        <v>0.50419999999999998</v>
      </c>
    </row>
    <row r="20" spans="1:112" s="28" customFormat="1">
      <c r="A20" s="46"/>
      <c r="B20" s="35" t="s">
        <v>882</v>
      </c>
      <c r="C20" s="135">
        <v>438.76350274032279</v>
      </c>
      <c r="D20" s="135">
        <v>6.1626924824796792</v>
      </c>
      <c r="E20" s="135">
        <v>110.7041761069251</v>
      </c>
      <c r="F20" s="140">
        <v>3.365571170507061</v>
      </c>
      <c r="G20" s="135">
        <v>7.0498332148215708</v>
      </c>
      <c r="H20" s="135">
        <v>1.8869177632458389</v>
      </c>
      <c r="I20" s="135">
        <v>11.686635705934023</v>
      </c>
      <c r="J20" s="135">
        <v>9.8915813204460328</v>
      </c>
      <c r="K20" s="135">
        <v>15.74357220242133</v>
      </c>
      <c r="L20" s="135">
        <v>13.519616072516525</v>
      </c>
      <c r="M20" s="135">
        <v>-5.565306011969569</v>
      </c>
      <c r="N20" s="135">
        <v>10.165292061283047</v>
      </c>
      <c r="O20" s="293">
        <v>491.03133333333341</v>
      </c>
      <c r="P20" s="293">
        <v>0.83338499999999993</v>
      </c>
      <c r="Q20" s="293">
        <v>11.931924799999999</v>
      </c>
      <c r="R20" s="293">
        <v>4.004999999999999</v>
      </c>
      <c r="S20" s="293">
        <v>0.107212</v>
      </c>
      <c r="T20" s="293">
        <v>1.6058479999999999</v>
      </c>
      <c r="U20" s="293"/>
      <c r="V20" s="17" t="s">
        <v>117</v>
      </c>
      <c r="W20" s="17" t="s">
        <v>118</v>
      </c>
      <c r="X20" s="15" t="s">
        <v>339</v>
      </c>
      <c r="Y20" s="17">
        <v>0.25645200000000001</v>
      </c>
      <c r="Z20" s="17">
        <v>34.722082999999998</v>
      </c>
      <c r="AA20" s="17" t="s">
        <v>372</v>
      </c>
      <c r="AB20" s="17" t="s">
        <v>330</v>
      </c>
      <c r="AC20" s="6" t="s">
        <v>347</v>
      </c>
      <c r="AD20" s="14" t="s">
        <v>371</v>
      </c>
      <c r="AE20" s="65" t="s">
        <v>687</v>
      </c>
      <c r="AF20" s="17" t="s">
        <v>365</v>
      </c>
      <c r="AG20" s="17" t="s">
        <v>685</v>
      </c>
      <c r="AH20" s="35" t="s">
        <v>691</v>
      </c>
      <c r="AI20" s="24">
        <v>0.94319626960582603</v>
      </c>
      <c r="AJ20" s="73">
        <v>3.3</v>
      </c>
      <c r="AK20" s="73">
        <v>0.84839000000000009</v>
      </c>
      <c r="AL20" s="73">
        <v>10.3</v>
      </c>
      <c r="AM20" s="73">
        <v>0.48</v>
      </c>
      <c r="AN20" s="73">
        <v>18071</v>
      </c>
      <c r="AO20" s="73">
        <v>17601</v>
      </c>
      <c r="AP20" s="73">
        <v>52613</v>
      </c>
      <c r="AQ20" s="73">
        <v>605</v>
      </c>
      <c r="AR20" s="73">
        <v>5874</v>
      </c>
      <c r="AS20" s="73">
        <v>11415</v>
      </c>
      <c r="AT20" s="73">
        <v>25494</v>
      </c>
      <c r="AU20" s="73">
        <v>2087.9</v>
      </c>
      <c r="AV20" s="73">
        <v>101.7</v>
      </c>
      <c r="AW20" s="73">
        <v>102.6</v>
      </c>
      <c r="AX20" s="73">
        <v>501.1</v>
      </c>
      <c r="AY20" s="73">
        <v>49977</v>
      </c>
      <c r="AZ20" s="73">
        <v>15.317</v>
      </c>
      <c r="BA20" s="73">
        <v>28.94</v>
      </c>
      <c r="BB20" s="73">
        <v>590.9</v>
      </c>
      <c r="BC20" s="73">
        <v>54</v>
      </c>
      <c r="BD20" s="73">
        <v>11.34</v>
      </c>
      <c r="BE20" s="73">
        <v>20.399999999999999</v>
      </c>
      <c r="BF20" s="73">
        <v>1.19</v>
      </c>
      <c r="BG20" s="73">
        <v>39.53</v>
      </c>
      <c r="BH20" s="73">
        <v>387.15</v>
      </c>
      <c r="BI20" s="73">
        <v>8.8350000000000009</v>
      </c>
      <c r="BJ20" s="73">
        <v>43.09</v>
      </c>
      <c r="BK20" s="73">
        <v>2.2679999999999998</v>
      </c>
      <c r="BL20" s="73">
        <v>3.18</v>
      </c>
      <c r="BM20" s="73">
        <v>0.128</v>
      </c>
      <c r="BN20" s="73">
        <v>5.0999999999999997E-2</v>
      </c>
      <c r="BO20" s="73">
        <v>0.85</v>
      </c>
      <c r="BP20" s="73">
        <v>0.38100000000000001</v>
      </c>
      <c r="BQ20" s="73">
        <v>2.4140000000000001</v>
      </c>
      <c r="BR20" s="73">
        <v>605.96</v>
      </c>
      <c r="BS20" s="73">
        <v>16.010000000000002</v>
      </c>
      <c r="BT20" s="73">
        <v>31.888000000000002</v>
      </c>
      <c r="BU20" s="73">
        <v>3.9319999999999999</v>
      </c>
      <c r="BV20" s="73">
        <v>15.88</v>
      </c>
      <c r="BW20" s="73">
        <v>3.1429999999999998</v>
      </c>
      <c r="BX20" s="73">
        <v>0.745</v>
      </c>
      <c r="BY20" s="73">
        <v>2.2210000000000001</v>
      </c>
      <c r="BZ20" s="73">
        <v>0.30599999999999999</v>
      </c>
      <c r="CA20" s="73">
        <v>1.698</v>
      </c>
      <c r="CB20" s="73">
        <v>0.32500000000000001</v>
      </c>
      <c r="CC20" s="73">
        <v>0.879</v>
      </c>
      <c r="CD20" s="73">
        <v>0.125</v>
      </c>
      <c r="CE20" s="73">
        <v>0.82</v>
      </c>
      <c r="CF20" s="73">
        <v>0.13</v>
      </c>
      <c r="CG20" s="73">
        <v>1.3049999999999999</v>
      </c>
      <c r="CH20" s="73">
        <v>0.14599999999999999</v>
      </c>
      <c r="CI20" s="73">
        <v>34.613999999999997</v>
      </c>
      <c r="CJ20" s="73">
        <v>0.20200000000000001</v>
      </c>
      <c r="CK20" s="73">
        <v>76.599999999999994</v>
      </c>
      <c r="CL20" s="73">
        <v>26.68</v>
      </c>
      <c r="CM20" s="73">
        <v>2.1360000000000001</v>
      </c>
      <c r="CN20" s="73">
        <v>0.65100000000000002</v>
      </c>
      <c r="CP20" s="136">
        <f t="shared" si="0"/>
        <v>2.1135842487544267</v>
      </c>
      <c r="CQ20" s="136">
        <f t="shared" si="1"/>
        <v>2.8865453119132276</v>
      </c>
      <c r="CR20" s="136">
        <f t="shared" si="2"/>
        <v>9.4575091814386525</v>
      </c>
      <c r="CS20" s="136">
        <f t="shared" si="3"/>
        <v>0.88584045719854665</v>
      </c>
      <c r="CT20" s="136">
        <f t="shared" si="4"/>
        <v>0.40830604805483245</v>
      </c>
      <c r="CU20" s="136">
        <f t="shared" si="5"/>
        <v>0.63225758867684945</v>
      </c>
      <c r="CV20" s="136">
        <f t="shared" si="6"/>
        <v>6.8529975876133165</v>
      </c>
      <c r="CW20" s="136">
        <f t="shared" si="7"/>
        <v>10.220895815324539</v>
      </c>
      <c r="CX20" s="136">
        <f t="shared" si="8"/>
        <v>14.603470916685117</v>
      </c>
      <c r="CY20" s="136">
        <f t="shared" si="9"/>
        <v>12.768349761970031</v>
      </c>
      <c r="CZ20" s="136">
        <f t="shared" si="10"/>
        <v>-8.0627460145491749</v>
      </c>
      <c r="DA20" s="136">
        <f t="shared" si="11"/>
        <v>9.6030963941121996</v>
      </c>
      <c r="DB20" s="22"/>
      <c r="DC20" s="141">
        <f t="shared" si="12"/>
        <v>1.7</v>
      </c>
      <c r="DD20" s="141">
        <f t="shared" si="13"/>
        <v>0.19149999999999998</v>
      </c>
      <c r="DE20" s="141">
        <f t="shared" si="14"/>
        <v>0.84839000000000009</v>
      </c>
      <c r="DF20" s="141">
        <f t="shared" si="15"/>
        <v>1.6031249999999999</v>
      </c>
      <c r="DG20" s="141">
        <f t="shared" si="16"/>
        <v>5.0999999999999995E-3</v>
      </c>
      <c r="DH20" s="141">
        <f t="shared" si="17"/>
        <v>0.57879999999999998</v>
      </c>
    </row>
    <row r="21" spans="1:112" s="28" customFormat="1">
      <c r="A21" s="46" t="s">
        <v>886</v>
      </c>
      <c r="B21" s="35" t="s">
        <v>880</v>
      </c>
      <c r="C21" s="135">
        <v>0.35890004539313997</v>
      </c>
      <c r="D21" s="135">
        <v>0.18159594126866813</v>
      </c>
      <c r="E21" s="135">
        <v>0.38716340894948931</v>
      </c>
      <c r="F21" s="140">
        <v>1.2286360129860525</v>
      </c>
      <c r="G21" s="135">
        <v>0.21433823977014013</v>
      </c>
      <c r="H21" s="135">
        <v>0.49663362631588304</v>
      </c>
      <c r="I21" s="135">
        <v>3.0874628412503395</v>
      </c>
      <c r="J21" s="135">
        <v>6.4876921399545324</v>
      </c>
      <c r="K21" s="135">
        <v>9.9617133287362574</v>
      </c>
      <c r="L21" s="135">
        <v>12.776762001786231</v>
      </c>
      <c r="M21" s="135">
        <v>-10.150208855799514</v>
      </c>
      <c r="N21" s="135">
        <v>7.1783886503329803</v>
      </c>
      <c r="O21" s="363">
        <v>0.125</v>
      </c>
      <c r="P21" s="363">
        <v>1.44E-2</v>
      </c>
      <c r="Q21" s="363">
        <v>3.3985000000000001E-2</v>
      </c>
      <c r="R21" s="363">
        <v>1.6125</v>
      </c>
      <c r="S21" s="363">
        <v>1.2000000000000001E-3</v>
      </c>
      <c r="T21" s="363">
        <v>0.10779999999999999</v>
      </c>
      <c r="U21" s="293"/>
      <c r="V21" s="17" t="s">
        <v>119</v>
      </c>
      <c r="W21" s="17" t="s">
        <v>120</v>
      </c>
      <c r="X21" s="15" t="s">
        <v>339</v>
      </c>
      <c r="Y21" s="17">
        <v>0.25726700000000002</v>
      </c>
      <c r="Z21" s="17">
        <v>34.722675000000002</v>
      </c>
      <c r="AA21" s="17" t="s">
        <v>372</v>
      </c>
      <c r="AB21" s="17" t="s">
        <v>330</v>
      </c>
      <c r="AC21" s="6" t="s">
        <v>347</v>
      </c>
      <c r="AD21" s="14" t="s">
        <v>371</v>
      </c>
      <c r="AE21" s="65" t="s">
        <v>687</v>
      </c>
      <c r="AF21" s="17" t="s">
        <v>366</v>
      </c>
      <c r="AG21" s="17" t="s">
        <v>684</v>
      </c>
      <c r="AH21" s="35" t="s">
        <v>683</v>
      </c>
      <c r="AI21" s="24">
        <v>1.8706675529389669</v>
      </c>
      <c r="AJ21" s="73">
        <v>3.48</v>
      </c>
      <c r="AK21" s="73">
        <v>1.8359799999999999</v>
      </c>
      <c r="AL21" s="73">
        <v>13.6</v>
      </c>
      <c r="AM21" s="73">
        <v>1</v>
      </c>
      <c r="AN21" s="73">
        <v>14813</v>
      </c>
      <c r="AO21" s="73">
        <v>17318</v>
      </c>
      <c r="AP21" s="73">
        <v>57634</v>
      </c>
      <c r="AQ21" s="73">
        <v>668</v>
      </c>
      <c r="AR21" s="73">
        <v>5537</v>
      </c>
      <c r="AS21" s="73">
        <v>10494</v>
      </c>
      <c r="AT21" s="73">
        <v>25654</v>
      </c>
      <c r="AU21" s="73">
        <v>2946.6</v>
      </c>
      <c r="AV21" s="73">
        <v>131.1</v>
      </c>
      <c r="AW21" s="73">
        <v>290.5</v>
      </c>
      <c r="AX21" s="73">
        <v>663.5</v>
      </c>
      <c r="AY21" s="73">
        <v>56823</v>
      </c>
      <c r="AZ21" s="73">
        <v>34.079000000000001</v>
      </c>
      <c r="BA21" s="73">
        <v>83.97</v>
      </c>
      <c r="BB21" s="73">
        <v>244.75</v>
      </c>
      <c r="BC21" s="73">
        <v>84</v>
      </c>
      <c r="BD21" s="73">
        <v>13.09</v>
      </c>
      <c r="BE21" s="73">
        <v>9.3000000000000007</v>
      </c>
      <c r="BF21" s="73">
        <v>0.99</v>
      </c>
      <c r="BG21" s="73">
        <v>45.62</v>
      </c>
      <c r="BH21" s="73">
        <v>336.81</v>
      </c>
      <c r="BI21" s="73">
        <v>10.884</v>
      </c>
      <c r="BJ21" s="73">
        <v>68.53</v>
      </c>
      <c r="BK21" s="73">
        <v>7.8419999999999996</v>
      </c>
      <c r="BL21" s="73">
        <v>2.71</v>
      </c>
      <c r="BM21" s="73">
        <v>0.05</v>
      </c>
      <c r="BN21" s="73">
        <v>6.2E-2</v>
      </c>
      <c r="BO21" s="73">
        <v>1.99</v>
      </c>
      <c r="BP21" s="73">
        <v>0.59599999999999997</v>
      </c>
      <c r="BQ21" s="73">
        <v>2.4390000000000001</v>
      </c>
      <c r="BR21" s="73">
        <v>521.37</v>
      </c>
      <c r="BS21" s="73">
        <v>18.032</v>
      </c>
      <c r="BT21" s="73">
        <v>41.058</v>
      </c>
      <c r="BU21" s="73">
        <v>4.577</v>
      </c>
      <c r="BV21" s="73">
        <v>18.86</v>
      </c>
      <c r="BW21" s="73">
        <v>3.7240000000000002</v>
      </c>
      <c r="BX21" s="73">
        <v>0.86</v>
      </c>
      <c r="BY21" s="73">
        <v>2.7650000000000001</v>
      </c>
      <c r="BZ21" s="73">
        <v>0.38700000000000001</v>
      </c>
      <c r="CA21" s="73">
        <v>2.0710000000000002</v>
      </c>
      <c r="CB21" s="73">
        <v>0.41899999999999998</v>
      </c>
      <c r="CC21" s="73">
        <v>1.1739999999999999</v>
      </c>
      <c r="CD21" s="73">
        <v>0.17299999999999999</v>
      </c>
      <c r="CE21" s="73">
        <v>1.0720000000000001</v>
      </c>
      <c r="CF21" s="73">
        <v>0.16200000000000001</v>
      </c>
      <c r="CG21" s="73">
        <v>1.915</v>
      </c>
      <c r="CH21" s="73">
        <v>0.45600000000000002</v>
      </c>
      <c r="CI21" s="73">
        <v>13.372</v>
      </c>
      <c r="CJ21" s="73">
        <v>0.19600000000000001</v>
      </c>
      <c r="CK21" s="73">
        <v>27.7</v>
      </c>
      <c r="CL21" s="73">
        <v>29.66</v>
      </c>
      <c r="CM21" s="73">
        <v>3.0419999999999998</v>
      </c>
      <c r="CN21" s="73">
        <v>1.018</v>
      </c>
      <c r="CP21" s="136">
        <f t="shared" si="0"/>
        <v>0.84745836141330522</v>
      </c>
      <c r="CQ21" s="136">
        <f t="shared" si="1"/>
        <v>0.91806916870154587</v>
      </c>
      <c r="CR21" s="136">
        <f t="shared" si="2"/>
        <v>18.000940683673061</v>
      </c>
      <c r="CS21" s="136">
        <f t="shared" si="3"/>
        <v>2.2059736020659959</v>
      </c>
      <c r="CT21" s="136">
        <f t="shared" si="4"/>
        <v>0.43656945890988447</v>
      </c>
      <c r="CU21" s="136">
        <f t="shared" si="5"/>
        <v>1.6134878566564486</v>
      </c>
      <c r="CV21" s="136">
        <f t="shared" si="6"/>
        <v>5.7197310567498523</v>
      </c>
      <c r="CW21" s="136">
        <f t="shared" si="7"/>
        <v>8.7534373994487709</v>
      </c>
      <c r="CX21" s="136">
        <f t="shared" si="8"/>
        <v>15.717221738730141</v>
      </c>
      <c r="CY21" s="136">
        <f t="shared" si="9"/>
        <v>14.269857194654868</v>
      </c>
      <c r="CZ21" s="136">
        <f t="shared" si="10"/>
        <v>-7.7809750461337961</v>
      </c>
      <c r="DA21" s="136">
        <f t="shared" si="11"/>
        <v>11.139905459874546</v>
      </c>
      <c r="DB21" s="22"/>
      <c r="DC21" s="141">
        <f t="shared" si="12"/>
        <v>0.77500000000000002</v>
      </c>
      <c r="DD21" s="141">
        <f t="shared" si="13"/>
        <v>6.9249999999999992E-2</v>
      </c>
      <c r="DE21" s="141">
        <f t="shared" si="14"/>
        <v>1.8359799999999999</v>
      </c>
      <c r="DF21" s="141">
        <f t="shared" si="15"/>
        <v>4.5390625</v>
      </c>
      <c r="DG21" s="141">
        <f t="shared" si="16"/>
        <v>6.1999999999999998E-3</v>
      </c>
      <c r="DH21" s="141">
        <f t="shared" si="17"/>
        <v>1.6794</v>
      </c>
    </row>
    <row r="22" spans="1:112" s="28" customFormat="1">
      <c r="A22" s="46"/>
      <c r="B22" s="35" t="s">
        <v>881</v>
      </c>
      <c r="C22" s="135">
        <v>1477.2108886263243</v>
      </c>
      <c r="D22" s="135">
        <v>14.176217739098904</v>
      </c>
      <c r="E22" s="135">
        <v>128.41553165632391</v>
      </c>
      <c r="F22" s="140">
        <v>13.957461016799778</v>
      </c>
      <c r="G22" s="135">
        <v>10.017311124574272</v>
      </c>
      <c r="H22" s="135">
        <v>7.5881682536904398</v>
      </c>
      <c r="I22" s="135">
        <v>15.836452308241197</v>
      </c>
      <c r="J22" s="135">
        <v>12.143520971395333</v>
      </c>
      <c r="K22" s="135">
        <v>18.176911930596322</v>
      </c>
      <c r="L22" s="135">
        <v>14.217775986793795</v>
      </c>
      <c r="M22" s="135">
        <v>-3.2943021889098008</v>
      </c>
      <c r="N22" s="135">
        <v>11.859447740638279</v>
      </c>
      <c r="O22" s="363">
        <v>860.47500000000002</v>
      </c>
      <c r="P22" s="363">
        <v>0.72599999999999998</v>
      </c>
      <c r="Q22" s="363">
        <v>10.0997</v>
      </c>
      <c r="R22" s="363">
        <v>4.3781249999999998</v>
      </c>
      <c r="S22" s="363">
        <v>0.13899999999999998</v>
      </c>
      <c r="T22" s="363">
        <v>2.7654000000000001</v>
      </c>
      <c r="U22" s="293"/>
      <c r="V22" s="17" t="s">
        <v>121</v>
      </c>
      <c r="W22" s="17" t="s">
        <v>122</v>
      </c>
      <c r="X22" s="15" t="s">
        <v>339</v>
      </c>
      <c r="Y22" s="17">
        <v>0.31583600000000001</v>
      </c>
      <c r="Z22" s="17">
        <v>34.649163999999999</v>
      </c>
      <c r="AA22" s="17" t="s">
        <v>350</v>
      </c>
      <c r="AB22" s="17" t="s">
        <v>330</v>
      </c>
      <c r="AC22" s="6" t="s">
        <v>347</v>
      </c>
      <c r="AD22" s="14" t="s">
        <v>371</v>
      </c>
      <c r="AE22" s="28" t="s">
        <v>688</v>
      </c>
      <c r="AF22" s="17" t="s">
        <v>369</v>
      </c>
      <c r="AG22" s="17" t="s">
        <v>685</v>
      </c>
      <c r="AH22" s="35" t="s">
        <v>691</v>
      </c>
      <c r="AI22" s="24">
        <v>0.87531608636455227</v>
      </c>
      <c r="AJ22" s="73">
        <v>7.86</v>
      </c>
      <c r="AK22" s="73">
        <v>4.2978700000000005</v>
      </c>
      <c r="AL22" s="73">
        <v>14.3</v>
      </c>
      <c r="AM22" s="73">
        <v>0.89</v>
      </c>
      <c r="AN22" s="73">
        <v>16236</v>
      </c>
      <c r="AO22" s="73">
        <v>20336</v>
      </c>
      <c r="AP22" s="73">
        <v>53281</v>
      </c>
      <c r="AQ22" s="73">
        <v>779</v>
      </c>
      <c r="AR22" s="73">
        <v>9501</v>
      </c>
      <c r="AS22" s="73">
        <v>12345</v>
      </c>
      <c r="AT22" s="73">
        <v>32995</v>
      </c>
      <c r="AU22" s="73">
        <v>2532</v>
      </c>
      <c r="AV22" s="73">
        <v>120.8</v>
      </c>
      <c r="AW22" s="73">
        <v>138.19999999999999</v>
      </c>
      <c r="AX22" s="73">
        <v>734.8</v>
      </c>
      <c r="AY22" s="73">
        <v>58195</v>
      </c>
      <c r="AZ22" s="73">
        <v>34.69</v>
      </c>
      <c r="BA22" s="73">
        <v>51.9</v>
      </c>
      <c r="BB22" s="73">
        <v>408.4</v>
      </c>
      <c r="BC22" s="73">
        <v>141</v>
      </c>
      <c r="BD22" s="73">
        <v>11.49</v>
      </c>
      <c r="BE22" s="73">
        <v>19.7</v>
      </c>
      <c r="BF22" s="73">
        <v>1.1499999999999999</v>
      </c>
      <c r="BG22" s="73">
        <v>42.04</v>
      </c>
      <c r="BH22" s="73">
        <v>396.88</v>
      </c>
      <c r="BI22" s="73">
        <v>12.24</v>
      </c>
      <c r="BJ22" s="73">
        <v>46.39</v>
      </c>
      <c r="BK22" s="73">
        <v>9.2490000000000006</v>
      </c>
      <c r="BL22" s="73">
        <v>4.5599999999999996</v>
      </c>
      <c r="BM22" s="73">
        <v>0.115</v>
      </c>
      <c r="BN22" s="73">
        <v>0.14099999999999999</v>
      </c>
      <c r="BO22" s="73">
        <v>1.1599999999999999</v>
      </c>
      <c r="BP22" s="73">
        <v>0.51700000000000002</v>
      </c>
      <c r="BQ22" s="73">
        <v>3.0830000000000002</v>
      </c>
      <c r="BR22" s="73">
        <v>626.55999999999995</v>
      </c>
      <c r="BS22" s="73">
        <v>25.702999999999999</v>
      </c>
      <c r="BT22" s="73">
        <v>50.822000000000003</v>
      </c>
      <c r="BU22" s="73">
        <v>5.8940000000000001</v>
      </c>
      <c r="BV22" s="73">
        <v>23.23</v>
      </c>
      <c r="BW22" s="73">
        <v>4.3259999999999996</v>
      </c>
      <c r="BX22" s="73">
        <v>1.024</v>
      </c>
      <c r="BY22" s="73">
        <v>3.2429999999999999</v>
      </c>
      <c r="BZ22" s="73">
        <v>0.42199999999999999</v>
      </c>
      <c r="CA22" s="73">
        <v>2.3879999999999999</v>
      </c>
      <c r="CB22" s="73">
        <v>0.45300000000000001</v>
      </c>
      <c r="CC22" s="73">
        <v>1.2370000000000001</v>
      </c>
      <c r="CD22" s="73">
        <v>0.18099999999999999</v>
      </c>
      <c r="CE22" s="73">
        <v>1.0669999999999999</v>
      </c>
      <c r="CF22" s="73">
        <v>0.16900000000000001</v>
      </c>
      <c r="CG22" s="73">
        <v>1.3620000000000001</v>
      </c>
      <c r="CH22" s="73">
        <v>0.314</v>
      </c>
      <c r="CI22" s="73">
        <v>27.62</v>
      </c>
      <c r="CJ22" s="73">
        <v>0.219</v>
      </c>
      <c r="CK22" s="73">
        <v>93.4</v>
      </c>
      <c r="CL22" s="73">
        <v>44.1</v>
      </c>
      <c r="CM22" s="73">
        <v>3.5859999999999999</v>
      </c>
      <c r="CN22" s="73">
        <v>0.98899999999999999</v>
      </c>
      <c r="CP22" s="136">
        <f t="shared" si="0"/>
        <v>1.7528313530068784</v>
      </c>
      <c r="CQ22" s="136">
        <f t="shared" si="1"/>
        <v>3.0226022149794214</v>
      </c>
      <c r="CR22" s="136">
        <f t="shared" si="2"/>
        <v>41.145184694952917</v>
      </c>
      <c r="CS22" s="136">
        <f t="shared" si="3"/>
        <v>1.0247093611909923</v>
      </c>
      <c r="CT22" s="136">
        <f t="shared" si="4"/>
        <v>0.96943626053472254</v>
      </c>
      <c r="CU22" s="136">
        <f t="shared" si="5"/>
        <v>0.97374982386376696</v>
      </c>
      <c r="CV22" s="136">
        <f t="shared" si="6"/>
        <v>6.8026240650981968</v>
      </c>
      <c r="CW22" s="136">
        <f t="shared" si="7"/>
        <v>10.506973973109245</v>
      </c>
      <c r="CX22" s="136">
        <f t="shared" si="8"/>
        <v>16.944293241144202</v>
      </c>
      <c r="CY22" s="136">
        <f t="shared" si="9"/>
        <v>13.198076646751236</v>
      </c>
      <c r="CZ22" s="136">
        <f t="shared" si="10"/>
        <v>-6.5956200041218773</v>
      </c>
      <c r="DA22" s="136">
        <f t="shared" si="11"/>
        <v>10.445766010825718</v>
      </c>
      <c r="DB22" s="22"/>
      <c r="DC22" s="141">
        <f t="shared" si="12"/>
        <v>1.6416666666666666</v>
      </c>
      <c r="DD22" s="141">
        <f t="shared" si="13"/>
        <v>0.23350000000000001</v>
      </c>
      <c r="DE22" s="141">
        <f t="shared" si="14"/>
        <v>4.2978700000000005</v>
      </c>
      <c r="DF22" s="141">
        <f t="shared" si="15"/>
        <v>2.1593749999999998</v>
      </c>
      <c r="DG22" s="141">
        <f t="shared" si="16"/>
        <v>1.4099999999999998E-2</v>
      </c>
      <c r="DH22" s="141">
        <f t="shared" si="17"/>
        <v>1.038</v>
      </c>
    </row>
    <row r="23" spans="1:112" s="28" customFormat="1">
      <c r="A23" s="46"/>
      <c r="B23" s="35" t="s">
        <v>882</v>
      </c>
      <c r="C23" s="135">
        <v>145.92336056141147</v>
      </c>
      <c r="D23" s="135">
        <v>4.0267974689892228</v>
      </c>
      <c r="E23" s="135">
        <v>25.729636693975873</v>
      </c>
      <c r="F23" s="140">
        <v>3.4744239088040936</v>
      </c>
      <c r="G23" s="135">
        <v>3.4981780902036776</v>
      </c>
      <c r="H23" s="135">
        <v>2.8013388005112603</v>
      </c>
      <c r="I23" s="135">
        <v>9.1539585301525292</v>
      </c>
      <c r="J23" s="135">
        <v>9.1597711011979861</v>
      </c>
      <c r="K23" s="135">
        <v>13.920922998404755</v>
      </c>
      <c r="L23" s="135">
        <v>13.604337939565006</v>
      </c>
      <c r="M23" s="135">
        <v>-6.3141554000750304</v>
      </c>
      <c r="N23" s="135">
        <v>10.754943160135067</v>
      </c>
      <c r="O23" s="363">
        <v>72.537745098039196</v>
      </c>
      <c r="P23" s="363">
        <v>0.18696470588235292</v>
      </c>
      <c r="Q23" s="363">
        <v>2.173838235294117</v>
      </c>
      <c r="R23" s="363">
        <v>2.9779411764705883</v>
      </c>
      <c r="S23" s="363">
        <v>3.4300000000000004E-2</v>
      </c>
      <c r="T23" s="363">
        <v>1.606623529411765</v>
      </c>
      <c r="U23" s="293"/>
      <c r="V23" s="17" t="s">
        <v>123</v>
      </c>
      <c r="W23" s="17" t="s">
        <v>124</v>
      </c>
      <c r="X23" s="15" t="s">
        <v>339</v>
      </c>
      <c r="Y23" s="17">
        <v>0.31583600000000001</v>
      </c>
      <c r="Z23" s="17">
        <v>34.649163999999999</v>
      </c>
      <c r="AA23" s="17" t="s">
        <v>350</v>
      </c>
      <c r="AB23" s="44" t="s">
        <v>330</v>
      </c>
      <c r="AC23" s="6" t="s">
        <v>347</v>
      </c>
      <c r="AD23" s="14" t="s">
        <v>371</v>
      </c>
      <c r="AE23" s="28" t="s">
        <v>688</v>
      </c>
      <c r="AF23" s="17" t="s">
        <v>369</v>
      </c>
      <c r="AG23" s="17" t="s">
        <v>685</v>
      </c>
      <c r="AH23" s="35" t="s">
        <v>691</v>
      </c>
      <c r="AI23" s="24">
        <v>4.2531120331946966</v>
      </c>
      <c r="AJ23" s="73">
        <v>5.93</v>
      </c>
      <c r="AK23" s="73">
        <v>0.27227999999999997</v>
      </c>
      <c r="AL23" s="73">
        <v>13.5</v>
      </c>
      <c r="AM23" s="73">
        <v>2.4700000000000002</v>
      </c>
      <c r="AN23" s="73">
        <v>1590</v>
      </c>
      <c r="AO23" s="73">
        <v>1449</v>
      </c>
      <c r="AP23" s="73">
        <v>68960</v>
      </c>
      <c r="AQ23" s="73">
        <v>717</v>
      </c>
      <c r="AR23" s="73">
        <v>370</v>
      </c>
      <c r="AS23" s="73">
        <v>15124</v>
      </c>
      <c r="AT23" s="73" t="s">
        <v>125</v>
      </c>
      <c r="AU23" s="73">
        <v>1675.2</v>
      </c>
      <c r="AV23" s="73">
        <v>309.2</v>
      </c>
      <c r="AW23" s="73">
        <v>387.2</v>
      </c>
      <c r="AX23" s="73">
        <v>4042.9</v>
      </c>
      <c r="AY23" s="73">
        <v>132612</v>
      </c>
      <c r="AZ23" s="73">
        <v>68.06</v>
      </c>
      <c r="BA23" s="73">
        <v>82.46</v>
      </c>
      <c r="BB23" s="73">
        <v>182.71</v>
      </c>
      <c r="BC23" s="73">
        <v>303</v>
      </c>
      <c r="BD23" s="73">
        <v>17.899999999999999</v>
      </c>
      <c r="BE23" s="73">
        <v>454</v>
      </c>
      <c r="BF23" s="73">
        <v>3.5</v>
      </c>
      <c r="BG23" s="73">
        <v>56.32</v>
      </c>
      <c r="BH23" s="73">
        <v>54.5</v>
      </c>
      <c r="BI23" s="73">
        <v>22.370999999999999</v>
      </c>
      <c r="BJ23" s="73">
        <v>151.03</v>
      </c>
      <c r="BK23" s="73">
        <v>23.492999999999999</v>
      </c>
      <c r="BL23" s="73">
        <v>20.34</v>
      </c>
      <c r="BM23" s="73">
        <v>0.59599999999999997</v>
      </c>
      <c r="BN23" s="73">
        <v>0.58799999999999997</v>
      </c>
      <c r="BO23" s="73">
        <v>1.91</v>
      </c>
      <c r="BP23" s="73">
        <v>19.510999999999999</v>
      </c>
      <c r="BQ23" s="73">
        <v>3.5760000000000001</v>
      </c>
      <c r="BR23" s="73">
        <v>540.76</v>
      </c>
      <c r="BS23" s="73">
        <v>42.048999999999999</v>
      </c>
      <c r="BT23" s="73">
        <v>165.55500000000001</v>
      </c>
      <c r="BU23" s="73">
        <v>7.5270000000000001</v>
      </c>
      <c r="BV23" s="73">
        <v>27.47</v>
      </c>
      <c r="BW23" s="73">
        <v>5.4569999999999999</v>
      </c>
      <c r="BX23" s="73">
        <v>1.2410000000000001</v>
      </c>
      <c r="BY23" s="73">
        <v>4.7469999999999999</v>
      </c>
      <c r="BZ23" s="73">
        <v>0.75900000000000001</v>
      </c>
      <c r="CA23" s="73">
        <v>4.5</v>
      </c>
      <c r="CB23" s="73">
        <v>0.88200000000000001</v>
      </c>
      <c r="CC23" s="73">
        <v>2.4550000000000001</v>
      </c>
      <c r="CD23" s="73">
        <v>0.38600000000000001</v>
      </c>
      <c r="CE23" s="73">
        <v>2.4329999999999998</v>
      </c>
      <c r="CF23" s="73">
        <v>0.37</v>
      </c>
      <c r="CG23" s="73">
        <v>3.6429999999999998</v>
      </c>
      <c r="CH23" s="73">
        <v>1.244</v>
      </c>
      <c r="CI23" s="73">
        <v>14.798999999999999</v>
      </c>
      <c r="CJ23" s="73">
        <v>1.6180000000000001</v>
      </c>
      <c r="CK23" s="73">
        <v>131.4</v>
      </c>
      <c r="CL23" s="73">
        <v>0.74</v>
      </c>
      <c r="CM23" s="73">
        <v>5.2939999999999996</v>
      </c>
      <c r="CN23" s="73">
        <v>2.9489999999999998</v>
      </c>
      <c r="CP23" s="136">
        <f t="shared" si="0"/>
        <v>17.726892340503301</v>
      </c>
      <c r="CQ23" s="136">
        <f t="shared" si="1"/>
        <v>1.8660889139383992</v>
      </c>
      <c r="CR23" s="136">
        <f t="shared" si="2"/>
        <v>1.1438901771876993</v>
      </c>
      <c r="CS23" s="136">
        <f t="shared" si="3"/>
        <v>1.2598848594425254</v>
      </c>
      <c r="CT23" s="136">
        <f t="shared" si="4"/>
        <v>1.7741090892638265</v>
      </c>
      <c r="CU23" s="136">
        <f t="shared" si="5"/>
        <v>0.67893189621742978</v>
      </c>
      <c r="CV23" s="136">
        <f t="shared" si="6"/>
        <v>11.329048827820099</v>
      </c>
      <c r="CW23" s="136">
        <f t="shared" si="7"/>
        <v>10.999444793721912</v>
      </c>
      <c r="CX23" s="136">
        <f t="shared" si="8"/>
        <v>12.963834315652953</v>
      </c>
      <c r="CY23" s="136">
        <f t="shared" si="9"/>
        <v>14.684397983637574</v>
      </c>
      <c r="CZ23" s="136">
        <f t="shared" si="10"/>
        <v>-4.5354990116843066</v>
      </c>
      <c r="DA23" s="136">
        <f t="shared" si="11"/>
        <v>11.113725933468539</v>
      </c>
      <c r="DB23" s="22"/>
      <c r="DC23" s="141">
        <f t="shared" si="12"/>
        <v>37.833333333333336</v>
      </c>
      <c r="DD23" s="141">
        <f t="shared" si="13"/>
        <v>0.32850000000000001</v>
      </c>
      <c r="DE23" s="141">
        <f t="shared" si="14"/>
        <v>0.27227999999999997</v>
      </c>
      <c r="DF23" s="141">
        <f t="shared" si="15"/>
        <v>6.05</v>
      </c>
      <c r="DG23" s="141">
        <f t="shared" si="16"/>
        <v>5.8799999999999998E-2</v>
      </c>
      <c r="DH23" s="141">
        <f t="shared" si="17"/>
        <v>1.6491999999999998</v>
      </c>
    </row>
    <row r="24" spans="1:112" s="28" customFormat="1">
      <c r="A24" s="46" t="s">
        <v>887</v>
      </c>
      <c r="B24" s="35"/>
      <c r="C24" s="135"/>
      <c r="D24" s="135"/>
      <c r="E24" s="135"/>
      <c r="F24" s="140"/>
      <c r="G24" s="135"/>
      <c r="H24" s="135"/>
      <c r="I24" s="135"/>
      <c r="J24" s="135"/>
      <c r="K24" s="135"/>
      <c r="L24" s="135"/>
      <c r="M24" s="135"/>
      <c r="N24" s="135"/>
      <c r="O24" s="293"/>
      <c r="P24" s="293"/>
      <c r="Q24" s="293"/>
      <c r="R24" s="293"/>
      <c r="S24" s="293"/>
      <c r="T24" s="293"/>
      <c r="V24" s="17" t="s">
        <v>126</v>
      </c>
      <c r="W24" s="17" t="s">
        <v>127</v>
      </c>
      <c r="X24" s="15" t="s">
        <v>339</v>
      </c>
      <c r="Y24" s="17">
        <v>0.31583600000000001</v>
      </c>
      <c r="Z24" s="17">
        <v>34.649163999999999</v>
      </c>
      <c r="AA24" s="17" t="s">
        <v>350</v>
      </c>
      <c r="AB24" s="17" t="s">
        <v>330</v>
      </c>
      <c r="AC24" s="6" t="s">
        <v>347</v>
      </c>
      <c r="AD24" s="14" t="s">
        <v>371</v>
      </c>
      <c r="AE24" s="28" t="s">
        <v>688</v>
      </c>
      <c r="AF24" s="17" t="s">
        <v>369</v>
      </c>
      <c r="AG24" s="17" t="s">
        <v>685</v>
      </c>
      <c r="AH24" s="35" t="s">
        <v>691</v>
      </c>
      <c r="AI24" s="24">
        <v>0.79406001856242359</v>
      </c>
      <c r="AJ24" s="73">
        <v>7.73</v>
      </c>
      <c r="AK24" s="73">
        <v>1.8449099999999998</v>
      </c>
      <c r="AL24" s="73">
        <v>13.5</v>
      </c>
      <c r="AM24" s="73">
        <v>0.73</v>
      </c>
      <c r="AN24" s="73">
        <v>17178</v>
      </c>
      <c r="AO24" s="73">
        <v>20696</v>
      </c>
      <c r="AP24" s="73">
        <v>54702</v>
      </c>
      <c r="AQ24" s="73">
        <v>685</v>
      </c>
      <c r="AR24" s="73">
        <v>8571</v>
      </c>
      <c r="AS24" s="73">
        <v>11893</v>
      </c>
      <c r="AT24" s="73">
        <v>31890</v>
      </c>
      <c r="AU24" s="73">
        <v>2509.8000000000002</v>
      </c>
      <c r="AV24" s="73">
        <v>119.8</v>
      </c>
      <c r="AW24" s="73">
        <v>128.6</v>
      </c>
      <c r="AX24" s="73">
        <v>628.1</v>
      </c>
      <c r="AY24" s="73">
        <v>56591</v>
      </c>
      <c r="AZ24" s="73">
        <v>31.574999999999999</v>
      </c>
      <c r="BA24" s="73">
        <v>49.89</v>
      </c>
      <c r="BB24" s="73">
        <v>499.22</v>
      </c>
      <c r="BC24" s="73">
        <v>140</v>
      </c>
      <c r="BD24" s="73">
        <v>11.47</v>
      </c>
      <c r="BE24" s="73">
        <v>21.5</v>
      </c>
      <c r="BF24" s="73">
        <v>1.1599999999999999</v>
      </c>
      <c r="BG24" s="73">
        <v>41.18</v>
      </c>
      <c r="BH24" s="73">
        <v>353.46</v>
      </c>
      <c r="BI24" s="73">
        <v>9.8919999999999995</v>
      </c>
      <c r="BJ24" s="73">
        <v>43.17</v>
      </c>
      <c r="BK24" s="73">
        <v>3.3119999999999998</v>
      </c>
      <c r="BL24" s="73">
        <v>4.41</v>
      </c>
      <c r="BM24" s="73">
        <v>7.2999999999999995E-2</v>
      </c>
      <c r="BN24" s="73">
        <v>0.14299999999999999</v>
      </c>
      <c r="BO24" s="73">
        <v>1.3</v>
      </c>
      <c r="BP24" s="73">
        <v>0.48</v>
      </c>
      <c r="BQ24" s="73">
        <v>2.8849999999999998</v>
      </c>
      <c r="BR24" s="73">
        <v>571.86</v>
      </c>
      <c r="BS24" s="73">
        <v>18.213999999999999</v>
      </c>
      <c r="BT24" s="73">
        <v>36.99</v>
      </c>
      <c r="BU24" s="73">
        <v>4.4740000000000002</v>
      </c>
      <c r="BV24" s="73">
        <v>18.18</v>
      </c>
      <c r="BW24" s="73">
        <v>3.5219999999999998</v>
      </c>
      <c r="BX24" s="73">
        <v>0.79200000000000004</v>
      </c>
      <c r="BY24" s="73">
        <v>2.5489999999999999</v>
      </c>
      <c r="BZ24" s="73">
        <v>0.34699999999999998</v>
      </c>
      <c r="CA24" s="73">
        <v>1.865</v>
      </c>
      <c r="CB24" s="73">
        <v>0.371</v>
      </c>
      <c r="CC24" s="73">
        <v>1.0369999999999999</v>
      </c>
      <c r="CD24" s="73">
        <v>0.155</v>
      </c>
      <c r="CE24" s="73">
        <v>0.93400000000000005</v>
      </c>
      <c r="CF24" s="73">
        <v>0.14199999999999999</v>
      </c>
      <c r="CG24" s="73">
        <v>1.31</v>
      </c>
      <c r="CH24" s="73">
        <v>0.19800000000000001</v>
      </c>
      <c r="CI24" s="73">
        <v>29.606000000000002</v>
      </c>
      <c r="CJ24" s="73">
        <v>0.20200000000000001</v>
      </c>
      <c r="CK24" s="73">
        <v>115.7</v>
      </c>
      <c r="CL24" s="73">
        <v>43</v>
      </c>
      <c r="CM24" s="73">
        <v>2.831</v>
      </c>
      <c r="CN24" s="73">
        <v>0.82799999999999996</v>
      </c>
      <c r="CP24" s="136">
        <f t="shared" si="0"/>
        <v>1.9672097621010198</v>
      </c>
      <c r="CQ24" s="136">
        <f t="shared" si="1"/>
        <v>3.8503994199246661</v>
      </c>
      <c r="CR24" s="136">
        <f t="shared" si="2"/>
        <v>18.162650679235345</v>
      </c>
      <c r="CS24" s="136">
        <f t="shared" si="3"/>
        <v>0.98055494343484961</v>
      </c>
      <c r="CT24" s="136">
        <f t="shared" si="4"/>
        <v>1.0110543195914543</v>
      </c>
      <c r="CU24" s="136">
        <f t="shared" si="5"/>
        <v>0.96256893697722767</v>
      </c>
      <c r="CV24" s="136">
        <f t="shared" si="6"/>
        <v>6.9287650952312818</v>
      </c>
      <c r="CW24" s="136">
        <f t="shared" si="7"/>
        <v>10.815868382507073</v>
      </c>
      <c r="CX24" s="136">
        <f t="shared" si="8"/>
        <v>15.724221834897566</v>
      </c>
      <c r="CY24" s="136">
        <f t="shared" si="9"/>
        <v>13.094209673690925</v>
      </c>
      <c r="CZ24" s="136">
        <f t="shared" si="10"/>
        <v>-6.5753000197422811</v>
      </c>
      <c r="DA24" s="136">
        <f t="shared" si="11"/>
        <v>10.3887821415889</v>
      </c>
      <c r="DB24" s="22"/>
      <c r="DC24" s="141">
        <f t="shared" si="12"/>
        <v>1.7916666666666667</v>
      </c>
      <c r="DD24" s="141">
        <f t="shared" si="13"/>
        <v>0.28925000000000001</v>
      </c>
      <c r="DE24" s="141">
        <f t="shared" si="14"/>
        <v>1.8449099999999998</v>
      </c>
      <c r="DF24" s="141">
        <f t="shared" si="15"/>
        <v>2.0093749999999999</v>
      </c>
      <c r="DG24" s="141">
        <f t="shared" si="16"/>
        <v>1.4299999999999998E-2</v>
      </c>
      <c r="DH24" s="141">
        <f t="shared" si="17"/>
        <v>0.99780000000000002</v>
      </c>
    </row>
    <row r="25" spans="1:112" s="28" customFormat="1">
      <c r="A25" s="46" t="s">
        <v>888</v>
      </c>
      <c r="B25" s="35" t="s">
        <v>880</v>
      </c>
      <c r="C25" s="135">
        <v>0.80541361753554597</v>
      </c>
      <c r="D25" s="135">
        <v>0.41771265981847255</v>
      </c>
      <c r="E25" s="135">
        <v>10.844218934139395</v>
      </c>
      <c r="F25" s="140">
        <v>1.9585185272437915</v>
      </c>
      <c r="G25" s="135">
        <v>0.40194410647844003</v>
      </c>
      <c r="H25" s="135">
        <v>0.9018083231125793</v>
      </c>
      <c r="I25" s="135">
        <v>5.7655347463629774</v>
      </c>
      <c r="J25" s="135">
        <v>8.0233995258736339</v>
      </c>
      <c r="K25" s="135">
        <v>14.369862665176685</v>
      </c>
      <c r="L25" s="135">
        <v>11.93545974780529</v>
      </c>
      <c r="M25" s="135">
        <v>-7.9278164344630664</v>
      </c>
      <c r="N25" s="135">
        <v>6.4034552059677532</v>
      </c>
      <c r="O25" s="363">
        <v>0.48</v>
      </c>
      <c r="P25" s="363">
        <v>8.3084577114427863E-2</v>
      </c>
      <c r="Q25" s="363">
        <v>4.8104000000000005</v>
      </c>
      <c r="R25" s="363">
        <v>0.71111111111111114</v>
      </c>
      <c r="S25" s="363">
        <v>2.4347826086956525E-2</v>
      </c>
      <c r="T25" s="363">
        <v>0.15</v>
      </c>
      <c r="U25"/>
      <c r="V25" s="17" t="s">
        <v>128</v>
      </c>
      <c r="W25" s="17" t="s">
        <v>129</v>
      </c>
      <c r="X25" s="15" t="s">
        <v>339</v>
      </c>
      <c r="Y25" s="17">
        <v>0.31583600000000001</v>
      </c>
      <c r="Z25" s="17">
        <v>34.649163999999999</v>
      </c>
      <c r="AA25" s="17" t="s">
        <v>350</v>
      </c>
      <c r="AB25" s="17" t="s">
        <v>330</v>
      </c>
      <c r="AC25" s="6" t="s">
        <v>347</v>
      </c>
      <c r="AD25" s="14" t="s">
        <v>371</v>
      </c>
      <c r="AE25" s="28" t="s">
        <v>688</v>
      </c>
      <c r="AF25" s="17" t="s">
        <v>365</v>
      </c>
      <c r="AG25" s="17" t="s">
        <v>685</v>
      </c>
      <c r="AH25" s="35" t="s">
        <v>691</v>
      </c>
      <c r="AI25" s="24">
        <v>3.6973344797938408</v>
      </c>
      <c r="AJ25" s="73">
        <v>6.06</v>
      </c>
      <c r="AK25" s="73">
        <v>0.52349000000000001</v>
      </c>
      <c r="AL25" s="73">
        <v>13</v>
      </c>
      <c r="AM25" s="73">
        <v>2.04</v>
      </c>
      <c r="AN25" s="73">
        <v>1918</v>
      </c>
      <c r="AO25" s="73">
        <v>1782</v>
      </c>
      <c r="AP25" s="73">
        <v>65252</v>
      </c>
      <c r="AQ25" s="73">
        <v>697</v>
      </c>
      <c r="AR25" s="73">
        <v>603</v>
      </c>
      <c r="AS25" s="73">
        <v>14747</v>
      </c>
      <c r="AT25" s="73">
        <v>1448</v>
      </c>
      <c r="AU25" s="73">
        <v>1704.4</v>
      </c>
      <c r="AV25" s="73">
        <v>297.5</v>
      </c>
      <c r="AW25" s="73">
        <v>370.7</v>
      </c>
      <c r="AX25" s="73">
        <v>3711.9</v>
      </c>
      <c r="AY25" s="73">
        <v>126523</v>
      </c>
      <c r="AZ25" s="73">
        <v>67.268000000000001</v>
      </c>
      <c r="BA25" s="73">
        <v>80.97</v>
      </c>
      <c r="BB25" s="73">
        <v>183.43</v>
      </c>
      <c r="BC25" s="73">
        <v>301</v>
      </c>
      <c r="BD25" s="73">
        <v>16.989999999999998</v>
      </c>
      <c r="BE25" s="73">
        <v>440</v>
      </c>
      <c r="BF25" s="73">
        <v>3.5</v>
      </c>
      <c r="BG25" s="73">
        <v>53.58</v>
      </c>
      <c r="BH25" s="73">
        <v>57.87</v>
      </c>
      <c r="BI25" s="73">
        <v>21.798999999999999</v>
      </c>
      <c r="BJ25" s="73">
        <v>144.25</v>
      </c>
      <c r="BK25" s="73">
        <v>22.564</v>
      </c>
      <c r="BL25" s="73">
        <v>20.87</v>
      </c>
      <c r="BM25" s="73">
        <v>0.67500000000000004</v>
      </c>
      <c r="BN25" s="73">
        <v>0.628</v>
      </c>
      <c r="BO25" s="73">
        <v>1.77</v>
      </c>
      <c r="BP25" s="73">
        <v>18.425999999999998</v>
      </c>
      <c r="BQ25" s="73">
        <v>3.52</v>
      </c>
      <c r="BR25" s="73">
        <v>498.17</v>
      </c>
      <c r="BS25" s="73">
        <v>39.005000000000003</v>
      </c>
      <c r="BT25" s="73">
        <v>140.447</v>
      </c>
      <c r="BU25" s="73">
        <v>7.2450000000000001</v>
      </c>
      <c r="BV25" s="73">
        <v>26.54</v>
      </c>
      <c r="BW25" s="73">
        <v>5.452</v>
      </c>
      <c r="BX25" s="73">
        <v>1.248</v>
      </c>
      <c r="BY25" s="73">
        <v>4.6509999999999998</v>
      </c>
      <c r="BZ25" s="73">
        <v>0.74199999999999999</v>
      </c>
      <c r="CA25" s="73">
        <v>4.4020000000000001</v>
      </c>
      <c r="CB25" s="73">
        <v>0.85699999999999998</v>
      </c>
      <c r="CC25" s="73">
        <v>2.4300000000000002</v>
      </c>
      <c r="CD25" s="73">
        <v>0.36299999999999999</v>
      </c>
      <c r="CE25" s="73">
        <v>2.34</v>
      </c>
      <c r="CF25" s="73">
        <v>0.35399999999999998</v>
      </c>
      <c r="CG25" s="73">
        <v>3.5840000000000001</v>
      </c>
      <c r="CH25" s="73">
        <v>1.216</v>
      </c>
      <c r="CI25" s="73">
        <v>15.074</v>
      </c>
      <c r="CJ25" s="73">
        <v>1.5129999999999999</v>
      </c>
      <c r="CK25" s="73">
        <v>124.3</v>
      </c>
      <c r="CL25" s="73">
        <v>1.76</v>
      </c>
      <c r="CM25" s="73">
        <v>5.7469999999999999</v>
      </c>
      <c r="CN25" s="73">
        <v>2.8050000000000002</v>
      </c>
      <c r="CP25" s="136">
        <f t="shared" si="0"/>
        <v>18.007058470187474</v>
      </c>
      <c r="CQ25" s="136">
        <f t="shared" si="1"/>
        <v>1.8502117737072175</v>
      </c>
      <c r="CR25" s="136">
        <f t="shared" si="2"/>
        <v>2.3051029294518623</v>
      </c>
      <c r="CS25" s="136">
        <f t="shared" si="3"/>
        <v>1.2642455634277454</v>
      </c>
      <c r="CT25" s="136">
        <f t="shared" si="4"/>
        <v>1.9859850849971223</v>
      </c>
      <c r="CU25" s="136">
        <f t="shared" si="5"/>
        <v>0.698747657744197</v>
      </c>
      <c r="CV25" s="136">
        <f t="shared" si="6"/>
        <v>11.283860054053843</v>
      </c>
      <c r="CW25" s="136">
        <f t="shared" si="7"/>
        <v>10.919305814452066</v>
      </c>
      <c r="CX25" s="136">
        <f t="shared" si="8"/>
        <v>13.906905279057248</v>
      </c>
      <c r="CY25" s="136">
        <f t="shared" si="9"/>
        <v>14.621571146182132</v>
      </c>
      <c r="CZ25" s="136">
        <f t="shared" si="10"/>
        <v>-4.440550607629044</v>
      </c>
      <c r="DA25" s="136">
        <f t="shared" si="11"/>
        <v>11.087418949768482</v>
      </c>
      <c r="DB25" s="22"/>
      <c r="DC25" s="141">
        <f t="shared" si="12"/>
        <v>36.666666666666664</v>
      </c>
      <c r="DD25" s="141">
        <f t="shared" si="13"/>
        <v>0.31074999999999997</v>
      </c>
      <c r="DE25" s="141">
        <f t="shared" si="14"/>
        <v>0.52349000000000001</v>
      </c>
      <c r="DF25" s="141">
        <f t="shared" si="15"/>
        <v>5.7921874999999998</v>
      </c>
      <c r="DG25" s="141">
        <f t="shared" si="16"/>
        <v>6.2799999999999995E-2</v>
      </c>
      <c r="DH25" s="141">
        <f t="shared" si="17"/>
        <v>1.6194</v>
      </c>
    </row>
    <row r="26" spans="1:112" s="28" customFormat="1">
      <c r="A26" s="46"/>
      <c r="B26" s="35" t="s">
        <v>881</v>
      </c>
      <c r="C26" s="135">
        <v>1051.1267282506669</v>
      </c>
      <c r="D26" s="135">
        <v>17.896491530978853</v>
      </c>
      <c r="E26" s="135">
        <v>201.54972661207228</v>
      </c>
      <c r="F26" s="140">
        <v>12.634226981323655</v>
      </c>
      <c r="G26" s="135">
        <v>14.080461974009326</v>
      </c>
      <c r="H26" s="135">
        <v>5.4631232481722583</v>
      </c>
      <c r="I26" s="135">
        <v>15.160421648130402</v>
      </c>
      <c r="J26" s="135">
        <v>12.311236300111467</v>
      </c>
      <c r="K26" s="135">
        <v>18.423978656918425</v>
      </c>
      <c r="L26" s="135">
        <v>16.906923469144424</v>
      </c>
      <c r="M26" s="135">
        <v>-3.496766617195592</v>
      </c>
      <c r="N26" s="135">
        <v>12.46509427176014</v>
      </c>
      <c r="O26" s="363">
        <v>323.13499999999999</v>
      </c>
      <c r="P26" s="363">
        <v>1.6228855721393034</v>
      </c>
      <c r="Q26" s="363">
        <v>79.908266666666677</v>
      </c>
      <c r="R26" s="363">
        <v>22.309876543209874</v>
      </c>
      <c r="S26" s="363">
        <v>0.52521739130434786</v>
      </c>
      <c r="T26" s="363">
        <v>10.019047619047619</v>
      </c>
      <c r="U26"/>
      <c r="V26" s="17" t="s">
        <v>130</v>
      </c>
      <c r="W26" s="17" t="s">
        <v>131</v>
      </c>
      <c r="X26" s="15" t="s">
        <v>339</v>
      </c>
      <c r="Y26" s="17">
        <v>0.31583600000000001</v>
      </c>
      <c r="Z26" s="17">
        <v>34.649163999999999</v>
      </c>
      <c r="AA26" s="17" t="s">
        <v>350</v>
      </c>
      <c r="AB26" s="17" t="s">
        <v>330</v>
      </c>
      <c r="AC26" s="6" t="s">
        <v>347</v>
      </c>
      <c r="AD26" s="14" t="s">
        <v>371</v>
      </c>
      <c r="AE26" s="28" t="s">
        <v>688</v>
      </c>
      <c r="AF26" s="17" t="s">
        <v>365</v>
      </c>
      <c r="AG26" s="17" t="s">
        <v>685</v>
      </c>
      <c r="AH26" s="35" t="s">
        <v>691</v>
      </c>
      <c r="AI26" s="24">
        <v>0.97556609684054996</v>
      </c>
      <c r="AJ26" s="73">
        <v>7.63</v>
      </c>
      <c r="AK26" s="76">
        <v>2.0906000000000002</v>
      </c>
      <c r="AL26" s="73">
        <v>13</v>
      </c>
      <c r="AM26" s="73">
        <v>0.64</v>
      </c>
      <c r="AN26" s="73">
        <v>16805</v>
      </c>
      <c r="AO26" s="73">
        <v>20546</v>
      </c>
      <c r="AP26" s="73">
        <v>53755</v>
      </c>
      <c r="AQ26" s="73">
        <v>705</v>
      </c>
      <c r="AR26" s="73">
        <v>9066</v>
      </c>
      <c r="AS26" s="73">
        <v>11470</v>
      </c>
      <c r="AT26" s="73">
        <v>32840</v>
      </c>
      <c r="AU26" s="73">
        <v>2464.6999999999998</v>
      </c>
      <c r="AV26" s="73">
        <v>118.8</v>
      </c>
      <c r="AW26" s="73">
        <v>132.1</v>
      </c>
      <c r="AX26" s="73">
        <v>647.29999999999995</v>
      </c>
      <c r="AY26" s="73">
        <v>56966</v>
      </c>
      <c r="AZ26" s="73">
        <v>32.588000000000001</v>
      </c>
      <c r="BA26" s="73">
        <v>50.08</v>
      </c>
      <c r="BB26" s="73">
        <v>459.23</v>
      </c>
      <c r="BC26" s="73">
        <v>123</v>
      </c>
      <c r="BD26" s="73">
        <v>12.01</v>
      </c>
      <c r="BE26" s="73">
        <v>20.7</v>
      </c>
      <c r="BF26" s="73">
        <v>1.1599999999999999</v>
      </c>
      <c r="BG26" s="73">
        <v>40.39</v>
      </c>
      <c r="BH26" s="73">
        <v>359.13</v>
      </c>
      <c r="BI26" s="73">
        <v>10.574</v>
      </c>
      <c r="BJ26" s="73">
        <v>45.14</v>
      </c>
      <c r="BK26" s="73">
        <v>4.8760000000000003</v>
      </c>
      <c r="BL26" s="73">
        <v>4.58</v>
      </c>
      <c r="BM26" s="73">
        <v>5.6000000000000001E-2</v>
      </c>
      <c r="BN26" s="73">
        <v>0.14599999999999999</v>
      </c>
      <c r="BO26" s="73">
        <v>1.24</v>
      </c>
      <c r="BP26" s="73">
        <v>0.53400000000000003</v>
      </c>
      <c r="BQ26" s="73">
        <v>2.7519999999999998</v>
      </c>
      <c r="BR26" s="73">
        <v>571.62</v>
      </c>
      <c r="BS26" s="73">
        <v>19.815999999999999</v>
      </c>
      <c r="BT26" s="73">
        <v>39.947000000000003</v>
      </c>
      <c r="BU26" s="73">
        <v>4.79</v>
      </c>
      <c r="BV26" s="73">
        <v>19.18</v>
      </c>
      <c r="BW26" s="73">
        <v>3.6459999999999999</v>
      </c>
      <c r="BX26" s="73">
        <v>0.85599999999999998</v>
      </c>
      <c r="BY26" s="73">
        <v>2.7749999999999999</v>
      </c>
      <c r="BZ26" s="73">
        <v>0.35299999999999998</v>
      </c>
      <c r="CA26" s="73">
        <v>2.0179999999999998</v>
      </c>
      <c r="CB26" s="73">
        <v>0.39500000000000002</v>
      </c>
      <c r="CC26" s="73">
        <v>1.06</v>
      </c>
      <c r="CD26" s="73">
        <v>0.156</v>
      </c>
      <c r="CE26" s="73">
        <v>0.98699999999999999</v>
      </c>
      <c r="CF26" s="73">
        <v>0.151</v>
      </c>
      <c r="CG26" s="73">
        <v>1.349</v>
      </c>
      <c r="CH26" s="73">
        <v>0.222</v>
      </c>
      <c r="CI26" s="73">
        <v>29.442</v>
      </c>
      <c r="CJ26" s="73">
        <v>0.188</v>
      </c>
      <c r="CK26" s="73">
        <v>99.4</v>
      </c>
      <c r="CL26" s="73">
        <v>43.6</v>
      </c>
      <c r="CM26" s="73">
        <v>2.899</v>
      </c>
      <c r="CN26" s="73">
        <v>0.87</v>
      </c>
      <c r="CP26" s="136">
        <f t="shared" si="0"/>
        <v>1.8815432218598918</v>
      </c>
      <c r="CQ26" s="136">
        <f t="shared" si="1"/>
        <v>3.2861732146573455</v>
      </c>
      <c r="CR26" s="136">
        <f t="shared" si="2"/>
        <v>20.445918918102162</v>
      </c>
      <c r="CS26" s="136">
        <f t="shared" si="3"/>
        <v>1.000611351077664</v>
      </c>
      <c r="CT26" s="136">
        <f t="shared" si="4"/>
        <v>1.0254699773070379</v>
      </c>
      <c r="CU26" s="136">
        <f t="shared" si="5"/>
        <v>0.95987416205724307</v>
      </c>
      <c r="CV26" s="136">
        <f t="shared" si="6"/>
        <v>6.8740592031411465</v>
      </c>
      <c r="CW26" s="136">
        <f t="shared" si="7"/>
        <v>10.596797274961869</v>
      </c>
      <c r="CX26" s="136">
        <f t="shared" si="8"/>
        <v>15.904588449388584</v>
      </c>
      <c r="CY26" s="136">
        <f t="shared" si="9"/>
        <v>13.132949497609804</v>
      </c>
      <c r="CZ26" s="136">
        <f t="shared" si="10"/>
        <v>-6.5453467976406543</v>
      </c>
      <c r="DA26" s="136">
        <f t="shared" si="11"/>
        <v>10.394266034513093</v>
      </c>
      <c r="DB26" s="22"/>
      <c r="DC26" s="141">
        <f t="shared" si="12"/>
        <v>1.7249999999999999</v>
      </c>
      <c r="DD26" s="141">
        <f t="shared" si="13"/>
        <v>0.24850000000000003</v>
      </c>
      <c r="DE26" s="141">
        <f t="shared" si="14"/>
        <v>2.0906000000000002</v>
      </c>
      <c r="DF26" s="141">
        <f t="shared" si="15"/>
        <v>2.0640624999999999</v>
      </c>
      <c r="DG26" s="141">
        <f t="shared" si="16"/>
        <v>1.4599999999999998E-2</v>
      </c>
      <c r="DH26" s="141">
        <f t="shared" si="17"/>
        <v>1.0016</v>
      </c>
    </row>
    <row r="27" spans="1:112" s="28" customFormat="1">
      <c r="A27" s="46"/>
      <c r="B27" s="35" t="s">
        <v>882</v>
      </c>
      <c r="C27" s="135">
        <v>151.89261495438987</v>
      </c>
      <c r="D27" s="135">
        <v>3.336021232968911</v>
      </c>
      <c r="E27" s="135">
        <v>82.442138814571749</v>
      </c>
      <c r="F27" s="140">
        <v>4.0504723784923504</v>
      </c>
      <c r="G27" s="135">
        <v>3.1405180512414161</v>
      </c>
      <c r="H27" s="135">
        <v>2.4233668458319939</v>
      </c>
      <c r="I27" s="135">
        <v>10.573488783113534</v>
      </c>
      <c r="J27" s="135">
        <v>9.0522469493268005</v>
      </c>
      <c r="K27" s="135">
        <v>16.86826983243219</v>
      </c>
      <c r="L27" s="135">
        <v>14.29935770902739</v>
      </c>
      <c r="M27" s="135">
        <v>-6.2043177314091817</v>
      </c>
      <c r="N27" s="135">
        <v>10.940604328846014</v>
      </c>
      <c r="O27" s="363">
        <v>37.977941176470587</v>
      </c>
      <c r="P27" s="363">
        <v>0.27225636523266017</v>
      </c>
      <c r="Q27" s="363">
        <v>39.131756862745107</v>
      </c>
      <c r="R27" s="363">
        <v>5.1023965141612182</v>
      </c>
      <c r="S27" s="363">
        <v>0.11268542199488492</v>
      </c>
      <c r="T27" s="363">
        <v>5.0174789915966391</v>
      </c>
      <c r="U27"/>
      <c r="V27" s="17" t="s">
        <v>132</v>
      </c>
      <c r="W27" s="17" t="s">
        <v>133</v>
      </c>
      <c r="X27" s="15" t="s">
        <v>339</v>
      </c>
      <c r="Y27" s="17">
        <v>0.31578899999999999</v>
      </c>
      <c r="Z27" s="17">
        <v>34.648187999999998</v>
      </c>
      <c r="AA27" s="17" t="s">
        <v>350</v>
      </c>
      <c r="AB27" s="17" t="s">
        <v>330</v>
      </c>
      <c r="AC27" s="6" t="s">
        <v>347</v>
      </c>
      <c r="AD27" s="14" t="s">
        <v>371</v>
      </c>
      <c r="AE27" s="28" t="s">
        <v>688</v>
      </c>
      <c r="AF27" s="17" t="s">
        <v>367</v>
      </c>
      <c r="AG27" s="17" t="s">
        <v>684</v>
      </c>
      <c r="AH27" s="35" t="s">
        <v>683</v>
      </c>
      <c r="AI27" s="24">
        <v>2.86233044964237</v>
      </c>
      <c r="AJ27" s="73">
        <v>5.08</v>
      </c>
      <c r="AK27" s="76">
        <v>5.6399999999999999E-2</v>
      </c>
      <c r="AL27" s="73">
        <v>14.1</v>
      </c>
      <c r="AM27" s="73">
        <v>1.64</v>
      </c>
      <c r="AN27" s="73">
        <v>24249</v>
      </c>
      <c r="AO27" s="73">
        <v>3303</v>
      </c>
      <c r="AP27" s="73">
        <v>76102</v>
      </c>
      <c r="AQ27" s="73">
        <v>478</v>
      </c>
      <c r="AR27" s="73">
        <v>120</v>
      </c>
      <c r="AS27" s="73">
        <v>23134</v>
      </c>
      <c r="AT27" s="73">
        <v>9378</v>
      </c>
      <c r="AU27" s="73">
        <v>2673.4</v>
      </c>
      <c r="AV27" s="73">
        <v>60.8</v>
      </c>
      <c r="AW27" s="73">
        <v>48.1</v>
      </c>
      <c r="AX27" s="73">
        <v>633.5</v>
      </c>
      <c r="AY27" s="73">
        <v>26008</v>
      </c>
      <c r="AZ27" s="73">
        <v>13.172000000000001</v>
      </c>
      <c r="BA27" s="73">
        <v>19.02</v>
      </c>
      <c r="BB27" s="73">
        <v>9.73</v>
      </c>
      <c r="BC27" s="73">
        <v>41</v>
      </c>
      <c r="BD27" s="73">
        <v>16.7</v>
      </c>
      <c r="BE27" s="73">
        <v>1.4</v>
      </c>
      <c r="BF27" s="73">
        <v>0.2</v>
      </c>
      <c r="BG27" s="73">
        <v>60.93</v>
      </c>
      <c r="BH27" s="73">
        <v>504.26</v>
      </c>
      <c r="BI27" s="73">
        <v>9.31</v>
      </c>
      <c r="BJ27" s="73">
        <v>62.31</v>
      </c>
      <c r="BK27" s="73">
        <v>12.492000000000001</v>
      </c>
      <c r="BL27" s="73">
        <v>0.59</v>
      </c>
      <c r="BM27" s="73">
        <v>3.5000000000000003E-2</v>
      </c>
      <c r="BN27" s="73">
        <v>3.1E-2</v>
      </c>
      <c r="BO27" s="73">
        <v>1.4</v>
      </c>
      <c r="BP27" s="73">
        <v>9.7000000000000003E-2</v>
      </c>
      <c r="BQ27" s="73">
        <v>1.4590000000000001</v>
      </c>
      <c r="BR27" s="73">
        <v>1113.94</v>
      </c>
      <c r="BS27" s="73">
        <v>27.832000000000001</v>
      </c>
      <c r="BT27" s="73">
        <v>69.070999999999998</v>
      </c>
      <c r="BU27" s="73">
        <v>6.2249999999999996</v>
      </c>
      <c r="BV27" s="73">
        <v>23.78</v>
      </c>
      <c r="BW27" s="73">
        <v>4.0949999999999998</v>
      </c>
      <c r="BX27" s="73">
        <v>0.97799999999999998</v>
      </c>
      <c r="BY27" s="73">
        <v>2.7170000000000001</v>
      </c>
      <c r="BZ27" s="73">
        <v>0.35499999999999998</v>
      </c>
      <c r="CA27" s="73">
        <v>1.778</v>
      </c>
      <c r="CB27" s="73">
        <v>0.34100000000000003</v>
      </c>
      <c r="CC27" s="73">
        <v>0.92600000000000005</v>
      </c>
      <c r="CD27" s="73">
        <v>0.13800000000000001</v>
      </c>
      <c r="CE27" s="73">
        <v>0.83799999999999997</v>
      </c>
      <c r="CF27" s="73">
        <v>0.121</v>
      </c>
      <c r="CG27" s="73">
        <v>1.8440000000000001</v>
      </c>
      <c r="CH27" s="73">
        <v>0.78800000000000003</v>
      </c>
      <c r="CI27" s="73">
        <v>0.68100000000000005</v>
      </c>
      <c r="CJ27" s="73">
        <v>0.313</v>
      </c>
      <c r="CK27" s="73">
        <v>16.7</v>
      </c>
      <c r="CL27" s="73">
        <v>0.41</v>
      </c>
      <c r="CM27" s="73">
        <v>5.3090000000000002</v>
      </c>
      <c r="CN27" s="73">
        <v>2.1880000000000002</v>
      </c>
      <c r="CP27" s="136">
        <f t="shared" si="0"/>
        <v>0.27872803843161376</v>
      </c>
      <c r="CQ27" s="136">
        <f t="shared" si="1"/>
        <v>1.2092867857255205</v>
      </c>
      <c r="CR27" s="136">
        <f t="shared" si="2"/>
        <v>1.2081575192053855</v>
      </c>
      <c r="CS27" s="136">
        <f t="shared" si="3"/>
        <v>0.79802491955718002</v>
      </c>
      <c r="CT27" s="136">
        <f t="shared" si="4"/>
        <v>0.47691453329045613</v>
      </c>
      <c r="CU27" s="136">
        <f t="shared" si="5"/>
        <v>0.79848959799480812</v>
      </c>
      <c r="CV27" s="136">
        <f t="shared" si="6"/>
        <v>2.9879271676994246</v>
      </c>
      <c r="CW27" s="136">
        <f t="shared" si="7"/>
        <v>8.0233995258736339</v>
      </c>
      <c r="CX27" s="136">
        <f t="shared" si="8"/>
        <v>10.692510368545616</v>
      </c>
      <c r="CY27" s="136">
        <f t="shared" si="9"/>
        <v>11.675427830133021</v>
      </c>
      <c r="CZ27" s="136">
        <f t="shared" si="10"/>
        <v>-8.780975046133797</v>
      </c>
      <c r="DA27" s="136">
        <f t="shared" si="11"/>
        <v>8.9975487184410383</v>
      </c>
      <c r="DB27" s="22"/>
      <c r="DC27" s="141">
        <f t="shared" si="12"/>
        <v>0.11666666666666665</v>
      </c>
      <c r="DD27" s="141">
        <f t="shared" si="13"/>
        <v>4.1749999999999995E-2</v>
      </c>
      <c r="DE27" s="141">
        <f t="shared" si="14"/>
        <v>5.6399999999999999E-2</v>
      </c>
      <c r="DF27" s="141">
        <f t="shared" si="15"/>
        <v>0.75156250000000002</v>
      </c>
      <c r="DG27" s="141">
        <f t="shared" ref="DG27:DG28" si="18">BN27/1.4</f>
        <v>2.2142857142857145E-2</v>
      </c>
      <c r="DH27" s="141">
        <f t="shared" si="17"/>
        <v>0.38040000000000002</v>
      </c>
    </row>
    <row r="28" spans="1:112" s="28" customFormat="1">
      <c r="A28" s="46" t="s">
        <v>889</v>
      </c>
      <c r="B28" s="35" t="s">
        <v>880</v>
      </c>
      <c r="C28" s="135">
        <v>120.68190028758757</v>
      </c>
      <c r="D28" s="135">
        <v>3.9068258529695226</v>
      </c>
      <c r="E28" s="135">
        <v>18.761683967108194</v>
      </c>
      <c r="F28" s="140">
        <v>1.8845962698266121</v>
      </c>
      <c r="G28" s="135">
        <v>6.3485536147525936</v>
      </c>
      <c r="H28" s="135">
        <v>0.70429542311661875</v>
      </c>
      <c r="I28" s="135">
        <v>12.201899278266195</v>
      </c>
      <c r="J28" s="135">
        <v>10.171076693915895</v>
      </c>
      <c r="K28" s="135">
        <v>15.105255865688731</v>
      </c>
      <c r="L28" s="135">
        <v>13.371014264424648</v>
      </c>
      <c r="M28" s="135">
        <v>-4.5905131136887887</v>
      </c>
      <c r="N28" s="135">
        <v>9.2722924558045641</v>
      </c>
      <c r="O28" s="363">
        <v>41.57</v>
      </c>
      <c r="P28" s="363">
        <v>0.36815920398009949</v>
      </c>
      <c r="Q28" s="363">
        <v>8.0085999999999995</v>
      </c>
      <c r="R28" s="363">
        <v>1.9234567901234569</v>
      </c>
      <c r="S28" s="363">
        <v>0.41014492753623188</v>
      </c>
      <c r="T28" s="363">
        <v>1.0957142857142859</v>
      </c>
      <c r="U28"/>
      <c r="V28" s="17" t="s">
        <v>134</v>
      </c>
      <c r="W28" s="17" t="s">
        <v>135</v>
      </c>
      <c r="X28" s="15" t="s">
        <v>340</v>
      </c>
      <c r="Y28" s="17">
        <v>0.25193900000000002</v>
      </c>
      <c r="Z28" s="17">
        <v>34.723801000000002</v>
      </c>
      <c r="AA28" s="17" t="s">
        <v>372</v>
      </c>
      <c r="AB28" s="17" t="s">
        <v>330</v>
      </c>
      <c r="AC28" s="6" t="s">
        <v>347</v>
      </c>
      <c r="AD28" s="14" t="s">
        <v>371</v>
      </c>
      <c r="AE28" s="28" t="s">
        <v>688</v>
      </c>
      <c r="AF28" s="17" t="s">
        <v>367</v>
      </c>
      <c r="AG28" s="17" t="s">
        <v>684</v>
      </c>
      <c r="AH28" s="35" t="s">
        <v>683</v>
      </c>
      <c r="AI28" s="24">
        <v>6.1727193067862345</v>
      </c>
      <c r="AJ28" s="73">
        <v>4.62</v>
      </c>
      <c r="AK28" s="76">
        <v>4.8073999999999995</v>
      </c>
      <c r="AL28" s="73">
        <v>13.4</v>
      </c>
      <c r="AM28" s="73">
        <v>1.52</v>
      </c>
      <c r="AN28" s="73">
        <v>1879</v>
      </c>
      <c r="AO28" s="73">
        <v>2933</v>
      </c>
      <c r="AP28" s="73">
        <v>72603</v>
      </c>
      <c r="AQ28" s="73">
        <v>846</v>
      </c>
      <c r="AR28" s="73">
        <v>309</v>
      </c>
      <c r="AS28" s="73">
        <v>5925</v>
      </c>
      <c r="AT28" s="73">
        <v>2282</v>
      </c>
      <c r="AU28" s="73">
        <v>6109.8</v>
      </c>
      <c r="AV28" s="73">
        <v>200.2</v>
      </c>
      <c r="AW28" s="73">
        <v>312.3</v>
      </c>
      <c r="AX28" s="73">
        <v>3529</v>
      </c>
      <c r="AY28" s="73">
        <v>86803</v>
      </c>
      <c r="AZ28" s="73">
        <v>59.094999999999999</v>
      </c>
      <c r="BA28" s="73">
        <v>115.55</v>
      </c>
      <c r="BB28" s="73">
        <v>116.02</v>
      </c>
      <c r="BC28" s="73">
        <v>93</v>
      </c>
      <c r="BD28" s="73">
        <v>17.53</v>
      </c>
      <c r="BE28" s="73">
        <v>7.4</v>
      </c>
      <c r="BF28" s="73">
        <v>1.1100000000000001</v>
      </c>
      <c r="BG28" s="73">
        <v>54.23</v>
      </c>
      <c r="BH28" s="73">
        <v>45.87</v>
      </c>
      <c r="BI28" s="73">
        <v>29.547999999999998</v>
      </c>
      <c r="BJ28" s="73">
        <v>204.6</v>
      </c>
      <c r="BK28" s="73">
        <v>44.095999999999997</v>
      </c>
      <c r="BL28" s="73">
        <v>3.34</v>
      </c>
      <c r="BM28" s="73">
        <v>0.188</v>
      </c>
      <c r="BN28" s="73">
        <v>0.29399999999999998</v>
      </c>
      <c r="BO28" s="73">
        <v>2.34</v>
      </c>
      <c r="BP28" s="73">
        <v>0.66400000000000003</v>
      </c>
      <c r="BQ28" s="73">
        <v>2.8690000000000002</v>
      </c>
      <c r="BR28" s="73">
        <v>304.16000000000003</v>
      </c>
      <c r="BS28" s="73">
        <v>45.433999999999997</v>
      </c>
      <c r="BT28" s="73">
        <v>100.018</v>
      </c>
      <c r="BU28" s="73">
        <v>9.1430000000000007</v>
      </c>
      <c r="BV28" s="73">
        <v>34.090000000000003</v>
      </c>
      <c r="BW28" s="73">
        <v>6.5179999999999998</v>
      </c>
      <c r="BX28" s="73">
        <v>1.3480000000000001</v>
      </c>
      <c r="BY28" s="73">
        <v>5.6420000000000003</v>
      </c>
      <c r="BZ28" s="73">
        <v>0.88900000000000001</v>
      </c>
      <c r="CA28" s="73">
        <v>5.3170000000000002</v>
      </c>
      <c r="CB28" s="73">
        <v>1.1000000000000001</v>
      </c>
      <c r="CC28" s="73">
        <v>3.0470000000000002</v>
      </c>
      <c r="CD28" s="73">
        <v>0.47599999999999998</v>
      </c>
      <c r="CE28" s="73">
        <v>2.847</v>
      </c>
      <c r="CF28" s="73">
        <v>0.41899999999999998</v>
      </c>
      <c r="CG28" s="73">
        <v>5.3680000000000003</v>
      </c>
      <c r="CH28" s="73">
        <v>2.5059999999999998</v>
      </c>
      <c r="CI28" s="73">
        <v>3.4049999999999998</v>
      </c>
      <c r="CJ28" s="73">
        <v>0.57899999999999996</v>
      </c>
      <c r="CK28" s="73">
        <v>15.9</v>
      </c>
      <c r="CL28" s="73">
        <v>19.87</v>
      </c>
      <c r="CM28" s="73">
        <v>8.2119999999999997</v>
      </c>
      <c r="CN28" s="73">
        <v>2.4670000000000001</v>
      </c>
      <c r="CP28" s="136">
        <f t="shared" si="0"/>
        <v>0.44142463224705575</v>
      </c>
      <c r="CQ28" s="136">
        <f t="shared" si="1"/>
        <v>0.34497067763122963</v>
      </c>
      <c r="CR28" s="136">
        <f t="shared" si="2"/>
        <v>30.855098537543981</v>
      </c>
      <c r="CS28" s="136">
        <f t="shared" si="3"/>
        <v>1.5524427100310305</v>
      </c>
      <c r="CT28" s="136">
        <f t="shared" si="4"/>
        <v>1.355184466812521</v>
      </c>
      <c r="CU28" s="136">
        <f t="shared" si="5"/>
        <v>1.4534527619638742</v>
      </c>
      <c r="CV28" s="136">
        <f t="shared" si="6"/>
        <v>5.3900256112707705</v>
      </c>
      <c r="CW28" s="136">
        <f t="shared" si="7"/>
        <v>7.9525781886839377</v>
      </c>
      <c r="CX28" s="136">
        <f t="shared" si="8"/>
        <v>17.105928243692109</v>
      </c>
      <c r="CY28" s="136">
        <f t="shared" si="9"/>
        <v>14.37425160038355</v>
      </c>
      <c r="CZ28" s="136">
        <f t="shared" si="10"/>
        <v>-5.5354990116843066</v>
      </c>
      <c r="DA28" s="136">
        <f t="shared" si="11"/>
        <v>11.600476826935466</v>
      </c>
      <c r="DB28" s="22"/>
      <c r="DC28" s="141">
        <f t="shared" si="12"/>
        <v>0.6166666666666667</v>
      </c>
      <c r="DD28" s="141">
        <f t="shared" si="13"/>
        <v>3.9750000000000001E-2</v>
      </c>
      <c r="DE28" s="141">
        <f t="shared" si="14"/>
        <v>4.8073999999999995</v>
      </c>
      <c r="DF28" s="141">
        <f t="shared" si="15"/>
        <v>4.8796875000000002</v>
      </c>
      <c r="DG28" s="141">
        <f t="shared" si="18"/>
        <v>0.21</v>
      </c>
      <c r="DH28" s="141">
        <f t="shared" si="17"/>
        <v>2.3109999999999999</v>
      </c>
    </row>
    <row r="29" spans="1:112" s="28" customFormat="1">
      <c r="A29" s="46"/>
      <c r="B29" s="35" t="s">
        <v>881</v>
      </c>
      <c r="C29" s="135">
        <v>135.64540427941529</v>
      </c>
      <c r="D29" s="135">
        <v>35.143975050980522</v>
      </c>
      <c r="E29" s="135">
        <v>53.128695107370973</v>
      </c>
      <c r="F29" s="140">
        <v>2.7039792010775141</v>
      </c>
      <c r="G29" s="135">
        <v>15.129312794083067</v>
      </c>
      <c r="H29" s="135">
        <v>1.2653555667027907</v>
      </c>
      <c r="I29" s="135">
        <v>12.442667091012002</v>
      </c>
      <c r="J29" s="135">
        <v>13.412422182639432</v>
      </c>
      <c r="K29" s="135">
        <v>16.679094783441208</v>
      </c>
      <c r="L29" s="135">
        <v>13.963979787815338</v>
      </c>
      <c r="M29" s="135">
        <v>-3.2655295392811552</v>
      </c>
      <c r="N29" s="135">
        <v>10.189719646761757</v>
      </c>
      <c r="O29" s="363">
        <v>49.12</v>
      </c>
      <c r="P29" s="363">
        <v>3.481592039800995</v>
      </c>
      <c r="Q29" s="363">
        <v>23.841266666666666</v>
      </c>
      <c r="R29" s="363">
        <v>2.9012345679012346</v>
      </c>
      <c r="S29" s="363">
        <v>1.027536231884058</v>
      </c>
      <c r="T29" s="363">
        <v>2.0695238095238095</v>
      </c>
      <c r="U29"/>
      <c r="V29" s="17" t="s">
        <v>136</v>
      </c>
      <c r="W29" s="17" t="s">
        <v>137</v>
      </c>
      <c r="X29" s="15" t="s">
        <v>340</v>
      </c>
      <c r="Y29" s="17">
        <v>0.25163200000000002</v>
      </c>
      <c r="Z29" s="17">
        <v>34.723951</v>
      </c>
      <c r="AA29" s="17" t="s">
        <v>372</v>
      </c>
      <c r="AB29" s="17" t="s">
        <v>330</v>
      </c>
      <c r="AC29" s="6" t="s">
        <v>347</v>
      </c>
      <c r="AD29" s="14" t="s">
        <v>371</v>
      </c>
      <c r="AE29" s="28" t="s">
        <v>688</v>
      </c>
      <c r="AF29" s="17" t="s">
        <v>369</v>
      </c>
      <c r="AG29" s="17" t="s">
        <v>685</v>
      </c>
      <c r="AH29" s="35" t="s">
        <v>691</v>
      </c>
      <c r="AI29" s="24">
        <v>2.0524864699274352</v>
      </c>
      <c r="AJ29" s="73">
        <v>8.24</v>
      </c>
      <c r="AK29" s="76">
        <v>2.1796000000000002</v>
      </c>
      <c r="AL29" s="73">
        <v>10.4</v>
      </c>
      <c r="AM29" s="73">
        <v>1.65</v>
      </c>
      <c r="AN29" s="73">
        <v>13948</v>
      </c>
      <c r="AO29" s="73">
        <v>11609</v>
      </c>
      <c r="AP29" s="73">
        <v>59548</v>
      </c>
      <c r="AQ29" s="73">
        <v>561</v>
      </c>
      <c r="AR29" s="73">
        <v>990</v>
      </c>
      <c r="AS29" s="73">
        <v>12883</v>
      </c>
      <c r="AT29" s="73">
        <v>22373</v>
      </c>
      <c r="AU29" s="73">
        <v>2553.9</v>
      </c>
      <c r="AV29" s="73">
        <v>119.8</v>
      </c>
      <c r="AW29" s="73">
        <v>247.2</v>
      </c>
      <c r="AX29" s="73">
        <v>1093.5</v>
      </c>
      <c r="AY29" s="73">
        <v>45704</v>
      </c>
      <c r="AZ29" s="73">
        <v>32.073</v>
      </c>
      <c r="BA29" s="73">
        <v>58.95</v>
      </c>
      <c r="BB29" s="73">
        <v>65.69</v>
      </c>
      <c r="BC29" s="73">
        <v>109</v>
      </c>
      <c r="BD29" s="73">
        <v>13.2</v>
      </c>
      <c r="BE29" s="73">
        <v>622</v>
      </c>
      <c r="BF29" s="73">
        <v>0.39</v>
      </c>
      <c r="BG29" s="73">
        <v>46.41</v>
      </c>
      <c r="BH29" s="73">
        <v>247.82</v>
      </c>
      <c r="BI29" s="73">
        <v>13.103999999999999</v>
      </c>
      <c r="BJ29" s="73">
        <v>89</v>
      </c>
      <c r="BK29" s="73">
        <v>9.327</v>
      </c>
      <c r="BL29" s="73">
        <v>2.0699999999999998</v>
      </c>
      <c r="BM29" s="73">
        <v>0.22</v>
      </c>
      <c r="BN29" s="73">
        <v>0.46</v>
      </c>
      <c r="BO29" s="73">
        <v>1.04</v>
      </c>
      <c r="BP29" s="73">
        <v>1.8009999999999999</v>
      </c>
      <c r="BQ29" s="73">
        <v>1.84</v>
      </c>
      <c r="BR29" s="73">
        <v>551.34</v>
      </c>
      <c r="BS29" s="73">
        <v>26.488</v>
      </c>
      <c r="BT29" s="73">
        <v>66.548000000000002</v>
      </c>
      <c r="BU29" s="73">
        <v>6.19</v>
      </c>
      <c r="BV29" s="73">
        <v>24.61</v>
      </c>
      <c r="BW29" s="73">
        <v>4.5369999999999999</v>
      </c>
      <c r="BX29" s="73">
        <v>1.105</v>
      </c>
      <c r="BY29" s="73">
        <v>3.3180000000000001</v>
      </c>
      <c r="BZ29" s="73">
        <v>0.45900000000000002</v>
      </c>
      <c r="CA29" s="73">
        <v>2.5110000000000001</v>
      </c>
      <c r="CB29" s="73">
        <v>0.47599999999999998</v>
      </c>
      <c r="CC29" s="73">
        <v>1.2889999999999999</v>
      </c>
      <c r="CD29" s="73">
        <v>0.191</v>
      </c>
      <c r="CE29" s="73">
        <v>1.2210000000000001</v>
      </c>
      <c r="CF29" s="73">
        <v>0.189</v>
      </c>
      <c r="CG29" s="73">
        <v>2.4449999999999998</v>
      </c>
      <c r="CH29" s="73">
        <v>0.52900000000000003</v>
      </c>
      <c r="CI29" s="73">
        <v>10.821</v>
      </c>
      <c r="CJ29" s="73">
        <v>0.27400000000000002</v>
      </c>
      <c r="CK29" s="73">
        <v>39</v>
      </c>
      <c r="CL29" s="73">
        <v>20.47</v>
      </c>
      <c r="CM29" s="73">
        <v>4.3310000000000004</v>
      </c>
      <c r="CN29" s="73">
        <v>1.216</v>
      </c>
      <c r="CP29" s="136">
        <f t="shared" si="0"/>
        <v>70.46861775517138</v>
      </c>
      <c r="CQ29" s="136">
        <f t="shared" si="1"/>
        <v>1.6070529580644735</v>
      </c>
      <c r="CR29" s="136">
        <f t="shared" si="2"/>
        <v>26.568926161076117</v>
      </c>
      <c r="CS29" s="136">
        <f t="shared" si="3"/>
        <v>2.3338481121487629</v>
      </c>
      <c r="CT29" s="136">
        <f t="shared" si="4"/>
        <v>4.0270724265232412</v>
      </c>
      <c r="CU29" s="136">
        <f t="shared" si="5"/>
        <v>1.408300408237785</v>
      </c>
      <c r="CV29" s="136">
        <f t="shared" si="6"/>
        <v>11.783271110659786</v>
      </c>
      <c r="CW29" s="136">
        <f t="shared" si="7"/>
        <v>9.2470255471491942</v>
      </c>
      <c r="CX29" s="136">
        <f t="shared" si="8"/>
        <v>15.964734791723348</v>
      </c>
      <c r="CY29" s="136">
        <f t="shared" si="9"/>
        <v>14.036997774267352</v>
      </c>
      <c r="CZ29" s="136">
        <f t="shared" si="10"/>
        <v>-4.8896813055762953</v>
      </c>
      <c r="DA29" s="136">
        <f t="shared" si="11"/>
        <v>10.629523285447601</v>
      </c>
      <c r="DB29" s="22"/>
      <c r="DC29" s="141">
        <f t="shared" si="12"/>
        <v>51.833333333333336</v>
      </c>
      <c r="DD29" s="141">
        <f t="shared" si="13"/>
        <v>9.7500000000000003E-2</v>
      </c>
      <c r="DE29" s="141">
        <f t="shared" si="14"/>
        <v>2.1796000000000002</v>
      </c>
      <c r="DF29" s="141">
        <f t="shared" si="15"/>
        <v>3.8624999999999998</v>
      </c>
      <c r="DG29" s="141">
        <f t="shared" ref="DG29:DG93" si="19">BN29/10</f>
        <v>4.5999999999999999E-2</v>
      </c>
      <c r="DH29" s="141">
        <f t="shared" si="17"/>
        <v>1.179</v>
      </c>
    </row>
    <row r="30" spans="1:112" s="28" customFormat="1">
      <c r="A30" s="46"/>
      <c r="B30" s="35" t="s">
        <v>882</v>
      </c>
      <c r="C30" s="135">
        <v>128.16365228350142</v>
      </c>
      <c r="D30" s="135">
        <v>19.525400451975024</v>
      </c>
      <c r="E30" s="135">
        <v>35.945189537239585</v>
      </c>
      <c r="F30" s="140">
        <v>2.294287735452063</v>
      </c>
      <c r="G30" s="135">
        <v>10.73893320441783</v>
      </c>
      <c r="H30" s="135">
        <v>0.98482549490970472</v>
      </c>
      <c r="I30" s="135">
        <v>12.322283184639097</v>
      </c>
      <c r="J30" s="135">
        <v>11.791749438277662</v>
      </c>
      <c r="K30" s="135">
        <v>15.89217532456497</v>
      </c>
      <c r="L30" s="135">
        <v>13.667497026119992</v>
      </c>
      <c r="M30" s="135">
        <v>-3.9280213264849717</v>
      </c>
      <c r="N30" s="135">
        <v>9.7310060512831598</v>
      </c>
      <c r="O30" s="363">
        <v>45.344999999999999</v>
      </c>
      <c r="P30" s="363">
        <v>1.9248756218905472</v>
      </c>
      <c r="Q30" s="363">
        <v>15.924933333333332</v>
      </c>
      <c r="R30" s="363">
        <v>2.4123456790123456</v>
      </c>
      <c r="S30" s="363">
        <v>0.71884057971014492</v>
      </c>
      <c r="T30" s="363">
        <v>1.5826190476190476</v>
      </c>
      <c r="U30"/>
      <c r="V30" s="17" t="s">
        <v>138</v>
      </c>
      <c r="W30" s="17" t="s">
        <v>139</v>
      </c>
      <c r="X30" s="15" t="s">
        <v>340</v>
      </c>
      <c r="Y30" s="17">
        <v>0.25232199999999999</v>
      </c>
      <c r="Z30" s="17">
        <v>34.723750000000003</v>
      </c>
      <c r="AA30" s="17" t="s">
        <v>372</v>
      </c>
      <c r="AB30" s="17" t="s">
        <v>330</v>
      </c>
      <c r="AC30" s="6" t="s">
        <v>347</v>
      </c>
      <c r="AD30" s="14" t="s">
        <v>371</v>
      </c>
      <c r="AE30" s="65" t="s">
        <v>687</v>
      </c>
      <c r="AF30" s="17" t="s">
        <v>366</v>
      </c>
      <c r="AG30" s="17" t="s">
        <v>684</v>
      </c>
      <c r="AH30" s="35" t="s">
        <v>683</v>
      </c>
      <c r="AI30" s="24">
        <v>6.7778490485355318</v>
      </c>
      <c r="AJ30" s="73">
        <v>5.29</v>
      </c>
      <c r="AK30" s="76">
        <v>6.2413999999999996</v>
      </c>
      <c r="AL30" s="73">
        <v>18</v>
      </c>
      <c r="AM30" s="73">
        <v>1.86</v>
      </c>
      <c r="AN30" s="73">
        <v>1086</v>
      </c>
      <c r="AO30" s="73">
        <v>2273</v>
      </c>
      <c r="AP30" s="73">
        <v>88477</v>
      </c>
      <c r="AQ30" s="73">
        <v>890</v>
      </c>
      <c r="AR30" s="73">
        <v>553</v>
      </c>
      <c r="AS30" s="73">
        <v>5651</v>
      </c>
      <c r="AT30" s="73">
        <v>1263</v>
      </c>
      <c r="AU30" s="73">
        <v>6724.6</v>
      </c>
      <c r="AV30" s="73">
        <v>240.4</v>
      </c>
      <c r="AW30" s="73">
        <v>367.7</v>
      </c>
      <c r="AX30" s="73">
        <v>2148.3000000000002</v>
      </c>
      <c r="AY30" s="73">
        <v>104156</v>
      </c>
      <c r="AZ30" s="73">
        <v>55.423999999999999</v>
      </c>
      <c r="BA30" s="73">
        <v>135.74</v>
      </c>
      <c r="BB30" s="73">
        <v>168.6</v>
      </c>
      <c r="BC30" s="73">
        <v>93</v>
      </c>
      <c r="BD30" s="73">
        <v>21.49</v>
      </c>
      <c r="BE30" s="73">
        <v>11.9</v>
      </c>
      <c r="BF30" s="73">
        <v>1.26</v>
      </c>
      <c r="BG30" s="73">
        <v>60.93</v>
      </c>
      <c r="BH30" s="73">
        <v>29.38</v>
      </c>
      <c r="BI30" s="73">
        <v>21.327000000000002</v>
      </c>
      <c r="BJ30" s="73">
        <v>241.16</v>
      </c>
      <c r="BK30" s="73">
        <v>52.359000000000002</v>
      </c>
      <c r="BL30" s="73">
        <v>3.93</v>
      </c>
      <c r="BM30" s="73">
        <v>0.115</v>
      </c>
      <c r="BN30" s="73">
        <v>0.128</v>
      </c>
      <c r="BO30" s="73">
        <v>2.82</v>
      </c>
      <c r="BP30" s="73">
        <v>0.879</v>
      </c>
      <c r="BQ30" s="73">
        <v>3.47</v>
      </c>
      <c r="BR30" s="73">
        <v>297</v>
      </c>
      <c r="BS30" s="73">
        <v>30.744</v>
      </c>
      <c r="BT30" s="73">
        <v>108.431</v>
      </c>
      <c r="BU30" s="73">
        <v>7.702</v>
      </c>
      <c r="BV30" s="73">
        <v>30.64</v>
      </c>
      <c r="BW30" s="73">
        <v>6.25</v>
      </c>
      <c r="BX30" s="73">
        <v>1.2749999999999999</v>
      </c>
      <c r="BY30" s="73">
        <v>4.8929999999999998</v>
      </c>
      <c r="BZ30" s="73">
        <v>0.77900000000000003</v>
      </c>
      <c r="CA30" s="73">
        <v>4.6920000000000002</v>
      </c>
      <c r="CB30" s="73">
        <v>0.93400000000000005</v>
      </c>
      <c r="CC30" s="73">
        <v>2.6949999999999998</v>
      </c>
      <c r="CD30" s="73">
        <v>0.42799999999999999</v>
      </c>
      <c r="CE30" s="73">
        <v>2.7930000000000001</v>
      </c>
      <c r="CF30" s="73">
        <v>0.41499999999999998</v>
      </c>
      <c r="CG30" s="73">
        <v>6.3330000000000002</v>
      </c>
      <c r="CH30" s="73">
        <v>2.97</v>
      </c>
      <c r="CI30" s="73">
        <v>3.2160000000000002</v>
      </c>
      <c r="CJ30" s="73">
        <v>0.55100000000000005</v>
      </c>
      <c r="CK30" s="73">
        <v>15.9</v>
      </c>
      <c r="CL30" s="73">
        <v>17.690000000000001</v>
      </c>
      <c r="CM30" s="73">
        <v>9.3089999999999993</v>
      </c>
      <c r="CN30" s="73">
        <v>2.496</v>
      </c>
      <c r="CP30" s="136">
        <f t="shared" si="0"/>
        <v>0.5915919390145552</v>
      </c>
      <c r="CQ30" s="136">
        <f t="shared" si="1"/>
        <v>0.28749654105787109</v>
      </c>
      <c r="CR30" s="136">
        <f t="shared" si="2"/>
        <v>33.384827560266217</v>
      </c>
      <c r="CS30" s="136">
        <f t="shared" si="3"/>
        <v>1.5233078149555457</v>
      </c>
      <c r="CT30" s="136">
        <f t="shared" si="4"/>
        <v>0.49171278047963018</v>
      </c>
      <c r="CU30" s="136">
        <f t="shared" si="5"/>
        <v>1.4229487507856204</v>
      </c>
      <c r="CV30" s="136">
        <f t="shared" si="6"/>
        <v>6.0753900089497641</v>
      </c>
      <c r="CW30" s="136">
        <f t="shared" si="7"/>
        <v>7.9525781886839377</v>
      </c>
      <c r="CX30" s="136">
        <f t="shared" si="8"/>
        <v>17.482541070058478</v>
      </c>
      <c r="CY30" s="136">
        <f t="shared" si="9"/>
        <v>14.609848207566275</v>
      </c>
      <c r="CZ30" s="136">
        <f t="shared" si="10"/>
        <v>-6.7351713565206701</v>
      </c>
      <c r="DA30" s="136">
        <f t="shared" si="11"/>
        <v>11.832805485367189</v>
      </c>
      <c r="DB30" s="22"/>
      <c r="DC30" s="141">
        <f t="shared" si="12"/>
        <v>0.9916666666666667</v>
      </c>
      <c r="DD30" s="141">
        <f t="shared" si="13"/>
        <v>3.9750000000000001E-2</v>
      </c>
      <c r="DE30" s="141">
        <f t="shared" si="14"/>
        <v>6.2413999999999996</v>
      </c>
      <c r="DF30" s="141">
        <f t="shared" si="15"/>
        <v>5.7453124999999998</v>
      </c>
      <c r="DG30" s="141">
        <f t="shared" si="19"/>
        <v>1.2800000000000001E-2</v>
      </c>
      <c r="DH30" s="141">
        <f t="shared" si="17"/>
        <v>2.7148000000000003</v>
      </c>
    </row>
    <row r="31" spans="1:112" s="28" customFormat="1">
      <c r="A31" s="46" t="s">
        <v>890</v>
      </c>
      <c r="B31" s="35" t="s">
        <v>880</v>
      </c>
      <c r="C31" s="135">
        <v>0.39164692157566583</v>
      </c>
      <c r="D31" s="135">
        <v>0.33318236403926232</v>
      </c>
      <c r="E31" s="135">
        <v>17.579485064543917</v>
      </c>
      <c r="F31" s="140">
        <v>1.0674933300994425</v>
      </c>
      <c r="G31" s="135">
        <v>0.58988423087860298</v>
      </c>
      <c r="H31" s="135">
        <v>0.87882730475281001</v>
      </c>
      <c r="I31" s="135">
        <v>5.0632152950036629</v>
      </c>
      <c r="J31" s="135">
        <v>7.748219690177752</v>
      </c>
      <c r="K31" s="135">
        <v>16.118525253384874</v>
      </c>
      <c r="L31" s="135">
        <v>12.245315010392078</v>
      </c>
      <c r="M31" s="135">
        <v>-7.5063526660247897</v>
      </c>
      <c r="N31" s="135">
        <v>9.2860206263892824</v>
      </c>
      <c r="O31" s="363">
        <v>0.59000000000000008</v>
      </c>
      <c r="P31" s="363">
        <v>6.8656716417910449E-2</v>
      </c>
      <c r="Q31" s="363">
        <v>16.165199999999999</v>
      </c>
      <c r="R31" s="363">
        <v>0.88148148148148153</v>
      </c>
      <c r="S31" s="363">
        <v>3.2608695652173912E-2</v>
      </c>
      <c r="T31" s="363">
        <v>1.1061904761904762</v>
      </c>
      <c r="U31"/>
      <c r="V31" s="17" t="s">
        <v>140</v>
      </c>
      <c r="W31" s="17" t="s">
        <v>141</v>
      </c>
      <c r="X31" s="15" t="s">
        <v>340</v>
      </c>
      <c r="Y31" s="17">
        <v>0.25163200000000002</v>
      </c>
      <c r="Z31" s="17">
        <v>34.723951</v>
      </c>
      <c r="AA31" s="17" t="s">
        <v>372</v>
      </c>
      <c r="AB31" s="17" t="s">
        <v>330</v>
      </c>
      <c r="AC31" s="6" t="s">
        <v>347</v>
      </c>
      <c r="AD31" s="14" t="s">
        <v>371</v>
      </c>
      <c r="AE31" s="65" t="s">
        <v>687</v>
      </c>
      <c r="AF31" s="17" t="s">
        <v>365</v>
      </c>
      <c r="AG31" s="17" t="s">
        <v>685</v>
      </c>
      <c r="AH31" s="35" t="s">
        <v>691</v>
      </c>
      <c r="AI31" s="24">
        <v>0.61279873938557605</v>
      </c>
      <c r="AJ31" s="73">
        <v>6.75</v>
      </c>
      <c r="AK31" s="76">
        <v>1.7581</v>
      </c>
      <c r="AL31" s="73">
        <v>6.5</v>
      </c>
      <c r="AM31" s="73">
        <v>0.36</v>
      </c>
      <c r="AN31" s="73">
        <v>2154</v>
      </c>
      <c r="AO31" s="73">
        <v>1050</v>
      </c>
      <c r="AP31" s="73">
        <v>17726</v>
      </c>
      <c r="AQ31" s="73">
        <v>83</v>
      </c>
      <c r="AR31" s="73">
        <v>1144</v>
      </c>
      <c r="AS31" s="73">
        <v>5245</v>
      </c>
      <c r="AT31" s="73">
        <v>1707</v>
      </c>
      <c r="AU31" s="73">
        <v>561.1</v>
      </c>
      <c r="AV31" s="73">
        <v>20</v>
      </c>
      <c r="AW31" s="73">
        <v>76.599999999999994</v>
      </c>
      <c r="AX31" s="73">
        <v>220.3</v>
      </c>
      <c r="AY31" s="73">
        <v>9669</v>
      </c>
      <c r="AZ31" s="73">
        <v>10.417</v>
      </c>
      <c r="BA31" s="73">
        <v>11.36</v>
      </c>
      <c r="BB31" s="73">
        <v>12.03</v>
      </c>
      <c r="BC31" s="73">
        <v>40</v>
      </c>
      <c r="BD31" s="73">
        <v>4.71</v>
      </c>
      <c r="BE31" s="73">
        <v>831.3</v>
      </c>
      <c r="BF31" s="73">
        <v>0.15</v>
      </c>
      <c r="BG31" s="73">
        <v>21.64</v>
      </c>
      <c r="BH31" s="73">
        <v>34.630000000000003</v>
      </c>
      <c r="BI31" s="73">
        <v>4.2709999999999999</v>
      </c>
      <c r="BJ31" s="73">
        <v>28.03</v>
      </c>
      <c r="BK31" s="73">
        <v>2.798</v>
      </c>
      <c r="BL31" s="73">
        <v>1.1599999999999999</v>
      </c>
      <c r="BM31" s="73">
        <v>0.76600000000000001</v>
      </c>
      <c r="BN31" s="73">
        <v>0.222</v>
      </c>
      <c r="BO31" s="73">
        <v>0.45</v>
      </c>
      <c r="BP31" s="73">
        <v>1.502</v>
      </c>
      <c r="BQ31" s="73">
        <v>0.97</v>
      </c>
      <c r="BR31" s="73">
        <v>181.24</v>
      </c>
      <c r="BS31" s="73">
        <v>13.723000000000001</v>
      </c>
      <c r="BT31" s="73">
        <v>19.565000000000001</v>
      </c>
      <c r="BU31" s="73">
        <v>2.556</v>
      </c>
      <c r="BV31" s="73">
        <v>8.84</v>
      </c>
      <c r="BW31" s="73">
        <v>1.4079999999999999</v>
      </c>
      <c r="BX31" s="73">
        <v>0.317</v>
      </c>
      <c r="BY31" s="73">
        <v>1.07</v>
      </c>
      <c r="BZ31" s="73">
        <v>0.15</v>
      </c>
      <c r="CA31" s="73">
        <v>0.82199999999999995</v>
      </c>
      <c r="CB31" s="73">
        <v>0.16400000000000001</v>
      </c>
      <c r="CC31" s="73">
        <v>0.45800000000000002</v>
      </c>
      <c r="CD31" s="73">
        <v>7.3999999999999996E-2</v>
      </c>
      <c r="CE31" s="73">
        <v>0.45500000000000002</v>
      </c>
      <c r="CF31" s="73">
        <v>6.4000000000000001E-2</v>
      </c>
      <c r="CG31" s="73">
        <v>0.85299999999999998</v>
      </c>
      <c r="CH31" s="73">
        <v>0.189</v>
      </c>
      <c r="CI31" s="73">
        <v>19.896000000000001</v>
      </c>
      <c r="CJ31" s="73">
        <v>0.16300000000000001</v>
      </c>
      <c r="CK31" s="73">
        <v>36.4</v>
      </c>
      <c r="CL31" s="73">
        <v>1.66</v>
      </c>
      <c r="CM31" s="73">
        <v>3.2320000000000002</v>
      </c>
      <c r="CN31" s="73">
        <v>1.161</v>
      </c>
      <c r="CP31" s="136">
        <f t="shared" si="0"/>
        <v>445.18015823766672</v>
      </c>
      <c r="CQ31" s="136">
        <f t="shared" si="1"/>
        <v>7.0898919401199825</v>
      </c>
      <c r="CR31" s="136">
        <f t="shared" si="2"/>
        <v>101.30092881334187</v>
      </c>
      <c r="CS31" s="136">
        <f t="shared" si="3"/>
        <v>3.4184209592410757</v>
      </c>
      <c r="CT31" s="136">
        <f t="shared" si="4"/>
        <v>9.1866513412123094</v>
      </c>
      <c r="CU31" s="136">
        <f t="shared" si="5"/>
        <v>1.2828104170135168</v>
      </c>
      <c r="CV31" s="136">
        <f t="shared" si="6"/>
        <v>12.201725741844394</v>
      </c>
      <c r="CW31" s="136">
        <f t="shared" si="7"/>
        <v>9.1474898735982784</v>
      </c>
      <c r="CX31" s="136">
        <f t="shared" si="8"/>
        <v>15.654688528407974</v>
      </c>
      <c r="CY31" s="136">
        <f t="shared" si="9"/>
        <v>12.346735328287936</v>
      </c>
      <c r="CZ31" s="136">
        <f t="shared" si="10"/>
        <v>-5.9407554901705657</v>
      </c>
      <c r="DA31" s="136">
        <f t="shared" si="11"/>
        <v>8.253994307085156</v>
      </c>
      <c r="DB31" s="22"/>
      <c r="DC31" s="141">
        <f t="shared" si="12"/>
        <v>69.274999999999991</v>
      </c>
      <c r="DD31" s="141">
        <f t="shared" si="13"/>
        <v>9.0999999999999998E-2</v>
      </c>
      <c r="DE31" s="141">
        <f t="shared" si="14"/>
        <v>1.7581</v>
      </c>
      <c r="DF31" s="141">
        <f t="shared" si="15"/>
        <v>1.1968749999999999</v>
      </c>
      <c r="DG31" s="141">
        <f t="shared" si="19"/>
        <v>2.2200000000000001E-2</v>
      </c>
      <c r="DH31" s="141">
        <f t="shared" si="17"/>
        <v>0.22719999999999999</v>
      </c>
    </row>
    <row r="32" spans="1:112" s="28" customFormat="1">
      <c r="A32" s="46"/>
      <c r="B32" s="35" t="s">
        <v>881</v>
      </c>
      <c r="C32" s="135">
        <v>2.5655722051129453</v>
      </c>
      <c r="D32" s="135">
        <v>1.0049145597855254</v>
      </c>
      <c r="E32" s="135">
        <v>46.807169565253616</v>
      </c>
      <c r="F32" s="140">
        <v>6.0445281243747182</v>
      </c>
      <c r="G32" s="135">
        <v>1.0397662306163398</v>
      </c>
      <c r="H32" s="135">
        <v>5.3575228566795117</v>
      </c>
      <c r="I32" s="135">
        <v>6.3404435824202103</v>
      </c>
      <c r="J32" s="135">
        <v>7.9064817740944831</v>
      </c>
      <c r="K32" s="135">
        <v>16.140115355578214</v>
      </c>
      <c r="L32" s="135">
        <v>16.181144490398491</v>
      </c>
      <c r="M32" s="135">
        <v>-6.8896813055762962</v>
      </c>
      <c r="N32" s="135">
        <v>13.328361944854986</v>
      </c>
      <c r="O32" s="363">
        <v>1.4300000000000002</v>
      </c>
      <c r="P32" s="363">
        <v>7.6616915422885568E-2</v>
      </c>
      <c r="Q32" s="363">
        <v>16.408933333333337</v>
      </c>
      <c r="R32" s="363">
        <v>13.490123456790124</v>
      </c>
      <c r="S32" s="363">
        <v>0.05</v>
      </c>
      <c r="T32" s="363">
        <v>18.226190476190474</v>
      </c>
      <c r="U32"/>
      <c r="V32" s="17" t="s">
        <v>142</v>
      </c>
      <c r="W32" s="17" t="s">
        <v>143</v>
      </c>
      <c r="X32" s="15" t="s">
        <v>340</v>
      </c>
      <c r="Y32" s="17">
        <v>0.25163200000000002</v>
      </c>
      <c r="Z32" s="17">
        <v>34.723951</v>
      </c>
      <c r="AA32" s="17" t="s">
        <v>372</v>
      </c>
      <c r="AB32" s="17" t="s">
        <v>330</v>
      </c>
      <c r="AC32" s="6" t="s">
        <v>347</v>
      </c>
      <c r="AD32" s="14" t="s">
        <v>371</v>
      </c>
      <c r="AE32" s="65" t="s">
        <v>687</v>
      </c>
      <c r="AF32" s="17" t="s">
        <v>365</v>
      </c>
      <c r="AG32" s="17" t="s">
        <v>685</v>
      </c>
      <c r="AH32" s="35" t="s">
        <v>691</v>
      </c>
      <c r="AI32" s="24">
        <v>0.6478873239434878</v>
      </c>
      <c r="AJ32" s="73">
        <v>6.83</v>
      </c>
      <c r="AK32" s="76">
        <v>1.7239</v>
      </c>
      <c r="AL32" s="73">
        <v>5.8</v>
      </c>
      <c r="AM32" s="73">
        <v>0.37</v>
      </c>
      <c r="AN32" s="73">
        <v>2144</v>
      </c>
      <c r="AO32" s="73">
        <v>967</v>
      </c>
      <c r="AP32" s="73">
        <v>16497</v>
      </c>
      <c r="AQ32" s="73">
        <v>73</v>
      </c>
      <c r="AR32" s="73">
        <v>1183</v>
      </c>
      <c r="AS32" s="73">
        <v>5018</v>
      </c>
      <c r="AT32" s="73">
        <v>1561</v>
      </c>
      <c r="AU32" s="73">
        <v>525</v>
      </c>
      <c r="AV32" s="73">
        <v>18</v>
      </c>
      <c r="AW32" s="73">
        <v>68.599999999999994</v>
      </c>
      <c r="AX32" s="73">
        <v>182</v>
      </c>
      <c r="AY32" s="73">
        <v>8561</v>
      </c>
      <c r="AZ32" s="73">
        <v>8.9390000000000001</v>
      </c>
      <c r="BA32" s="73">
        <v>10.43</v>
      </c>
      <c r="BB32" s="73">
        <v>10.8</v>
      </c>
      <c r="BC32" s="73">
        <v>40</v>
      </c>
      <c r="BD32" s="73">
        <v>4.17</v>
      </c>
      <c r="BE32" s="73">
        <v>780.8</v>
      </c>
      <c r="BF32" s="73">
        <v>0.13</v>
      </c>
      <c r="BG32" s="73">
        <v>20.88</v>
      </c>
      <c r="BH32" s="73">
        <v>33.229999999999997</v>
      </c>
      <c r="BI32" s="73">
        <v>3.875</v>
      </c>
      <c r="BJ32" s="73">
        <v>25.94</v>
      </c>
      <c r="BK32" s="73">
        <v>2.7170000000000001</v>
      </c>
      <c r="BL32" s="73">
        <v>1.03</v>
      </c>
      <c r="BM32" s="73">
        <v>1.429</v>
      </c>
      <c r="BN32" s="73">
        <v>0.16400000000000001</v>
      </c>
      <c r="BO32" s="73">
        <v>0.41</v>
      </c>
      <c r="BP32" s="73">
        <v>1.4710000000000001</v>
      </c>
      <c r="BQ32" s="73">
        <v>0.89100000000000001</v>
      </c>
      <c r="BR32" s="73">
        <v>171.56</v>
      </c>
      <c r="BS32" s="73">
        <v>13.281000000000001</v>
      </c>
      <c r="BT32" s="73">
        <v>18.817</v>
      </c>
      <c r="BU32" s="73">
        <v>2.4</v>
      </c>
      <c r="BV32" s="73">
        <v>8.32</v>
      </c>
      <c r="BW32" s="73">
        <v>1.353</v>
      </c>
      <c r="BX32" s="73">
        <v>0.29399999999999998</v>
      </c>
      <c r="BY32" s="73">
        <v>0.96099999999999997</v>
      </c>
      <c r="BZ32" s="73">
        <v>0.13800000000000001</v>
      </c>
      <c r="CA32" s="73">
        <v>0.77</v>
      </c>
      <c r="CB32" s="73">
        <v>0.154</v>
      </c>
      <c r="CC32" s="73">
        <v>0.438</v>
      </c>
      <c r="CD32" s="73">
        <v>6.6000000000000003E-2</v>
      </c>
      <c r="CE32" s="73">
        <v>0.41199999999999998</v>
      </c>
      <c r="CF32" s="73">
        <v>6.5000000000000002E-2</v>
      </c>
      <c r="CG32" s="73">
        <v>0.82399999999999995</v>
      </c>
      <c r="CH32" s="73">
        <v>0.18099999999999999</v>
      </c>
      <c r="CI32" s="73">
        <v>20.206</v>
      </c>
      <c r="CJ32" s="73">
        <v>0.16500000000000001</v>
      </c>
      <c r="CK32" s="73">
        <v>35.9</v>
      </c>
      <c r="CL32" s="73">
        <v>1.47</v>
      </c>
      <c r="CM32" s="73">
        <v>3.3839999999999999</v>
      </c>
      <c r="CN32" s="73">
        <v>1.1779999999999999</v>
      </c>
      <c r="CP32" s="136">
        <f t="shared" si="0"/>
        <v>472.25317548114907</v>
      </c>
      <c r="CQ32" s="136">
        <f t="shared" si="1"/>
        <v>7.8975019914223274</v>
      </c>
      <c r="CR32" s="136">
        <f t="shared" si="2"/>
        <v>112.1860833792929</v>
      </c>
      <c r="CS32" s="136">
        <f t="shared" si="3"/>
        <v>3.4576254950058516</v>
      </c>
      <c r="CT32" s="136">
        <f t="shared" si="4"/>
        <v>7.6648766605430563</v>
      </c>
      <c r="CU32" s="136">
        <f t="shared" si="5"/>
        <v>1.330226263627776</v>
      </c>
      <c r="CV32" s="136">
        <f t="shared" si="6"/>
        <v>12.111309583204708</v>
      </c>
      <c r="CW32" s="136">
        <f t="shared" si="7"/>
        <v>9.1275352672226333</v>
      </c>
      <c r="CX32" s="136">
        <f t="shared" si="8"/>
        <v>15.626347484689175</v>
      </c>
      <c r="CY32" s="136">
        <f t="shared" si="9"/>
        <v>12.18759951253579</v>
      </c>
      <c r="CZ32" s="136">
        <f t="shared" si="10"/>
        <v>-6.3776193519025872</v>
      </c>
      <c r="DA32" s="136">
        <f t="shared" si="11"/>
        <v>8.1307706301002405</v>
      </c>
      <c r="DB32" s="22"/>
      <c r="DC32" s="141">
        <f t="shared" si="12"/>
        <v>65.066666666666663</v>
      </c>
      <c r="DD32" s="141">
        <f t="shared" si="13"/>
        <v>8.9749999999999996E-2</v>
      </c>
      <c r="DE32" s="141">
        <f t="shared" si="14"/>
        <v>1.7239</v>
      </c>
      <c r="DF32" s="141">
        <f t="shared" si="15"/>
        <v>1.0718749999999999</v>
      </c>
      <c r="DG32" s="141">
        <f t="shared" si="19"/>
        <v>1.6400000000000001E-2</v>
      </c>
      <c r="DH32" s="141">
        <f t="shared" si="17"/>
        <v>0.20860000000000001</v>
      </c>
    </row>
    <row r="33" spans="1:112" s="28" customFormat="1">
      <c r="A33" s="46"/>
      <c r="B33" s="35" t="s">
        <v>882</v>
      </c>
      <c r="C33" s="135">
        <v>1.4786095633443055</v>
      </c>
      <c r="D33" s="135">
        <v>0.66904846191239387</v>
      </c>
      <c r="E33" s="135">
        <v>32.193327314898767</v>
      </c>
      <c r="F33" s="140">
        <v>3.5560107272370804</v>
      </c>
      <c r="G33" s="135">
        <v>0.81482523074747137</v>
      </c>
      <c r="H33" s="135">
        <v>3.1181750807161608</v>
      </c>
      <c r="I33" s="135">
        <v>5.7018294387119361</v>
      </c>
      <c r="J33" s="135">
        <v>7.827350732136118</v>
      </c>
      <c r="K33" s="135">
        <v>16.129320304481546</v>
      </c>
      <c r="L33" s="135">
        <v>14.213229750395286</v>
      </c>
      <c r="M33" s="135">
        <v>-7.1980169858005425</v>
      </c>
      <c r="N33" s="135">
        <v>11.307191285622135</v>
      </c>
      <c r="O33" s="363">
        <v>1.0100000000000002</v>
      </c>
      <c r="P33" s="363">
        <v>7.2636815920398001E-2</v>
      </c>
      <c r="Q33" s="363">
        <v>16.287066666666668</v>
      </c>
      <c r="R33" s="363">
        <v>7.1858024691358029</v>
      </c>
      <c r="S33" s="363">
        <v>4.1304347826086954E-2</v>
      </c>
      <c r="T33" s="363">
        <v>9.6661904761904758</v>
      </c>
      <c r="U33"/>
      <c r="V33" s="17" t="s">
        <v>144</v>
      </c>
      <c r="W33" s="17" t="s">
        <v>145</v>
      </c>
      <c r="X33" s="15" t="s">
        <v>340</v>
      </c>
      <c r="Y33" s="17">
        <v>0.25722099999999998</v>
      </c>
      <c r="Z33" s="17">
        <v>34.724355000000003</v>
      </c>
      <c r="AA33" s="17" t="s">
        <v>373</v>
      </c>
      <c r="AB33" s="17" t="s">
        <v>330</v>
      </c>
      <c r="AC33" s="6" t="s">
        <v>347</v>
      </c>
      <c r="AD33" s="14" t="s">
        <v>371</v>
      </c>
      <c r="AE33" s="65" t="s">
        <v>687</v>
      </c>
      <c r="AF33" s="17" t="s">
        <v>370</v>
      </c>
      <c r="AG33" s="17" t="s">
        <v>684</v>
      </c>
      <c r="AH33" s="35" t="s">
        <v>683</v>
      </c>
      <c r="AI33" s="24">
        <v>5.455537370431049</v>
      </c>
      <c r="AJ33" s="73">
        <v>7.07</v>
      </c>
      <c r="AK33" s="76">
        <v>9.7700000000000009E-2</v>
      </c>
      <c r="AL33" s="73">
        <v>10.8</v>
      </c>
      <c r="AM33" s="73">
        <v>1.58</v>
      </c>
      <c r="AN33" s="73">
        <v>7678</v>
      </c>
      <c r="AO33" s="73">
        <v>3178</v>
      </c>
      <c r="AP33" s="73">
        <v>61419</v>
      </c>
      <c r="AQ33" s="73">
        <v>479</v>
      </c>
      <c r="AR33" s="73">
        <v>251</v>
      </c>
      <c r="AS33" s="73">
        <v>21312</v>
      </c>
      <c r="AT33" s="73">
        <v>7198</v>
      </c>
      <c r="AU33" s="73">
        <v>3719.5</v>
      </c>
      <c r="AV33" s="73">
        <v>130.1</v>
      </c>
      <c r="AW33" s="73">
        <v>288.39999999999998</v>
      </c>
      <c r="AX33" s="73">
        <v>1529.2</v>
      </c>
      <c r="AY33" s="73">
        <v>57018</v>
      </c>
      <c r="AZ33" s="73">
        <v>32.055999999999997</v>
      </c>
      <c r="BA33" s="73">
        <v>52.75</v>
      </c>
      <c r="BB33" s="73">
        <v>58.27</v>
      </c>
      <c r="BC33" s="73">
        <v>586</v>
      </c>
      <c r="BD33" s="73">
        <v>13.9</v>
      </c>
      <c r="BE33" s="73">
        <v>4.9000000000000004</v>
      </c>
      <c r="BF33" s="73">
        <v>0.57999999999999996</v>
      </c>
      <c r="BG33" s="73">
        <v>92.74</v>
      </c>
      <c r="BH33" s="73">
        <v>166</v>
      </c>
      <c r="BI33" s="73">
        <v>13.728999999999999</v>
      </c>
      <c r="BJ33" s="73">
        <v>125.15</v>
      </c>
      <c r="BK33" s="73">
        <v>25.986999999999998</v>
      </c>
      <c r="BL33" s="73">
        <v>1.96</v>
      </c>
      <c r="BM33" s="73">
        <v>7.8E-2</v>
      </c>
      <c r="BN33" s="73">
        <v>0.16500000000000001</v>
      </c>
      <c r="BO33" s="73">
        <v>18.11</v>
      </c>
      <c r="BP33" s="73">
        <v>3.6840000000000002</v>
      </c>
      <c r="BQ33" s="73">
        <v>2.5299999999999998</v>
      </c>
      <c r="BR33" s="73">
        <v>709.69</v>
      </c>
      <c r="BS33" s="73">
        <v>26.302</v>
      </c>
      <c r="BT33" s="73">
        <v>75.658000000000001</v>
      </c>
      <c r="BU33" s="73">
        <v>5.4260000000000002</v>
      </c>
      <c r="BV33" s="73">
        <v>20.14</v>
      </c>
      <c r="BW33" s="73">
        <v>3.7639999999999998</v>
      </c>
      <c r="BX33" s="73">
        <v>0.86199999999999999</v>
      </c>
      <c r="BY33" s="73">
        <v>3.01</v>
      </c>
      <c r="BZ33" s="73">
        <v>0.47099999999999997</v>
      </c>
      <c r="CA33" s="73">
        <v>2.593</v>
      </c>
      <c r="CB33" s="73">
        <v>0.51400000000000001</v>
      </c>
      <c r="CC33" s="73">
        <v>1.456</v>
      </c>
      <c r="CD33" s="73">
        <v>0.223</v>
      </c>
      <c r="CE33" s="73">
        <v>1.4</v>
      </c>
      <c r="CF33" s="73">
        <v>0.21099999999999999</v>
      </c>
      <c r="CG33" s="73">
        <v>3.35</v>
      </c>
      <c r="CH33" s="73">
        <v>1.5349999999999999</v>
      </c>
      <c r="CI33" s="73">
        <v>1.7869999999999999</v>
      </c>
      <c r="CJ33" s="73">
        <v>0.44600000000000001</v>
      </c>
      <c r="CK33" s="73">
        <v>36.200000000000003</v>
      </c>
      <c r="CL33" s="73">
        <v>0.69</v>
      </c>
      <c r="CM33" s="73">
        <v>6.2409999999999997</v>
      </c>
      <c r="CN33" s="73">
        <v>1.649</v>
      </c>
      <c r="CP33" s="136">
        <f t="shared" si="0"/>
        <v>0.44498326637821289</v>
      </c>
      <c r="CQ33" s="136">
        <f t="shared" si="1"/>
        <v>1.195683905448081</v>
      </c>
      <c r="CR33" s="136">
        <f t="shared" si="2"/>
        <v>0.95462762480957608</v>
      </c>
      <c r="CS33" s="136">
        <f t="shared" si="3"/>
        <v>2.1825369731883772</v>
      </c>
      <c r="CT33" s="136">
        <f t="shared" si="4"/>
        <v>1.157864621698411</v>
      </c>
      <c r="CU33" s="136">
        <f t="shared" si="5"/>
        <v>1.0101274918480307</v>
      </c>
      <c r="CV33" s="136">
        <f t="shared" si="6"/>
        <v>4.7952820897570296</v>
      </c>
      <c r="CW33" s="136">
        <f t="shared" si="7"/>
        <v>9.1395411204827877</v>
      </c>
      <c r="CX33" s="136">
        <f t="shared" si="8"/>
        <v>11.485173768115207</v>
      </c>
      <c r="CY33" s="136">
        <f t="shared" si="9"/>
        <v>14.259390195603801</v>
      </c>
      <c r="CZ33" s="136">
        <f t="shared" si="10"/>
        <v>-6.368849142274855</v>
      </c>
      <c r="DA33" s="136">
        <f t="shared" si="11"/>
        <v>10.469202566062384</v>
      </c>
      <c r="DB33" s="22"/>
      <c r="DC33" s="141">
        <f t="shared" si="12"/>
        <v>0.40833333333333338</v>
      </c>
      <c r="DD33" s="141">
        <f t="shared" si="13"/>
        <v>9.0500000000000011E-2</v>
      </c>
      <c r="DE33" s="141">
        <f t="shared" si="14"/>
        <v>9.7700000000000009E-2</v>
      </c>
      <c r="DF33" s="141">
        <f t="shared" si="15"/>
        <v>4.5062499999999996</v>
      </c>
      <c r="DG33" s="141">
        <f t="shared" si="19"/>
        <v>1.6500000000000001E-2</v>
      </c>
      <c r="DH33" s="141">
        <f t="shared" si="17"/>
        <v>1.0549999999999999</v>
      </c>
    </row>
    <row r="34" spans="1:112" s="28" customFormat="1">
      <c r="A34" s="46" t="s">
        <v>891</v>
      </c>
      <c r="B34" s="35" t="s">
        <v>880</v>
      </c>
      <c r="C34" s="135">
        <v>0.67714527481826214</v>
      </c>
      <c r="D34" s="135">
        <v>0.49498923597826189</v>
      </c>
      <c r="E34" s="135">
        <v>33.557616066935317</v>
      </c>
      <c r="F34" s="140">
        <v>2.0512812220143077</v>
      </c>
      <c r="G34" s="135">
        <v>0.48733940233132506</v>
      </c>
      <c r="H34" s="135">
        <v>1.1656254638718648</v>
      </c>
      <c r="I34" s="135">
        <v>5.8529975876133165</v>
      </c>
      <c r="J34" s="135">
        <v>7.7271580746499211</v>
      </c>
      <c r="K34" s="135">
        <v>16.437892664096584</v>
      </c>
      <c r="L34" s="135">
        <v>11.77676200178623</v>
      </c>
      <c r="M34" s="135">
        <v>-8.4497691376584232</v>
      </c>
      <c r="N34" s="135">
        <v>8.2641185243588637</v>
      </c>
      <c r="O34" s="363">
        <v>0.51</v>
      </c>
      <c r="P34" s="363">
        <v>6.7661691542288557E-2</v>
      </c>
      <c r="Q34" s="363">
        <v>20.170666666666666</v>
      </c>
      <c r="R34" s="363">
        <v>0.63703703703703707</v>
      </c>
      <c r="S34" s="363">
        <v>1.6956521739130436E-2</v>
      </c>
      <c r="T34" s="363">
        <v>0.54476190476190478</v>
      </c>
      <c r="U34"/>
      <c r="V34" s="17" t="s">
        <v>146</v>
      </c>
      <c r="W34" s="17" t="s">
        <v>147</v>
      </c>
      <c r="X34" s="15" t="s">
        <v>340</v>
      </c>
      <c r="Y34" s="17">
        <v>0.25722099999999998</v>
      </c>
      <c r="Z34" s="17">
        <v>34.724355000000003</v>
      </c>
      <c r="AA34" s="17" t="s">
        <v>373</v>
      </c>
      <c r="AB34" s="17" t="s">
        <v>330</v>
      </c>
      <c r="AC34" s="6" t="s">
        <v>347</v>
      </c>
      <c r="AD34" s="14" t="s">
        <v>371</v>
      </c>
      <c r="AE34" s="65" t="s">
        <v>687</v>
      </c>
      <c r="AF34" s="17" t="s">
        <v>368</v>
      </c>
      <c r="AG34" s="17" t="s">
        <v>684</v>
      </c>
      <c r="AH34" s="35" t="s">
        <v>683</v>
      </c>
      <c r="AI34" s="24">
        <v>13.157069704253136</v>
      </c>
      <c r="AJ34" s="73">
        <v>5.07</v>
      </c>
      <c r="AK34" s="76">
        <v>3.7010000000000001</v>
      </c>
      <c r="AL34" s="73">
        <v>12.4</v>
      </c>
      <c r="AM34" s="73">
        <v>1.65</v>
      </c>
      <c r="AN34" s="73">
        <v>5058</v>
      </c>
      <c r="AO34" s="73">
        <v>4247</v>
      </c>
      <c r="AP34" s="73">
        <v>65960</v>
      </c>
      <c r="AQ34" s="73">
        <v>951</v>
      </c>
      <c r="AR34" s="73">
        <v>653</v>
      </c>
      <c r="AS34" s="73">
        <v>15056</v>
      </c>
      <c r="AT34" s="73">
        <v>5783</v>
      </c>
      <c r="AU34" s="73">
        <v>3736.5</v>
      </c>
      <c r="AV34" s="73">
        <v>118.4</v>
      </c>
      <c r="AW34" s="73">
        <v>215</v>
      </c>
      <c r="AX34" s="73">
        <v>1629.2</v>
      </c>
      <c r="AY34" s="73">
        <v>62430</v>
      </c>
      <c r="AZ34" s="73">
        <v>28.847999999999999</v>
      </c>
      <c r="BA34" s="73">
        <v>55.17</v>
      </c>
      <c r="BB34" s="73">
        <v>87.69</v>
      </c>
      <c r="BC34" s="73">
        <v>541</v>
      </c>
      <c r="BD34" s="73">
        <v>15.41</v>
      </c>
      <c r="BE34" s="73">
        <v>12.2</v>
      </c>
      <c r="BF34" s="73">
        <v>0.73</v>
      </c>
      <c r="BG34" s="73">
        <v>73.03</v>
      </c>
      <c r="BH34" s="73">
        <v>142.52000000000001</v>
      </c>
      <c r="BI34" s="73">
        <v>14.725</v>
      </c>
      <c r="BJ34" s="73">
        <v>127.34</v>
      </c>
      <c r="BK34" s="73">
        <v>25.829000000000001</v>
      </c>
      <c r="BL34" s="73">
        <v>3.63</v>
      </c>
      <c r="BM34" s="73">
        <v>9.8000000000000004E-2</v>
      </c>
      <c r="BN34" s="73">
        <v>1.401</v>
      </c>
      <c r="BO34" s="73">
        <v>13.26</v>
      </c>
      <c r="BP34" s="73">
        <v>4.5599999999999996</v>
      </c>
      <c r="BQ34" s="73">
        <v>2.448</v>
      </c>
      <c r="BR34" s="73">
        <v>636.5</v>
      </c>
      <c r="BS34" s="73">
        <v>28.233000000000001</v>
      </c>
      <c r="BT34" s="73">
        <v>81.677000000000007</v>
      </c>
      <c r="BU34" s="73">
        <v>5.6189999999999998</v>
      </c>
      <c r="BV34" s="73">
        <v>20.82</v>
      </c>
      <c r="BW34" s="73">
        <v>3.851</v>
      </c>
      <c r="BX34" s="73">
        <v>0.88200000000000001</v>
      </c>
      <c r="BY34" s="73">
        <v>3.1619999999999999</v>
      </c>
      <c r="BZ34" s="73">
        <v>0.48899999999999999</v>
      </c>
      <c r="CA34" s="73">
        <v>2.6760000000000002</v>
      </c>
      <c r="CB34" s="73">
        <v>0.53600000000000003</v>
      </c>
      <c r="CC34" s="73">
        <v>1.498</v>
      </c>
      <c r="CD34" s="73">
        <v>0.23</v>
      </c>
      <c r="CE34" s="73">
        <v>1.4379999999999999</v>
      </c>
      <c r="CF34" s="73">
        <v>0.219</v>
      </c>
      <c r="CG34" s="73">
        <v>3.3620000000000001</v>
      </c>
      <c r="CH34" s="73">
        <v>1.496</v>
      </c>
      <c r="CI34" s="73">
        <v>2.6920000000000002</v>
      </c>
      <c r="CJ34" s="73">
        <v>0.504</v>
      </c>
      <c r="CK34" s="73">
        <v>242.5</v>
      </c>
      <c r="CL34" s="73">
        <v>1.01</v>
      </c>
      <c r="CM34" s="73">
        <v>11.731999999999999</v>
      </c>
      <c r="CN34" s="73">
        <v>1.907</v>
      </c>
      <c r="CP34" s="136">
        <f t="shared" si="0"/>
        <v>1.0118731567590997</v>
      </c>
      <c r="CQ34" s="136">
        <f t="shared" si="1"/>
        <v>7.3154020650325631</v>
      </c>
      <c r="CR34" s="136">
        <f t="shared" si="2"/>
        <v>33.027611228373246</v>
      </c>
      <c r="CS34" s="136">
        <f t="shared" si="3"/>
        <v>1.486015906442667</v>
      </c>
      <c r="CT34" s="136">
        <f t="shared" si="4"/>
        <v>8.9790547595124721</v>
      </c>
      <c r="CU34" s="136">
        <f t="shared" si="5"/>
        <v>0.9648845575811964</v>
      </c>
      <c r="CV34" s="136">
        <f t="shared" si="6"/>
        <v>6.1113095832047071</v>
      </c>
      <c r="CW34" s="136">
        <f t="shared" si="7"/>
        <v>11.883464265361434</v>
      </c>
      <c r="CX34" s="136">
        <f t="shared" si="8"/>
        <v>16.728586531334404</v>
      </c>
      <c r="CY34" s="136">
        <f t="shared" si="9"/>
        <v>13.835655690839801</v>
      </c>
      <c r="CZ34" s="136">
        <f t="shared" si="10"/>
        <v>-3.2829301160898523</v>
      </c>
      <c r="DA34" s="136">
        <f t="shared" si="11"/>
        <v>10.533915452713568</v>
      </c>
      <c r="DB34" s="22"/>
      <c r="DC34" s="141">
        <f t="shared" si="12"/>
        <v>1.0166666666666666</v>
      </c>
      <c r="DD34" s="141">
        <f t="shared" si="13"/>
        <v>0.60624999999999996</v>
      </c>
      <c r="DE34" s="141">
        <f t="shared" si="14"/>
        <v>3.7010000000000001</v>
      </c>
      <c r="DF34" s="141">
        <f t="shared" si="15"/>
        <v>3.359375</v>
      </c>
      <c r="DG34" s="141">
        <f t="shared" si="19"/>
        <v>0.1401</v>
      </c>
      <c r="DH34" s="141">
        <f t="shared" si="17"/>
        <v>1.1033999999999999</v>
      </c>
    </row>
    <row r="35" spans="1:112" s="28" customFormat="1">
      <c r="A35" s="46"/>
      <c r="B35" s="35" t="s">
        <v>881</v>
      </c>
      <c r="C35" s="135">
        <v>81.9507103177217</v>
      </c>
      <c r="D35" s="135">
        <v>2.7064986104861934</v>
      </c>
      <c r="E35" s="135">
        <v>189.39934643305173</v>
      </c>
      <c r="F35" s="140">
        <v>6.3620675330147192</v>
      </c>
      <c r="G35" s="135">
        <v>2.0162615799653874</v>
      </c>
      <c r="H35" s="135">
        <v>5.184810249256449</v>
      </c>
      <c r="I35" s="135">
        <v>9.90849270020502</v>
      </c>
      <c r="J35" s="135">
        <v>9.3470543654804654</v>
      </c>
      <c r="K35" s="135">
        <v>17.693351455619791</v>
      </c>
      <c r="L35" s="135">
        <v>16.254880987082078</v>
      </c>
      <c r="M35" s="135">
        <v>-6.4313906083435679</v>
      </c>
      <c r="N35" s="135">
        <v>12.424413104355883</v>
      </c>
      <c r="O35" s="363">
        <v>8.48</v>
      </c>
      <c r="P35" s="363">
        <v>0.20796019900497512</v>
      </c>
      <c r="Q35" s="363">
        <v>48.156066666666668</v>
      </c>
      <c r="R35" s="363">
        <v>14.197530864197532</v>
      </c>
      <c r="S35" s="363">
        <v>6.8695652173913047E-2</v>
      </c>
      <c r="T35" s="363">
        <v>9.7404761904761905</v>
      </c>
      <c r="U35"/>
      <c r="V35" s="17" t="s">
        <v>148</v>
      </c>
      <c r="W35" s="17" t="s">
        <v>149</v>
      </c>
      <c r="X35" s="15" t="s">
        <v>340</v>
      </c>
      <c r="Y35" s="17">
        <v>0.26547500000000002</v>
      </c>
      <c r="Z35" s="17">
        <v>34.728920000000002</v>
      </c>
      <c r="AA35" s="17" t="s">
        <v>373</v>
      </c>
      <c r="AB35" s="17" t="s">
        <v>330</v>
      </c>
      <c r="AC35" s="6" t="s">
        <v>347</v>
      </c>
      <c r="AD35" s="14" t="s">
        <v>371</v>
      </c>
      <c r="AE35" s="65" t="s">
        <v>687</v>
      </c>
      <c r="AF35" s="17" t="s">
        <v>370</v>
      </c>
      <c r="AG35" s="17" t="s">
        <v>684</v>
      </c>
      <c r="AH35" s="35" t="s">
        <v>683</v>
      </c>
      <c r="AI35" s="24">
        <v>9.2577234086669513</v>
      </c>
      <c r="AJ35" s="73">
        <v>5.93</v>
      </c>
      <c r="AK35" s="76">
        <v>8.3000000000000004E-2</v>
      </c>
      <c r="AL35" s="73">
        <v>19.899999999999999</v>
      </c>
      <c r="AM35" s="73">
        <v>3.14</v>
      </c>
      <c r="AN35" s="73">
        <v>3565</v>
      </c>
      <c r="AO35" s="73">
        <v>3764</v>
      </c>
      <c r="AP35" s="73">
        <v>78911</v>
      </c>
      <c r="AQ35" s="73">
        <v>713</v>
      </c>
      <c r="AR35" s="73">
        <v>291</v>
      </c>
      <c r="AS35" s="73">
        <v>13333</v>
      </c>
      <c r="AT35" s="73">
        <v>4652</v>
      </c>
      <c r="AU35" s="73">
        <v>5737.5</v>
      </c>
      <c r="AV35" s="73">
        <v>150.6</v>
      </c>
      <c r="AW35" s="73">
        <v>1195.9000000000001</v>
      </c>
      <c r="AX35" s="73">
        <v>2036.3</v>
      </c>
      <c r="AY35" s="73">
        <v>85091</v>
      </c>
      <c r="AZ35" s="73">
        <v>65.412000000000006</v>
      </c>
      <c r="BA35" s="73">
        <v>369.65</v>
      </c>
      <c r="BB35" s="73">
        <v>53.95</v>
      </c>
      <c r="BC35" s="73">
        <v>102</v>
      </c>
      <c r="BD35" s="73">
        <v>19.010000000000002</v>
      </c>
      <c r="BE35" s="73">
        <v>4.8</v>
      </c>
      <c r="BF35" s="73">
        <v>0.84</v>
      </c>
      <c r="BG35" s="73">
        <v>79.19</v>
      </c>
      <c r="BH35" s="73">
        <v>124.18</v>
      </c>
      <c r="BI35" s="73">
        <v>26.207999999999998</v>
      </c>
      <c r="BJ35" s="73">
        <v>279.18</v>
      </c>
      <c r="BK35" s="73">
        <v>50.406999999999996</v>
      </c>
      <c r="BL35" s="73">
        <v>3.16</v>
      </c>
      <c r="BM35" s="73">
        <v>6.4000000000000001E-2</v>
      </c>
      <c r="BN35" s="73">
        <v>0.14699999999999999</v>
      </c>
      <c r="BO35" s="73">
        <v>2.57</v>
      </c>
      <c r="BP35" s="73">
        <v>0.55300000000000005</v>
      </c>
      <c r="BQ35" s="73">
        <v>3.1520000000000001</v>
      </c>
      <c r="BR35" s="73">
        <v>565.53</v>
      </c>
      <c r="BS35" s="73">
        <v>40.204999999999998</v>
      </c>
      <c r="BT35" s="73">
        <v>118.54900000000001</v>
      </c>
      <c r="BU35" s="73">
        <v>8.16</v>
      </c>
      <c r="BV35" s="73">
        <v>31.29</v>
      </c>
      <c r="BW35" s="73">
        <v>6.2370000000000001</v>
      </c>
      <c r="BX35" s="73">
        <v>1.319</v>
      </c>
      <c r="BY35" s="73">
        <v>5.1959999999999997</v>
      </c>
      <c r="BZ35" s="73">
        <v>0.81299999999999994</v>
      </c>
      <c r="CA35" s="73">
        <v>4.7229999999999999</v>
      </c>
      <c r="CB35" s="73">
        <v>0.96499999999999997</v>
      </c>
      <c r="CC35" s="73">
        <v>2.84</v>
      </c>
      <c r="CD35" s="73">
        <v>0.40300000000000002</v>
      </c>
      <c r="CE35" s="73">
        <v>2.544</v>
      </c>
      <c r="CF35" s="73">
        <v>0.40400000000000003</v>
      </c>
      <c r="CG35" s="73">
        <v>6.7679999999999998</v>
      </c>
      <c r="CH35" s="73">
        <v>2.871</v>
      </c>
      <c r="CI35" s="73">
        <v>1.504</v>
      </c>
      <c r="CJ35" s="73">
        <v>0.501</v>
      </c>
      <c r="CK35" s="73">
        <v>17.5</v>
      </c>
      <c r="CL35" s="73">
        <v>0.21</v>
      </c>
      <c r="CM35" s="73">
        <v>8.9949999999999992</v>
      </c>
      <c r="CN35" s="73">
        <v>2.1960000000000002</v>
      </c>
      <c r="CP35" s="136">
        <f t="shared" si="0"/>
        <v>0.29209033650479382</v>
      </c>
      <c r="CQ35" s="136">
        <f t="shared" si="1"/>
        <v>0.38732382644316149</v>
      </c>
      <c r="CR35" s="136">
        <f t="shared" si="2"/>
        <v>0.54343283861849168</v>
      </c>
      <c r="CS35" s="136">
        <f t="shared" si="3"/>
        <v>6.0644241914250525</v>
      </c>
      <c r="CT35" s="136">
        <f t="shared" si="4"/>
        <v>0.69122514292185588</v>
      </c>
      <c r="CU35" s="136">
        <f t="shared" si="5"/>
        <v>4.7432147707169161</v>
      </c>
      <c r="CV35" s="136">
        <f t="shared" si="6"/>
        <v>4.7655347463629765</v>
      </c>
      <c r="CW35" s="136">
        <f t="shared" si="7"/>
        <v>8.090906345231911</v>
      </c>
      <c r="CX35" s="136">
        <f t="shared" si="8"/>
        <v>11.249926542381109</v>
      </c>
      <c r="CY35" s="136">
        <f t="shared" si="9"/>
        <v>16.311343883729585</v>
      </c>
      <c r="CZ35" s="136">
        <f t="shared" si="10"/>
        <v>-6.5354990116843057</v>
      </c>
      <c r="DA35" s="136">
        <f t="shared" si="11"/>
        <v>13.278119480467335</v>
      </c>
      <c r="DB35" s="22"/>
      <c r="DC35" s="141">
        <f t="shared" si="12"/>
        <v>0.39999999999999997</v>
      </c>
      <c r="DD35" s="141">
        <f t="shared" si="13"/>
        <v>4.3749999999999997E-2</v>
      </c>
      <c r="DE35" s="141">
        <f t="shared" si="14"/>
        <v>8.3000000000000004E-2</v>
      </c>
      <c r="DF35" s="141">
        <f t="shared" si="15"/>
        <v>18.685937500000001</v>
      </c>
      <c r="DG35" s="141">
        <f t="shared" si="19"/>
        <v>1.47E-2</v>
      </c>
      <c r="DH35" s="141">
        <f t="shared" si="17"/>
        <v>7.3929999999999998</v>
      </c>
    </row>
    <row r="36" spans="1:112" s="28" customFormat="1">
      <c r="A36" s="46"/>
      <c r="B36" s="35" t="s">
        <v>882</v>
      </c>
      <c r="C36" s="135">
        <v>19.671223225329332</v>
      </c>
      <c r="D36" s="135">
        <v>1.6008305458606218</v>
      </c>
      <c r="E36" s="135">
        <v>101.61605885884741</v>
      </c>
      <c r="F36" s="140">
        <v>3.1584273456455776</v>
      </c>
      <c r="G36" s="135">
        <v>1.2096455151173175</v>
      </c>
      <c r="H36" s="135">
        <v>2.6116261918550028</v>
      </c>
      <c r="I36" s="135">
        <v>7.9380593559635857</v>
      </c>
      <c r="J36" s="135">
        <v>8.385030198026433</v>
      </c>
      <c r="K36" s="135">
        <v>16.929754116722528</v>
      </c>
      <c r="L36" s="135">
        <v>13.692101780887343</v>
      </c>
      <c r="M36" s="135">
        <v>-7.4697869994135244</v>
      </c>
      <c r="N36" s="135">
        <v>10.688386625854333</v>
      </c>
      <c r="O36" s="363">
        <v>3.6116666666666668</v>
      </c>
      <c r="P36" s="363">
        <v>0.1183250414593698</v>
      </c>
      <c r="Q36" s="363">
        <v>29.98586111111111</v>
      </c>
      <c r="R36" s="363">
        <v>4.0448559670781892</v>
      </c>
      <c r="S36" s="363">
        <v>3.7536231884057976E-2</v>
      </c>
      <c r="T36" s="363">
        <v>4.1720634920634918</v>
      </c>
      <c r="U36"/>
      <c r="V36" s="17" t="s">
        <v>150</v>
      </c>
      <c r="W36" s="17" t="s">
        <v>151</v>
      </c>
      <c r="X36" s="15" t="s">
        <v>340</v>
      </c>
      <c r="Y36" s="17">
        <v>0.26495800000000003</v>
      </c>
      <c r="Z36" s="17">
        <v>34.729039</v>
      </c>
      <c r="AA36" s="17" t="s">
        <v>373</v>
      </c>
      <c r="AB36" s="17" t="s">
        <v>330</v>
      </c>
      <c r="AC36" s="6" t="s">
        <v>347</v>
      </c>
      <c r="AD36" s="14" t="s">
        <v>371</v>
      </c>
      <c r="AE36" s="65" t="s">
        <v>687</v>
      </c>
      <c r="AF36" s="17" t="s">
        <v>368</v>
      </c>
      <c r="AG36" s="17" t="s">
        <v>684</v>
      </c>
      <c r="AH36" s="35" t="s">
        <v>683</v>
      </c>
      <c r="AI36" s="24">
        <v>10.397422126745614</v>
      </c>
      <c r="AJ36" s="73">
        <v>5.04</v>
      </c>
      <c r="AK36" s="76">
        <v>6.5500000000000003E-2</v>
      </c>
      <c r="AL36" s="73">
        <v>23.5</v>
      </c>
      <c r="AM36" s="73">
        <v>3.52</v>
      </c>
      <c r="AN36" s="73">
        <v>1277</v>
      </c>
      <c r="AO36" s="73">
        <v>4987</v>
      </c>
      <c r="AP36" s="73">
        <v>87451</v>
      </c>
      <c r="AQ36" s="73">
        <v>943</v>
      </c>
      <c r="AR36" s="73">
        <v>358</v>
      </c>
      <c r="AS36" s="73">
        <v>9636</v>
      </c>
      <c r="AT36" s="73">
        <v>2645</v>
      </c>
      <c r="AU36" s="73">
        <v>7015.8</v>
      </c>
      <c r="AV36" s="73">
        <v>213.6</v>
      </c>
      <c r="AW36" s="73">
        <v>1682.3</v>
      </c>
      <c r="AX36" s="73">
        <v>2617.1</v>
      </c>
      <c r="AY36" s="73">
        <v>115982</v>
      </c>
      <c r="AZ36" s="73">
        <v>78.509</v>
      </c>
      <c r="BA36" s="73">
        <v>444.96</v>
      </c>
      <c r="BB36" s="73">
        <v>63.17</v>
      </c>
      <c r="BC36" s="73">
        <v>120</v>
      </c>
      <c r="BD36" s="73">
        <v>21.9</v>
      </c>
      <c r="BE36" s="73">
        <v>8.3000000000000007</v>
      </c>
      <c r="BF36" s="73">
        <v>1.28</v>
      </c>
      <c r="BG36" s="73">
        <v>93.52</v>
      </c>
      <c r="BH36" s="73">
        <v>65.08</v>
      </c>
      <c r="BI36" s="73">
        <v>28.934999999999999</v>
      </c>
      <c r="BJ36" s="73">
        <v>327.49</v>
      </c>
      <c r="BK36" s="73">
        <v>57.622</v>
      </c>
      <c r="BL36" s="73">
        <v>3.18</v>
      </c>
      <c r="BM36" s="73">
        <v>7.3999999999999996E-2</v>
      </c>
      <c r="BN36" s="73">
        <v>0.18</v>
      </c>
      <c r="BO36" s="73">
        <v>2.82</v>
      </c>
      <c r="BP36" s="73">
        <v>0.67800000000000005</v>
      </c>
      <c r="BQ36" s="73">
        <v>3.9220000000000002</v>
      </c>
      <c r="BR36" s="73">
        <v>410.57</v>
      </c>
      <c r="BS36" s="73">
        <v>43.802</v>
      </c>
      <c r="BT36" s="73">
        <v>122.55</v>
      </c>
      <c r="BU36" s="73">
        <v>9.0169999999999995</v>
      </c>
      <c r="BV36" s="73">
        <v>34.29</v>
      </c>
      <c r="BW36" s="73">
        <v>6.819</v>
      </c>
      <c r="BX36" s="73">
        <v>1.4970000000000001</v>
      </c>
      <c r="BY36" s="73">
        <v>5.694</v>
      </c>
      <c r="BZ36" s="73">
        <v>0.91</v>
      </c>
      <c r="CA36" s="73">
        <v>5.2759999999999998</v>
      </c>
      <c r="CB36" s="73">
        <v>1.0629999999999999</v>
      </c>
      <c r="CC36" s="73">
        <v>2.97</v>
      </c>
      <c r="CD36" s="73">
        <v>0.45100000000000001</v>
      </c>
      <c r="CE36" s="73">
        <v>2.8159999999999998</v>
      </c>
      <c r="CF36" s="73">
        <v>0.42499999999999999</v>
      </c>
      <c r="CG36" s="73">
        <v>7.8609999999999998</v>
      </c>
      <c r="CH36" s="73">
        <v>3.222</v>
      </c>
      <c r="CI36" s="73">
        <v>1.879</v>
      </c>
      <c r="CJ36" s="73">
        <v>0.53300000000000003</v>
      </c>
      <c r="CK36" s="73">
        <v>22</v>
      </c>
      <c r="CL36" s="73">
        <v>0.19</v>
      </c>
      <c r="CM36" s="73">
        <v>10.243</v>
      </c>
      <c r="CN36" s="73">
        <v>2.3149999999999999</v>
      </c>
      <c r="CP36" s="136">
        <f t="shared" si="0"/>
        <v>0.37055022229615753</v>
      </c>
      <c r="CQ36" s="136">
        <f t="shared" si="1"/>
        <v>0.35723325429771186</v>
      </c>
      <c r="CR36" s="136">
        <f t="shared" si="2"/>
        <v>0.31463144160955575</v>
      </c>
      <c r="CS36" s="136">
        <f t="shared" si="3"/>
        <v>6.2588015960725487</v>
      </c>
      <c r="CT36" s="136">
        <f t="shared" si="4"/>
        <v>0.62096587087965061</v>
      </c>
      <c r="CU36" s="136">
        <f t="shared" si="5"/>
        <v>4.1888623073578408</v>
      </c>
      <c r="CV36" s="136">
        <f t="shared" si="6"/>
        <v>5.5556116769887458</v>
      </c>
      <c r="CW36" s="136">
        <f t="shared" si="7"/>
        <v>8.4210549469242419</v>
      </c>
      <c r="CX36" s="136">
        <f t="shared" si="8"/>
        <v>10.908310112571634</v>
      </c>
      <c r="CY36" s="136">
        <f t="shared" si="9"/>
        <v>16.80368212634448</v>
      </c>
      <c r="CZ36" s="136">
        <f t="shared" si="10"/>
        <v>-6.2433182601909962</v>
      </c>
      <c r="DA36" s="136">
        <f t="shared" si="11"/>
        <v>13.545635216927161</v>
      </c>
      <c r="DB36" s="22"/>
      <c r="DC36" s="141">
        <f t="shared" si="12"/>
        <v>0.69166666666666676</v>
      </c>
      <c r="DD36" s="141">
        <f t="shared" si="13"/>
        <v>5.5E-2</v>
      </c>
      <c r="DE36" s="141">
        <f t="shared" si="14"/>
        <v>6.5500000000000003E-2</v>
      </c>
      <c r="DF36" s="141">
        <f t="shared" si="15"/>
        <v>26.285937499999999</v>
      </c>
      <c r="DG36" s="141">
        <f t="shared" si="19"/>
        <v>1.7999999999999999E-2</v>
      </c>
      <c r="DH36" s="141">
        <f t="shared" si="17"/>
        <v>8.8992000000000004</v>
      </c>
    </row>
    <row r="37" spans="1:112" s="28" customFormat="1">
      <c r="A37" s="46" t="s">
        <v>907</v>
      </c>
      <c r="B37" s="35"/>
      <c r="C37" s="135">
        <v>0.26782334864757962</v>
      </c>
      <c r="D37" s="135">
        <v>0.51875197113106009</v>
      </c>
      <c r="E37" s="135">
        <v>28.134164741634198</v>
      </c>
      <c r="F37" s="140">
        <v>0.72863705146767999</v>
      </c>
      <c r="G37" s="135">
        <v>0.32869229152202956</v>
      </c>
      <c r="H37" s="135">
        <v>0.69263621140838239</v>
      </c>
      <c r="I37" s="135">
        <v>3.2680350868921604</v>
      </c>
      <c r="J37" s="135">
        <v>7.4470501554571866</v>
      </c>
      <c r="K37" s="135">
        <v>15.571637347556353</v>
      </c>
      <c r="L37" s="135">
        <v>11.881878707600446</v>
      </c>
      <c r="M37" s="141">
        <v>-8.9802838543572019</v>
      </c>
      <c r="N37" s="141">
        <v>8.4944161437806578</v>
      </c>
      <c r="O37" s="363">
        <v>8.4999999999999992E-2</v>
      </c>
      <c r="P37" s="363">
        <v>5.5721393034825865E-2</v>
      </c>
      <c r="Q37" s="363">
        <v>11.065000000000001</v>
      </c>
      <c r="R37" s="363">
        <v>0.68518518518518523</v>
      </c>
      <c r="S37" s="363">
        <v>1.173913043478261E-2</v>
      </c>
      <c r="T37" s="363">
        <v>0.63904761904761909</v>
      </c>
      <c r="U37"/>
      <c r="V37" s="17"/>
      <c r="W37" s="17"/>
      <c r="X37" s="15"/>
      <c r="Y37" s="17"/>
      <c r="Z37" s="17"/>
      <c r="AA37" s="17"/>
      <c r="AB37" s="17"/>
      <c r="AC37" s="6"/>
      <c r="AD37" s="14"/>
      <c r="AE37" s="65"/>
      <c r="AF37" s="17"/>
      <c r="AG37" s="17"/>
      <c r="AH37" s="35"/>
      <c r="AI37" s="24"/>
      <c r="AJ37" s="73"/>
      <c r="AK37" s="76"/>
      <c r="AL37" s="73"/>
      <c r="AM37" s="73"/>
      <c r="AN37" s="73"/>
      <c r="AO37" s="73"/>
      <c r="AP37" s="73"/>
      <c r="AQ37" s="73"/>
      <c r="AR37" s="73"/>
      <c r="AS37" s="73"/>
      <c r="AT37" s="73"/>
      <c r="AU37" s="73"/>
      <c r="AV37" s="73"/>
      <c r="AW37" s="73"/>
      <c r="AX37" s="73"/>
      <c r="AY37" s="73"/>
      <c r="AZ37" s="73"/>
      <c r="BA37" s="73"/>
      <c r="BB37" s="73"/>
      <c r="BC37" s="73"/>
      <c r="BD37" s="73"/>
      <c r="BE37" s="73"/>
      <c r="BF37" s="73"/>
      <c r="BG37" s="73"/>
      <c r="BH37" s="73"/>
      <c r="BI37" s="73"/>
      <c r="BJ37" s="73"/>
      <c r="BK37" s="73"/>
      <c r="BL37" s="73"/>
      <c r="BM37" s="73"/>
      <c r="BN37" s="73"/>
      <c r="BO37" s="73"/>
      <c r="BP37" s="73"/>
      <c r="BQ37" s="73"/>
      <c r="BR37" s="73"/>
      <c r="BS37" s="73"/>
      <c r="BT37" s="73"/>
      <c r="BU37" s="73"/>
      <c r="BV37" s="73"/>
      <c r="BW37" s="73"/>
      <c r="BX37" s="73"/>
      <c r="BY37" s="73"/>
      <c r="BZ37" s="73"/>
      <c r="CA37" s="73"/>
      <c r="CB37" s="73"/>
      <c r="CC37" s="73"/>
      <c r="CD37" s="73"/>
      <c r="CE37" s="73"/>
      <c r="CF37" s="73"/>
      <c r="CG37" s="73"/>
      <c r="CH37" s="73"/>
      <c r="CI37" s="73"/>
      <c r="CJ37" s="73"/>
      <c r="CK37" s="73"/>
      <c r="CL37" s="73"/>
      <c r="CM37" s="73"/>
      <c r="CN37" s="73"/>
      <c r="CP37" s="136"/>
      <c r="CQ37" s="136"/>
      <c r="CR37" s="136"/>
      <c r="CS37" s="136"/>
      <c r="CT37" s="136"/>
      <c r="CU37" s="136"/>
      <c r="CV37" s="136"/>
      <c r="CW37" s="136"/>
      <c r="CX37" s="136"/>
      <c r="CY37" s="136"/>
      <c r="CZ37" s="136"/>
      <c r="DA37" s="136"/>
      <c r="DB37" s="22"/>
      <c r="DC37" s="141"/>
      <c r="DD37" s="141"/>
      <c r="DE37" s="141"/>
      <c r="DF37" s="141"/>
      <c r="DG37" s="141"/>
      <c r="DH37" s="141"/>
    </row>
    <row r="38" spans="1:112" s="28" customFormat="1">
      <c r="A38" s="46"/>
      <c r="B38" s="35"/>
      <c r="C38" s="135">
        <v>13.241702142449984</v>
      </c>
      <c r="D38" s="135">
        <v>3.4096165221812189</v>
      </c>
      <c r="E38" s="135">
        <v>335.48363127937552</v>
      </c>
      <c r="F38" s="140">
        <v>2.423158063036134</v>
      </c>
      <c r="G38" s="135">
        <v>2.3074517092456115</v>
      </c>
      <c r="H38" s="135">
        <v>1.5300883095109961</v>
      </c>
      <c r="I38" s="135">
        <v>8.7216688609913451</v>
      </c>
      <c r="J38" s="135">
        <v>9.2208958153245391</v>
      </c>
      <c r="K38" s="135">
        <v>18.511843594824441</v>
      </c>
      <c r="L38" s="135">
        <v>13.80787812615667</v>
      </c>
      <c r="M38" s="141">
        <v>-6.8044340189577843</v>
      </c>
      <c r="N38" s="141">
        <v>10.625602250138733</v>
      </c>
      <c r="O38" s="363">
        <v>3.7250000000000001</v>
      </c>
      <c r="P38" s="363">
        <v>0.19054726368159203</v>
      </c>
      <c r="Q38" s="363">
        <v>84.926200000000009</v>
      </c>
      <c r="R38" s="363">
        <v>2.6037037037037036</v>
      </c>
      <c r="S38" s="363">
        <v>5.3043478260869567E-2</v>
      </c>
      <c r="T38" s="363">
        <v>2.7995238095238095</v>
      </c>
      <c r="U38"/>
      <c r="V38" s="17"/>
      <c r="W38" s="17"/>
      <c r="X38" s="15"/>
      <c r="Y38" s="17"/>
      <c r="Z38" s="17"/>
      <c r="AA38" s="17"/>
      <c r="AB38" s="17"/>
      <c r="AC38" s="6"/>
      <c r="AD38" s="14"/>
      <c r="AE38" s="65"/>
      <c r="AF38" s="17"/>
      <c r="AG38" s="17"/>
      <c r="AH38" s="35"/>
      <c r="AI38" s="24"/>
      <c r="AJ38" s="73"/>
      <c r="AK38" s="76"/>
      <c r="AL38" s="73"/>
      <c r="AM38" s="73"/>
      <c r="AN38" s="73"/>
      <c r="AO38" s="73"/>
      <c r="AP38" s="73"/>
      <c r="AQ38" s="73"/>
      <c r="AR38" s="73"/>
      <c r="AS38" s="73"/>
      <c r="AT38" s="73"/>
      <c r="AU38" s="73"/>
      <c r="AV38" s="73"/>
      <c r="AW38" s="73"/>
      <c r="AX38" s="73"/>
      <c r="AY38" s="73"/>
      <c r="AZ38" s="73"/>
      <c r="BA38" s="73"/>
      <c r="BB38" s="73"/>
      <c r="BC38" s="73"/>
      <c r="BD38" s="73"/>
      <c r="BE38" s="73"/>
      <c r="BF38" s="73"/>
      <c r="BG38" s="73"/>
      <c r="BH38" s="73"/>
      <c r="BI38" s="73"/>
      <c r="BJ38" s="73"/>
      <c r="BK38" s="73"/>
      <c r="BL38" s="73"/>
      <c r="BM38" s="73"/>
      <c r="BN38" s="73"/>
      <c r="BO38" s="73"/>
      <c r="BP38" s="73"/>
      <c r="BQ38" s="73"/>
      <c r="BR38" s="73"/>
      <c r="BS38" s="73"/>
      <c r="BT38" s="73"/>
      <c r="BU38" s="73"/>
      <c r="BV38" s="73"/>
      <c r="BW38" s="73"/>
      <c r="BX38" s="73"/>
      <c r="BY38" s="73"/>
      <c r="BZ38" s="73"/>
      <c r="CA38" s="73"/>
      <c r="CB38" s="73"/>
      <c r="CC38" s="73"/>
      <c r="CD38" s="73"/>
      <c r="CE38" s="73"/>
      <c r="CF38" s="73"/>
      <c r="CG38" s="73"/>
      <c r="CH38" s="73"/>
      <c r="CI38" s="73"/>
      <c r="CJ38" s="73"/>
      <c r="CK38" s="73"/>
      <c r="CL38" s="73"/>
      <c r="CM38" s="73"/>
      <c r="CN38" s="73"/>
      <c r="CP38" s="136"/>
      <c r="CQ38" s="136"/>
      <c r="CR38" s="136"/>
      <c r="CS38" s="136"/>
      <c r="CT38" s="136"/>
      <c r="CU38" s="136"/>
      <c r="CV38" s="136"/>
      <c r="CW38" s="136"/>
      <c r="CX38" s="136"/>
      <c r="CY38" s="136"/>
      <c r="CZ38" s="136"/>
      <c r="DA38" s="136"/>
      <c r="DB38" s="22"/>
      <c r="DC38" s="141"/>
      <c r="DD38" s="141"/>
      <c r="DE38" s="141"/>
      <c r="DF38" s="141"/>
      <c r="DG38" s="141"/>
      <c r="DH38" s="141"/>
    </row>
    <row r="39" spans="1:112" s="28" customFormat="1">
      <c r="A39" s="46"/>
      <c r="B39" s="35"/>
      <c r="C39" s="135">
        <v>6.9764228694776964</v>
      </c>
      <c r="D39" s="135">
        <v>1.536265284945002</v>
      </c>
      <c r="E39" s="135">
        <v>149.82547078163964</v>
      </c>
      <c r="F39" s="140">
        <v>1.7634233456442054</v>
      </c>
      <c r="G39" s="135">
        <v>1.0217602668212686</v>
      </c>
      <c r="H39" s="135">
        <v>1.0260258913675468</v>
      </c>
      <c r="I39" s="135">
        <v>7.0302353535794566</v>
      </c>
      <c r="J39" s="135">
        <v>8.266098288200336</v>
      </c>
      <c r="K39" s="135">
        <v>17.55087669238366</v>
      </c>
      <c r="L39" s="135">
        <v>12.949943773660287</v>
      </c>
      <c r="M39" s="141">
        <v>-7.745041506129839</v>
      </c>
      <c r="N39" s="141">
        <v>9.5416791284700437</v>
      </c>
      <c r="O39" s="363">
        <v>2.0762499999999999</v>
      </c>
      <c r="P39" s="363">
        <v>0.11001243781094526</v>
      </c>
      <c r="Q39" s="363">
        <v>50.906983333333336</v>
      </c>
      <c r="R39" s="363">
        <v>1.6310185185185186</v>
      </c>
      <c r="S39" s="363">
        <v>3.0543478260869568E-2</v>
      </c>
      <c r="T39" s="363">
        <v>1.5792857142857146</v>
      </c>
      <c r="U39"/>
      <c r="V39" s="17"/>
      <c r="W39" s="17"/>
      <c r="X39" s="15"/>
      <c r="Y39" s="17"/>
      <c r="Z39" s="17"/>
      <c r="AA39" s="17"/>
      <c r="AB39" s="17"/>
      <c r="AC39" s="6"/>
      <c r="AD39" s="14"/>
      <c r="AE39" s="65"/>
      <c r="AF39" s="17"/>
      <c r="AG39" s="17"/>
      <c r="AH39" s="35"/>
      <c r="AI39" s="24"/>
      <c r="AJ39" s="73"/>
      <c r="AK39" s="76"/>
      <c r="AL39" s="73"/>
      <c r="AM39" s="73"/>
      <c r="AN39" s="73"/>
      <c r="AO39" s="73"/>
      <c r="AP39" s="73"/>
      <c r="AQ39" s="73"/>
      <c r="AR39" s="73"/>
      <c r="AS39" s="73"/>
      <c r="AT39" s="73"/>
      <c r="AU39" s="73"/>
      <c r="AV39" s="73"/>
      <c r="AW39" s="73"/>
      <c r="AX39" s="73"/>
      <c r="AY39" s="73"/>
      <c r="AZ39" s="73"/>
      <c r="BA39" s="73"/>
      <c r="BB39" s="73"/>
      <c r="BC39" s="73"/>
      <c r="BD39" s="73"/>
      <c r="BE39" s="73"/>
      <c r="BF39" s="73"/>
      <c r="BG39" s="73"/>
      <c r="BH39" s="73"/>
      <c r="BI39" s="73"/>
      <c r="BJ39" s="73"/>
      <c r="BK39" s="73"/>
      <c r="BL39" s="73"/>
      <c r="BM39" s="73"/>
      <c r="BN39" s="73"/>
      <c r="BO39" s="73"/>
      <c r="BP39" s="73"/>
      <c r="BQ39" s="73"/>
      <c r="BR39" s="73"/>
      <c r="BS39" s="73"/>
      <c r="BT39" s="73"/>
      <c r="BU39" s="73"/>
      <c r="BV39" s="73"/>
      <c r="BW39" s="73"/>
      <c r="BX39" s="73"/>
      <c r="BY39" s="73"/>
      <c r="BZ39" s="73"/>
      <c r="CA39" s="73"/>
      <c r="CB39" s="73"/>
      <c r="CC39" s="73"/>
      <c r="CD39" s="73"/>
      <c r="CE39" s="73"/>
      <c r="CF39" s="73"/>
      <c r="CG39" s="73"/>
      <c r="CH39" s="73"/>
      <c r="CI39" s="73"/>
      <c r="CJ39" s="73"/>
      <c r="CK39" s="73"/>
      <c r="CL39" s="73"/>
      <c r="CM39" s="73"/>
      <c r="CN39" s="73"/>
      <c r="CP39" s="136"/>
      <c r="CQ39" s="136"/>
      <c r="CR39" s="136"/>
      <c r="CS39" s="136"/>
      <c r="CT39" s="136"/>
      <c r="CU39" s="136"/>
      <c r="CV39" s="136"/>
      <c r="CW39" s="136"/>
      <c r="CX39" s="136"/>
      <c r="CY39" s="136"/>
      <c r="CZ39" s="136"/>
      <c r="DA39" s="136"/>
      <c r="DB39" s="22"/>
      <c r="DC39" s="141"/>
      <c r="DD39" s="141"/>
      <c r="DE39" s="141"/>
      <c r="DF39" s="141"/>
      <c r="DG39" s="141"/>
      <c r="DH39" s="141"/>
    </row>
    <row r="40" spans="1:112" s="28" customFormat="1">
      <c r="A40" s="46"/>
      <c r="B40" s="35"/>
      <c r="C40" s="135"/>
      <c r="D40" s="135"/>
      <c r="E40" s="135"/>
      <c r="F40" s="140"/>
      <c r="G40" s="135"/>
      <c r="H40" s="135"/>
      <c r="I40" s="135"/>
      <c r="J40" s="135"/>
      <c r="K40" s="135"/>
      <c r="L40" s="135"/>
      <c r="M40" s="135"/>
      <c r="N40" s="135"/>
      <c r="O40" s="363"/>
      <c r="P40" s="363"/>
      <c r="Q40" s="363"/>
      <c r="R40" s="363"/>
      <c r="S40" s="363"/>
      <c r="T40" s="363"/>
      <c r="U40"/>
      <c r="V40" s="17" t="s">
        <v>152</v>
      </c>
      <c r="W40" s="17" t="s">
        <v>153</v>
      </c>
      <c r="X40" s="15" t="s">
        <v>340</v>
      </c>
      <c r="Y40" s="17">
        <v>0.21160000000000001</v>
      </c>
      <c r="Z40" s="17">
        <v>34.72974</v>
      </c>
      <c r="AA40" s="17" t="s">
        <v>351</v>
      </c>
      <c r="AB40" s="17" t="s">
        <v>330</v>
      </c>
      <c r="AC40" s="6" t="s">
        <v>347</v>
      </c>
      <c r="AD40" s="14" t="s">
        <v>371</v>
      </c>
      <c r="AE40" s="65" t="s">
        <v>687</v>
      </c>
      <c r="AF40" s="17" t="s">
        <v>361</v>
      </c>
      <c r="AG40" s="17" t="s">
        <v>685</v>
      </c>
      <c r="AH40" s="35" t="s">
        <v>690</v>
      </c>
      <c r="AI40" s="24">
        <v>2.1358647285674781</v>
      </c>
      <c r="AJ40" s="73">
        <v>6.38</v>
      </c>
      <c r="AK40" s="76">
        <v>0.31709999999999999</v>
      </c>
      <c r="AL40" s="73">
        <v>13.1</v>
      </c>
      <c r="AM40" s="73">
        <v>1.37</v>
      </c>
      <c r="AN40" s="73">
        <v>7430</v>
      </c>
      <c r="AO40" s="73">
        <v>8714</v>
      </c>
      <c r="AP40" s="73">
        <v>55357</v>
      </c>
      <c r="AQ40" s="73">
        <v>408</v>
      </c>
      <c r="AR40" s="73">
        <v>69</v>
      </c>
      <c r="AS40" s="73">
        <v>16851</v>
      </c>
      <c r="AT40" s="73">
        <v>3252</v>
      </c>
      <c r="AU40" s="73">
        <v>2709</v>
      </c>
      <c r="AV40" s="73">
        <v>122.7</v>
      </c>
      <c r="AW40" s="73">
        <v>263.89999999999998</v>
      </c>
      <c r="AX40" s="73">
        <v>954.8</v>
      </c>
      <c r="AY40" s="73">
        <v>39916</v>
      </c>
      <c r="AZ40" s="73">
        <v>27.289000000000001</v>
      </c>
      <c r="BA40" s="73">
        <v>76.84</v>
      </c>
      <c r="BB40" s="73">
        <v>39.130000000000003</v>
      </c>
      <c r="BC40" s="73">
        <v>77</v>
      </c>
      <c r="BD40" s="73">
        <v>12.4</v>
      </c>
      <c r="BE40" s="73">
        <v>225.5</v>
      </c>
      <c r="BF40" s="73">
        <v>0.16</v>
      </c>
      <c r="BG40" s="73">
        <v>70.599999999999994</v>
      </c>
      <c r="BH40" s="73">
        <v>120.46</v>
      </c>
      <c r="BI40" s="73">
        <v>11.648999999999999</v>
      </c>
      <c r="BJ40" s="73">
        <v>103.33</v>
      </c>
      <c r="BK40" s="73">
        <v>8.9870000000000001</v>
      </c>
      <c r="BL40" s="73">
        <v>1.1399999999999999</v>
      </c>
      <c r="BM40" s="73">
        <v>0.437</v>
      </c>
      <c r="BN40" s="73">
        <v>0.185</v>
      </c>
      <c r="BO40" s="73">
        <v>1.02</v>
      </c>
      <c r="BP40" s="73">
        <v>0.83699999999999997</v>
      </c>
      <c r="BQ40" s="73">
        <v>1.77</v>
      </c>
      <c r="BR40" s="73">
        <v>626.86</v>
      </c>
      <c r="BS40" s="73">
        <v>20.184000000000001</v>
      </c>
      <c r="BT40" s="73">
        <v>47.915999999999997</v>
      </c>
      <c r="BU40" s="73">
        <v>4.7270000000000003</v>
      </c>
      <c r="BV40" s="73">
        <v>18.53</v>
      </c>
      <c r="BW40" s="73">
        <v>3.5009999999999999</v>
      </c>
      <c r="BX40" s="73">
        <v>0.83799999999999997</v>
      </c>
      <c r="BY40" s="73">
        <v>2.6970000000000001</v>
      </c>
      <c r="BZ40" s="73">
        <v>0.40400000000000003</v>
      </c>
      <c r="CA40" s="73">
        <v>2.2229999999999999</v>
      </c>
      <c r="CB40" s="73">
        <v>0.45500000000000002</v>
      </c>
      <c r="CC40" s="73">
        <v>1.3009999999999999</v>
      </c>
      <c r="CD40" s="73">
        <v>0.186</v>
      </c>
      <c r="CE40" s="73">
        <v>1.153</v>
      </c>
      <c r="CF40" s="73">
        <v>0.17100000000000001</v>
      </c>
      <c r="CG40" s="73">
        <v>2.9159999999999999</v>
      </c>
      <c r="CH40" s="73">
        <v>0.54900000000000004</v>
      </c>
      <c r="CI40" s="73">
        <v>3.9780000000000002</v>
      </c>
      <c r="CJ40" s="73">
        <v>0.32</v>
      </c>
      <c r="CK40" s="73">
        <v>42.6</v>
      </c>
      <c r="CL40" s="73">
        <v>0.67</v>
      </c>
      <c r="CM40" s="73">
        <v>4.7130000000000001</v>
      </c>
      <c r="CN40" s="73">
        <v>1.399</v>
      </c>
      <c r="CP40" s="136">
        <f t="shared" si="0"/>
        <v>29.252238892851462</v>
      </c>
      <c r="CQ40" s="136">
        <f t="shared" si="1"/>
        <v>2.0099366886121963</v>
      </c>
      <c r="CR40" s="136">
        <f t="shared" si="2"/>
        <v>4.4258902635407775</v>
      </c>
      <c r="CS40" s="136">
        <f t="shared" si="3"/>
        <v>2.8527959511542869</v>
      </c>
      <c r="CT40" s="136">
        <f t="shared" si="4"/>
        <v>1.8544303833504907</v>
      </c>
      <c r="CU40" s="136">
        <f t="shared" si="5"/>
        <v>2.1018709557995381</v>
      </c>
      <c r="CV40" s="136">
        <f t="shared" si="6"/>
        <v>10.319483963784565</v>
      </c>
      <c r="CW40" s="136">
        <f t="shared" si="7"/>
        <v>9.3744048536254212</v>
      </c>
      <c r="CX40" s="136">
        <f t="shared" si="8"/>
        <v>13.18368117825066</v>
      </c>
      <c r="CY40" s="136">
        <f t="shared" si="9"/>
        <v>14.131310381689246</v>
      </c>
      <c r="CZ40" s="136">
        <f t="shared" si="10"/>
        <v>-6.2037898960043583</v>
      </c>
      <c r="DA40" s="136">
        <f t="shared" si="11"/>
        <v>11.011888991246002</v>
      </c>
      <c r="DB40" s="22"/>
      <c r="DC40" s="141">
        <f t="shared" si="12"/>
        <v>18.791666666666668</v>
      </c>
      <c r="DD40" s="141">
        <f t="shared" si="13"/>
        <v>0.1065</v>
      </c>
      <c r="DE40" s="141">
        <f t="shared" si="14"/>
        <v>0.31709999999999999</v>
      </c>
      <c r="DF40" s="141">
        <f t="shared" si="15"/>
        <v>4.1234374999999996</v>
      </c>
      <c r="DG40" s="141">
        <f t="shared" si="19"/>
        <v>1.8499999999999999E-2</v>
      </c>
      <c r="DH40" s="141">
        <f t="shared" si="17"/>
        <v>1.5368000000000002</v>
      </c>
    </row>
    <row r="41" spans="1:112" s="28" customFormat="1">
      <c r="A41" s="38" t="s">
        <v>904</v>
      </c>
      <c r="F41" s="38"/>
      <c r="M41" s="135"/>
      <c r="N41" s="135"/>
      <c r="O41" s="363"/>
      <c r="P41" s="363"/>
      <c r="Q41" s="363"/>
      <c r="R41" s="363"/>
      <c r="S41" s="363"/>
      <c r="T41" s="363"/>
      <c r="U41"/>
      <c r="V41" s="17" t="s">
        <v>154</v>
      </c>
      <c r="W41" s="17" t="s">
        <v>155</v>
      </c>
      <c r="X41" s="15" t="s">
        <v>340</v>
      </c>
      <c r="Y41" s="17">
        <v>0.20325199999999999</v>
      </c>
      <c r="Z41" s="17">
        <v>34.716146999999999</v>
      </c>
      <c r="AA41" s="17" t="s">
        <v>351</v>
      </c>
      <c r="AB41" s="17" t="s">
        <v>330</v>
      </c>
      <c r="AC41" s="6" t="s">
        <v>347</v>
      </c>
      <c r="AD41" s="14" t="s">
        <v>371</v>
      </c>
      <c r="AE41" s="65" t="s">
        <v>687</v>
      </c>
      <c r="AF41" s="17" t="s">
        <v>367</v>
      </c>
      <c r="AG41" s="17" t="s">
        <v>684</v>
      </c>
      <c r="AH41" s="35" t="s">
        <v>683</v>
      </c>
      <c r="AI41" s="24">
        <v>4.8658963214247404</v>
      </c>
      <c r="AJ41" s="73">
        <v>4.91</v>
      </c>
      <c r="AK41" s="76">
        <v>21.142099999999999</v>
      </c>
      <c r="AL41" s="73">
        <v>14.3</v>
      </c>
      <c r="AM41" s="73">
        <v>2.35</v>
      </c>
      <c r="AN41" s="73">
        <v>1584</v>
      </c>
      <c r="AO41" s="73">
        <v>3863</v>
      </c>
      <c r="AP41" s="73">
        <v>75968</v>
      </c>
      <c r="AQ41" s="73">
        <v>729</v>
      </c>
      <c r="AR41" s="73">
        <v>192</v>
      </c>
      <c r="AS41" s="73">
        <v>11896</v>
      </c>
      <c r="AT41" s="73">
        <v>1207</v>
      </c>
      <c r="AU41" s="73">
        <v>4616.2</v>
      </c>
      <c r="AV41" s="73">
        <v>163.1</v>
      </c>
      <c r="AW41" s="73">
        <v>257.3</v>
      </c>
      <c r="AX41" s="73">
        <v>1966.6</v>
      </c>
      <c r="AY41" s="73">
        <v>60259</v>
      </c>
      <c r="AZ41" s="73">
        <v>48.146999999999998</v>
      </c>
      <c r="BA41" s="73">
        <v>77.98</v>
      </c>
      <c r="BB41" s="73">
        <v>45.16</v>
      </c>
      <c r="BC41" s="73">
        <v>88</v>
      </c>
      <c r="BD41" s="73">
        <v>17.059999999999999</v>
      </c>
      <c r="BE41" s="73">
        <v>24.4</v>
      </c>
      <c r="BF41" s="73">
        <v>0.76</v>
      </c>
      <c r="BG41" s="73">
        <v>68.19</v>
      </c>
      <c r="BH41" s="73">
        <v>44.87</v>
      </c>
      <c r="BI41" s="73">
        <v>17.513000000000002</v>
      </c>
      <c r="BJ41" s="73">
        <v>168.56</v>
      </c>
      <c r="BK41" s="73">
        <v>23.808</v>
      </c>
      <c r="BL41" s="73">
        <v>1.73</v>
      </c>
      <c r="BM41" s="73">
        <v>6.7000000000000004E-2</v>
      </c>
      <c r="BN41" s="73">
        <v>0.11700000000000001</v>
      </c>
      <c r="BO41" s="73">
        <v>1.71</v>
      </c>
      <c r="BP41" s="73">
        <v>0.73199999999999998</v>
      </c>
      <c r="BQ41" s="73">
        <v>1.597</v>
      </c>
      <c r="BR41" s="73">
        <v>519.21</v>
      </c>
      <c r="BS41" s="73">
        <v>30.827999999999999</v>
      </c>
      <c r="BT41" s="73">
        <v>90.091999999999999</v>
      </c>
      <c r="BU41" s="73">
        <v>6.266</v>
      </c>
      <c r="BV41" s="73">
        <v>23.31</v>
      </c>
      <c r="BW41" s="73">
        <v>4.4530000000000003</v>
      </c>
      <c r="BX41" s="73">
        <v>0.99299999999999999</v>
      </c>
      <c r="BY41" s="73">
        <v>3.6110000000000002</v>
      </c>
      <c r="BZ41" s="73">
        <v>0.55500000000000005</v>
      </c>
      <c r="CA41" s="73">
        <v>3.1219999999999999</v>
      </c>
      <c r="CB41" s="73">
        <v>0.627</v>
      </c>
      <c r="CC41" s="73">
        <v>1.7889999999999999</v>
      </c>
      <c r="CD41" s="73">
        <v>0.26400000000000001</v>
      </c>
      <c r="CE41" s="73">
        <v>1.6930000000000001</v>
      </c>
      <c r="CF41" s="73">
        <v>0.252</v>
      </c>
      <c r="CG41" s="73">
        <v>4.4669999999999996</v>
      </c>
      <c r="CH41" s="73">
        <v>1.3580000000000001</v>
      </c>
      <c r="CI41" s="73">
        <v>2.21</v>
      </c>
      <c r="CJ41" s="73">
        <v>0.435</v>
      </c>
      <c r="CK41" s="73">
        <v>17.899999999999999</v>
      </c>
      <c r="CL41" s="73">
        <v>0.14000000000000001</v>
      </c>
      <c r="CM41" s="73">
        <v>7.0629999999999997</v>
      </c>
      <c r="CN41" s="73">
        <v>2.0699999999999998</v>
      </c>
      <c r="CP41" s="136">
        <f t="shared" si="0"/>
        <v>2.0966574678129604</v>
      </c>
      <c r="CQ41" s="136">
        <f t="shared" si="1"/>
        <v>0.55943663539451216</v>
      </c>
      <c r="CR41" s="136">
        <f t="shared" si="2"/>
        <v>195.46887618131939</v>
      </c>
      <c r="CS41" s="136">
        <f t="shared" si="3"/>
        <v>1.8424520712714301</v>
      </c>
      <c r="CT41" s="136">
        <f t="shared" si="4"/>
        <v>0.7768725230029766</v>
      </c>
      <c r="CU41" s="136">
        <f t="shared" si="5"/>
        <v>1.4129507275484507</v>
      </c>
      <c r="CV41" s="136">
        <f t="shared" si="6"/>
        <v>7.1113095832047071</v>
      </c>
      <c r="CW41" s="136">
        <f t="shared" si="7"/>
        <v>8.1235110106638384</v>
      </c>
      <c r="CX41" s="136">
        <f t="shared" si="8"/>
        <v>19.242718174263363</v>
      </c>
      <c r="CY41" s="136">
        <f t="shared" si="9"/>
        <v>14.094770488096778</v>
      </c>
      <c r="CZ41" s="136">
        <f t="shared" si="10"/>
        <v>-6.8648066369372662</v>
      </c>
      <c r="DA41" s="136">
        <f t="shared" si="11"/>
        <v>11.033135626978112</v>
      </c>
      <c r="DB41" s="22"/>
      <c r="DC41" s="141">
        <f t="shared" si="12"/>
        <v>2.0333333333333332</v>
      </c>
      <c r="DD41" s="141">
        <f t="shared" si="13"/>
        <v>4.4749999999999998E-2</v>
      </c>
      <c r="DE41" s="141">
        <f t="shared" si="14"/>
        <v>21.142099999999999</v>
      </c>
      <c r="DF41" s="141">
        <f t="shared" si="15"/>
        <v>4.0203125000000002</v>
      </c>
      <c r="DG41" s="141">
        <f t="shared" si="19"/>
        <v>1.17E-2</v>
      </c>
      <c r="DH41" s="141">
        <f t="shared" si="17"/>
        <v>1.5596000000000001</v>
      </c>
    </row>
    <row r="42" spans="1:112" s="28" customFormat="1">
      <c r="A42" s="38" t="s">
        <v>888</v>
      </c>
      <c r="F42" s="38"/>
      <c r="M42" s="38" t="s">
        <v>1169</v>
      </c>
      <c r="O42" s="363"/>
      <c r="P42" s="363"/>
      <c r="Q42" s="363"/>
      <c r="R42" s="363"/>
      <c r="S42" s="363"/>
      <c r="T42" s="363"/>
      <c r="U42"/>
      <c r="V42" s="17" t="s">
        <v>156</v>
      </c>
      <c r="W42" s="17" t="s">
        <v>157</v>
      </c>
      <c r="X42" s="15" t="s">
        <v>340</v>
      </c>
      <c r="Y42" s="17">
        <v>0.20340800000000001</v>
      </c>
      <c r="Z42" s="17">
        <v>34.71658</v>
      </c>
      <c r="AA42" s="17" t="s">
        <v>351</v>
      </c>
      <c r="AB42" s="17" t="s">
        <v>330</v>
      </c>
      <c r="AC42" s="6" t="s">
        <v>347</v>
      </c>
      <c r="AD42" s="14" t="s">
        <v>371</v>
      </c>
      <c r="AE42" s="65" t="s">
        <v>687</v>
      </c>
      <c r="AF42" s="17" t="s">
        <v>366</v>
      </c>
      <c r="AG42" s="17" t="s">
        <v>684</v>
      </c>
      <c r="AH42" s="35" t="s">
        <v>683</v>
      </c>
      <c r="AI42" s="24">
        <v>8.2427536231884986</v>
      </c>
      <c r="AJ42" s="73">
        <v>6.88</v>
      </c>
      <c r="AK42" s="76">
        <v>5.1158999999999999</v>
      </c>
      <c r="AL42" s="73">
        <v>12.5</v>
      </c>
      <c r="AM42" s="73">
        <v>1.89</v>
      </c>
      <c r="AN42" s="73">
        <v>2381</v>
      </c>
      <c r="AO42" s="73">
        <v>3516</v>
      </c>
      <c r="AP42" s="73">
        <v>63340</v>
      </c>
      <c r="AQ42" s="73">
        <v>858</v>
      </c>
      <c r="AR42" s="73">
        <v>330</v>
      </c>
      <c r="AS42" s="73">
        <v>11203</v>
      </c>
      <c r="AT42" s="73">
        <v>2753</v>
      </c>
      <c r="AU42" s="73">
        <v>4072.2</v>
      </c>
      <c r="AV42" s="73">
        <v>164.7</v>
      </c>
      <c r="AW42" s="73">
        <v>264.2</v>
      </c>
      <c r="AX42" s="73">
        <v>2871.9</v>
      </c>
      <c r="AY42" s="73">
        <v>64365</v>
      </c>
      <c r="AZ42" s="73">
        <v>46.469000000000001</v>
      </c>
      <c r="BA42" s="73">
        <v>65.59</v>
      </c>
      <c r="BB42" s="73">
        <v>46.75</v>
      </c>
      <c r="BC42" s="73">
        <v>96</v>
      </c>
      <c r="BD42" s="73">
        <v>15.34</v>
      </c>
      <c r="BE42" s="73">
        <v>19.8</v>
      </c>
      <c r="BF42" s="73">
        <v>0.76</v>
      </c>
      <c r="BG42" s="73">
        <v>67.36</v>
      </c>
      <c r="BH42" s="73">
        <v>59.72</v>
      </c>
      <c r="BI42" s="73">
        <v>21.195</v>
      </c>
      <c r="BJ42" s="73">
        <v>174.44</v>
      </c>
      <c r="BK42" s="73">
        <v>25.89</v>
      </c>
      <c r="BL42" s="73">
        <v>2.2799999999999998</v>
      </c>
      <c r="BM42" s="73">
        <v>0.107</v>
      </c>
      <c r="BN42" s="73">
        <v>0.17</v>
      </c>
      <c r="BO42" s="73">
        <v>1.71</v>
      </c>
      <c r="BP42" s="73">
        <v>0.874</v>
      </c>
      <c r="BQ42" s="73">
        <v>1.3420000000000001</v>
      </c>
      <c r="BR42" s="73">
        <v>644.52</v>
      </c>
      <c r="BS42" s="73">
        <v>39.734999999999999</v>
      </c>
      <c r="BT42" s="73">
        <v>102.40300000000001</v>
      </c>
      <c r="BU42" s="73">
        <v>8.0579999999999998</v>
      </c>
      <c r="BV42" s="73">
        <v>30.03</v>
      </c>
      <c r="BW42" s="73">
        <v>5.3289999999999997</v>
      </c>
      <c r="BX42" s="73">
        <v>1.196</v>
      </c>
      <c r="BY42" s="73">
        <v>4.46</v>
      </c>
      <c r="BZ42" s="73">
        <v>0.68899999999999995</v>
      </c>
      <c r="CA42" s="73">
        <v>3.9769999999999999</v>
      </c>
      <c r="CB42" s="73">
        <v>0.80100000000000005</v>
      </c>
      <c r="CC42" s="73">
        <v>2.218</v>
      </c>
      <c r="CD42" s="73">
        <v>0.33600000000000002</v>
      </c>
      <c r="CE42" s="73">
        <v>2.0529999999999999</v>
      </c>
      <c r="CF42" s="73">
        <v>0.311</v>
      </c>
      <c r="CG42" s="73">
        <v>4.5750000000000002</v>
      </c>
      <c r="CH42" s="73">
        <v>1.409</v>
      </c>
      <c r="CI42" s="73">
        <v>2.1509999999999998</v>
      </c>
      <c r="CJ42" s="73">
        <v>0.46600000000000003</v>
      </c>
      <c r="CK42" s="73">
        <v>21.6</v>
      </c>
      <c r="CL42" s="73">
        <v>0.13</v>
      </c>
      <c r="CM42" s="73">
        <v>6.8109999999999999</v>
      </c>
      <c r="CN42" s="73">
        <v>1.966</v>
      </c>
      <c r="CP42" s="136">
        <f t="shared" si="0"/>
        <v>1.5928504256515004</v>
      </c>
      <c r="CQ42" s="136">
        <f t="shared" si="1"/>
        <v>0.63200973826760432</v>
      </c>
      <c r="CR42" s="136">
        <f t="shared" si="2"/>
        <v>44.281638976485965</v>
      </c>
      <c r="CS42" s="136">
        <f t="shared" si="3"/>
        <v>1.7711745894660202</v>
      </c>
      <c r="CT42" s="136">
        <f t="shared" si="4"/>
        <v>1.0567809297825612</v>
      </c>
      <c r="CU42" s="136">
        <f t="shared" si="5"/>
        <v>1.1126371693329928</v>
      </c>
      <c r="CV42" s="136">
        <f t="shared" si="6"/>
        <v>6.8099288657214316</v>
      </c>
      <c r="CW42" s="136">
        <f t="shared" si="7"/>
        <v>8.3945827355630502</v>
      </c>
      <c r="CX42" s="136">
        <f t="shared" si="8"/>
        <v>17.195659459971704</v>
      </c>
      <c r="CY42" s="136">
        <f t="shared" si="9"/>
        <v>14.132949497609804</v>
      </c>
      <c r="CZ42" s="136">
        <f t="shared" si="10"/>
        <v>-6.3257804203829693</v>
      </c>
      <c r="DA42" s="136">
        <f t="shared" si="11"/>
        <v>10.783507347297265</v>
      </c>
      <c r="DB42" s="22"/>
      <c r="DC42" s="141">
        <f t="shared" si="12"/>
        <v>1.6500000000000001</v>
      </c>
      <c r="DD42" s="141">
        <f t="shared" si="13"/>
        <v>5.4000000000000006E-2</v>
      </c>
      <c r="DE42" s="141">
        <f t="shared" si="14"/>
        <v>5.1158999999999999</v>
      </c>
      <c r="DF42" s="141">
        <f t="shared" si="15"/>
        <v>4.1281249999999998</v>
      </c>
      <c r="DG42" s="141">
        <f t="shared" si="19"/>
        <v>1.7000000000000001E-2</v>
      </c>
      <c r="DH42" s="141">
        <f t="shared" si="17"/>
        <v>1.3118000000000001</v>
      </c>
    </row>
    <row r="43" spans="1:112" s="28" customFormat="1">
      <c r="A43" s="38"/>
      <c r="B43" s="35"/>
      <c r="C43" s="140" t="s">
        <v>901</v>
      </c>
      <c r="D43" s="140" t="s">
        <v>901</v>
      </c>
      <c r="E43" s="140" t="s">
        <v>901</v>
      </c>
      <c r="F43" s="140" t="s">
        <v>866</v>
      </c>
      <c r="G43" s="140" t="s">
        <v>867</v>
      </c>
      <c r="H43" s="140" t="s">
        <v>902</v>
      </c>
      <c r="I43" s="140" t="s">
        <v>869</v>
      </c>
      <c r="J43" s="140" t="s">
        <v>902</v>
      </c>
      <c r="K43" s="140" t="s">
        <v>902</v>
      </c>
      <c r="L43" s="140" t="s">
        <v>872</v>
      </c>
      <c r="O43" s="47" t="s">
        <v>1155</v>
      </c>
      <c r="P43" s="47" t="s">
        <v>1156</v>
      </c>
      <c r="Q43" s="47" t="s">
        <v>1157</v>
      </c>
      <c r="R43" s="47" t="s">
        <v>1158</v>
      </c>
      <c r="S43" s="47" t="s">
        <v>1159</v>
      </c>
      <c r="T43" s="47" t="s">
        <v>1160</v>
      </c>
      <c r="U43"/>
      <c r="V43" s="17" t="s">
        <v>158</v>
      </c>
      <c r="W43" s="17" t="s">
        <v>159</v>
      </c>
      <c r="X43" s="15" t="s">
        <v>340</v>
      </c>
      <c r="Y43" s="17">
        <v>0.20325199999999999</v>
      </c>
      <c r="Z43" s="17">
        <v>34.716146999999999</v>
      </c>
      <c r="AA43" s="17" t="s">
        <v>351</v>
      </c>
      <c r="AB43" s="17" t="s">
        <v>330</v>
      </c>
      <c r="AC43" s="6" t="s">
        <v>347</v>
      </c>
      <c r="AD43" s="14" t="s">
        <v>371</v>
      </c>
      <c r="AE43" s="65" t="s">
        <v>687</v>
      </c>
      <c r="AF43" s="17" t="s">
        <v>364</v>
      </c>
      <c r="AG43" s="17" t="s">
        <v>685</v>
      </c>
      <c r="AH43" s="35" t="s">
        <v>690</v>
      </c>
      <c r="AI43" s="24">
        <v>2.1944529106978945</v>
      </c>
      <c r="AJ43" s="73">
        <v>5.23</v>
      </c>
      <c r="AK43" s="76">
        <v>10.0997</v>
      </c>
      <c r="AL43" s="73">
        <v>17.100000000000001</v>
      </c>
      <c r="AM43" s="73">
        <v>1.1200000000000001</v>
      </c>
      <c r="AN43" s="73">
        <v>3057</v>
      </c>
      <c r="AO43" s="73">
        <v>15260</v>
      </c>
      <c r="AP43" s="73">
        <v>78068</v>
      </c>
      <c r="AQ43" s="73">
        <v>479</v>
      </c>
      <c r="AR43" s="73" t="s">
        <v>160</v>
      </c>
      <c r="AS43" s="73">
        <v>16277</v>
      </c>
      <c r="AT43" s="73">
        <v>4632</v>
      </c>
      <c r="AU43" s="73">
        <v>3915.5</v>
      </c>
      <c r="AV43" s="73">
        <v>168.4</v>
      </c>
      <c r="AW43" s="73">
        <v>237.3</v>
      </c>
      <c r="AX43" s="73">
        <v>1356.3</v>
      </c>
      <c r="AY43" s="73">
        <v>62417</v>
      </c>
      <c r="AZ43" s="73">
        <v>35.829000000000001</v>
      </c>
      <c r="BA43" s="73">
        <v>112.46</v>
      </c>
      <c r="BB43" s="73">
        <v>47.87</v>
      </c>
      <c r="BC43" s="73">
        <v>94</v>
      </c>
      <c r="BD43" s="73">
        <v>16.86</v>
      </c>
      <c r="BE43" s="73">
        <v>27.1</v>
      </c>
      <c r="BF43" s="73">
        <v>0.04</v>
      </c>
      <c r="BG43" s="73">
        <v>76.010000000000005</v>
      </c>
      <c r="BH43" s="73">
        <v>116.47</v>
      </c>
      <c r="BI43" s="73">
        <v>16.47</v>
      </c>
      <c r="BJ43" s="73">
        <v>78.53</v>
      </c>
      <c r="BK43" s="73">
        <v>4.077</v>
      </c>
      <c r="BL43" s="73">
        <v>0.49</v>
      </c>
      <c r="BM43" s="73">
        <v>6.5000000000000002E-2</v>
      </c>
      <c r="BN43" s="73">
        <v>0.121</v>
      </c>
      <c r="BO43" s="73">
        <v>0.93</v>
      </c>
      <c r="BP43" s="73">
        <v>0.81200000000000006</v>
      </c>
      <c r="BQ43" s="73">
        <v>2.0089999999999999</v>
      </c>
      <c r="BR43" s="73">
        <v>897.03</v>
      </c>
      <c r="BS43" s="73">
        <v>24.347000000000001</v>
      </c>
      <c r="BT43" s="73">
        <v>54.167000000000002</v>
      </c>
      <c r="BU43" s="73">
        <v>6.1369999999999996</v>
      </c>
      <c r="BV43" s="73">
        <v>25.17</v>
      </c>
      <c r="BW43" s="73">
        <v>4.9690000000000003</v>
      </c>
      <c r="BX43" s="73">
        <v>1.337</v>
      </c>
      <c r="BY43" s="73">
        <v>3.98</v>
      </c>
      <c r="BZ43" s="73">
        <v>0.56599999999999995</v>
      </c>
      <c r="CA43" s="73">
        <v>3.1880000000000002</v>
      </c>
      <c r="CB43" s="73">
        <v>0.60899999999999999</v>
      </c>
      <c r="CC43" s="73">
        <v>1.649</v>
      </c>
      <c r="CD43" s="73">
        <v>0.24199999999999999</v>
      </c>
      <c r="CE43" s="73">
        <v>1.397</v>
      </c>
      <c r="CF43" s="73">
        <v>0.20799999999999999</v>
      </c>
      <c r="CG43" s="73">
        <v>2.3279999999999998</v>
      </c>
      <c r="CH43" s="73">
        <v>0.27</v>
      </c>
      <c r="CI43" s="73">
        <v>3.1989999999999998</v>
      </c>
      <c r="CJ43" s="73">
        <v>0.27600000000000002</v>
      </c>
      <c r="CK43" s="73">
        <v>9.6</v>
      </c>
      <c r="CL43" s="73">
        <v>0.06</v>
      </c>
      <c r="CM43" s="73">
        <v>4.0999999999999996</v>
      </c>
      <c r="CN43" s="73">
        <v>1.405</v>
      </c>
      <c r="CP43" s="136">
        <f t="shared" si="0"/>
        <v>2.2481535950330276</v>
      </c>
      <c r="CQ43" s="136">
        <f t="shared" si="1"/>
        <v>0.28965973873637951</v>
      </c>
      <c r="CR43" s="136">
        <f t="shared" si="2"/>
        <v>90.148186903600376</v>
      </c>
      <c r="CS43" s="136">
        <f t="shared" si="3"/>
        <v>1.6404884627962406</v>
      </c>
      <c r="CT43" s="136">
        <f t="shared" si="4"/>
        <v>0.77565446913501124</v>
      </c>
      <c r="CU43" s="136">
        <f t="shared" si="5"/>
        <v>1.967256074489149</v>
      </c>
      <c r="CV43" s="136">
        <f t="shared" si="6"/>
        <v>7.2627212869956921</v>
      </c>
      <c r="CW43" s="136">
        <f t="shared" si="7"/>
        <v>7.224657734120739</v>
      </c>
      <c r="CX43" s="136">
        <f t="shared" si="8"/>
        <v>18.176911930596322</v>
      </c>
      <c r="CY43" s="136">
        <f t="shared" si="9"/>
        <v>13.978031131556925</v>
      </c>
      <c r="CZ43" s="136">
        <f t="shared" si="10"/>
        <v>-6.8163081192460764</v>
      </c>
      <c r="DA43" s="136">
        <f t="shared" si="11"/>
        <v>11.561371519121279</v>
      </c>
      <c r="DB43" s="22"/>
      <c r="DC43" s="141">
        <f t="shared" si="12"/>
        <v>2.2583333333333333</v>
      </c>
      <c r="DD43" s="141">
        <f t="shared" si="13"/>
        <v>2.4E-2</v>
      </c>
      <c r="DE43" s="141">
        <f t="shared" si="14"/>
        <v>10.0997</v>
      </c>
      <c r="DF43" s="141">
        <f t="shared" si="15"/>
        <v>3.7078125000000002</v>
      </c>
      <c r="DG43" s="141">
        <f t="shared" si="19"/>
        <v>1.21E-2</v>
      </c>
      <c r="DH43" s="141">
        <f t="shared" si="17"/>
        <v>2.2492000000000001</v>
      </c>
    </row>
    <row r="44" spans="1:112" s="28" customFormat="1">
      <c r="A44" s="38"/>
      <c r="C44" s="38" t="s">
        <v>23</v>
      </c>
      <c r="D44" s="38" t="s">
        <v>55</v>
      </c>
      <c r="E44" s="38" t="s">
        <v>15</v>
      </c>
      <c r="F44" s="38"/>
      <c r="G44" s="38"/>
      <c r="H44" s="38" t="s">
        <v>23</v>
      </c>
      <c r="I44" s="38"/>
      <c r="J44" s="38" t="s">
        <v>15</v>
      </c>
      <c r="K44" s="38" t="s">
        <v>32</v>
      </c>
      <c r="L44" s="38"/>
      <c r="O44" s="363"/>
      <c r="P44" s="363"/>
      <c r="Q44" s="363"/>
      <c r="R44" s="363"/>
      <c r="S44" s="363"/>
      <c r="T44" s="363"/>
      <c r="U44"/>
      <c r="V44" s="17" t="s">
        <v>161</v>
      </c>
      <c r="W44" s="17" t="s">
        <v>162</v>
      </c>
      <c r="X44" s="15" t="s">
        <v>343</v>
      </c>
      <c r="Y44" s="17">
        <v>0.18987899999999999</v>
      </c>
      <c r="Z44" s="17">
        <v>34.735692999999998</v>
      </c>
      <c r="AA44" s="17" t="s">
        <v>352</v>
      </c>
      <c r="AB44" s="17" t="s">
        <v>330</v>
      </c>
      <c r="AC44" s="6" t="s">
        <v>347</v>
      </c>
      <c r="AD44" s="14" t="s">
        <v>371</v>
      </c>
      <c r="AE44" s="65" t="s">
        <v>687</v>
      </c>
      <c r="AF44" s="17" t="s">
        <v>364</v>
      </c>
      <c r="AG44" s="17" t="s">
        <v>685</v>
      </c>
      <c r="AH44" s="35" t="s">
        <v>690</v>
      </c>
      <c r="AI44" s="24">
        <v>3.7608584568216132</v>
      </c>
      <c r="AJ44" s="73">
        <v>4.84</v>
      </c>
      <c r="AK44" s="76">
        <v>4.7550999999999997</v>
      </c>
      <c r="AL44" s="73">
        <v>15.2</v>
      </c>
      <c r="AM44" s="73">
        <v>1.93</v>
      </c>
      <c r="AN44" s="73">
        <v>7136</v>
      </c>
      <c r="AO44" s="73">
        <v>8507</v>
      </c>
      <c r="AP44" s="73">
        <v>78182</v>
      </c>
      <c r="AQ44" s="73">
        <v>468</v>
      </c>
      <c r="AR44" s="73">
        <v>207</v>
      </c>
      <c r="AS44" s="73">
        <v>23682</v>
      </c>
      <c r="AT44" s="73">
        <v>2290</v>
      </c>
      <c r="AU44" s="73">
        <v>3687.2</v>
      </c>
      <c r="AV44" s="73">
        <v>106</v>
      </c>
      <c r="AW44" s="73">
        <v>152.9</v>
      </c>
      <c r="AX44" s="73">
        <v>878.4</v>
      </c>
      <c r="AY44" s="73">
        <v>39016</v>
      </c>
      <c r="AZ44" s="73">
        <v>20.568999999999999</v>
      </c>
      <c r="BA44" s="73">
        <v>58.27</v>
      </c>
      <c r="BB44" s="73">
        <v>37.47</v>
      </c>
      <c r="BC44" s="73">
        <v>127</v>
      </c>
      <c r="BD44" s="73">
        <v>17.73</v>
      </c>
      <c r="BE44" s="73">
        <v>23.4</v>
      </c>
      <c r="BF44" s="73">
        <v>0.11</v>
      </c>
      <c r="BG44" s="73">
        <v>109.86</v>
      </c>
      <c r="BH44" s="73">
        <v>103.76</v>
      </c>
      <c r="BI44" s="73">
        <v>25.376000000000001</v>
      </c>
      <c r="BJ44" s="73">
        <v>153.02000000000001</v>
      </c>
      <c r="BK44" s="73">
        <v>8.9489999999999998</v>
      </c>
      <c r="BL44" s="73">
        <v>1.1399999999999999</v>
      </c>
      <c r="BM44" s="73">
        <v>0.10100000000000001</v>
      </c>
      <c r="BN44" s="73">
        <v>0.28599999999999998</v>
      </c>
      <c r="BO44" s="73">
        <v>1.88</v>
      </c>
      <c r="BP44" s="73">
        <v>0.64500000000000002</v>
      </c>
      <c r="BQ44" s="73">
        <v>1.99</v>
      </c>
      <c r="BR44" s="73">
        <v>686.72</v>
      </c>
      <c r="BS44" s="73">
        <v>54.354999999999997</v>
      </c>
      <c r="BT44" s="73">
        <v>137.77000000000001</v>
      </c>
      <c r="BU44" s="73">
        <v>13.372999999999999</v>
      </c>
      <c r="BV44" s="73">
        <v>51.74</v>
      </c>
      <c r="BW44" s="73">
        <v>9.0050000000000008</v>
      </c>
      <c r="BX44" s="73">
        <v>2.1</v>
      </c>
      <c r="BY44" s="73">
        <v>6.5720000000000001</v>
      </c>
      <c r="BZ44" s="73">
        <v>0.96</v>
      </c>
      <c r="CA44" s="73">
        <v>4.7149999999999999</v>
      </c>
      <c r="CB44" s="73">
        <v>0.98499999999999999</v>
      </c>
      <c r="CC44" s="73">
        <v>2.5259999999999998</v>
      </c>
      <c r="CD44" s="73">
        <v>0.35499999999999998</v>
      </c>
      <c r="CE44" s="73">
        <v>2.1709999999999998</v>
      </c>
      <c r="CF44" s="73">
        <v>0.32900000000000001</v>
      </c>
      <c r="CG44" s="73">
        <v>4.5910000000000002</v>
      </c>
      <c r="CH44" s="73">
        <v>0.56699999999999995</v>
      </c>
      <c r="CI44" s="73">
        <v>1.397</v>
      </c>
      <c r="CJ44" s="73">
        <v>0.54700000000000004</v>
      </c>
      <c r="CK44" s="73">
        <v>40.200000000000003</v>
      </c>
      <c r="CL44" s="73">
        <v>0.17</v>
      </c>
      <c r="CM44" s="73">
        <v>9.5069999999999997</v>
      </c>
      <c r="CN44" s="73">
        <v>2.754</v>
      </c>
      <c r="CP44" s="136">
        <f t="shared" si="0"/>
        <v>3.1055082982547129</v>
      </c>
      <c r="CQ44" s="136">
        <f t="shared" si="1"/>
        <v>1.9404528881604284</v>
      </c>
      <c r="CR44" s="136">
        <f t="shared" si="2"/>
        <v>67.899773518751147</v>
      </c>
      <c r="CS44" s="136">
        <f t="shared" si="3"/>
        <v>1.6909979302106326</v>
      </c>
      <c r="CT44" s="136">
        <f t="shared" si="4"/>
        <v>2.9329800594627842</v>
      </c>
      <c r="CU44" s="136">
        <f t="shared" si="5"/>
        <v>1.6306771374243503</v>
      </c>
      <c r="CV44" s="136">
        <f t="shared" si="6"/>
        <v>7.0509369652252252</v>
      </c>
      <c r="CW44" s="136">
        <f t="shared" si="7"/>
        <v>9.2907469245785119</v>
      </c>
      <c r="CX44" s="136">
        <f t="shared" si="8"/>
        <v>17.090147077052791</v>
      </c>
      <c r="CY44" s="136">
        <f t="shared" si="9"/>
        <v>13.343907437723782</v>
      </c>
      <c r="CZ44" s="136">
        <f t="shared" si="10"/>
        <v>-5.575300019742282</v>
      </c>
      <c r="DA44" s="136">
        <f t="shared" si="11"/>
        <v>10.612784782927797</v>
      </c>
      <c r="DB44" s="22"/>
      <c r="DC44" s="141">
        <f t="shared" si="12"/>
        <v>1.95</v>
      </c>
      <c r="DD44" s="141">
        <f t="shared" si="13"/>
        <v>0.10050000000000001</v>
      </c>
      <c r="DE44" s="141">
        <f t="shared" si="14"/>
        <v>4.7550999999999997</v>
      </c>
      <c r="DF44" s="141">
        <f t="shared" si="15"/>
        <v>2.3890625000000001</v>
      </c>
      <c r="DG44" s="141">
        <f t="shared" si="19"/>
        <v>2.8599999999999997E-2</v>
      </c>
      <c r="DH44" s="141">
        <f t="shared" si="17"/>
        <v>1.1654</v>
      </c>
    </row>
    <row r="45" spans="1:112" s="28" customFormat="1">
      <c r="A45" s="38"/>
      <c r="B45" s="35" t="s">
        <v>880</v>
      </c>
      <c r="C45" s="141">
        <v>17.34</v>
      </c>
      <c r="D45" s="141">
        <v>1.06</v>
      </c>
      <c r="E45" s="141">
        <v>0.59</v>
      </c>
      <c r="F45" s="362">
        <v>0.59</v>
      </c>
      <c r="G45" s="141">
        <v>2.67</v>
      </c>
      <c r="H45" s="141">
        <v>0.44</v>
      </c>
      <c r="I45" s="141">
        <v>4.53</v>
      </c>
      <c r="J45" s="141">
        <v>1.05</v>
      </c>
      <c r="K45" s="141">
        <v>5.69</v>
      </c>
      <c r="L45" s="141">
        <v>0.08</v>
      </c>
      <c r="O45" s="363">
        <v>2.0499999999999997E-2</v>
      </c>
      <c r="P45" s="363">
        <v>5.5000000000000003E-4</v>
      </c>
      <c r="Q45" s="363"/>
      <c r="R45" s="363">
        <v>2.6530612244897958E-2</v>
      </c>
      <c r="S45" s="363">
        <v>1.4E-3</v>
      </c>
      <c r="T45" s="363">
        <v>1.9E-2</v>
      </c>
      <c r="U45"/>
      <c r="V45" s="17" t="s">
        <v>163</v>
      </c>
      <c r="W45" s="20" t="s">
        <v>164</v>
      </c>
      <c r="X45" s="15" t="s">
        <v>343</v>
      </c>
      <c r="Y45" s="17">
        <v>0.18987899999999999</v>
      </c>
      <c r="Z45" s="17">
        <v>34.735692999999998</v>
      </c>
      <c r="AA45" s="17" t="s">
        <v>352</v>
      </c>
      <c r="AB45" s="17" t="s">
        <v>330</v>
      </c>
      <c r="AC45" s="6" t="s">
        <v>347</v>
      </c>
      <c r="AD45" s="14" t="s">
        <v>371</v>
      </c>
      <c r="AE45" s="65" t="s">
        <v>687</v>
      </c>
      <c r="AF45" s="17" t="s">
        <v>366</v>
      </c>
      <c r="AG45" s="17" t="s">
        <v>684</v>
      </c>
      <c r="AH45" s="35" t="s">
        <v>683</v>
      </c>
      <c r="AI45" s="24">
        <v>7.2622107969151912</v>
      </c>
      <c r="AJ45" s="73">
        <v>6</v>
      </c>
      <c r="AK45" s="76">
        <v>1.1142999999999998</v>
      </c>
      <c r="AL45" s="73">
        <v>11.1</v>
      </c>
      <c r="AM45" s="73">
        <v>1.34</v>
      </c>
      <c r="AN45" s="73">
        <v>6176</v>
      </c>
      <c r="AO45" s="73">
        <v>4278</v>
      </c>
      <c r="AP45" s="73">
        <v>59726</v>
      </c>
      <c r="AQ45" s="73">
        <v>896</v>
      </c>
      <c r="AR45" s="73">
        <v>334</v>
      </c>
      <c r="AS45" s="73">
        <v>12799</v>
      </c>
      <c r="AT45" s="73">
        <v>4118</v>
      </c>
      <c r="AU45" s="73">
        <v>4065.2</v>
      </c>
      <c r="AV45" s="73">
        <v>129.9</v>
      </c>
      <c r="AW45" s="73">
        <v>195.3</v>
      </c>
      <c r="AX45" s="73">
        <v>2048.4</v>
      </c>
      <c r="AY45" s="73">
        <v>49268</v>
      </c>
      <c r="AZ45" s="73">
        <v>46.427</v>
      </c>
      <c r="BA45" s="73">
        <v>62.01</v>
      </c>
      <c r="BB45" s="73">
        <v>46.9</v>
      </c>
      <c r="BC45" s="73">
        <v>125</v>
      </c>
      <c r="BD45" s="73">
        <v>14.19</v>
      </c>
      <c r="BE45" s="73">
        <v>43.3</v>
      </c>
      <c r="BF45" s="73">
        <v>0.69</v>
      </c>
      <c r="BG45" s="73">
        <v>76.81</v>
      </c>
      <c r="BH45" s="73">
        <v>89.55</v>
      </c>
      <c r="BI45" s="73">
        <v>20.395</v>
      </c>
      <c r="BJ45" s="73">
        <v>157.6</v>
      </c>
      <c r="BK45" s="73">
        <v>23.838000000000001</v>
      </c>
      <c r="BL45" s="73">
        <v>2.14</v>
      </c>
      <c r="BM45" s="73">
        <v>0.16200000000000001</v>
      </c>
      <c r="BN45" s="73">
        <v>0.27700000000000002</v>
      </c>
      <c r="BO45" s="73">
        <v>1.79</v>
      </c>
      <c r="BP45" s="73">
        <v>0.79700000000000004</v>
      </c>
      <c r="BQ45" s="73">
        <v>1.7689999999999999</v>
      </c>
      <c r="BR45" s="73">
        <v>492.35</v>
      </c>
      <c r="BS45" s="73">
        <v>38.076000000000001</v>
      </c>
      <c r="BT45" s="73">
        <v>84.120999999999995</v>
      </c>
      <c r="BU45" s="73">
        <v>7.7220000000000004</v>
      </c>
      <c r="BV45" s="73">
        <v>28.81</v>
      </c>
      <c r="BW45" s="73">
        <v>5.1310000000000002</v>
      </c>
      <c r="BX45" s="73">
        <v>1.1180000000000001</v>
      </c>
      <c r="BY45" s="73">
        <v>4.1420000000000003</v>
      </c>
      <c r="BZ45" s="73">
        <v>0.65900000000000003</v>
      </c>
      <c r="CA45" s="73">
        <v>3.4460000000000002</v>
      </c>
      <c r="CB45" s="73">
        <v>0.72</v>
      </c>
      <c r="CC45" s="73">
        <v>1.9810000000000001</v>
      </c>
      <c r="CD45" s="73">
        <v>0.30199999999999999</v>
      </c>
      <c r="CE45" s="73">
        <v>1.8260000000000001</v>
      </c>
      <c r="CF45" s="73">
        <v>0.26200000000000001</v>
      </c>
      <c r="CG45" s="73">
        <v>4.3520000000000003</v>
      </c>
      <c r="CH45" s="73">
        <v>1.3360000000000001</v>
      </c>
      <c r="CI45" s="73">
        <v>1.655</v>
      </c>
      <c r="CJ45" s="73">
        <v>0.53900000000000003</v>
      </c>
      <c r="CK45" s="73">
        <v>30.5</v>
      </c>
      <c r="CL45" s="73">
        <v>1.21</v>
      </c>
      <c r="CM45" s="73">
        <v>7.4580000000000002</v>
      </c>
      <c r="CN45" s="73">
        <v>1.915</v>
      </c>
      <c r="CP45" s="136">
        <f t="shared" si="0"/>
        <v>4.5507454426927874</v>
      </c>
      <c r="CQ45" s="136">
        <f t="shared" si="1"/>
        <v>1.1658822734364691</v>
      </c>
      <c r="CR45" s="136">
        <f t="shared" si="2"/>
        <v>12.600524161059683</v>
      </c>
      <c r="CS45" s="136">
        <f t="shared" si="3"/>
        <v>1.7104707177788712</v>
      </c>
      <c r="CT45" s="136">
        <f t="shared" si="4"/>
        <v>2.2495759279488072</v>
      </c>
      <c r="CU45" s="136">
        <f t="shared" si="5"/>
        <v>1.3742397468474561</v>
      </c>
      <c r="CV45" s="136">
        <f t="shared" si="6"/>
        <v>7.9387954603685467</v>
      </c>
      <c r="CW45" s="136">
        <f t="shared" si="7"/>
        <v>8.8923606658498304</v>
      </c>
      <c r="CX45" s="136">
        <f t="shared" si="8"/>
        <v>14.996809093585258</v>
      </c>
      <c r="CY45" s="136">
        <f t="shared" si="9"/>
        <v>13.69701098024977</v>
      </c>
      <c r="CZ45" s="136">
        <f t="shared" si="10"/>
        <v>-5.6214291904714822</v>
      </c>
      <c r="DA45" s="136">
        <f t="shared" si="11"/>
        <v>10.702532361727078</v>
      </c>
      <c r="DB45" s="22"/>
      <c r="DC45" s="141">
        <f t="shared" si="12"/>
        <v>3.6083333333333329</v>
      </c>
      <c r="DD45" s="141">
        <f t="shared" si="13"/>
        <v>7.6249999999999998E-2</v>
      </c>
      <c r="DE45" s="141">
        <f t="shared" si="14"/>
        <v>1.1142999999999998</v>
      </c>
      <c r="DF45" s="141">
        <f t="shared" si="15"/>
        <v>3.0515625000000002</v>
      </c>
      <c r="DG45" s="141">
        <f t="shared" si="19"/>
        <v>2.7700000000000002E-2</v>
      </c>
      <c r="DH45" s="141">
        <f t="shared" si="17"/>
        <v>1.2402</v>
      </c>
    </row>
    <row r="46" spans="1:112" s="28" customFormat="1">
      <c r="A46" s="38"/>
      <c r="B46" s="35" t="s">
        <v>881</v>
      </c>
      <c r="C46" s="141">
        <v>46519.85</v>
      </c>
      <c r="D46" s="141">
        <v>14</v>
      </c>
      <c r="E46" s="141">
        <v>75.290000000000006</v>
      </c>
      <c r="F46" s="362">
        <v>343.59</v>
      </c>
      <c r="G46" s="141">
        <v>903.19</v>
      </c>
      <c r="H46" s="141">
        <v>6.52</v>
      </c>
      <c r="I46" s="141">
        <v>7.09</v>
      </c>
      <c r="J46" s="141">
        <v>5.97</v>
      </c>
      <c r="K46" s="141">
        <v>12.74</v>
      </c>
      <c r="L46" s="141">
        <v>6.37</v>
      </c>
      <c r="O46" s="363">
        <v>43.197000000000003</v>
      </c>
      <c r="P46" s="363">
        <v>3.2500000000000003E-3</v>
      </c>
      <c r="Q46" s="363"/>
      <c r="R46" s="363">
        <v>0.60204081632653061</v>
      </c>
      <c r="S46" s="363">
        <v>0.29100000000000004</v>
      </c>
      <c r="T46" s="363">
        <v>3.1144285714285713</v>
      </c>
      <c r="U46"/>
      <c r="V46" s="17" t="s">
        <v>165</v>
      </c>
      <c r="W46" s="20" t="s">
        <v>166</v>
      </c>
      <c r="X46" s="15" t="s">
        <v>343</v>
      </c>
      <c r="Y46" s="17">
        <v>0.18987899999999999</v>
      </c>
      <c r="Z46" s="17">
        <v>34.735692999999998</v>
      </c>
      <c r="AA46" s="17" t="s">
        <v>352</v>
      </c>
      <c r="AB46" s="17" t="s">
        <v>330</v>
      </c>
      <c r="AC46" s="6" t="s">
        <v>347</v>
      </c>
      <c r="AD46" s="14" t="s">
        <v>371</v>
      </c>
      <c r="AE46" s="65" t="s">
        <v>687</v>
      </c>
      <c r="AF46" s="17" t="s">
        <v>367</v>
      </c>
      <c r="AG46" s="17" t="s">
        <v>684</v>
      </c>
      <c r="AH46" s="35" t="s">
        <v>683</v>
      </c>
      <c r="AI46" s="24">
        <v>8.8580246913578371</v>
      </c>
      <c r="AJ46" s="73">
        <v>7.15</v>
      </c>
      <c r="AK46" s="76">
        <v>0.27560000000000001</v>
      </c>
      <c r="AL46" s="73">
        <v>12.3</v>
      </c>
      <c r="AM46" s="73">
        <v>1.61</v>
      </c>
      <c r="AN46" s="73">
        <v>1824</v>
      </c>
      <c r="AO46" s="73">
        <v>3503</v>
      </c>
      <c r="AP46" s="73">
        <v>63434</v>
      </c>
      <c r="AQ46" s="73">
        <v>1378</v>
      </c>
      <c r="AR46" s="73">
        <v>372</v>
      </c>
      <c r="AS46" s="73">
        <v>12987</v>
      </c>
      <c r="AT46" s="73">
        <v>6670</v>
      </c>
      <c r="AU46" s="73">
        <v>4203.3</v>
      </c>
      <c r="AV46" s="73">
        <v>125.7</v>
      </c>
      <c r="AW46" s="73">
        <v>196.5</v>
      </c>
      <c r="AX46" s="73">
        <v>2473.1</v>
      </c>
      <c r="AY46" s="73">
        <v>50932</v>
      </c>
      <c r="AZ46" s="73">
        <v>48.817999999999998</v>
      </c>
      <c r="BA46" s="73">
        <v>62.32</v>
      </c>
      <c r="BB46" s="73">
        <v>51.04</v>
      </c>
      <c r="BC46" s="73">
        <v>160</v>
      </c>
      <c r="BD46" s="73">
        <v>15.08</v>
      </c>
      <c r="BE46" s="73">
        <v>23.8</v>
      </c>
      <c r="BF46" s="73">
        <v>0.85</v>
      </c>
      <c r="BG46" s="73">
        <v>105.62</v>
      </c>
      <c r="BH46" s="73">
        <v>76.489999999999995</v>
      </c>
      <c r="BI46" s="73">
        <v>22.303000000000001</v>
      </c>
      <c r="BJ46" s="73">
        <v>189.02</v>
      </c>
      <c r="BK46" s="73">
        <v>30.327999999999999</v>
      </c>
      <c r="BL46" s="73">
        <v>1.97</v>
      </c>
      <c r="BM46" s="73">
        <v>0.10100000000000001</v>
      </c>
      <c r="BN46" s="73">
        <v>0.32900000000000001</v>
      </c>
      <c r="BO46" s="73">
        <v>2.0699999999999998</v>
      </c>
      <c r="BP46" s="73">
        <v>0.70299999999999996</v>
      </c>
      <c r="BQ46" s="73">
        <v>2.35</v>
      </c>
      <c r="BR46" s="73">
        <v>498.95</v>
      </c>
      <c r="BS46" s="73">
        <v>43.232999999999997</v>
      </c>
      <c r="BT46" s="73">
        <v>102.176</v>
      </c>
      <c r="BU46" s="73">
        <v>8.2240000000000002</v>
      </c>
      <c r="BV46" s="73">
        <v>30.47</v>
      </c>
      <c r="BW46" s="73">
        <v>5.5730000000000004</v>
      </c>
      <c r="BX46" s="73">
        <v>1.1839999999999999</v>
      </c>
      <c r="BY46" s="73">
        <v>4.5380000000000003</v>
      </c>
      <c r="BZ46" s="73">
        <v>0.71699999999999997</v>
      </c>
      <c r="CA46" s="73">
        <v>3.8570000000000002</v>
      </c>
      <c r="CB46" s="73">
        <v>0.79700000000000004</v>
      </c>
      <c r="CC46" s="73">
        <v>2.1989999999999998</v>
      </c>
      <c r="CD46" s="73">
        <v>0.33300000000000002</v>
      </c>
      <c r="CE46" s="73">
        <v>1.974</v>
      </c>
      <c r="CF46" s="73">
        <v>0.29799999999999999</v>
      </c>
      <c r="CG46" s="73">
        <v>5.0830000000000002</v>
      </c>
      <c r="CH46" s="73">
        <v>1.6850000000000001</v>
      </c>
      <c r="CI46" s="73">
        <v>1.5920000000000001</v>
      </c>
      <c r="CJ46" s="73">
        <v>0.69699999999999995</v>
      </c>
      <c r="CK46" s="73">
        <v>27.9</v>
      </c>
      <c r="CL46" s="73">
        <v>0.55000000000000004</v>
      </c>
      <c r="CM46" s="73">
        <v>9.4049999999999994</v>
      </c>
      <c r="CN46" s="73">
        <v>2.2949999999999999</v>
      </c>
      <c r="CP46" s="136">
        <f t="shared" si="0"/>
        <v>2.4196124244090162</v>
      </c>
      <c r="CQ46" s="136">
        <f t="shared" si="1"/>
        <v>1.0316520973319205</v>
      </c>
      <c r="CR46" s="136">
        <f t="shared" si="2"/>
        <v>3.0146708144987557</v>
      </c>
      <c r="CS46" s="136">
        <f t="shared" si="3"/>
        <v>1.6647543466259511</v>
      </c>
      <c r="CT46" s="136">
        <f t="shared" si="4"/>
        <v>2.5845859988005397</v>
      </c>
      <c r="CU46" s="136">
        <f t="shared" si="5"/>
        <v>1.3359875809721964</v>
      </c>
      <c r="CV46" s="136">
        <f t="shared" si="6"/>
        <v>7.0753900089497641</v>
      </c>
      <c r="CW46" s="136">
        <f t="shared" si="7"/>
        <v>8.7638165452287708</v>
      </c>
      <c r="CX46" s="136">
        <f t="shared" si="8"/>
        <v>12.981319188851113</v>
      </c>
      <c r="CY46" s="136">
        <f t="shared" si="9"/>
        <v>13.705848343508947</v>
      </c>
      <c r="CZ46" s="136">
        <f t="shared" si="10"/>
        <v>-5.3732275827854288</v>
      </c>
      <c r="DA46" s="136">
        <f t="shared" si="11"/>
        <v>10.709726705642144</v>
      </c>
      <c r="DB46" s="22"/>
      <c r="DC46" s="141">
        <f t="shared" si="12"/>
        <v>1.9833333333333334</v>
      </c>
      <c r="DD46" s="141">
        <f t="shared" si="13"/>
        <v>6.9749999999999993E-2</v>
      </c>
      <c r="DE46" s="141">
        <f t="shared" si="14"/>
        <v>0.27560000000000001</v>
      </c>
      <c r="DF46" s="141">
        <f t="shared" si="15"/>
        <v>3.0703125</v>
      </c>
      <c r="DG46" s="141">
        <f t="shared" si="19"/>
        <v>3.2899999999999999E-2</v>
      </c>
      <c r="DH46" s="141">
        <f t="shared" si="17"/>
        <v>1.2464</v>
      </c>
    </row>
    <row r="47" spans="1:112" s="28" customFormat="1">
      <c r="A47" s="38"/>
      <c r="B47" s="35" t="s">
        <v>882</v>
      </c>
      <c r="C47" s="141">
        <v>7456.8390909090904</v>
      </c>
      <c r="D47" s="141">
        <v>5.1618181818181812</v>
      </c>
      <c r="E47" s="141">
        <v>9.5872727272727261</v>
      </c>
      <c r="F47" s="362">
        <v>38.68545454545454</v>
      </c>
      <c r="G47" s="141">
        <v>120.58636363636364</v>
      </c>
      <c r="H47" s="141">
        <v>3.1136363636363638</v>
      </c>
      <c r="I47" s="141">
        <v>6.2118181818181819</v>
      </c>
      <c r="J47" s="141">
        <v>3.648181818181818</v>
      </c>
      <c r="K47" s="141">
        <v>11.205454545454543</v>
      </c>
      <c r="L47" s="141">
        <v>1.5472727272727276</v>
      </c>
      <c r="O47" s="363">
        <v>4.476461538461538</v>
      </c>
      <c r="P47" s="363">
        <v>1.1846153846153844E-3</v>
      </c>
      <c r="Q47" s="363"/>
      <c r="R47" s="363">
        <v>0.16394557823129252</v>
      </c>
      <c r="S47" s="363">
        <v>2.6407692307692306E-2</v>
      </c>
      <c r="T47" s="363">
        <v>0.32278021978021976</v>
      </c>
      <c r="U47"/>
      <c r="V47" s="17" t="s">
        <v>167</v>
      </c>
      <c r="W47" s="20" t="s">
        <v>168</v>
      </c>
      <c r="X47" s="15" t="s">
        <v>343</v>
      </c>
      <c r="Y47" s="17">
        <v>0.187274</v>
      </c>
      <c r="Z47" s="17">
        <v>34.735595000000004</v>
      </c>
      <c r="AA47" s="17" t="s">
        <v>353</v>
      </c>
      <c r="AB47" s="17" t="s">
        <v>330</v>
      </c>
      <c r="AC47" s="6" t="s">
        <v>347</v>
      </c>
      <c r="AD47" s="14" t="s">
        <v>371</v>
      </c>
      <c r="AE47" s="65" t="s">
        <v>687</v>
      </c>
      <c r="AF47" s="17" t="s">
        <v>361</v>
      </c>
      <c r="AG47" s="17" t="s">
        <v>685</v>
      </c>
      <c r="AH47" s="35" t="s">
        <v>690</v>
      </c>
      <c r="AI47" s="24">
        <v>5.2996117116171231</v>
      </c>
      <c r="AJ47" s="73">
        <v>6.79</v>
      </c>
      <c r="AK47" s="76">
        <v>4.4250999999999996</v>
      </c>
      <c r="AL47" s="73">
        <v>14.1</v>
      </c>
      <c r="AM47" s="73">
        <v>1.69</v>
      </c>
      <c r="AN47" s="73">
        <v>6198</v>
      </c>
      <c r="AO47" s="73">
        <v>4906</v>
      </c>
      <c r="AP47" s="73">
        <v>69339</v>
      </c>
      <c r="AQ47" s="73">
        <v>733</v>
      </c>
      <c r="AR47" s="73">
        <v>551</v>
      </c>
      <c r="AS47" s="73">
        <v>9507</v>
      </c>
      <c r="AT47" s="73">
        <v>5402</v>
      </c>
      <c r="AU47" s="73">
        <v>5110</v>
      </c>
      <c r="AV47" s="73">
        <v>152.9</v>
      </c>
      <c r="AW47" s="73">
        <v>224</v>
      </c>
      <c r="AX47" s="73">
        <v>3150</v>
      </c>
      <c r="AY47" s="73">
        <v>58223</v>
      </c>
      <c r="AZ47" s="73">
        <v>68.807000000000002</v>
      </c>
      <c r="BA47" s="73">
        <v>71.64</v>
      </c>
      <c r="BB47" s="73">
        <v>68.67</v>
      </c>
      <c r="BC47" s="73">
        <v>228</v>
      </c>
      <c r="BD47" s="73">
        <v>17.21</v>
      </c>
      <c r="BE47" s="73">
        <v>216.6</v>
      </c>
      <c r="BF47" s="73">
        <v>0.86</v>
      </c>
      <c r="BG47" s="73">
        <v>69.19</v>
      </c>
      <c r="BH47" s="73">
        <v>83.76</v>
      </c>
      <c r="BI47" s="73">
        <v>26.111000000000001</v>
      </c>
      <c r="BJ47" s="73">
        <v>212.29</v>
      </c>
      <c r="BK47" s="73">
        <v>37.576000000000001</v>
      </c>
      <c r="BL47" s="73">
        <v>2.84</v>
      </c>
      <c r="BM47" s="73">
        <v>0.35499999999999998</v>
      </c>
      <c r="BN47" s="73">
        <v>0.29299999999999998</v>
      </c>
      <c r="BO47" s="73">
        <v>2.0499999999999998</v>
      </c>
      <c r="BP47" s="73">
        <v>0.82499999999999996</v>
      </c>
      <c r="BQ47" s="73">
        <v>2.1850000000000001</v>
      </c>
      <c r="BR47" s="73">
        <v>463.51</v>
      </c>
      <c r="BS47" s="73">
        <v>47.703000000000003</v>
      </c>
      <c r="BT47" s="73">
        <v>111.648</v>
      </c>
      <c r="BU47" s="73">
        <v>9.4380000000000006</v>
      </c>
      <c r="BV47" s="73">
        <v>35.85</v>
      </c>
      <c r="BW47" s="73">
        <v>6.6040000000000001</v>
      </c>
      <c r="BX47" s="73">
        <v>1.508</v>
      </c>
      <c r="BY47" s="73">
        <v>5.5570000000000004</v>
      </c>
      <c r="BZ47" s="73">
        <v>0.83099999999999996</v>
      </c>
      <c r="CA47" s="73">
        <v>4.5880000000000001</v>
      </c>
      <c r="CB47" s="73">
        <v>0.92800000000000005</v>
      </c>
      <c r="CC47" s="73">
        <v>2.6360000000000001</v>
      </c>
      <c r="CD47" s="73">
        <v>0.36499999999999999</v>
      </c>
      <c r="CE47" s="73">
        <v>2.3039999999999998</v>
      </c>
      <c r="CF47" s="73">
        <v>0.33900000000000002</v>
      </c>
      <c r="CG47" s="73">
        <v>5.5789999999999997</v>
      </c>
      <c r="CH47" s="73">
        <v>2.0920000000000001</v>
      </c>
      <c r="CI47" s="73">
        <v>2.137</v>
      </c>
      <c r="CJ47" s="73">
        <v>0.60299999999999998</v>
      </c>
      <c r="CK47" s="73">
        <v>31.9</v>
      </c>
      <c r="CL47" s="73">
        <v>0.24</v>
      </c>
      <c r="CM47" s="73">
        <v>8.35</v>
      </c>
      <c r="CN47" s="73">
        <v>2.0739999999999998</v>
      </c>
      <c r="CP47" s="136">
        <f t="shared" si="0"/>
        <v>19.262979053153646</v>
      </c>
      <c r="CQ47" s="136">
        <f t="shared" si="1"/>
        <v>1.0318484032931652</v>
      </c>
      <c r="CR47" s="136">
        <f t="shared" si="2"/>
        <v>42.342834202282489</v>
      </c>
      <c r="CS47" s="136">
        <f t="shared" si="3"/>
        <v>1.6600905308965901</v>
      </c>
      <c r="CT47" s="136">
        <f t="shared" si="4"/>
        <v>2.013533506752252</v>
      </c>
      <c r="CU47" s="136">
        <f t="shared" si="5"/>
        <v>1.3434660770335738</v>
      </c>
      <c r="CV47" s="136">
        <f t="shared" si="6"/>
        <v>10.26138977325015</v>
      </c>
      <c r="CW47" s="136">
        <f t="shared" si="7"/>
        <v>8.9571078471644512</v>
      </c>
      <c r="CX47" s="136">
        <f t="shared" si="8"/>
        <v>16.986381453801272</v>
      </c>
      <c r="CY47" s="136">
        <f t="shared" si="9"/>
        <v>13.894817763307945</v>
      </c>
      <c r="CZ47" s="136">
        <f t="shared" si="10"/>
        <v>-5.5404145020984226</v>
      </c>
      <c r="DA47" s="136">
        <f t="shared" si="11"/>
        <v>10.910796809566435</v>
      </c>
      <c r="DB47" s="22"/>
      <c r="DC47" s="141">
        <f t="shared" si="12"/>
        <v>18.05</v>
      </c>
      <c r="DD47" s="141">
        <f t="shared" si="13"/>
        <v>7.9750000000000001E-2</v>
      </c>
      <c r="DE47" s="141">
        <f t="shared" si="14"/>
        <v>4.4250999999999996</v>
      </c>
      <c r="DF47" s="141">
        <f t="shared" si="15"/>
        <v>3.5</v>
      </c>
      <c r="DG47" s="141">
        <f t="shared" si="19"/>
        <v>2.93E-2</v>
      </c>
      <c r="DH47" s="141">
        <f t="shared" si="17"/>
        <v>1.4328000000000001</v>
      </c>
    </row>
    <row r="48" spans="1:112" s="28" customFormat="1">
      <c r="A48" s="38"/>
      <c r="C48" s="141"/>
      <c r="D48" s="141"/>
      <c r="E48" s="141"/>
      <c r="F48" s="362"/>
      <c r="G48" s="141"/>
      <c r="H48" s="141"/>
      <c r="I48" s="141"/>
      <c r="J48" s="141"/>
      <c r="K48" s="141"/>
      <c r="L48" s="141"/>
      <c r="O48" s="363"/>
      <c r="P48" s="363"/>
      <c r="Q48" s="363"/>
      <c r="R48" s="363"/>
      <c r="S48" s="363"/>
      <c r="T48" s="363"/>
      <c r="U48"/>
      <c r="V48" s="17" t="s">
        <v>169</v>
      </c>
      <c r="W48" s="20" t="s">
        <v>170</v>
      </c>
      <c r="X48" s="15" t="s">
        <v>343</v>
      </c>
      <c r="Y48" s="17">
        <v>0.18729499999999999</v>
      </c>
      <c r="Z48" s="17">
        <v>34.736308999999999</v>
      </c>
      <c r="AA48" s="17" t="s">
        <v>353</v>
      </c>
      <c r="AB48" s="17" t="s">
        <v>330</v>
      </c>
      <c r="AC48" s="6" t="s">
        <v>347</v>
      </c>
      <c r="AD48" s="14" t="s">
        <v>371</v>
      </c>
      <c r="AE48" s="65" t="s">
        <v>687</v>
      </c>
      <c r="AF48" s="17" t="s">
        <v>366</v>
      </c>
      <c r="AG48" s="17" t="s">
        <v>684</v>
      </c>
      <c r="AH48" s="35" t="s">
        <v>683</v>
      </c>
      <c r="AI48" s="24">
        <v>4.4946025515210906</v>
      </c>
      <c r="AJ48" s="73">
        <v>7.63</v>
      </c>
      <c r="AK48" s="76">
        <v>0.35620000000000002</v>
      </c>
      <c r="AL48" s="73">
        <v>15.9</v>
      </c>
      <c r="AM48" s="73">
        <v>1.68</v>
      </c>
      <c r="AN48" s="73">
        <v>3337</v>
      </c>
      <c r="AO48" s="73">
        <v>4345</v>
      </c>
      <c r="AP48" s="73">
        <v>75504</v>
      </c>
      <c r="AQ48" s="73">
        <v>914</v>
      </c>
      <c r="AR48" s="73">
        <v>331</v>
      </c>
      <c r="AS48" s="73">
        <v>14914</v>
      </c>
      <c r="AT48" s="73">
        <v>7499</v>
      </c>
      <c r="AU48" s="73">
        <v>4809.5</v>
      </c>
      <c r="AV48" s="73">
        <v>142.80000000000001</v>
      </c>
      <c r="AW48" s="73">
        <v>189</v>
      </c>
      <c r="AX48" s="73">
        <v>2085.5</v>
      </c>
      <c r="AY48" s="73">
        <v>57120</v>
      </c>
      <c r="AZ48" s="73">
        <v>48.594999999999999</v>
      </c>
      <c r="BA48" s="73">
        <v>65.5</v>
      </c>
      <c r="BB48" s="73">
        <v>62.94</v>
      </c>
      <c r="BC48" s="73">
        <v>204</v>
      </c>
      <c r="BD48" s="73">
        <v>18.22</v>
      </c>
      <c r="BE48" s="73">
        <v>49.2</v>
      </c>
      <c r="BF48" s="73">
        <v>0.81</v>
      </c>
      <c r="BG48" s="73">
        <v>93.51</v>
      </c>
      <c r="BH48" s="73">
        <v>81.739999999999995</v>
      </c>
      <c r="BI48" s="73">
        <v>23.419</v>
      </c>
      <c r="BJ48" s="73">
        <v>222.43</v>
      </c>
      <c r="BK48" s="73">
        <v>37.555999999999997</v>
      </c>
      <c r="BL48" s="73">
        <v>2.41</v>
      </c>
      <c r="BM48" s="73">
        <v>0.13</v>
      </c>
      <c r="BN48" s="73">
        <v>0.24</v>
      </c>
      <c r="BO48" s="73">
        <v>2.3199999999999998</v>
      </c>
      <c r="BP48" s="73">
        <v>0.75800000000000001</v>
      </c>
      <c r="BQ48" s="73">
        <v>2.4319999999999999</v>
      </c>
      <c r="BR48" s="73">
        <v>453.3</v>
      </c>
      <c r="BS48" s="73">
        <v>45.326000000000001</v>
      </c>
      <c r="BT48" s="73">
        <v>103.699</v>
      </c>
      <c r="BU48" s="73">
        <v>8.9649999999999999</v>
      </c>
      <c r="BV48" s="73">
        <v>33.68</v>
      </c>
      <c r="BW48" s="73">
        <v>5.907</v>
      </c>
      <c r="BX48" s="73">
        <v>1.2529999999999999</v>
      </c>
      <c r="BY48" s="73">
        <v>4.7939999999999996</v>
      </c>
      <c r="BZ48" s="73">
        <v>0.73499999999999999</v>
      </c>
      <c r="CA48" s="73">
        <v>4.0869999999999997</v>
      </c>
      <c r="CB48" s="73">
        <v>0.83199999999999996</v>
      </c>
      <c r="CC48" s="73">
        <v>2.2930000000000001</v>
      </c>
      <c r="CD48" s="73">
        <v>0.34300000000000003</v>
      </c>
      <c r="CE48" s="73">
        <v>2.1339999999999999</v>
      </c>
      <c r="CF48" s="73">
        <v>0.309</v>
      </c>
      <c r="CG48" s="73">
        <v>5.835</v>
      </c>
      <c r="CH48" s="73">
        <v>2.109</v>
      </c>
      <c r="CI48" s="73">
        <v>2.1880000000000002</v>
      </c>
      <c r="CJ48" s="73">
        <v>0.61</v>
      </c>
      <c r="CK48" s="73">
        <v>24.9</v>
      </c>
      <c r="CL48" s="73">
        <v>0.31</v>
      </c>
      <c r="CM48" s="73">
        <v>9.5519999999999996</v>
      </c>
      <c r="CN48" s="73">
        <v>2.3450000000000002</v>
      </c>
      <c r="CP48" s="136">
        <f t="shared" si="0"/>
        <v>4.4600166831438459</v>
      </c>
      <c r="CQ48" s="136">
        <f t="shared" si="1"/>
        <v>0.82097690648788402</v>
      </c>
      <c r="CR48" s="136">
        <f t="shared" si="2"/>
        <v>3.4742185117717974</v>
      </c>
      <c r="CS48" s="136">
        <f t="shared" si="3"/>
        <v>1.4277492430795848</v>
      </c>
      <c r="CT48" s="136">
        <f t="shared" si="4"/>
        <v>1.6811592818945762</v>
      </c>
      <c r="CU48" s="136">
        <f t="shared" si="5"/>
        <v>1.2520417417152918</v>
      </c>
      <c r="CV48" s="136">
        <f t="shared" si="6"/>
        <v>8.1230867509810611</v>
      </c>
      <c r="CW48" s="136">
        <f t="shared" si="7"/>
        <v>8.5996971654676635</v>
      </c>
      <c r="CX48" s="136">
        <f t="shared" si="8"/>
        <v>13.35143081724844</v>
      </c>
      <c r="CY48" s="136">
        <f t="shared" si="9"/>
        <v>13.649705265471411</v>
      </c>
      <c r="CZ48" s="136">
        <f t="shared" si="10"/>
        <v>-5.8282807609121514</v>
      </c>
      <c r="DA48" s="136">
        <f t="shared" si="11"/>
        <v>10.78152637889265</v>
      </c>
      <c r="DB48" s="22"/>
      <c r="DC48" s="141">
        <f t="shared" si="12"/>
        <v>4.1000000000000005</v>
      </c>
      <c r="DD48" s="141">
        <f t="shared" si="13"/>
        <v>6.225E-2</v>
      </c>
      <c r="DE48" s="141">
        <f t="shared" si="14"/>
        <v>0.35620000000000002</v>
      </c>
      <c r="DF48" s="141">
        <f t="shared" si="15"/>
        <v>2.953125</v>
      </c>
      <c r="DG48" s="141">
        <f t="shared" si="19"/>
        <v>2.4E-2</v>
      </c>
      <c r="DH48" s="141">
        <f t="shared" si="17"/>
        <v>1.31</v>
      </c>
    </row>
    <row r="49" spans="1:112" s="28" customFormat="1">
      <c r="A49" s="38" t="s">
        <v>890</v>
      </c>
      <c r="C49" s="141"/>
      <c r="D49" s="141"/>
      <c r="E49" s="141"/>
      <c r="F49" s="362"/>
      <c r="G49" s="141"/>
      <c r="H49" s="141"/>
      <c r="I49" s="141"/>
      <c r="J49" s="141"/>
      <c r="K49" s="141"/>
      <c r="L49" s="141"/>
      <c r="O49" s="363"/>
      <c r="P49" s="363"/>
      <c r="Q49" s="363"/>
      <c r="R49" s="363"/>
      <c r="S49" s="363"/>
      <c r="T49" s="363"/>
      <c r="U49"/>
      <c r="V49" s="17" t="s">
        <v>171</v>
      </c>
      <c r="W49" s="20" t="s">
        <v>172</v>
      </c>
      <c r="X49" s="15" t="s">
        <v>343</v>
      </c>
      <c r="Y49" s="17">
        <v>0.187274</v>
      </c>
      <c r="Z49" s="17">
        <v>34.735595000000004</v>
      </c>
      <c r="AA49" s="17" t="s">
        <v>353</v>
      </c>
      <c r="AB49" s="17" t="s">
        <v>330</v>
      </c>
      <c r="AC49" s="6" t="s">
        <v>347</v>
      </c>
      <c r="AD49" s="14" t="s">
        <v>371</v>
      </c>
      <c r="AE49" s="65" t="s">
        <v>687</v>
      </c>
      <c r="AF49" s="17" t="s">
        <v>364</v>
      </c>
      <c r="AG49" s="17" t="s">
        <v>685</v>
      </c>
      <c r="AH49" s="35" t="s">
        <v>690</v>
      </c>
      <c r="AI49" s="24">
        <v>2.2657054582904612</v>
      </c>
      <c r="AJ49" s="73">
        <v>6.39</v>
      </c>
      <c r="AK49" s="76">
        <v>0.30880000000000002</v>
      </c>
      <c r="AL49" s="73">
        <v>20.7</v>
      </c>
      <c r="AM49" s="73">
        <v>1.28</v>
      </c>
      <c r="AN49" s="73">
        <v>24812</v>
      </c>
      <c r="AO49" s="73">
        <v>16136</v>
      </c>
      <c r="AP49" s="73">
        <v>80033</v>
      </c>
      <c r="AQ49" s="73">
        <v>1140</v>
      </c>
      <c r="AR49" s="73">
        <v>37</v>
      </c>
      <c r="AS49" s="73">
        <v>18096</v>
      </c>
      <c r="AT49" s="73">
        <v>15509</v>
      </c>
      <c r="AU49" s="73">
        <v>4866</v>
      </c>
      <c r="AV49" s="73">
        <v>175.2</v>
      </c>
      <c r="AW49" s="73">
        <v>169.1</v>
      </c>
      <c r="AX49" s="73">
        <v>2634.4</v>
      </c>
      <c r="AY49" s="73">
        <v>59388</v>
      </c>
      <c r="AZ49" s="73">
        <v>98.016999999999996</v>
      </c>
      <c r="BA49" s="73">
        <v>119.61</v>
      </c>
      <c r="BB49" s="73">
        <v>140.11000000000001</v>
      </c>
      <c r="BC49" s="73">
        <v>126</v>
      </c>
      <c r="BD49" s="73">
        <v>17.2</v>
      </c>
      <c r="BE49" s="73">
        <v>74</v>
      </c>
      <c r="BF49" s="73">
        <v>0.04</v>
      </c>
      <c r="BG49" s="73">
        <v>49.45</v>
      </c>
      <c r="BH49" s="73">
        <v>350.05</v>
      </c>
      <c r="BI49" s="73">
        <v>19.574000000000002</v>
      </c>
      <c r="BJ49" s="73">
        <v>134.5</v>
      </c>
      <c r="BK49" s="73">
        <v>6.0010000000000003</v>
      </c>
      <c r="BL49" s="73">
        <v>1.22</v>
      </c>
      <c r="BM49" s="73">
        <v>0.12</v>
      </c>
      <c r="BN49" s="73">
        <v>0.253</v>
      </c>
      <c r="BO49" s="73">
        <v>1.81</v>
      </c>
      <c r="BP49" s="73">
        <v>0.879</v>
      </c>
      <c r="BQ49" s="73">
        <v>2.2480000000000002</v>
      </c>
      <c r="BR49" s="73">
        <v>824.09</v>
      </c>
      <c r="BS49" s="73">
        <v>55.143999999999998</v>
      </c>
      <c r="BT49" s="73">
        <v>150.77099999999999</v>
      </c>
      <c r="BU49" s="73">
        <v>12.654999999999999</v>
      </c>
      <c r="BV49" s="73">
        <v>48.99</v>
      </c>
      <c r="BW49" s="73">
        <v>8.2040000000000006</v>
      </c>
      <c r="BX49" s="73">
        <v>1.829</v>
      </c>
      <c r="BY49" s="73">
        <v>5.516</v>
      </c>
      <c r="BZ49" s="73">
        <v>0.73099999999999998</v>
      </c>
      <c r="CA49" s="73">
        <v>3.7530000000000001</v>
      </c>
      <c r="CB49" s="73">
        <v>0.73899999999999999</v>
      </c>
      <c r="CC49" s="73">
        <v>1.962</v>
      </c>
      <c r="CD49" s="73">
        <v>0.27500000000000002</v>
      </c>
      <c r="CE49" s="73">
        <v>1.708</v>
      </c>
      <c r="CF49" s="73">
        <v>0.255</v>
      </c>
      <c r="CG49" s="73">
        <v>3.718</v>
      </c>
      <c r="CH49" s="73">
        <v>0.36299999999999999</v>
      </c>
      <c r="CI49" s="73">
        <v>4.05</v>
      </c>
      <c r="CJ49" s="73">
        <v>0.26200000000000001</v>
      </c>
      <c r="CK49" s="73">
        <v>40.200000000000003</v>
      </c>
      <c r="CL49" s="73">
        <v>0.17</v>
      </c>
      <c r="CM49" s="73">
        <v>5.8090000000000002</v>
      </c>
      <c r="CN49" s="73">
        <v>1.5449999999999999</v>
      </c>
      <c r="CP49" s="136">
        <f t="shared" si="0"/>
        <v>6.4519738588504714</v>
      </c>
      <c r="CQ49" s="136">
        <f t="shared" si="1"/>
        <v>1.2748149438349039</v>
      </c>
      <c r="CR49" s="136">
        <f t="shared" si="2"/>
        <v>2.8968766651917064</v>
      </c>
      <c r="CS49" s="136">
        <f t="shared" si="3"/>
        <v>1.2286360129860525</v>
      </c>
      <c r="CT49" s="136">
        <f t="shared" si="4"/>
        <v>1.7045417424395504</v>
      </c>
      <c r="CU49" s="136">
        <f t="shared" si="5"/>
        <v>2.1990469277576454</v>
      </c>
      <c r="CV49" s="136">
        <f t="shared" si="6"/>
        <v>8.711953706158134</v>
      </c>
      <c r="CW49" s="136">
        <f t="shared" si="7"/>
        <v>9.2907469245785119</v>
      </c>
      <c r="CX49" s="136">
        <f t="shared" si="8"/>
        <v>13.145416053414902</v>
      </c>
      <c r="CY49" s="136">
        <f t="shared" si="9"/>
        <v>13.489195690772961</v>
      </c>
      <c r="CZ49" s="136">
        <f t="shared" si="10"/>
        <v>-5.7521777818263606</v>
      </c>
      <c r="DA49" s="136">
        <f t="shared" si="11"/>
        <v>11.650297578298961</v>
      </c>
      <c r="DB49" s="22"/>
      <c r="DC49" s="141">
        <f t="shared" si="12"/>
        <v>6.166666666666667</v>
      </c>
      <c r="DD49" s="141">
        <f t="shared" si="13"/>
        <v>0.10050000000000001</v>
      </c>
      <c r="DE49" s="141">
        <f t="shared" si="14"/>
        <v>0.30880000000000002</v>
      </c>
      <c r="DF49" s="141">
        <f t="shared" si="15"/>
        <v>2.6421874999999999</v>
      </c>
      <c r="DG49" s="141">
        <f>BN49/1.4</f>
        <v>0.18071428571428572</v>
      </c>
      <c r="DH49" s="141">
        <f t="shared" si="17"/>
        <v>2.3921999999999999</v>
      </c>
    </row>
    <row r="50" spans="1:112" s="28" customFormat="1">
      <c r="A50" s="38"/>
      <c r="B50" s="28" t="s">
        <v>697</v>
      </c>
      <c r="C50" s="141">
        <v>1.18</v>
      </c>
      <c r="D50" s="141">
        <v>0.04</v>
      </c>
      <c r="E50" s="141">
        <v>0.01</v>
      </c>
      <c r="F50" s="362">
        <v>0.03</v>
      </c>
      <c r="G50" s="141">
        <v>0.05</v>
      </c>
      <c r="H50" s="141">
        <v>0.44</v>
      </c>
      <c r="I50" s="141">
        <v>0.18</v>
      </c>
      <c r="J50" s="141">
        <v>0.76</v>
      </c>
      <c r="K50" s="141">
        <v>5.69</v>
      </c>
      <c r="L50" s="141">
        <v>0.08</v>
      </c>
      <c r="O50" s="363">
        <v>4.4499999999999998E-2</v>
      </c>
      <c r="P50" s="363">
        <v>8.5000000000000006E-4</v>
      </c>
      <c r="Q50" s="363"/>
      <c r="R50" s="363">
        <v>2.5999999999999999E-3</v>
      </c>
      <c r="S50" s="363">
        <v>6.9999999999999993E-2</v>
      </c>
      <c r="T50" s="363">
        <v>1.9E-2</v>
      </c>
      <c r="U50"/>
      <c r="V50" s="17" t="s">
        <v>173</v>
      </c>
      <c r="W50" s="20" t="s">
        <v>174</v>
      </c>
      <c r="X50" s="15" t="s">
        <v>343</v>
      </c>
      <c r="Y50" s="17">
        <v>0.18729000000000001</v>
      </c>
      <c r="Z50" s="17">
        <v>34.736308999999999</v>
      </c>
      <c r="AA50" s="17" t="s">
        <v>353</v>
      </c>
      <c r="AB50" s="17" t="s">
        <v>330</v>
      </c>
      <c r="AC50" s="6" t="s">
        <v>347</v>
      </c>
      <c r="AD50" s="14" t="s">
        <v>371</v>
      </c>
      <c r="AE50" s="65" t="s">
        <v>687</v>
      </c>
      <c r="AF50" s="17" t="s">
        <v>361</v>
      </c>
      <c r="AG50" s="17" t="s">
        <v>685</v>
      </c>
      <c r="AH50" s="35" t="s">
        <v>690</v>
      </c>
      <c r="AI50" s="24">
        <v>2.1136642694264753</v>
      </c>
      <c r="AJ50" s="73">
        <v>7.12</v>
      </c>
      <c r="AK50" s="76">
        <v>1.2711999999999999</v>
      </c>
      <c r="AL50" s="73">
        <v>11.5</v>
      </c>
      <c r="AM50" s="73">
        <v>1.24</v>
      </c>
      <c r="AN50" s="73">
        <v>11481</v>
      </c>
      <c r="AO50" s="73">
        <v>6812</v>
      </c>
      <c r="AP50" s="73">
        <v>50348</v>
      </c>
      <c r="AQ50" s="73">
        <v>525</v>
      </c>
      <c r="AR50" s="73">
        <v>405</v>
      </c>
      <c r="AS50" s="73">
        <v>11540</v>
      </c>
      <c r="AT50" s="73">
        <v>4879</v>
      </c>
      <c r="AU50" s="73">
        <v>3017.6</v>
      </c>
      <c r="AV50" s="73">
        <v>107.7</v>
      </c>
      <c r="AW50" s="73">
        <v>192.9</v>
      </c>
      <c r="AX50" s="73">
        <v>1359.2</v>
      </c>
      <c r="AY50" s="73">
        <v>38318</v>
      </c>
      <c r="AZ50" s="73">
        <v>37.563000000000002</v>
      </c>
      <c r="BA50" s="73">
        <v>60.94</v>
      </c>
      <c r="BB50" s="73">
        <v>53</v>
      </c>
      <c r="BC50" s="73">
        <v>72</v>
      </c>
      <c r="BD50" s="73">
        <v>11.3</v>
      </c>
      <c r="BE50" s="73">
        <v>263.2</v>
      </c>
      <c r="BF50" s="73">
        <v>0.28000000000000003</v>
      </c>
      <c r="BG50" s="73">
        <v>46.26</v>
      </c>
      <c r="BH50" s="73">
        <v>136.38999999999999</v>
      </c>
      <c r="BI50" s="73">
        <v>13.611000000000001</v>
      </c>
      <c r="BJ50" s="73">
        <v>115.51</v>
      </c>
      <c r="BK50" s="73">
        <v>12.8</v>
      </c>
      <c r="BL50" s="73">
        <v>1.95</v>
      </c>
      <c r="BM50" s="73">
        <v>0.432</v>
      </c>
      <c r="BN50" s="73">
        <v>0.22500000000000001</v>
      </c>
      <c r="BO50" s="73">
        <v>1.26</v>
      </c>
      <c r="BP50" s="73">
        <v>1.0620000000000001</v>
      </c>
      <c r="BQ50" s="73">
        <v>1.294</v>
      </c>
      <c r="BR50" s="73">
        <v>452.91</v>
      </c>
      <c r="BS50" s="73">
        <v>28.145</v>
      </c>
      <c r="BT50" s="73">
        <v>68.304000000000002</v>
      </c>
      <c r="BU50" s="73">
        <v>6.2649999999999997</v>
      </c>
      <c r="BV50" s="73">
        <v>24.24</v>
      </c>
      <c r="BW50" s="73">
        <v>4.3490000000000002</v>
      </c>
      <c r="BX50" s="73">
        <v>1.032</v>
      </c>
      <c r="BY50" s="73">
        <v>3.339</v>
      </c>
      <c r="BZ50" s="73">
        <v>0.48099999999999998</v>
      </c>
      <c r="CA50" s="73">
        <v>2.5099999999999998</v>
      </c>
      <c r="CB50" s="73">
        <v>0.52400000000000002</v>
      </c>
      <c r="CC50" s="73">
        <v>1.4159999999999999</v>
      </c>
      <c r="CD50" s="73">
        <v>0.20799999999999999</v>
      </c>
      <c r="CE50" s="73">
        <v>1.244</v>
      </c>
      <c r="CF50" s="73">
        <v>0.186</v>
      </c>
      <c r="CG50" s="73">
        <v>3.181</v>
      </c>
      <c r="CH50" s="73">
        <v>0.72199999999999998</v>
      </c>
      <c r="CI50" s="73">
        <v>3.9830000000000001</v>
      </c>
      <c r="CJ50" s="73">
        <v>0.32800000000000001</v>
      </c>
      <c r="CK50" s="73">
        <v>30</v>
      </c>
      <c r="CL50" s="73">
        <v>0.38</v>
      </c>
      <c r="CM50" s="73">
        <v>5.1310000000000002</v>
      </c>
      <c r="CN50" s="73">
        <v>1.3879999999999999</v>
      </c>
      <c r="CP50" s="136">
        <f t="shared" si="0"/>
        <v>35.566622966322079</v>
      </c>
      <c r="CQ50" s="136">
        <f t="shared" si="1"/>
        <v>1.4744777187539637</v>
      </c>
      <c r="CR50" s="136">
        <f t="shared" si="2"/>
        <v>18.48257447172595</v>
      </c>
      <c r="CS50" s="136">
        <f t="shared" si="3"/>
        <v>2.1722396055608946</v>
      </c>
      <c r="CT50" s="136">
        <f t="shared" si="4"/>
        <v>2.3494462014054638</v>
      </c>
      <c r="CU50" s="136">
        <f t="shared" si="5"/>
        <v>1.7364621589902016</v>
      </c>
      <c r="CV50" s="136">
        <f t="shared" si="6"/>
        <v>10.542516019377063</v>
      </c>
      <c r="CW50" s="136">
        <f t="shared" si="7"/>
        <v>8.8685139238954633</v>
      </c>
      <c r="CX50" s="136">
        <f t="shared" si="8"/>
        <v>15.18686242549534</v>
      </c>
      <c r="CY50" s="136">
        <f t="shared" si="9"/>
        <v>13.679172174412081</v>
      </c>
      <c r="CZ50" s="136">
        <f t="shared" si="10"/>
        <v>-5.9213901653036345</v>
      </c>
      <c r="DA50" s="136">
        <f t="shared" si="11"/>
        <v>10.67742097226696</v>
      </c>
      <c r="DB50" s="22"/>
      <c r="DC50" s="141">
        <f t="shared" si="12"/>
        <v>21.933333333333334</v>
      </c>
      <c r="DD50" s="141">
        <f t="shared" si="13"/>
        <v>7.4999999999999997E-2</v>
      </c>
      <c r="DE50" s="141">
        <f t="shared" si="14"/>
        <v>1.2711999999999999</v>
      </c>
      <c r="DF50" s="141">
        <f t="shared" si="15"/>
        <v>3.0140625000000001</v>
      </c>
      <c r="DG50" s="141">
        <f t="shared" si="19"/>
        <v>2.2499999999999999E-2</v>
      </c>
      <c r="DH50" s="141">
        <f t="shared" si="17"/>
        <v>1.2187999999999999</v>
      </c>
    </row>
    <row r="51" spans="1:112" s="28" customFormat="1">
      <c r="A51" s="38"/>
      <c r="B51" s="28" t="s">
        <v>698</v>
      </c>
      <c r="C51" s="141">
        <v>46519.85</v>
      </c>
      <c r="D51" s="141">
        <v>14</v>
      </c>
      <c r="E51" s="141">
        <v>75.290000000000006</v>
      </c>
      <c r="F51" s="362">
        <v>343.59</v>
      </c>
      <c r="G51" s="141">
        <v>903.19</v>
      </c>
      <c r="H51" s="141">
        <v>6.52</v>
      </c>
      <c r="I51" s="141">
        <v>7.09</v>
      </c>
      <c r="J51" s="141">
        <v>5.97</v>
      </c>
      <c r="K51" s="141">
        <v>13.39</v>
      </c>
      <c r="L51" s="141">
        <v>6.37</v>
      </c>
      <c r="O51" s="363">
        <v>0.1565</v>
      </c>
      <c r="P51" s="363">
        <v>1.65E-3</v>
      </c>
      <c r="Q51" s="363"/>
      <c r="R51" s="363">
        <v>5.9000000000000004E-2</v>
      </c>
      <c r="S51" s="363">
        <v>0.19499999999999998</v>
      </c>
      <c r="T51" s="363">
        <v>8.3857142857142852E-2</v>
      </c>
      <c r="U51"/>
      <c r="V51" s="17" t="s">
        <v>175</v>
      </c>
      <c r="W51" s="20" t="s">
        <v>176</v>
      </c>
      <c r="X51" s="15" t="s">
        <v>343</v>
      </c>
      <c r="Y51" s="17">
        <v>0.187274</v>
      </c>
      <c r="Z51" s="17">
        <v>34.735595000000004</v>
      </c>
      <c r="AA51" s="17" t="s">
        <v>353</v>
      </c>
      <c r="AB51" s="17" t="s">
        <v>330</v>
      </c>
      <c r="AC51" s="6" t="s">
        <v>347</v>
      </c>
      <c r="AD51" s="14" t="s">
        <v>371</v>
      </c>
      <c r="AE51" s="65" t="s">
        <v>687</v>
      </c>
      <c r="AF51" s="17" t="s">
        <v>367</v>
      </c>
      <c r="AG51" s="17" t="s">
        <v>684</v>
      </c>
      <c r="AH51" s="35" t="s">
        <v>683</v>
      </c>
      <c r="AI51" s="24">
        <v>2.5391575055938898</v>
      </c>
      <c r="AJ51" s="73">
        <v>6.67</v>
      </c>
      <c r="AK51" s="76">
        <v>0.51829999999999998</v>
      </c>
      <c r="AL51" s="73">
        <v>12</v>
      </c>
      <c r="AM51" s="73">
        <v>1.39</v>
      </c>
      <c r="AN51" s="73">
        <v>11391</v>
      </c>
      <c r="AO51" s="73">
        <v>6835</v>
      </c>
      <c r="AP51" s="73">
        <v>55560</v>
      </c>
      <c r="AQ51" s="73">
        <v>534</v>
      </c>
      <c r="AR51" s="73">
        <v>149</v>
      </c>
      <c r="AS51" s="73">
        <v>11477</v>
      </c>
      <c r="AT51" s="73">
        <v>4337</v>
      </c>
      <c r="AU51" s="73">
        <v>3170.7</v>
      </c>
      <c r="AV51" s="73">
        <v>113.3</v>
      </c>
      <c r="AW51" s="73">
        <v>195.9</v>
      </c>
      <c r="AX51" s="73">
        <v>1441.4</v>
      </c>
      <c r="AY51" s="73">
        <v>39162</v>
      </c>
      <c r="AZ51" s="73">
        <v>40.555</v>
      </c>
      <c r="BA51" s="73">
        <v>66.92</v>
      </c>
      <c r="BB51" s="73">
        <v>58.43</v>
      </c>
      <c r="BC51" s="73">
        <v>88</v>
      </c>
      <c r="BD51" s="73">
        <v>11.99</v>
      </c>
      <c r="BE51" s="73">
        <v>209.7</v>
      </c>
      <c r="BF51" s="73">
        <v>0.25</v>
      </c>
      <c r="BG51" s="73">
        <v>47.95</v>
      </c>
      <c r="BH51" s="73">
        <v>130.12</v>
      </c>
      <c r="BI51" s="73">
        <v>14.603999999999999</v>
      </c>
      <c r="BJ51" s="73">
        <v>118.49</v>
      </c>
      <c r="BK51" s="73">
        <v>13.898999999999999</v>
      </c>
      <c r="BL51" s="73">
        <v>2</v>
      </c>
      <c r="BM51" s="73">
        <v>0.32100000000000001</v>
      </c>
      <c r="BN51" s="73">
        <v>0.25900000000000001</v>
      </c>
      <c r="BO51" s="73">
        <v>1.32</v>
      </c>
      <c r="BP51" s="73">
        <v>0.98199999999999998</v>
      </c>
      <c r="BQ51" s="73">
        <v>1.462</v>
      </c>
      <c r="BR51" s="73">
        <v>451.98</v>
      </c>
      <c r="BS51" s="73">
        <v>28.786999999999999</v>
      </c>
      <c r="BT51" s="73">
        <v>70.572999999999993</v>
      </c>
      <c r="BU51" s="73">
        <v>6.3620000000000001</v>
      </c>
      <c r="BV51" s="73">
        <v>24.86</v>
      </c>
      <c r="BW51" s="73">
        <v>4.6920000000000002</v>
      </c>
      <c r="BX51" s="73">
        <v>1.0640000000000001</v>
      </c>
      <c r="BY51" s="73">
        <v>3.4159999999999999</v>
      </c>
      <c r="BZ51" s="73">
        <v>0.51</v>
      </c>
      <c r="CA51" s="73">
        <v>2.6949999999999998</v>
      </c>
      <c r="CB51" s="73">
        <v>0.54</v>
      </c>
      <c r="CC51" s="73">
        <v>1.504</v>
      </c>
      <c r="CD51" s="73">
        <v>0.22</v>
      </c>
      <c r="CE51" s="73">
        <v>1.37</v>
      </c>
      <c r="CF51" s="73">
        <v>0.20399999999999999</v>
      </c>
      <c r="CG51" s="73">
        <v>3.2829999999999999</v>
      </c>
      <c r="CH51" s="73">
        <v>0.80700000000000005</v>
      </c>
      <c r="CI51" s="73">
        <v>4.2140000000000004</v>
      </c>
      <c r="CJ51" s="73">
        <v>0.317</v>
      </c>
      <c r="CK51" s="73">
        <v>37.1</v>
      </c>
      <c r="CL51" s="73">
        <v>0.39</v>
      </c>
      <c r="CM51" s="73">
        <v>5.14</v>
      </c>
      <c r="CN51" s="73">
        <v>1.427</v>
      </c>
      <c r="CP51" s="136">
        <f t="shared" si="0"/>
        <v>27.726378437080363</v>
      </c>
      <c r="CQ51" s="136">
        <f t="shared" si="1"/>
        <v>1.784139626108348</v>
      </c>
      <c r="CR51" s="136">
        <f t="shared" si="2"/>
        <v>7.3733994026112883</v>
      </c>
      <c r="CS51" s="136">
        <f t="shared" si="3"/>
        <v>2.1584793895342727</v>
      </c>
      <c r="CT51" s="136">
        <f t="shared" si="4"/>
        <v>2.6461881531726026</v>
      </c>
      <c r="CU51" s="136">
        <f t="shared" si="5"/>
        <v>1.8657642874991174</v>
      </c>
      <c r="CV51" s="136">
        <f t="shared" si="6"/>
        <v>10.214683391738413</v>
      </c>
      <c r="CW51" s="136">
        <f t="shared" si="7"/>
        <v>9.1749706100203863</v>
      </c>
      <c r="CX51" s="136">
        <f t="shared" si="8"/>
        <v>13.892530694531521</v>
      </c>
      <c r="CY51" s="136">
        <f t="shared" si="9"/>
        <v>13.701436428630563</v>
      </c>
      <c r="CZ51" s="136">
        <f t="shared" si="10"/>
        <v>-5.7183630688341163</v>
      </c>
      <c r="DA51" s="136">
        <f t="shared" si="11"/>
        <v>10.812468917618826</v>
      </c>
      <c r="DB51" s="22"/>
      <c r="DC51" s="141">
        <f t="shared" si="12"/>
        <v>17.474999999999998</v>
      </c>
      <c r="DD51" s="141">
        <f t="shared" si="13"/>
        <v>9.2749999999999999E-2</v>
      </c>
      <c r="DE51" s="141">
        <f t="shared" si="14"/>
        <v>0.51829999999999998</v>
      </c>
      <c r="DF51" s="141">
        <f t="shared" si="15"/>
        <v>3.0609375000000001</v>
      </c>
      <c r="DG51" s="141">
        <f>BN51/1.4</f>
        <v>0.18500000000000003</v>
      </c>
      <c r="DH51" s="141">
        <f t="shared" si="17"/>
        <v>1.3384</v>
      </c>
    </row>
    <row r="52" spans="1:112" s="28" customFormat="1">
      <c r="A52" s="38"/>
      <c r="B52" s="28" t="s">
        <v>903</v>
      </c>
      <c r="C52" s="141">
        <v>8501.3861931818155</v>
      </c>
      <c r="D52" s="141">
        <v>4.8257386363636368</v>
      </c>
      <c r="E52" s="141">
        <v>11.966079545454546</v>
      </c>
      <c r="F52" s="362">
        <v>50.540340909090894</v>
      </c>
      <c r="G52" s="141">
        <v>147.09289772727277</v>
      </c>
      <c r="H52" s="141">
        <v>3.3314772727272723</v>
      </c>
      <c r="I52" s="141">
        <v>5.4676136363636374</v>
      </c>
      <c r="J52" s="141">
        <v>3.5517613636363627</v>
      </c>
      <c r="K52" s="141">
        <v>11.137215909090909</v>
      </c>
      <c r="L52" s="141">
        <v>1.6973295454545456</v>
      </c>
      <c r="O52" s="363">
        <v>4.476461538461538</v>
      </c>
      <c r="P52" s="363">
        <v>1.1846153846153844E-3</v>
      </c>
      <c r="Q52" s="363"/>
      <c r="R52" s="363">
        <v>0.16394557823129252</v>
      </c>
      <c r="S52" s="363">
        <v>2.6407692307692306E-2</v>
      </c>
      <c r="T52" s="363">
        <v>0.32278021978021976</v>
      </c>
      <c r="U52"/>
      <c r="V52" s="17" t="s">
        <v>177</v>
      </c>
      <c r="W52" s="20" t="s">
        <v>178</v>
      </c>
      <c r="X52" s="15" t="s">
        <v>343</v>
      </c>
      <c r="Y52" s="17">
        <v>0.18890100000000001</v>
      </c>
      <c r="Z52" s="17">
        <v>34.740020999999999</v>
      </c>
      <c r="AA52" s="17" t="s">
        <v>354</v>
      </c>
      <c r="AB52" s="17" t="s">
        <v>330</v>
      </c>
      <c r="AC52" s="6" t="s">
        <v>347</v>
      </c>
      <c r="AD52" s="14" t="s">
        <v>371</v>
      </c>
      <c r="AE52" s="65" t="s">
        <v>687</v>
      </c>
      <c r="AF52" s="17" t="s">
        <v>364</v>
      </c>
      <c r="AG52" s="17" t="s">
        <v>685</v>
      </c>
      <c r="AH52" s="35" t="s">
        <v>690</v>
      </c>
      <c r="AI52" s="24">
        <v>2.8474506578946759</v>
      </c>
      <c r="AJ52" s="73">
        <v>6.24</v>
      </c>
      <c r="AK52" s="76">
        <v>1.937705</v>
      </c>
      <c r="AL52" s="73">
        <v>25.6</v>
      </c>
      <c r="AM52" s="73">
        <v>1.29</v>
      </c>
      <c r="AN52" s="73">
        <v>19091</v>
      </c>
      <c r="AO52" s="73">
        <v>19461</v>
      </c>
      <c r="AP52" s="73">
        <v>76580</v>
      </c>
      <c r="AQ52" s="73">
        <v>718</v>
      </c>
      <c r="AR52" s="73" t="s">
        <v>160</v>
      </c>
      <c r="AS52" s="73">
        <v>12018</v>
      </c>
      <c r="AT52" s="73">
        <v>9259</v>
      </c>
      <c r="AU52" s="73">
        <v>3314.8</v>
      </c>
      <c r="AV52" s="73">
        <v>136.1</v>
      </c>
      <c r="AW52" s="73">
        <v>278</v>
      </c>
      <c r="AX52" s="73">
        <v>1216.5999999999999</v>
      </c>
      <c r="AY52" s="73">
        <v>49022</v>
      </c>
      <c r="AZ52" s="73">
        <v>42.793999999999997</v>
      </c>
      <c r="BA52" s="73">
        <v>138.27000000000001</v>
      </c>
      <c r="BB52" s="73">
        <v>69.72</v>
      </c>
      <c r="BC52" s="73">
        <v>103</v>
      </c>
      <c r="BD52" s="73">
        <v>15.69</v>
      </c>
      <c r="BE52" s="73">
        <v>24.7</v>
      </c>
      <c r="BF52" s="73">
        <v>0.03</v>
      </c>
      <c r="BG52" s="73">
        <v>35.409999999999997</v>
      </c>
      <c r="BH52" s="73">
        <v>270.47000000000003</v>
      </c>
      <c r="BI52" s="73">
        <v>14.887</v>
      </c>
      <c r="BJ52" s="73">
        <v>125.88</v>
      </c>
      <c r="BK52" s="73">
        <v>4.6639999999999997</v>
      </c>
      <c r="BL52" s="73">
        <v>0.69</v>
      </c>
      <c r="BM52" s="73">
        <v>9.4E-2</v>
      </c>
      <c r="BN52" s="73">
        <v>9.7000000000000003E-2</v>
      </c>
      <c r="BO52" s="73">
        <v>1.07</v>
      </c>
      <c r="BP52" s="73">
        <v>0.22900000000000001</v>
      </c>
      <c r="BQ52" s="73">
        <v>2.008</v>
      </c>
      <c r="BR52" s="73">
        <v>645.53</v>
      </c>
      <c r="BS52" s="73">
        <v>33.005000000000003</v>
      </c>
      <c r="BT52" s="73">
        <v>75.759</v>
      </c>
      <c r="BU52" s="73">
        <v>8.0069999999999997</v>
      </c>
      <c r="BV52" s="73">
        <v>31.61</v>
      </c>
      <c r="BW52" s="73">
        <v>5.9459999999999997</v>
      </c>
      <c r="BX52" s="73">
        <v>1.431</v>
      </c>
      <c r="BY52" s="73">
        <v>4.1619999999999999</v>
      </c>
      <c r="BZ52" s="73">
        <v>0.57699999999999996</v>
      </c>
      <c r="CA52" s="73">
        <v>2.8690000000000002</v>
      </c>
      <c r="CB52" s="73">
        <v>0.56200000000000006</v>
      </c>
      <c r="CC52" s="73">
        <v>1.5149999999999999</v>
      </c>
      <c r="CD52" s="73">
        <v>0.217</v>
      </c>
      <c r="CE52" s="73">
        <v>1.353</v>
      </c>
      <c r="CF52" s="73">
        <v>0.20799999999999999</v>
      </c>
      <c r="CG52" s="73">
        <v>3.669</v>
      </c>
      <c r="CH52" s="73">
        <v>0.32900000000000001</v>
      </c>
      <c r="CI52" s="73">
        <v>3.2490000000000001</v>
      </c>
      <c r="CJ52" s="73">
        <v>0.19500000000000001</v>
      </c>
      <c r="CK52" s="73">
        <v>21</v>
      </c>
      <c r="CL52" s="73">
        <v>0.1</v>
      </c>
      <c r="CM52" s="73">
        <v>6.1289999999999996</v>
      </c>
      <c r="CN52" s="73">
        <v>2.13</v>
      </c>
      <c r="CP52" s="136">
        <f t="shared" si="0"/>
        <v>2.6089485033130382</v>
      </c>
      <c r="CQ52" s="136">
        <f t="shared" si="1"/>
        <v>0.80676688138080999</v>
      </c>
      <c r="CR52" s="136">
        <f t="shared" si="2"/>
        <v>22.02155832352976</v>
      </c>
      <c r="CS52" s="136">
        <f t="shared" si="3"/>
        <v>2.4469894869130386</v>
      </c>
      <c r="CT52" s="136">
        <f t="shared" si="4"/>
        <v>0.79171072542569021</v>
      </c>
      <c r="CU52" s="136">
        <f t="shared" si="5"/>
        <v>3.0796590906319117</v>
      </c>
      <c r="CV52" s="136">
        <f t="shared" si="6"/>
        <v>7.1289394772264982</v>
      </c>
      <c r="CW52" s="136">
        <f t="shared" si="7"/>
        <v>8.3539407510657053</v>
      </c>
      <c r="CX52" s="136">
        <f t="shared" si="8"/>
        <v>15.795020344451263</v>
      </c>
      <c r="CY52" s="136">
        <f t="shared" si="9"/>
        <v>14.206403913973846</v>
      </c>
      <c r="CZ52" s="136">
        <f t="shared" si="10"/>
        <v>-7.1352585143335441</v>
      </c>
      <c r="DA52" s="136">
        <f t="shared" si="11"/>
        <v>11.859447740638279</v>
      </c>
      <c r="DB52" s="22"/>
      <c r="DC52" s="141">
        <f t="shared" si="12"/>
        <v>2.0583333333333331</v>
      </c>
      <c r="DD52" s="141">
        <f t="shared" si="13"/>
        <v>5.2499999999999998E-2</v>
      </c>
      <c r="DE52" s="141">
        <f t="shared" si="14"/>
        <v>1.937705</v>
      </c>
      <c r="DF52" s="141">
        <f t="shared" si="15"/>
        <v>4.34375</v>
      </c>
      <c r="DG52" s="141">
        <f t="shared" si="19"/>
        <v>9.7000000000000003E-3</v>
      </c>
      <c r="DH52" s="141">
        <f t="shared" si="17"/>
        <v>2.7654000000000001</v>
      </c>
    </row>
    <row r="53" spans="1:112" s="28" customFormat="1">
      <c r="A53" s="38"/>
      <c r="C53" s="141"/>
      <c r="D53" s="141"/>
      <c r="E53" s="141"/>
      <c r="F53" s="362"/>
      <c r="G53" s="141"/>
      <c r="H53" s="141"/>
      <c r="I53" s="141"/>
      <c r="J53" s="141"/>
      <c r="K53" s="141"/>
      <c r="L53" s="141"/>
      <c r="O53" s="363"/>
      <c r="P53" s="363"/>
      <c r="Q53" s="363"/>
      <c r="R53" s="363"/>
      <c r="S53" s="363"/>
      <c r="T53" s="363"/>
      <c r="U53"/>
      <c r="V53" s="17" t="s">
        <v>179</v>
      </c>
      <c r="W53" s="20" t="s">
        <v>180</v>
      </c>
      <c r="X53" s="15" t="s">
        <v>343</v>
      </c>
      <c r="Y53" s="17">
        <v>0.18871499999999999</v>
      </c>
      <c r="Z53" s="17">
        <v>34.740102</v>
      </c>
      <c r="AA53" s="17" t="s">
        <v>354</v>
      </c>
      <c r="AB53" s="17" t="s">
        <v>330</v>
      </c>
      <c r="AC53" s="6" t="s">
        <v>347</v>
      </c>
      <c r="AD53" s="14" t="s">
        <v>371</v>
      </c>
      <c r="AE53" s="65" t="s">
        <v>687</v>
      </c>
      <c r="AF53" s="17" t="s">
        <v>367</v>
      </c>
      <c r="AG53" s="17" t="s">
        <v>684</v>
      </c>
      <c r="AH53" s="35" t="s">
        <v>683</v>
      </c>
      <c r="AI53" s="24">
        <v>6.003544528134479</v>
      </c>
      <c r="AJ53" s="73">
        <v>5.09</v>
      </c>
      <c r="AK53" s="76">
        <v>0.385405</v>
      </c>
      <c r="AL53" s="73">
        <v>10</v>
      </c>
      <c r="AM53" s="73">
        <v>2.37</v>
      </c>
      <c r="AN53" s="73">
        <v>1321</v>
      </c>
      <c r="AO53" s="73">
        <v>2696</v>
      </c>
      <c r="AP53" s="73">
        <v>79984</v>
      </c>
      <c r="AQ53" s="73">
        <v>702</v>
      </c>
      <c r="AR53" s="73">
        <v>215</v>
      </c>
      <c r="AS53" s="73">
        <v>9327</v>
      </c>
      <c r="AT53" s="73">
        <v>1344</v>
      </c>
      <c r="AU53" s="73">
        <v>5407.8</v>
      </c>
      <c r="AV53" s="73">
        <v>161.1</v>
      </c>
      <c r="AW53" s="73">
        <v>471.8</v>
      </c>
      <c r="AX53" s="73">
        <v>2504.8000000000002</v>
      </c>
      <c r="AY53" s="73">
        <v>70999</v>
      </c>
      <c r="AZ53" s="73">
        <v>73.376999999999995</v>
      </c>
      <c r="BA53" s="73">
        <v>136.09</v>
      </c>
      <c r="BB53" s="73">
        <v>63.42</v>
      </c>
      <c r="BC53" s="73">
        <v>113</v>
      </c>
      <c r="BD53" s="73">
        <v>18.03</v>
      </c>
      <c r="BE53" s="73">
        <v>10.6</v>
      </c>
      <c r="BF53" s="73">
        <v>0.92</v>
      </c>
      <c r="BG53" s="73">
        <v>62.08</v>
      </c>
      <c r="BH53" s="73">
        <v>35.409999999999997</v>
      </c>
      <c r="BI53" s="73">
        <v>20.288</v>
      </c>
      <c r="BJ53" s="73">
        <v>195.91</v>
      </c>
      <c r="BK53" s="73">
        <v>30.722999999999999</v>
      </c>
      <c r="BL53" s="73">
        <v>2.25</v>
      </c>
      <c r="BM53" s="73">
        <v>7.0999999999999994E-2</v>
      </c>
      <c r="BN53" s="73">
        <v>0.159</v>
      </c>
      <c r="BO53" s="73">
        <v>1.93</v>
      </c>
      <c r="BP53" s="73">
        <v>0.59199999999999997</v>
      </c>
      <c r="BQ53" s="73">
        <v>1.7529999999999999</v>
      </c>
      <c r="BR53" s="73">
        <v>396.01</v>
      </c>
      <c r="BS53" s="73">
        <v>36.026000000000003</v>
      </c>
      <c r="BT53" s="73">
        <v>109.01600000000001</v>
      </c>
      <c r="BU53" s="73">
        <v>7.3460000000000001</v>
      </c>
      <c r="BV53" s="73">
        <v>27.56</v>
      </c>
      <c r="BW53" s="73">
        <v>5.07</v>
      </c>
      <c r="BX53" s="73">
        <v>1.1060000000000001</v>
      </c>
      <c r="BY53" s="73">
        <v>3.9820000000000002</v>
      </c>
      <c r="BZ53" s="73">
        <v>0.64400000000000002</v>
      </c>
      <c r="CA53" s="73">
        <v>3.7280000000000002</v>
      </c>
      <c r="CB53" s="73">
        <v>0.745</v>
      </c>
      <c r="CC53" s="73">
        <v>2.1080000000000001</v>
      </c>
      <c r="CD53" s="73">
        <v>0.317</v>
      </c>
      <c r="CE53" s="73">
        <v>1.94</v>
      </c>
      <c r="CF53" s="73">
        <v>0.313</v>
      </c>
      <c r="CG53" s="73">
        <v>5.2439999999999998</v>
      </c>
      <c r="CH53" s="73">
        <v>1.71</v>
      </c>
      <c r="CI53" s="73">
        <v>1.4390000000000001</v>
      </c>
      <c r="CJ53" s="73">
        <v>0.55800000000000005</v>
      </c>
      <c r="CK53" s="73">
        <v>21</v>
      </c>
      <c r="CL53" s="73">
        <v>0.13</v>
      </c>
      <c r="CM53" s="73">
        <v>8.4939999999999998</v>
      </c>
      <c r="CN53" s="73">
        <v>2.31</v>
      </c>
      <c r="CP53" s="136">
        <f t="shared" si="0"/>
        <v>0.77306001824383608</v>
      </c>
      <c r="CQ53" s="136">
        <f t="shared" si="1"/>
        <v>0.55704060703742397</v>
      </c>
      <c r="CR53" s="136">
        <f t="shared" si="2"/>
        <v>3.0242419020966778</v>
      </c>
      <c r="CS53" s="136">
        <f t="shared" si="3"/>
        <v>2.8673719859075617</v>
      </c>
      <c r="CT53" s="136">
        <f t="shared" si="4"/>
        <v>0.89604683932808282</v>
      </c>
      <c r="CU53" s="136">
        <f t="shared" si="5"/>
        <v>2.0928576457076313</v>
      </c>
      <c r="CV53" s="136">
        <f t="shared" si="6"/>
        <v>5.9084927002050209</v>
      </c>
      <c r="CW53" s="136">
        <f t="shared" si="7"/>
        <v>8.3539407510657053</v>
      </c>
      <c r="CX53" s="136">
        <f t="shared" si="8"/>
        <v>13.465118589174285</v>
      </c>
      <c r="CY53" s="136">
        <f t="shared" si="9"/>
        <v>14.96949444960244</v>
      </c>
      <c r="CZ53" s="136">
        <f t="shared" si="10"/>
        <v>-6.4222884012363162</v>
      </c>
      <c r="DA53" s="136">
        <f t="shared" si="11"/>
        <v>11.836520627502708</v>
      </c>
      <c r="DB53" s="22"/>
      <c r="DC53" s="141">
        <f t="shared" si="12"/>
        <v>0.8833333333333333</v>
      </c>
      <c r="DD53" s="141">
        <f t="shared" si="13"/>
        <v>5.2499999999999998E-2</v>
      </c>
      <c r="DE53" s="141">
        <f t="shared" si="14"/>
        <v>0.385405</v>
      </c>
      <c r="DF53" s="141">
        <f t="shared" si="15"/>
        <v>7.3718750000000002</v>
      </c>
      <c r="DG53" s="141">
        <f t="shared" si="19"/>
        <v>1.5900000000000001E-2</v>
      </c>
      <c r="DH53" s="141">
        <f t="shared" si="17"/>
        <v>2.7218</v>
      </c>
    </row>
    <row r="54" spans="1:112" s="28" customFormat="1">
      <c r="A54" s="38" t="s">
        <v>906</v>
      </c>
      <c r="C54" s="141"/>
      <c r="D54" s="141"/>
      <c r="E54" s="141"/>
      <c r="F54" s="362"/>
      <c r="G54" s="141"/>
      <c r="H54" s="141"/>
      <c r="I54" s="141"/>
      <c r="J54" s="141"/>
      <c r="K54" s="141"/>
      <c r="L54" s="141"/>
      <c r="M54" s="38" t="s">
        <v>906</v>
      </c>
      <c r="N54" s="35" t="s">
        <v>880</v>
      </c>
      <c r="O54" s="363">
        <v>6.0000000000000001E-3</v>
      </c>
      <c r="P54" s="363">
        <v>7.000000000000001E-3</v>
      </c>
      <c r="Q54" s="363"/>
      <c r="R54" s="363">
        <v>1.6000000000000001E-3</v>
      </c>
      <c r="S54" s="363">
        <v>2.6666666666666666E-3</v>
      </c>
      <c r="T54" s="363">
        <v>1.6E-2</v>
      </c>
      <c r="U54"/>
      <c r="V54" s="17" t="s">
        <v>181</v>
      </c>
      <c r="W54" s="20" t="s">
        <v>182</v>
      </c>
      <c r="X54" s="15" t="s">
        <v>343</v>
      </c>
      <c r="Y54" s="17">
        <v>0.18934699999999999</v>
      </c>
      <c r="Z54" s="17">
        <v>34.740495000000003</v>
      </c>
      <c r="AA54" s="17" t="s">
        <v>354</v>
      </c>
      <c r="AB54" s="17" t="s">
        <v>330</v>
      </c>
      <c r="AC54" s="6" t="s">
        <v>347</v>
      </c>
      <c r="AD54" s="14" t="s">
        <v>371</v>
      </c>
      <c r="AE54" s="65" t="s">
        <v>687</v>
      </c>
      <c r="AF54" s="17" t="s">
        <v>361</v>
      </c>
      <c r="AG54" s="17" t="s">
        <v>685</v>
      </c>
      <c r="AH54" s="35" t="s">
        <v>690</v>
      </c>
      <c r="AI54" s="24">
        <v>2.7698373583044367</v>
      </c>
      <c r="AJ54" s="73">
        <v>6.91</v>
      </c>
      <c r="AK54" s="76">
        <v>0.16346500000000003</v>
      </c>
      <c r="AL54" s="73">
        <v>15.3</v>
      </c>
      <c r="AM54" s="73">
        <v>1.99</v>
      </c>
      <c r="AN54" s="73">
        <v>17337</v>
      </c>
      <c r="AO54" s="73">
        <v>13367</v>
      </c>
      <c r="AP54" s="73">
        <v>73565</v>
      </c>
      <c r="AQ54" s="73">
        <v>406</v>
      </c>
      <c r="AR54" s="73">
        <v>29</v>
      </c>
      <c r="AS54" s="73">
        <v>17506</v>
      </c>
      <c r="AT54" s="73">
        <v>7354</v>
      </c>
      <c r="AU54" s="73">
        <v>3526.7</v>
      </c>
      <c r="AV54" s="73">
        <v>130.6</v>
      </c>
      <c r="AW54" s="73">
        <v>241.4</v>
      </c>
      <c r="AX54" s="73">
        <v>1280.5</v>
      </c>
      <c r="AY54" s="73">
        <v>45145</v>
      </c>
      <c r="AZ54" s="73">
        <v>39.579000000000001</v>
      </c>
      <c r="BA54" s="73">
        <v>146.26</v>
      </c>
      <c r="BB54" s="73">
        <v>53.13</v>
      </c>
      <c r="BC54" s="73">
        <v>103</v>
      </c>
      <c r="BD54" s="73">
        <v>15.42</v>
      </c>
      <c r="BE54" s="73">
        <v>102.2</v>
      </c>
      <c r="BF54" s="73">
        <v>7.0000000000000007E-2</v>
      </c>
      <c r="BG54" s="73">
        <v>65.510000000000005</v>
      </c>
      <c r="BH54" s="73">
        <v>231.23</v>
      </c>
      <c r="BI54" s="73">
        <v>14.281000000000001</v>
      </c>
      <c r="BJ54" s="73">
        <v>146.16</v>
      </c>
      <c r="BK54" s="73">
        <v>5.375</v>
      </c>
      <c r="BL54" s="73">
        <v>0.75</v>
      </c>
      <c r="BM54" s="73">
        <v>0.35</v>
      </c>
      <c r="BN54" s="73">
        <v>0.14099999999999999</v>
      </c>
      <c r="BO54" s="73">
        <v>1.1200000000000001</v>
      </c>
      <c r="BP54" s="73">
        <v>0.44500000000000001</v>
      </c>
      <c r="BQ54" s="73">
        <v>1.659</v>
      </c>
      <c r="BR54" s="73">
        <v>728.73</v>
      </c>
      <c r="BS54" s="73">
        <v>34.536999999999999</v>
      </c>
      <c r="BT54" s="73">
        <v>85.941000000000003</v>
      </c>
      <c r="BU54" s="73">
        <v>8.2859999999999996</v>
      </c>
      <c r="BV54" s="73">
        <v>32.56</v>
      </c>
      <c r="BW54" s="73">
        <v>5.79</v>
      </c>
      <c r="BX54" s="73">
        <v>1.4390000000000001</v>
      </c>
      <c r="BY54" s="73">
        <v>3.8690000000000002</v>
      </c>
      <c r="BZ54" s="73">
        <v>0.51700000000000002</v>
      </c>
      <c r="CA54" s="73">
        <v>2.5979999999999999</v>
      </c>
      <c r="CB54" s="73">
        <v>0.51400000000000001</v>
      </c>
      <c r="CC54" s="73">
        <v>1.3839999999999999</v>
      </c>
      <c r="CD54" s="73">
        <v>0.20699999999999999</v>
      </c>
      <c r="CE54" s="73">
        <v>1.2410000000000001</v>
      </c>
      <c r="CF54" s="73">
        <v>0.20200000000000001</v>
      </c>
      <c r="CG54" s="73">
        <v>4.2089999999999996</v>
      </c>
      <c r="CH54" s="73">
        <v>0.34</v>
      </c>
      <c r="CI54" s="73">
        <v>4.327</v>
      </c>
      <c r="CJ54" s="73">
        <v>0.28899999999999998</v>
      </c>
      <c r="CK54" s="73">
        <v>28.6</v>
      </c>
      <c r="CL54" s="73">
        <v>0.21</v>
      </c>
      <c r="CM54" s="73">
        <v>6.9180000000000001</v>
      </c>
      <c r="CN54" s="73">
        <v>1.877</v>
      </c>
      <c r="CP54" s="136">
        <f t="shared" si="0"/>
        <v>11.721975725277375</v>
      </c>
      <c r="CQ54" s="136">
        <f t="shared" si="1"/>
        <v>1.1930981391060886</v>
      </c>
      <c r="CR54" s="136">
        <f t="shared" si="2"/>
        <v>2.0172816364569304</v>
      </c>
      <c r="CS54" s="136">
        <f t="shared" si="3"/>
        <v>2.3073099641894639</v>
      </c>
      <c r="CT54" s="136">
        <f t="shared" si="4"/>
        <v>1.2496698013471743</v>
      </c>
      <c r="CU54" s="136">
        <f t="shared" si="5"/>
        <v>3.5373792058275568</v>
      </c>
      <c r="CV54" s="136">
        <f t="shared" si="6"/>
        <v>9.1777517265794426</v>
      </c>
      <c r="CW54" s="136">
        <f t="shared" si="7"/>
        <v>8.7995665701779711</v>
      </c>
      <c r="CX54" s="136">
        <f t="shared" si="8"/>
        <v>12.227725069671141</v>
      </c>
      <c r="CY54" s="136">
        <f t="shared" si="9"/>
        <v>14.002744707118</v>
      </c>
      <c r="CZ54" s="136">
        <f t="shared" si="10"/>
        <v>-6.5956200041218773</v>
      </c>
      <c r="DA54" s="136">
        <f t="shared" si="11"/>
        <v>11.940494834268375</v>
      </c>
      <c r="DB54" s="22"/>
      <c r="DC54" s="141">
        <f t="shared" si="12"/>
        <v>8.5166666666666675</v>
      </c>
      <c r="DD54" s="141">
        <f t="shared" si="13"/>
        <v>7.1500000000000008E-2</v>
      </c>
      <c r="DE54" s="141">
        <f t="shared" si="14"/>
        <v>0.16346500000000003</v>
      </c>
      <c r="DF54" s="141">
        <f t="shared" si="15"/>
        <v>3.7718750000000001</v>
      </c>
      <c r="DG54" s="141">
        <f>BN54/1.4</f>
        <v>0.10071428571428571</v>
      </c>
      <c r="DH54" s="141">
        <f t="shared" si="17"/>
        <v>2.9251999999999998</v>
      </c>
    </row>
    <row r="55" spans="1:112" s="28" customFormat="1">
      <c r="A55" s="38" t="s">
        <v>905</v>
      </c>
      <c r="B55" s="28" t="s">
        <v>697</v>
      </c>
      <c r="C55" s="141">
        <v>0.56000000000000005</v>
      </c>
      <c r="D55" s="141">
        <v>0.12</v>
      </c>
      <c r="E55" s="141">
        <v>0.04</v>
      </c>
      <c r="F55" s="362">
        <v>0.1</v>
      </c>
      <c r="G55" s="141">
        <v>7.0000000000000007E-2</v>
      </c>
      <c r="H55" s="141">
        <v>2.21</v>
      </c>
      <c r="I55" s="141">
        <v>5.38</v>
      </c>
      <c r="J55" s="141">
        <v>2.54</v>
      </c>
      <c r="K55" s="141">
        <v>11.04</v>
      </c>
      <c r="L55" s="141">
        <v>2.06</v>
      </c>
      <c r="N55" s="35" t="s">
        <v>881</v>
      </c>
      <c r="O55" s="363">
        <v>2.21</v>
      </c>
      <c r="P55" s="363">
        <v>5.2000000000000005E-2</v>
      </c>
      <c r="Q55" s="363"/>
      <c r="R55" s="363">
        <v>9.7799999999999998E-2</v>
      </c>
      <c r="S55" s="363">
        <v>4.0666666666666663E-2</v>
      </c>
      <c r="T55" s="363">
        <v>1.61</v>
      </c>
      <c r="U55"/>
      <c r="V55" s="17" t="s">
        <v>183</v>
      </c>
      <c r="W55" s="20" t="s">
        <v>184</v>
      </c>
      <c r="X55" s="15" t="s">
        <v>343</v>
      </c>
      <c r="Y55" s="17">
        <v>0.19486300000000001</v>
      </c>
      <c r="Z55" s="17">
        <v>34.750653</v>
      </c>
      <c r="AA55" s="17" t="s">
        <v>355</v>
      </c>
      <c r="AB55" s="17" t="s">
        <v>330</v>
      </c>
      <c r="AC55" s="6" t="s">
        <v>347</v>
      </c>
      <c r="AD55" s="14" t="s">
        <v>371</v>
      </c>
      <c r="AE55" s="65" t="s">
        <v>687</v>
      </c>
      <c r="AF55" s="17" t="s">
        <v>366</v>
      </c>
      <c r="AG55" s="17" t="s">
        <v>684</v>
      </c>
      <c r="AH55" s="35" t="s">
        <v>683</v>
      </c>
      <c r="AI55" s="24">
        <v>4.2234751409533464</v>
      </c>
      <c r="AJ55" s="73">
        <v>6.78</v>
      </c>
      <c r="AK55" s="76">
        <v>6.8764050000000001</v>
      </c>
      <c r="AL55" s="73">
        <v>8.1</v>
      </c>
      <c r="AM55" s="73">
        <v>1.67</v>
      </c>
      <c r="AN55" s="73">
        <v>5709</v>
      </c>
      <c r="AO55" s="73">
        <v>2606</v>
      </c>
      <c r="AP55" s="73">
        <v>49617</v>
      </c>
      <c r="AQ55" s="73">
        <v>459</v>
      </c>
      <c r="AR55" s="73">
        <v>170</v>
      </c>
      <c r="AS55" s="73">
        <v>16824</v>
      </c>
      <c r="AT55" s="73">
        <v>4107</v>
      </c>
      <c r="AU55" s="73">
        <v>2236.9</v>
      </c>
      <c r="AV55" s="73">
        <v>90.3</v>
      </c>
      <c r="AW55" s="73">
        <v>106.8</v>
      </c>
      <c r="AX55" s="73">
        <v>1524</v>
      </c>
      <c r="AY55" s="73">
        <v>39675</v>
      </c>
      <c r="AZ55" s="73">
        <v>30.815000000000001</v>
      </c>
      <c r="BA55" s="73">
        <v>25.82</v>
      </c>
      <c r="BB55" s="73">
        <v>36.86</v>
      </c>
      <c r="BC55" s="73">
        <v>74</v>
      </c>
      <c r="BD55" s="73">
        <v>12.48</v>
      </c>
      <c r="BE55" s="73">
        <v>190.9</v>
      </c>
      <c r="BF55" s="73">
        <v>0.44</v>
      </c>
      <c r="BG55" s="73">
        <v>69.48</v>
      </c>
      <c r="BH55" s="73">
        <v>99.67</v>
      </c>
      <c r="BI55" s="73">
        <v>13.788</v>
      </c>
      <c r="BJ55" s="73">
        <v>128.54</v>
      </c>
      <c r="BK55" s="73">
        <v>21.285</v>
      </c>
      <c r="BL55" s="73">
        <v>1.71</v>
      </c>
      <c r="BM55" s="73">
        <v>1.407</v>
      </c>
      <c r="BN55" s="73">
        <v>0.308</v>
      </c>
      <c r="BO55" s="73">
        <v>1.34</v>
      </c>
      <c r="BP55" s="73">
        <v>1.4430000000000001</v>
      </c>
      <c r="BQ55" s="73">
        <v>2.0150000000000001</v>
      </c>
      <c r="BR55" s="73">
        <v>483.83</v>
      </c>
      <c r="BS55" s="73">
        <v>32.28</v>
      </c>
      <c r="BT55" s="73">
        <v>72.456000000000003</v>
      </c>
      <c r="BU55" s="73">
        <v>6.61</v>
      </c>
      <c r="BV55" s="73">
        <v>23.88</v>
      </c>
      <c r="BW55" s="73">
        <v>4.0419999999999998</v>
      </c>
      <c r="BX55" s="73">
        <v>0.87</v>
      </c>
      <c r="BY55" s="73">
        <v>3.0960000000000001</v>
      </c>
      <c r="BZ55" s="73">
        <v>0.45900000000000002</v>
      </c>
      <c r="CA55" s="73">
        <v>2.5169999999999999</v>
      </c>
      <c r="CB55" s="73">
        <v>0.51400000000000001</v>
      </c>
      <c r="CC55" s="73">
        <v>1.478</v>
      </c>
      <c r="CD55" s="73">
        <v>0.22700000000000001</v>
      </c>
      <c r="CE55" s="73">
        <v>1.4359999999999999</v>
      </c>
      <c r="CF55" s="73">
        <v>0.214</v>
      </c>
      <c r="CG55" s="73">
        <v>3.4180000000000001</v>
      </c>
      <c r="CH55" s="73">
        <v>1.2909999999999999</v>
      </c>
      <c r="CI55" s="73">
        <v>8.7059999999999995</v>
      </c>
      <c r="CJ55" s="73">
        <v>0.34300000000000003</v>
      </c>
      <c r="CK55" s="73">
        <v>50.4</v>
      </c>
      <c r="CL55" s="73">
        <v>0.25</v>
      </c>
      <c r="CM55" s="73">
        <v>8.09</v>
      </c>
      <c r="CN55" s="73">
        <v>1.954</v>
      </c>
      <c r="CP55" s="136">
        <f t="shared" si="0"/>
        <v>24.914293265132141</v>
      </c>
      <c r="CQ55" s="136">
        <f t="shared" si="1"/>
        <v>2.392397795632518</v>
      </c>
      <c r="CR55" s="136">
        <f t="shared" si="2"/>
        <v>96.559703975736397</v>
      </c>
      <c r="CS55" s="136">
        <f t="shared" si="3"/>
        <v>1.1615359353571295</v>
      </c>
      <c r="CT55" s="136">
        <f t="shared" si="4"/>
        <v>3.1061298046628862</v>
      </c>
      <c r="CU55" s="136">
        <f t="shared" si="5"/>
        <v>0.71056695924793301</v>
      </c>
      <c r="CV55" s="136">
        <f t="shared" si="6"/>
        <v>10.079173633045759</v>
      </c>
      <c r="CW55" s="136">
        <f t="shared" si="7"/>
        <v>9.6169751568994997</v>
      </c>
      <c r="CX55" s="136">
        <f t="shared" si="8"/>
        <v>17.62232591350304</v>
      </c>
      <c r="CY55" s="136">
        <f t="shared" si="9"/>
        <v>12.82623067805053</v>
      </c>
      <c r="CZ55" s="136">
        <f t="shared" si="10"/>
        <v>-5.4683848158257691</v>
      </c>
      <c r="DA55" s="136">
        <f t="shared" si="11"/>
        <v>9.4385204728876655</v>
      </c>
      <c r="DB55" s="22"/>
      <c r="DC55" s="141">
        <f t="shared" si="12"/>
        <v>15.908333333333333</v>
      </c>
      <c r="DD55" s="141">
        <f t="shared" si="13"/>
        <v>0.126</v>
      </c>
      <c r="DE55" s="141">
        <f t="shared" si="14"/>
        <v>6.8764050000000001</v>
      </c>
      <c r="DF55" s="141">
        <f t="shared" si="15"/>
        <v>1.66875</v>
      </c>
      <c r="DG55" s="141">
        <f t="shared" si="19"/>
        <v>3.0800000000000001E-2</v>
      </c>
      <c r="DH55" s="141">
        <f t="shared" si="17"/>
        <v>0.51639999999999997</v>
      </c>
    </row>
    <row r="56" spans="1:112" s="28" customFormat="1">
      <c r="A56" s="38"/>
      <c r="B56" s="28" t="s">
        <v>698</v>
      </c>
      <c r="C56" s="141">
        <v>46519.85</v>
      </c>
      <c r="D56" s="141">
        <v>14</v>
      </c>
      <c r="E56" s="141">
        <v>75.290000000000006</v>
      </c>
      <c r="F56" s="362">
        <v>343.59</v>
      </c>
      <c r="G56" s="141">
        <v>903.19</v>
      </c>
      <c r="H56" s="141">
        <v>8.2899999999999991</v>
      </c>
      <c r="I56" s="141">
        <v>7.23</v>
      </c>
      <c r="J56" s="141">
        <v>5.97</v>
      </c>
      <c r="K56" s="141">
        <v>14.19</v>
      </c>
      <c r="L56" s="141">
        <v>6.37</v>
      </c>
      <c r="N56" s="35" t="s">
        <v>882</v>
      </c>
      <c r="O56" s="363">
        <v>0.4597916666666666</v>
      </c>
      <c r="P56" s="363">
        <v>1.965217391304348E-2</v>
      </c>
      <c r="Q56" s="363"/>
      <c r="R56" s="363">
        <v>1.6008333333333336E-2</v>
      </c>
      <c r="S56" s="363">
        <v>1.5652173913043476E-2</v>
      </c>
      <c r="T56" s="363">
        <v>0.17554166666666668</v>
      </c>
      <c r="U56"/>
      <c r="V56" s="17" t="s">
        <v>185</v>
      </c>
      <c r="W56" s="20" t="s">
        <v>186</v>
      </c>
      <c r="X56" s="15" t="s">
        <v>343</v>
      </c>
      <c r="Y56" s="17">
        <v>0.19508500000000001</v>
      </c>
      <c r="Z56" s="17">
        <v>34.751396</v>
      </c>
      <c r="AA56" s="17" t="s">
        <v>355</v>
      </c>
      <c r="AB56" s="17" t="s">
        <v>330</v>
      </c>
      <c r="AC56" s="6" t="s">
        <v>347</v>
      </c>
      <c r="AD56" s="14" t="s">
        <v>371</v>
      </c>
      <c r="AE56" s="65" t="s">
        <v>687</v>
      </c>
      <c r="AF56" s="17" t="s">
        <v>367</v>
      </c>
      <c r="AG56" s="17" t="s">
        <v>684</v>
      </c>
      <c r="AH56" s="35" t="s">
        <v>683</v>
      </c>
      <c r="AI56" s="24">
        <v>8.1114808652245731</v>
      </c>
      <c r="AJ56" s="73">
        <v>5.49</v>
      </c>
      <c r="AK56" s="76">
        <v>16.768075</v>
      </c>
      <c r="AL56" s="73">
        <v>13.4</v>
      </c>
      <c r="AM56" s="73">
        <v>2.48</v>
      </c>
      <c r="AN56" s="73">
        <v>1137</v>
      </c>
      <c r="AO56" s="73">
        <v>2880</v>
      </c>
      <c r="AP56" s="73">
        <v>74130</v>
      </c>
      <c r="AQ56" s="73">
        <v>838</v>
      </c>
      <c r="AR56" s="73">
        <v>314</v>
      </c>
      <c r="AS56" s="73">
        <v>13693</v>
      </c>
      <c r="AT56" s="73">
        <v>2335</v>
      </c>
      <c r="AU56" s="73">
        <v>4126.6000000000004</v>
      </c>
      <c r="AV56" s="73">
        <v>149.80000000000001</v>
      </c>
      <c r="AW56" s="73">
        <v>102.1</v>
      </c>
      <c r="AX56" s="73">
        <v>2400.4</v>
      </c>
      <c r="AY56" s="73">
        <v>59908</v>
      </c>
      <c r="AZ56" s="73">
        <v>53.79</v>
      </c>
      <c r="BA56" s="73">
        <v>44.34</v>
      </c>
      <c r="BB56" s="73">
        <v>65.62</v>
      </c>
      <c r="BC56" s="73">
        <v>103</v>
      </c>
      <c r="BD56" s="73">
        <v>17.079999999999998</v>
      </c>
      <c r="BE56" s="73">
        <v>103.2</v>
      </c>
      <c r="BF56" s="73">
        <v>1</v>
      </c>
      <c r="BG56" s="73">
        <v>85.56</v>
      </c>
      <c r="BH56" s="73">
        <v>37.909999999999997</v>
      </c>
      <c r="BI56" s="73">
        <v>26.234999999999999</v>
      </c>
      <c r="BJ56" s="73">
        <v>249.9</v>
      </c>
      <c r="BK56" s="73">
        <v>33.438000000000002</v>
      </c>
      <c r="BL56" s="73">
        <v>2.2599999999999998</v>
      </c>
      <c r="BM56" s="73">
        <v>0.13500000000000001</v>
      </c>
      <c r="BN56" s="73">
        <v>0.26300000000000001</v>
      </c>
      <c r="BO56" s="73">
        <v>1.79</v>
      </c>
      <c r="BP56" s="73">
        <v>1.635</v>
      </c>
      <c r="BQ56" s="73">
        <v>2.7250000000000001</v>
      </c>
      <c r="BR56" s="73">
        <v>481.64</v>
      </c>
      <c r="BS56" s="73">
        <v>48.177999999999997</v>
      </c>
      <c r="BT56" s="73">
        <v>100.02500000000001</v>
      </c>
      <c r="BU56" s="73">
        <v>9.3330000000000002</v>
      </c>
      <c r="BV56" s="73">
        <v>34.979999999999997</v>
      </c>
      <c r="BW56" s="73">
        <v>6.0910000000000002</v>
      </c>
      <c r="BX56" s="73">
        <v>1.3089999999999999</v>
      </c>
      <c r="BY56" s="73">
        <v>5.0369999999999999</v>
      </c>
      <c r="BZ56" s="73">
        <v>0.79700000000000004</v>
      </c>
      <c r="CA56" s="73">
        <v>4.4489999999999998</v>
      </c>
      <c r="CB56" s="73">
        <v>0.99</v>
      </c>
      <c r="CC56" s="73">
        <v>2.6930000000000001</v>
      </c>
      <c r="CD56" s="73">
        <v>0.41199999999999998</v>
      </c>
      <c r="CE56" s="73">
        <v>2.6</v>
      </c>
      <c r="CF56" s="73">
        <v>0.38500000000000001</v>
      </c>
      <c r="CG56" s="73">
        <v>6.3979999999999997</v>
      </c>
      <c r="CH56" s="73">
        <v>1.851</v>
      </c>
      <c r="CI56" s="73">
        <v>3.6520000000000001</v>
      </c>
      <c r="CJ56" s="73">
        <v>0.40500000000000003</v>
      </c>
      <c r="CK56" s="73">
        <v>38.799999999999997</v>
      </c>
      <c r="CL56" s="73">
        <v>0.24</v>
      </c>
      <c r="CM56" s="73">
        <v>9.234</v>
      </c>
      <c r="CN56" s="73">
        <v>2.5990000000000002</v>
      </c>
      <c r="CP56" s="136">
        <f t="shared" si="0"/>
        <v>8.9197864176050334</v>
      </c>
      <c r="CQ56" s="136">
        <f t="shared" si="1"/>
        <v>1.2197384013353352</v>
      </c>
      <c r="CR56" s="136">
        <f t="shared" si="2"/>
        <v>155.93722462126524</v>
      </c>
      <c r="CS56" s="136">
        <f t="shared" si="3"/>
        <v>0.735392597898477</v>
      </c>
      <c r="CT56" s="136">
        <f t="shared" si="4"/>
        <v>1.7565347548058539</v>
      </c>
      <c r="CU56" s="136">
        <f t="shared" si="5"/>
        <v>0.8081213384379492</v>
      </c>
      <c r="CV56" s="136">
        <f t="shared" si="6"/>
        <v>9.1917995010650753</v>
      </c>
      <c r="CW56" s="136">
        <f t="shared" si="7"/>
        <v>9.2396080755867089</v>
      </c>
      <c r="CX56" s="136">
        <f t="shared" si="8"/>
        <v>18.90831656545129</v>
      </c>
      <c r="CY56" s="136">
        <f t="shared" si="9"/>
        <v>12.761301897240779</v>
      </c>
      <c r="CZ56" s="136">
        <f t="shared" si="10"/>
        <v>-5.6962523672283689</v>
      </c>
      <c r="DA56" s="136">
        <f t="shared" si="11"/>
        <v>10.218640242447782</v>
      </c>
      <c r="DB56" s="22"/>
      <c r="DC56" s="141">
        <f t="shared" si="12"/>
        <v>8.6</v>
      </c>
      <c r="DD56" s="141">
        <f t="shared" si="13"/>
        <v>9.6999999999999989E-2</v>
      </c>
      <c r="DE56" s="141">
        <f t="shared" si="14"/>
        <v>16.768075</v>
      </c>
      <c r="DF56" s="141">
        <f t="shared" si="15"/>
        <v>1.5953124999999999</v>
      </c>
      <c r="DG56" s="141">
        <f t="shared" si="19"/>
        <v>2.63E-2</v>
      </c>
      <c r="DH56" s="141">
        <f t="shared" si="17"/>
        <v>0.88680000000000003</v>
      </c>
    </row>
    <row r="57" spans="1:112" s="28" customFormat="1">
      <c r="A57" s="38"/>
      <c r="B57" s="28" t="s">
        <v>903</v>
      </c>
      <c r="C57" s="141">
        <v>6832.1505458603888</v>
      </c>
      <c r="D57" s="141">
        <v>4.0170556006493507</v>
      </c>
      <c r="E57" s="141">
        <v>10.985476866883115</v>
      </c>
      <c r="F57" s="362">
        <v>44.639492694805192</v>
      </c>
      <c r="G57" s="141">
        <v>124.68925933441562</v>
      </c>
      <c r="H57" s="141">
        <v>3.9926826298701292</v>
      </c>
      <c r="I57" s="141">
        <v>5.6474797077922076</v>
      </c>
      <c r="J57" s="141">
        <v>3.553569399350649</v>
      </c>
      <c r="K57" s="141">
        <v>11.328309659090907</v>
      </c>
      <c r="L57" s="141">
        <v>2.7080215097402598</v>
      </c>
      <c r="M57" s="38" t="s">
        <v>1170</v>
      </c>
      <c r="N57" s="38"/>
      <c r="O57"/>
      <c r="P57"/>
      <c r="Q57"/>
      <c r="R57"/>
      <c r="S57"/>
      <c r="T57"/>
      <c r="U57"/>
      <c r="V57" s="17" t="s">
        <v>187</v>
      </c>
      <c r="W57" s="20" t="s">
        <v>188</v>
      </c>
      <c r="X57" s="15" t="s">
        <v>343</v>
      </c>
      <c r="Y57" s="17">
        <v>0.19523199999999999</v>
      </c>
      <c r="Z57" s="17">
        <v>34.751345000000001</v>
      </c>
      <c r="AA57" s="17" t="s">
        <v>355</v>
      </c>
      <c r="AB57" s="17" t="s">
        <v>330</v>
      </c>
      <c r="AC57" s="6" t="s">
        <v>347</v>
      </c>
      <c r="AD57" s="14" t="s">
        <v>371</v>
      </c>
      <c r="AE57" s="65" t="s">
        <v>687</v>
      </c>
      <c r="AF57" s="17" t="s">
        <v>361</v>
      </c>
      <c r="AG57" s="17" t="s">
        <v>685</v>
      </c>
      <c r="AH57" s="35" t="s">
        <v>690</v>
      </c>
      <c r="AI57" s="24">
        <v>3.0004559963521675</v>
      </c>
      <c r="AJ57" s="73">
        <v>6.25</v>
      </c>
      <c r="AK57" s="76">
        <v>0.17497499999999999</v>
      </c>
      <c r="AL57" s="73">
        <v>8.9</v>
      </c>
      <c r="AM57" s="73">
        <v>3.27</v>
      </c>
      <c r="AN57" s="73">
        <v>773</v>
      </c>
      <c r="AO57" s="73">
        <v>4465</v>
      </c>
      <c r="AP57" s="73">
        <v>80232</v>
      </c>
      <c r="AQ57" s="73">
        <v>650</v>
      </c>
      <c r="AR57" s="73">
        <v>84</v>
      </c>
      <c r="AS57" s="73">
        <v>24725</v>
      </c>
      <c r="AT57" s="73">
        <v>1602</v>
      </c>
      <c r="AU57" s="73">
        <v>1287.5</v>
      </c>
      <c r="AV57" s="73">
        <v>158.30000000000001</v>
      </c>
      <c r="AW57" s="73">
        <v>101.1</v>
      </c>
      <c r="AX57" s="73">
        <v>1253</v>
      </c>
      <c r="AY57" s="73">
        <v>63987</v>
      </c>
      <c r="AZ57" s="73">
        <v>37.814999999999998</v>
      </c>
      <c r="BA57" s="73">
        <v>46.71</v>
      </c>
      <c r="BB57" s="73">
        <v>98.65</v>
      </c>
      <c r="BC57" s="73">
        <v>209</v>
      </c>
      <c r="BD57" s="73">
        <v>16.71</v>
      </c>
      <c r="BE57" s="73">
        <v>417.1</v>
      </c>
      <c r="BF57" s="73">
        <v>0.26</v>
      </c>
      <c r="BG57" s="73">
        <v>99.42</v>
      </c>
      <c r="BH57" s="73">
        <v>30.57</v>
      </c>
      <c r="BI57" s="73">
        <v>16.321000000000002</v>
      </c>
      <c r="BJ57" s="73">
        <v>122.93</v>
      </c>
      <c r="BK57" s="73">
        <v>7.37</v>
      </c>
      <c r="BL57" s="73">
        <v>2.34</v>
      </c>
      <c r="BM57" s="73">
        <v>1.0249999999999999</v>
      </c>
      <c r="BN57" s="73">
        <v>0.68400000000000005</v>
      </c>
      <c r="BO57" s="73">
        <v>1.17</v>
      </c>
      <c r="BP57" s="73">
        <v>2.6850000000000001</v>
      </c>
      <c r="BQ57" s="73">
        <v>3.6669999999999998</v>
      </c>
      <c r="BR57" s="73">
        <v>614.39</v>
      </c>
      <c r="BS57" s="73">
        <v>28.853000000000002</v>
      </c>
      <c r="BT57" s="73">
        <v>71.22</v>
      </c>
      <c r="BU57" s="73">
        <v>6.3239999999999998</v>
      </c>
      <c r="BV57" s="73">
        <v>24.38</v>
      </c>
      <c r="BW57" s="73">
        <v>4.2489999999999997</v>
      </c>
      <c r="BX57" s="73">
        <v>1.1060000000000001</v>
      </c>
      <c r="BY57" s="73">
        <v>3.3820000000000001</v>
      </c>
      <c r="BZ57" s="73">
        <v>0.52300000000000002</v>
      </c>
      <c r="CA57" s="73">
        <v>2.87</v>
      </c>
      <c r="CB57" s="73">
        <v>0.59599999999999997</v>
      </c>
      <c r="CC57" s="73">
        <v>1.754</v>
      </c>
      <c r="CD57" s="73">
        <v>0.26100000000000001</v>
      </c>
      <c r="CE57" s="73">
        <v>1.7090000000000001</v>
      </c>
      <c r="CF57" s="73">
        <v>0.26100000000000001</v>
      </c>
      <c r="CG57" s="73">
        <v>3.3809999999999998</v>
      </c>
      <c r="CH57" s="73">
        <v>0.44</v>
      </c>
      <c r="CI57" s="73">
        <v>7.2089999999999996</v>
      </c>
      <c r="CJ57" s="73">
        <v>0.502</v>
      </c>
      <c r="CK57" s="73">
        <v>196.9</v>
      </c>
      <c r="CL57" s="73">
        <v>0.48</v>
      </c>
      <c r="CM57" s="73">
        <v>5.5069999999999997</v>
      </c>
      <c r="CN57" s="73">
        <v>2.198</v>
      </c>
      <c r="CP57" s="136">
        <f t="shared" si="0"/>
        <v>33.752661202321427</v>
      </c>
      <c r="CQ57" s="136">
        <f t="shared" si="1"/>
        <v>5.7952711384283848</v>
      </c>
      <c r="CR57" s="136">
        <f t="shared" si="2"/>
        <v>1.5234761750952972</v>
      </c>
      <c r="CS57" s="136">
        <f t="shared" si="3"/>
        <v>0.68176976895122998</v>
      </c>
      <c r="CT57" s="136">
        <f t="shared" si="4"/>
        <v>4.2771075658834112</v>
      </c>
      <c r="CU57" s="136">
        <f t="shared" si="5"/>
        <v>0.79704680481623968</v>
      </c>
      <c r="CV57" s="136">
        <f t="shared" si="6"/>
        <v>11.206749842531046</v>
      </c>
      <c r="CW57" s="136">
        <f t="shared" si="7"/>
        <v>11.582942629301135</v>
      </c>
      <c r="CX57" s="136">
        <f t="shared" si="8"/>
        <v>12.325892108852178</v>
      </c>
      <c r="CY57" s="136">
        <f t="shared" si="9"/>
        <v>12.74710202826599</v>
      </c>
      <c r="CZ57" s="136">
        <f t="shared" si="10"/>
        <v>-4.3173188416347728</v>
      </c>
      <c r="DA57" s="136">
        <f t="shared" si="11"/>
        <v>10.293762917380668</v>
      </c>
      <c r="DB57" s="22"/>
      <c r="DC57" s="141">
        <f t="shared" si="12"/>
        <v>34.758333333333333</v>
      </c>
      <c r="DD57" s="141">
        <f t="shared" si="13"/>
        <v>0.49225000000000002</v>
      </c>
      <c r="DE57" s="141">
        <f t="shared" si="14"/>
        <v>0.17497499999999999</v>
      </c>
      <c r="DF57" s="141">
        <f t="shared" si="15"/>
        <v>1.5796874999999999</v>
      </c>
      <c r="DG57" s="141">
        <f t="shared" si="19"/>
        <v>6.8400000000000002E-2</v>
      </c>
      <c r="DH57" s="141">
        <f t="shared" si="17"/>
        <v>0.93420000000000003</v>
      </c>
    </row>
    <row r="58" spans="1:112" s="28" customFormat="1">
      <c r="A58" s="38"/>
      <c r="C58" s="141"/>
      <c r="D58" s="141"/>
      <c r="E58" s="141"/>
      <c r="F58" s="362"/>
      <c r="G58" s="141"/>
      <c r="H58" s="141"/>
      <c r="I58" s="141"/>
      <c r="J58" s="141"/>
      <c r="K58" s="141"/>
      <c r="L58" s="141"/>
      <c r="N58" s="35" t="s">
        <v>880</v>
      </c>
      <c r="O58" s="363">
        <v>6.0000000000000001E-3</v>
      </c>
      <c r="P58" s="363">
        <v>5.5000000000000003E-4</v>
      </c>
      <c r="Q58" s="363"/>
      <c r="R58" s="363">
        <v>1.6000000000000001E-3</v>
      </c>
      <c r="S58" s="363">
        <v>1.4E-3</v>
      </c>
      <c r="T58" s="363">
        <v>1.6E-2</v>
      </c>
      <c r="V58" s="17" t="s">
        <v>189</v>
      </c>
      <c r="W58" s="20" t="s">
        <v>190</v>
      </c>
      <c r="X58" s="15" t="s">
        <v>343</v>
      </c>
      <c r="Y58" s="17">
        <v>0.19523199999999999</v>
      </c>
      <c r="Z58" s="17">
        <v>34.751345000000001</v>
      </c>
      <c r="AA58" s="17" t="s">
        <v>355</v>
      </c>
      <c r="AB58" s="17" t="s">
        <v>330</v>
      </c>
      <c r="AC58" s="6" t="s">
        <v>347</v>
      </c>
      <c r="AD58" s="14" t="s">
        <v>371</v>
      </c>
      <c r="AE58" s="65" t="s">
        <v>687</v>
      </c>
      <c r="AF58" s="17" t="s">
        <v>364</v>
      </c>
      <c r="AG58" s="17" t="s">
        <v>685</v>
      </c>
      <c r="AH58" s="35" t="s">
        <v>690</v>
      </c>
      <c r="AI58" s="24">
        <v>2.2415827207549928</v>
      </c>
      <c r="AJ58" s="73">
        <v>6.76</v>
      </c>
      <c r="AK58" s="76">
        <v>1.7446950000000001</v>
      </c>
      <c r="AL58" s="73">
        <v>20.2</v>
      </c>
      <c r="AM58" s="73">
        <v>1.91</v>
      </c>
      <c r="AN58" s="73">
        <v>3113</v>
      </c>
      <c r="AO58" s="73">
        <v>12639</v>
      </c>
      <c r="AP58" s="73">
        <v>68224</v>
      </c>
      <c r="AQ58" s="73">
        <v>1034</v>
      </c>
      <c r="AR58" s="73">
        <v>44</v>
      </c>
      <c r="AS58" s="73">
        <v>21795</v>
      </c>
      <c r="AT58" s="73">
        <v>5365</v>
      </c>
      <c r="AU58" s="73">
        <v>944.1</v>
      </c>
      <c r="AV58" s="73">
        <v>136.30000000000001</v>
      </c>
      <c r="AW58" s="73">
        <v>179.7</v>
      </c>
      <c r="AX58" s="73">
        <v>1518.2</v>
      </c>
      <c r="AY58" s="73">
        <v>55524</v>
      </c>
      <c r="AZ58" s="73">
        <v>53.372</v>
      </c>
      <c r="BA58" s="73">
        <v>94.92</v>
      </c>
      <c r="BB58" s="73">
        <v>85.97</v>
      </c>
      <c r="BC58" s="73">
        <v>318</v>
      </c>
      <c r="BD58" s="73">
        <v>14.22</v>
      </c>
      <c r="BE58" s="73">
        <v>424.9</v>
      </c>
      <c r="BF58" s="73">
        <v>0.1</v>
      </c>
      <c r="BG58" s="73">
        <v>84.21</v>
      </c>
      <c r="BH58" s="73">
        <v>64.599999999999994</v>
      </c>
      <c r="BI58" s="73">
        <v>12.32</v>
      </c>
      <c r="BJ58" s="73">
        <v>112.5</v>
      </c>
      <c r="BK58" s="73">
        <v>1.7350000000000001</v>
      </c>
      <c r="BL58" s="73">
        <v>2.17</v>
      </c>
      <c r="BM58" s="73">
        <v>0.86799999999999999</v>
      </c>
      <c r="BN58" s="73">
        <v>1.3129999999999999</v>
      </c>
      <c r="BO58" s="73">
        <v>0.62</v>
      </c>
      <c r="BP58" s="73">
        <v>2.7330000000000001</v>
      </c>
      <c r="BQ58" s="73">
        <v>3.5870000000000002</v>
      </c>
      <c r="BR58" s="73">
        <v>579.57000000000005</v>
      </c>
      <c r="BS58" s="73">
        <v>38.347000000000001</v>
      </c>
      <c r="BT58" s="73">
        <v>87.099000000000004</v>
      </c>
      <c r="BU58" s="73">
        <v>9.1059999999999999</v>
      </c>
      <c r="BV58" s="73">
        <v>35.81</v>
      </c>
      <c r="BW58" s="73">
        <v>6.07</v>
      </c>
      <c r="BX58" s="73">
        <v>1.6519999999999999</v>
      </c>
      <c r="BY58" s="73">
        <v>4.0170000000000003</v>
      </c>
      <c r="BZ58" s="73">
        <v>0.52400000000000002</v>
      </c>
      <c r="CA58" s="73">
        <v>2.492</v>
      </c>
      <c r="CB58" s="73">
        <v>0.46100000000000002</v>
      </c>
      <c r="CC58" s="73">
        <v>1.238</v>
      </c>
      <c r="CD58" s="73">
        <v>0.17499999999999999</v>
      </c>
      <c r="CE58" s="73">
        <v>1.103</v>
      </c>
      <c r="CF58" s="73">
        <v>0.16900000000000001</v>
      </c>
      <c r="CG58" s="73">
        <v>2.8260000000000001</v>
      </c>
      <c r="CH58" s="73">
        <v>9.9000000000000005E-2</v>
      </c>
      <c r="CI58" s="73">
        <v>13.941000000000001</v>
      </c>
      <c r="CJ58" s="73">
        <v>0.41299999999999998</v>
      </c>
      <c r="CK58" s="73">
        <v>258.89999999999998</v>
      </c>
      <c r="CL58" s="73">
        <v>0.43</v>
      </c>
      <c r="CM58" s="73">
        <v>4.13</v>
      </c>
      <c r="CN58" s="73">
        <v>2.016</v>
      </c>
      <c r="CP58" s="136">
        <f t="shared" si="0"/>
        <v>39.62466146065082</v>
      </c>
      <c r="CQ58" s="136">
        <f t="shared" si="1"/>
        <v>8.7815483623452941</v>
      </c>
      <c r="CR58" s="136">
        <f t="shared" si="2"/>
        <v>17.506131425719431</v>
      </c>
      <c r="CS58" s="136">
        <f t="shared" si="3"/>
        <v>1.3965151926882704</v>
      </c>
      <c r="CT58" s="136">
        <f t="shared" si="4"/>
        <v>9.4617136488070681</v>
      </c>
      <c r="CU58" s="136">
        <f t="shared" si="5"/>
        <v>1.8665631634709967</v>
      </c>
      <c r="CV58" s="136">
        <f t="shared" si="6"/>
        <v>11.233479873955106</v>
      </c>
      <c r="CW58" s="136">
        <f t="shared" si="7"/>
        <v>11.977874483299694</v>
      </c>
      <c r="CX58" s="136">
        <f t="shared" si="8"/>
        <v>15.64364624849418</v>
      </c>
      <c r="CY58" s="136">
        <f t="shared" si="9"/>
        <v>13.576909439872919</v>
      </c>
      <c r="CZ58" s="136">
        <f t="shared" si="10"/>
        <v>-3.3765201556277842</v>
      </c>
      <c r="DA58" s="136">
        <f t="shared" si="11"/>
        <v>11.316743572774422</v>
      </c>
      <c r="DB58" s="22"/>
      <c r="DC58" s="141">
        <f t="shared" si="12"/>
        <v>35.408333333333331</v>
      </c>
      <c r="DD58" s="141">
        <f t="shared" si="13"/>
        <v>0.64724999999999999</v>
      </c>
      <c r="DE58" s="141">
        <f t="shared" si="14"/>
        <v>1.7446950000000001</v>
      </c>
      <c r="DF58" s="141">
        <f t="shared" si="15"/>
        <v>2.8078124999999998</v>
      </c>
      <c r="DG58" s="141">
        <f t="shared" si="19"/>
        <v>0.1313</v>
      </c>
      <c r="DH58" s="141">
        <f t="shared" si="17"/>
        <v>1.8984000000000001</v>
      </c>
    </row>
    <row r="59" spans="1:112" s="28" customFormat="1">
      <c r="A59" s="38" t="s">
        <v>907</v>
      </c>
      <c r="B59" s="28" t="s">
        <v>697</v>
      </c>
      <c r="C59" s="141">
        <v>0</v>
      </c>
      <c r="D59" s="141">
        <v>0.01</v>
      </c>
      <c r="E59" s="141">
        <v>0</v>
      </c>
      <c r="F59" s="362">
        <v>0.01</v>
      </c>
      <c r="G59" s="141">
        <v>0</v>
      </c>
      <c r="H59" s="141">
        <v>0.19</v>
      </c>
      <c r="I59" s="141">
        <v>4.92</v>
      </c>
      <c r="J59" s="141">
        <v>0.03</v>
      </c>
      <c r="K59" s="141">
        <v>10.61</v>
      </c>
      <c r="L59" s="141">
        <v>0.38</v>
      </c>
      <c r="N59" s="35" t="s">
        <v>881</v>
      </c>
      <c r="O59" s="363">
        <v>43.197000000000003</v>
      </c>
      <c r="P59" s="363">
        <v>5.2000000000000005E-2</v>
      </c>
      <c r="Q59" s="363"/>
      <c r="R59" s="363">
        <v>0.60204081632653061</v>
      </c>
      <c r="S59" s="363">
        <v>0.29100000000000004</v>
      </c>
      <c r="T59" s="363">
        <v>3.1144285714285713</v>
      </c>
      <c r="V59" s="17" t="s">
        <v>191</v>
      </c>
      <c r="W59" s="20" t="s">
        <v>192</v>
      </c>
      <c r="X59" s="15" t="s">
        <v>343</v>
      </c>
      <c r="Y59" s="17">
        <v>0.19523199999999999</v>
      </c>
      <c r="Z59" s="17">
        <v>34.751345000000001</v>
      </c>
      <c r="AA59" s="17" t="s">
        <v>355</v>
      </c>
      <c r="AB59" s="17" t="s">
        <v>330</v>
      </c>
      <c r="AC59" s="6" t="s">
        <v>347</v>
      </c>
      <c r="AD59" s="14" t="s">
        <v>371</v>
      </c>
      <c r="AE59" s="65" t="s">
        <v>687</v>
      </c>
      <c r="AF59" s="17" t="s">
        <v>365</v>
      </c>
      <c r="AG59" s="17" t="s">
        <v>685</v>
      </c>
      <c r="AH59" s="35" t="s">
        <v>691</v>
      </c>
      <c r="AI59" s="24">
        <v>2.6552053486150178</v>
      </c>
      <c r="AJ59" s="73">
        <v>6.7</v>
      </c>
      <c r="AK59" s="76">
        <v>3.4227149999999997</v>
      </c>
      <c r="AL59" s="73">
        <v>8.6</v>
      </c>
      <c r="AM59" s="73">
        <v>1.27</v>
      </c>
      <c r="AN59" s="73">
        <v>1249</v>
      </c>
      <c r="AO59" s="73">
        <v>6269</v>
      </c>
      <c r="AP59" s="73">
        <v>37847</v>
      </c>
      <c r="AQ59" s="73">
        <v>351</v>
      </c>
      <c r="AR59" s="73">
        <v>167</v>
      </c>
      <c r="AS59" s="73">
        <v>12748</v>
      </c>
      <c r="AT59" s="73">
        <v>2064</v>
      </c>
      <c r="AU59" s="73">
        <v>854.3</v>
      </c>
      <c r="AV59" s="73">
        <v>79.2</v>
      </c>
      <c r="AW59" s="73">
        <v>273.5</v>
      </c>
      <c r="AX59" s="73">
        <v>717.5</v>
      </c>
      <c r="AY59" s="73">
        <v>31464</v>
      </c>
      <c r="AZ59" s="73">
        <v>20.853000000000002</v>
      </c>
      <c r="BA59" s="73">
        <v>45.78</v>
      </c>
      <c r="BB59" s="73">
        <v>51.68</v>
      </c>
      <c r="BC59" s="73">
        <v>194</v>
      </c>
      <c r="BD59" s="73">
        <v>9.3800000000000008</v>
      </c>
      <c r="BE59" s="73">
        <v>1211.4000000000001</v>
      </c>
      <c r="BF59" s="73">
        <v>0.12</v>
      </c>
      <c r="BG59" s="73">
        <v>50.76</v>
      </c>
      <c r="BH59" s="73">
        <v>32.369999999999997</v>
      </c>
      <c r="BI59" s="73">
        <v>7.8490000000000002</v>
      </c>
      <c r="BJ59" s="73">
        <v>62.45</v>
      </c>
      <c r="BK59" s="73">
        <v>4.1479999999999997</v>
      </c>
      <c r="BL59" s="73">
        <v>1.88</v>
      </c>
      <c r="BM59" s="73">
        <v>2.786</v>
      </c>
      <c r="BN59" s="73">
        <v>0.79800000000000004</v>
      </c>
      <c r="BO59" s="73">
        <v>0.79</v>
      </c>
      <c r="BP59" s="73">
        <v>2.331</v>
      </c>
      <c r="BQ59" s="73">
        <v>2.1269999999999998</v>
      </c>
      <c r="BR59" s="73">
        <v>331.47</v>
      </c>
      <c r="BS59" s="73">
        <v>17.457000000000001</v>
      </c>
      <c r="BT59" s="73">
        <v>33.784999999999997</v>
      </c>
      <c r="BU59" s="73">
        <v>3.746</v>
      </c>
      <c r="BV59" s="73">
        <v>14.34</v>
      </c>
      <c r="BW59" s="73">
        <v>2.5750000000000002</v>
      </c>
      <c r="BX59" s="73">
        <v>0.66500000000000004</v>
      </c>
      <c r="BY59" s="73">
        <v>1.9259999999999999</v>
      </c>
      <c r="BZ59" s="73">
        <v>0.26700000000000002</v>
      </c>
      <c r="CA59" s="73">
        <v>1.423</v>
      </c>
      <c r="CB59" s="73">
        <v>0.29199999999999998</v>
      </c>
      <c r="CC59" s="73">
        <v>0.81399999999999995</v>
      </c>
      <c r="CD59" s="73">
        <v>0.11700000000000001</v>
      </c>
      <c r="CE59" s="73">
        <v>0.79300000000000004</v>
      </c>
      <c r="CF59" s="73">
        <v>0.121</v>
      </c>
      <c r="CG59" s="73">
        <v>1.726</v>
      </c>
      <c r="CH59" s="73">
        <v>0.22900000000000001</v>
      </c>
      <c r="CI59" s="73">
        <v>13.914999999999999</v>
      </c>
      <c r="CJ59" s="73">
        <v>0.24199999999999999</v>
      </c>
      <c r="CK59" s="73">
        <v>224.2</v>
      </c>
      <c r="CL59" s="73">
        <v>0.49</v>
      </c>
      <c r="CM59" s="73">
        <v>3.0489999999999999</v>
      </c>
      <c r="CN59" s="73">
        <v>1.268</v>
      </c>
      <c r="CP59" s="136">
        <f t="shared" si="0"/>
        <v>199.3577920985328</v>
      </c>
      <c r="CQ59" s="136">
        <f t="shared" si="1"/>
        <v>13.41965860066686</v>
      </c>
      <c r="CR59" s="136">
        <f t="shared" si="2"/>
        <v>60.604966904611899</v>
      </c>
      <c r="CS59" s="136">
        <f t="shared" si="3"/>
        <v>3.7507811993663474</v>
      </c>
      <c r="CT59" s="136">
        <f t="shared" si="4"/>
        <v>10.147867259552042</v>
      </c>
      <c r="CU59" s="136">
        <f t="shared" si="5"/>
        <v>1.5886475661260622</v>
      </c>
      <c r="CV59" s="136">
        <f t="shared" si="6"/>
        <v>12.744959941694452</v>
      </c>
      <c r="CW59" s="136">
        <f t="shared" si="7"/>
        <v>11.77026579620501</v>
      </c>
      <c r="CX59" s="136">
        <f t="shared" si="8"/>
        <v>16.615812563824157</v>
      </c>
      <c r="CY59" s="136">
        <f t="shared" si="9"/>
        <v>14.182859864042896</v>
      </c>
      <c r="CZ59" s="136">
        <f t="shared" si="10"/>
        <v>-4.0949264202983251</v>
      </c>
      <c r="DA59" s="136">
        <f t="shared" si="11"/>
        <v>10.264748935136161</v>
      </c>
      <c r="DB59" s="22"/>
      <c r="DC59" s="141">
        <f t="shared" si="12"/>
        <v>100.95</v>
      </c>
      <c r="DD59" s="141">
        <f t="shared" si="13"/>
        <v>0.5605</v>
      </c>
      <c r="DE59" s="141">
        <f t="shared" si="14"/>
        <v>3.4227149999999997</v>
      </c>
      <c r="DF59" s="141">
        <f t="shared" si="15"/>
        <v>4.2734375</v>
      </c>
      <c r="DG59" s="141">
        <f>BN59/1.4</f>
        <v>0.57000000000000006</v>
      </c>
      <c r="DH59" s="141">
        <f t="shared" si="17"/>
        <v>0.91559999999999997</v>
      </c>
    </row>
    <row r="60" spans="1:112" s="28" customFormat="1">
      <c r="A60" s="38"/>
      <c r="B60" s="28" t="s">
        <v>698</v>
      </c>
      <c r="C60" s="141">
        <v>8.4600000000000009</v>
      </c>
      <c r="D60" s="141">
        <v>2.63</v>
      </c>
      <c r="E60" s="141">
        <v>14.36</v>
      </c>
      <c r="F60" s="362">
        <v>7.21</v>
      </c>
      <c r="G60" s="141">
        <v>8.0299999999999994</v>
      </c>
      <c r="H60" s="141">
        <v>4.84</v>
      </c>
      <c r="I60" s="141">
        <v>7.36</v>
      </c>
      <c r="J60" s="141">
        <v>4.8499999999999996</v>
      </c>
      <c r="K60" s="141">
        <v>14.39</v>
      </c>
      <c r="L60" s="141">
        <v>2.02</v>
      </c>
      <c r="N60" s="35" t="s">
        <v>882</v>
      </c>
      <c r="O60" s="363">
        <v>1.8710540540540541</v>
      </c>
      <c r="P60" s="363">
        <v>1.2983333333333335E-2</v>
      </c>
      <c r="Q60" s="363"/>
      <c r="R60" s="363">
        <v>6.532074829931972E-2</v>
      </c>
      <c r="S60" s="363">
        <v>1.9536111111111112E-2</v>
      </c>
      <c r="T60" s="363">
        <v>0.22727413127413137</v>
      </c>
      <c r="V60" s="17" t="s">
        <v>193</v>
      </c>
      <c r="W60" s="20" t="s">
        <v>194</v>
      </c>
      <c r="X60" s="15" t="s">
        <v>341</v>
      </c>
      <c r="Y60" s="17">
        <v>0.22437199999999999</v>
      </c>
      <c r="Z60" s="17">
        <v>34.800359999999998</v>
      </c>
      <c r="AA60" s="17" t="s">
        <v>356</v>
      </c>
      <c r="AB60" s="17" t="s">
        <v>330</v>
      </c>
      <c r="AC60" s="6" t="s">
        <v>347</v>
      </c>
      <c r="AD60" s="14" t="s">
        <v>371</v>
      </c>
      <c r="AE60" s="65" t="s">
        <v>687</v>
      </c>
      <c r="AF60" s="17" t="s">
        <v>364</v>
      </c>
      <c r="AG60" s="17" t="s">
        <v>685</v>
      </c>
      <c r="AH60" s="35" t="s">
        <v>690</v>
      </c>
      <c r="AI60" s="24">
        <v>2.2292993630572435</v>
      </c>
      <c r="AJ60" s="73">
        <v>6.84</v>
      </c>
      <c r="AK60" s="76">
        <v>2.1389849999999999</v>
      </c>
      <c r="AL60" s="73">
        <v>21</v>
      </c>
      <c r="AM60" s="73">
        <v>2.1800000000000002</v>
      </c>
      <c r="AN60" s="73">
        <v>2920</v>
      </c>
      <c r="AO60" s="73">
        <v>12009</v>
      </c>
      <c r="AP60" s="73">
        <v>62311</v>
      </c>
      <c r="AQ60" s="73">
        <v>1029</v>
      </c>
      <c r="AR60" s="73">
        <v>66</v>
      </c>
      <c r="AS60" s="73">
        <v>21534</v>
      </c>
      <c r="AT60" s="73">
        <v>5355</v>
      </c>
      <c r="AU60" s="73">
        <v>934.6</v>
      </c>
      <c r="AV60" s="73">
        <v>137.19999999999999</v>
      </c>
      <c r="AW60" s="73">
        <v>178.7</v>
      </c>
      <c r="AX60" s="73">
        <v>1520.3</v>
      </c>
      <c r="AY60" s="73">
        <v>55520</v>
      </c>
      <c r="AZ60" s="73">
        <v>46.975999999999999</v>
      </c>
      <c r="BA60" s="73">
        <v>91.52</v>
      </c>
      <c r="BB60" s="73">
        <v>87.49</v>
      </c>
      <c r="BC60" s="73">
        <v>312</v>
      </c>
      <c r="BD60" s="73">
        <v>14.38</v>
      </c>
      <c r="BE60" s="73">
        <v>442.1</v>
      </c>
      <c r="BF60" s="73">
        <v>0.11</v>
      </c>
      <c r="BG60" s="73">
        <v>83.4</v>
      </c>
      <c r="BH60" s="73">
        <v>64.400000000000006</v>
      </c>
      <c r="BI60" s="73">
        <v>12.301</v>
      </c>
      <c r="BJ60" s="73">
        <v>111.52</v>
      </c>
      <c r="BK60" s="73">
        <v>1.716</v>
      </c>
      <c r="BL60" s="73">
        <v>2.02</v>
      </c>
      <c r="BM60" s="73">
        <v>0.77500000000000002</v>
      </c>
      <c r="BN60" s="73">
        <v>1.39</v>
      </c>
      <c r="BO60" s="73">
        <v>0.6</v>
      </c>
      <c r="BP60" s="73">
        <v>2.6949999999999998</v>
      </c>
      <c r="BQ60" s="73">
        <v>3.581</v>
      </c>
      <c r="BR60" s="73">
        <v>569.71</v>
      </c>
      <c r="BS60" s="73">
        <v>37.024999999999999</v>
      </c>
      <c r="BT60" s="73">
        <v>85.665000000000006</v>
      </c>
      <c r="BU60" s="73">
        <v>8.9480000000000004</v>
      </c>
      <c r="BV60" s="73">
        <v>34.5</v>
      </c>
      <c r="BW60" s="73">
        <v>5.8639999999999999</v>
      </c>
      <c r="BX60" s="73">
        <v>1.5920000000000001</v>
      </c>
      <c r="BY60" s="73">
        <v>4.0339999999999998</v>
      </c>
      <c r="BZ60" s="73">
        <v>0.51700000000000002</v>
      </c>
      <c r="CA60" s="73">
        <v>2.4609999999999999</v>
      </c>
      <c r="CB60" s="73">
        <v>0.47199999999999998</v>
      </c>
      <c r="CC60" s="73">
        <v>1.22</v>
      </c>
      <c r="CD60" s="73">
        <v>0.17100000000000001</v>
      </c>
      <c r="CE60" s="73">
        <v>1.085</v>
      </c>
      <c r="CF60" s="73">
        <v>0.161</v>
      </c>
      <c r="CG60" s="73">
        <v>2.8540000000000001</v>
      </c>
      <c r="CH60" s="73">
        <v>0.1</v>
      </c>
      <c r="CI60" s="73">
        <v>14.353</v>
      </c>
      <c r="CJ60" s="73">
        <v>0.42299999999999999</v>
      </c>
      <c r="CK60" s="73">
        <v>265.5</v>
      </c>
      <c r="CL60" s="73">
        <v>0.46</v>
      </c>
      <c r="CM60" s="73">
        <v>3.9769999999999999</v>
      </c>
      <c r="CN60" s="73">
        <v>1.9950000000000001</v>
      </c>
      <c r="CP60" s="136">
        <f t="shared" si="0"/>
        <v>41.231642598321756</v>
      </c>
      <c r="CQ60" s="136">
        <f t="shared" si="1"/>
        <v>9.0060605090210242</v>
      </c>
      <c r="CR60" s="136">
        <f t="shared" si="2"/>
        <v>21.463952335285722</v>
      </c>
      <c r="CS60" s="136">
        <f t="shared" si="3"/>
        <v>1.3888438762572752</v>
      </c>
      <c r="CT60" s="136">
        <f t="shared" si="4"/>
        <v>10.017311124574272</v>
      </c>
      <c r="CU60" s="136">
        <f t="shared" si="5"/>
        <v>1.7998332090563263</v>
      </c>
      <c r="CV60" s="136">
        <f t="shared" si="6"/>
        <v>11.290729264595889</v>
      </c>
      <c r="CW60" s="136">
        <f t="shared" si="7"/>
        <v>12.014191379091098</v>
      </c>
      <c r="CX60" s="136">
        <f t="shared" si="8"/>
        <v>15.937597761087732</v>
      </c>
      <c r="CY60" s="136">
        <f t="shared" si="9"/>
        <v>13.568858665404468</v>
      </c>
      <c r="CZ60" s="136">
        <f t="shared" si="10"/>
        <v>-3.2943021889098008</v>
      </c>
      <c r="DA60" s="136">
        <f t="shared" si="11"/>
        <v>11.264118524358864</v>
      </c>
      <c r="DB60" s="22"/>
      <c r="DC60" s="141">
        <f t="shared" si="12"/>
        <v>36.841666666666669</v>
      </c>
      <c r="DD60" s="141">
        <f t="shared" si="13"/>
        <v>0.66374999999999995</v>
      </c>
      <c r="DE60" s="141">
        <f t="shared" si="14"/>
        <v>2.1389849999999999</v>
      </c>
      <c r="DF60" s="141">
        <f t="shared" si="15"/>
        <v>2.7921874999999998</v>
      </c>
      <c r="DG60" s="141">
        <f t="shared" si="19"/>
        <v>0.13899999999999998</v>
      </c>
      <c r="DH60" s="141">
        <f t="shared" si="17"/>
        <v>1.8304</v>
      </c>
    </row>
    <row r="61" spans="1:112" s="28" customFormat="1">
      <c r="A61" s="38"/>
      <c r="B61" s="28" t="s">
        <v>903</v>
      </c>
      <c r="C61" s="141">
        <v>1.0911111111111114</v>
      </c>
      <c r="D61" s="141">
        <v>0.36111111111111099</v>
      </c>
      <c r="E61" s="141">
        <v>1.8788888888888888</v>
      </c>
      <c r="F61" s="362">
        <v>1.0477777777777777</v>
      </c>
      <c r="G61" s="141">
        <v>0.97555555555555551</v>
      </c>
      <c r="H61" s="141">
        <v>1.9444444444444444</v>
      </c>
      <c r="I61" s="141">
        <v>6.1400000000000006</v>
      </c>
      <c r="J61" s="141">
        <v>2.2155555555555555</v>
      </c>
      <c r="K61" s="141">
        <v>11.974444444444444</v>
      </c>
      <c r="L61" s="141">
        <v>1.1855555555555555</v>
      </c>
      <c r="O61"/>
      <c r="P61"/>
      <c r="Q61"/>
      <c r="R61"/>
      <c r="S61"/>
      <c r="T61"/>
      <c r="U61"/>
      <c r="V61" s="17" t="s">
        <v>195</v>
      </c>
      <c r="W61" s="20" t="s">
        <v>196</v>
      </c>
      <c r="X61" s="15" t="s">
        <v>341</v>
      </c>
      <c r="Y61" s="17">
        <v>0.22437199999999999</v>
      </c>
      <c r="Z61" s="17">
        <v>34.800359999999998</v>
      </c>
      <c r="AA61" s="17" t="s">
        <v>356</v>
      </c>
      <c r="AB61" s="17" t="s">
        <v>330</v>
      </c>
      <c r="AC61" s="6" t="s">
        <v>347</v>
      </c>
      <c r="AD61" s="14" t="s">
        <v>371</v>
      </c>
      <c r="AE61" s="65" t="s">
        <v>687</v>
      </c>
      <c r="AF61" s="17" t="s">
        <v>367</v>
      </c>
      <c r="AG61" s="17" t="s">
        <v>684</v>
      </c>
      <c r="AH61" s="35" t="s">
        <v>683</v>
      </c>
      <c r="AI61" s="24">
        <v>5.8238318801698581</v>
      </c>
      <c r="AJ61" s="73">
        <v>4.67</v>
      </c>
      <c r="AK61" s="76">
        <v>0.24368499999999998</v>
      </c>
      <c r="AL61" s="73">
        <v>15.6</v>
      </c>
      <c r="AM61" s="73">
        <v>1.84</v>
      </c>
      <c r="AN61" s="73">
        <v>2140</v>
      </c>
      <c r="AO61" s="73">
        <v>4406</v>
      </c>
      <c r="AP61" s="73">
        <v>84117</v>
      </c>
      <c r="AQ61" s="73">
        <v>689</v>
      </c>
      <c r="AR61" s="73">
        <v>215</v>
      </c>
      <c r="AS61" s="73">
        <v>8329</v>
      </c>
      <c r="AT61" s="73">
        <v>2915</v>
      </c>
      <c r="AU61" s="73">
        <v>7715.8</v>
      </c>
      <c r="AV61" s="73">
        <v>191.6</v>
      </c>
      <c r="AW61" s="73">
        <v>319.7</v>
      </c>
      <c r="AX61" s="73">
        <v>2382.9</v>
      </c>
      <c r="AY61" s="73">
        <v>76066</v>
      </c>
      <c r="AZ61" s="73">
        <v>55.857999999999997</v>
      </c>
      <c r="BA61" s="73">
        <v>76.709999999999994</v>
      </c>
      <c r="BB61" s="73">
        <v>96.3</v>
      </c>
      <c r="BC61" s="73">
        <v>78</v>
      </c>
      <c r="BD61" s="73">
        <v>19.64</v>
      </c>
      <c r="BE61" s="73">
        <v>39.299999999999997</v>
      </c>
      <c r="BF61" s="73">
        <v>1.08</v>
      </c>
      <c r="BG61" s="73">
        <v>60.3</v>
      </c>
      <c r="BH61" s="73">
        <v>67.86</v>
      </c>
      <c r="BI61" s="73">
        <v>34.445</v>
      </c>
      <c r="BJ61" s="73">
        <v>219.56</v>
      </c>
      <c r="BK61" s="73">
        <v>39.597000000000001</v>
      </c>
      <c r="BL61" s="73">
        <v>2.35</v>
      </c>
      <c r="BM61" s="73">
        <v>9.0999999999999998E-2</v>
      </c>
      <c r="BN61" s="73">
        <v>0.17399999999999999</v>
      </c>
      <c r="BO61" s="73">
        <v>2.2599999999999998</v>
      </c>
      <c r="BP61" s="73">
        <v>2.6040000000000001</v>
      </c>
      <c r="BQ61" s="73">
        <v>5.4340000000000002</v>
      </c>
      <c r="BR61" s="73">
        <v>391.1</v>
      </c>
      <c r="BS61" s="73">
        <v>60.777000000000001</v>
      </c>
      <c r="BT61" s="73">
        <v>109.21599999999999</v>
      </c>
      <c r="BU61" s="73">
        <v>11.933999999999999</v>
      </c>
      <c r="BV61" s="73">
        <v>45.12</v>
      </c>
      <c r="BW61" s="73">
        <v>8.2059999999999995</v>
      </c>
      <c r="BX61" s="73">
        <v>1.7949999999999999</v>
      </c>
      <c r="BY61" s="73">
        <v>6.95</v>
      </c>
      <c r="BZ61" s="73">
        <v>1.0529999999999999</v>
      </c>
      <c r="CA61" s="73">
        <v>5.8529999999999998</v>
      </c>
      <c r="CB61" s="73">
        <v>1.2110000000000001</v>
      </c>
      <c r="CC61" s="73">
        <v>3.3519999999999999</v>
      </c>
      <c r="CD61" s="73">
        <v>0.496</v>
      </c>
      <c r="CE61" s="73">
        <v>3.05</v>
      </c>
      <c r="CF61" s="73">
        <v>0.46200000000000002</v>
      </c>
      <c r="CG61" s="73">
        <v>5.7149999999999999</v>
      </c>
      <c r="CH61" s="73">
        <v>2.2320000000000002</v>
      </c>
      <c r="CI61" s="73">
        <v>1.7390000000000001</v>
      </c>
      <c r="CJ61" s="73">
        <v>0.40200000000000002</v>
      </c>
      <c r="CK61" s="73">
        <v>18.100000000000001</v>
      </c>
      <c r="CL61" s="73">
        <v>0.33</v>
      </c>
      <c r="CM61" s="73">
        <v>8.6989999999999998</v>
      </c>
      <c r="CN61" s="73">
        <v>2.3170000000000002</v>
      </c>
      <c r="CP61" s="136">
        <f t="shared" si="0"/>
        <v>2.6752326153294121</v>
      </c>
      <c r="CQ61" s="136">
        <f t="shared" si="1"/>
        <v>0.44813388978544089</v>
      </c>
      <c r="CR61" s="136">
        <f t="shared" si="2"/>
        <v>1.7848003056223325</v>
      </c>
      <c r="CS61" s="136">
        <f t="shared" si="3"/>
        <v>1.8135535774402312</v>
      </c>
      <c r="CT61" s="136">
        <f t="shared" si="4"/>
        <v>0.91526001343331032</v>
      </c>
      <c r="CU61" s="136">
        <f t="shared" si="5"/>
        <v>1.101100881865487</v>
      </c>
      <c r="CV61" s="136">
        <f t="shared" si="6"/>
        <v>7.7989577479004284</v>
      </c>
      <c r="CW61" s="136">
        <f t="shared" si="7"/>
        <v>8.1395411204827894</v>
      </c>
      <c r="CX61" s="136">
        <f t="shared" si="8"/>
        <v>12.803760749688642</v>
      </c>
      <c r="CY61" s="136">
        <f t="shared" si="9"/>
        <v>14.408037775143498</v>
      </c>
      <c r="CZ61" s="136">
        <f t="shared" si="10"/>
        <v>-6.2922278606719431</v>
      </c>
      <c r="DA61" s="136">
        <f t="shared" si="11"/>
        <v>11.00944613354328</v>
      </c>
      <c r="DB61" s="22"/>
      <c r="DC61" s="141">
        <f t="shared" si="12"/>
        <v>3.2749999999999999</v>
      </c>
      <c r="DD61" s="141">
        <f t="shared" si="13"/>
        <v>4.5250000000000005E-2</v>
      </c>
      <c r="DE61" s="141">
        <f t="shared" si="14"/>
        <v>0.24368499999999998</v>
      </c>
      <c r="DF61" s="141">
        <f t="shared" si="15"/>
        <v>4.9953124999999998</v>
      </c>
      <c r="DG61" s="141">
        <f>BN61/1.4</f>
        <v>0.12428571428571429</v>
      </c>
      <c r="DH61" s="141">
        <f t="shared" si="17"/>
        <v>1.5341999999999998</v>
      </c>
    </row>
    <row r="62" spans="1:112" s="28" customFormat="1">
      <c r="A62" s="38"/>
      <c r="C62" s="141"/>
      <c r="D62" s="141"/>
      <c r="E62" s="141"/>
      <c r="F62" s="362"/>
      <c r="G62" s="141"/>
      <c r="H62" s="141"/>
      <c r="I62" s="141"/>
      <c r="J62" s="141"/>
      <c r="K62" s="141"/>
      <c r="L62" s="141"/>
      <c r="M62" s="38" t="s">
        <v>1171</v>
      </c>
      <c r="N62" s="38"/>
      <c r="O62"/>
      <c r="P62"/>
      <c r="Q62"/>
      <c r="R62"/>
      <c r="S62"/>
      <c r="T62"/>
      <c r="U62"/>
      <c r="V62" s="17" t="s">
        <v>197</v>
      </c>
      <c r="W62" s="20" t="s">
        <v>198</v>
      </c>
      <c r="X62" s="15" t="s">
        <v>341</v>
      </c>
      <c r="Y62" s="17">
        <v>0.224914</v>
      </c>
      <c r="Z62" s="17">
        <v>34.799691000000003</v>
      </c>
      <c r="AA62" s="17" t="s">
        <v>356</v>
      </c>
      <c r="AB62" s="17" t="s">
        <v>330</v>
      </c>
      <c r="AC62" s="6" t="s">
        <v>347</v>
      </c>
      <c r="AD62" s="14" t="s">
        <v>371</v>
      </c>
      <c r="AE62" s="65" t="s">
        <v>687</v>
      </c>
      <c r="AF62" s="17" t="s">
        <v>366</v>
      </c>
      <c r="AG62" s="17" t="s">
        <v>684</v>
      </c>
      <c r="AH62" s="35" t="s">
        <v>683</v>
      </c>
      <c r="AI62" s="24">
        <v>2.1474963335430521</v>
      </c>
      <c r="AJ62" s="73">
        <v>7.09</v>
      </c>
      <c r="AK62" s="76">
        <v>5.1894999999999997E-2</v>
      </c>
      <c r="AL62" s="73">
        <v>14.8</v>
      </c>
      <c r="AM62" s="73">
        <v>1.67</v>
      </c>
      <c r="AN62" s="73">
        <v>17685</v>
      </c>
      <c r="AO62" s="73">
        <v>13702</v>
      </c>
      <c r="AP62" s="73">
        <v>79555</v>
      </c>
      <c r="AQ62" s="73">
        <v>331</v>
      </c>
      <c r="AR62" s="73">
        <v>59</v>
      </c>
      <c r="AS62" s="73">
        <v>17112</v>
      </c>
      <c r="AT62" s="73">
        <v>18642</v>
      </c>
      <c r="AU62" s="73">
        <v>3708.6</v>
      </c>
      <c r="AV62" s="73">
        <v>135.5</v>
      </c>
      <c r="AW62" s="73">
        <v>190.6</v>
      </c>
      <c r="AX62" s="73">
        <v>1100.0999999999999</v>
      </c>
      <c r="AY62" s="73">
        <v>51559</v>
      </c>
      <c r="AZ62" s="73">
        <v>40.031999999999996</v>
      </c>
      <c r="BA62" s="73">
        <v>95.66</v>
      </c>
      <c r="BB62" s="73">
        <v>118.13</v>
      </c>
      <c r="BC62" s="73">
        <v>61</v>
      </c>
      <c r="BD62" s="73">
        <v>17.02</v>
      </c>
      <c r="BE62" s="73">
        <v>36.799999999999997</v>
      </c>
      <c r="BF62" s="73">
        <v>0.16</v>
      </c>
      <c r="BG62" s="73">
        <v>56.63</v>
      </c>
      <c r="BH62" s="73">
        <v>339.87</v>
      </c>
      <c r="BI62" s="73">
        <v>15.885</v>
      </c>
      <c r="BJ62" s="73">
        <v>97.18</v>
      </c>
      <c r="BK62" s="73">
        <v>7.819</v>
      </c>
      <c r="BL62" s="73">
        <v>0.64</v>
      </c>
      <c r="BM62" s="73">
        <v>0.10299999999999999</v>
      </c>
      <c r="BN62" s="73">
        <v>8.5000000000000006E-2</v>
      </c>
      <c r="BO62" s="73">
        <v>1.1100000000000001</v>
      </c>
      <c r="BP62" s="73">
        <v>2.1389999999999998</v>
      </c>
      <c r="BQ62" s="73">
        <v>2.915</v>
      </c>
      <c r="BR62" s="73">
        <v>683.64</v>
      </c>
      <c r="BS62" s="73">
        <v>30.867000000000001</v>
      </c>
      <c r="BT62" s="73">
        <v>74.926000000000002</v>
      </c>
      <c r="BU62" s="73">
        <v>7.0369999999999999</v>
      </c>
      <c r="BV62" s="73">
        <v>27.64</v>
      </c>
      <c r="BW62" s="73">
        <v>4.9119999999999999</v>
      </c>
      <c r="BX62" s="73">
        <v>1.2629999999999999</v>
      </c>
      <c r="BY62" s="73">
        <v>3.7170000000000001</v>
      </c>
      <c r="BZ62" s="73">
        <v>0.53900000000000003</v>
      </c>
      <c r="CA62" s="73">
        <v>2.8540000000000001</v>
      </c>
      <c r="CB62" s="73">
        <v>0.61599999999999999</v>
      </c>
      <c r="CC62" s="73">
        <v>1.6919999999999999</v>
      </c>
      <c r="CD62" s="73">
        <v>0.25700000000000001</v>
      </c>
      <c r="CE62" s="73">
        <v>1.6180000000000001</v>
      </c>
      <c r="CF62" s="73">
        <v>0.254</v>
      </c>
      <c r="CG62" s="73">
        <v>2.82</v>
      </c>
      <c r="CH62" s="73">
        <v>0.50600000000000001</v>
      </c>
      <c r="CI62" s="73">
        <v>1.494</v>
      </c>
      <c r="CJ62" s="73">
        <v>0.245</v>
      </c>
      <c r="CK62" s="73">
        <v>8.5</v>
      </c>
      <c r="CL62" s="73">
        <v>0.68</v>
      </c>
      <c r="CM62" s="73">
        <v>5.64</v>
      </c>
      <c r="CN62" s="73">
        <v>1.407</v>
      </c>
      <c r="CP62" s="136">
        <f t="shared" si="0"/>
        <v>3.6957527812226538</v>
      </c>
      <c r="CQ62" s="136">
        <f t="shared" si="1"/>
        <v>0.31048043111213836</v>
      </c>
      <c r="CR62" s="136">
        <f t="shared" si="2"/>
        <v>0.56075408294688078</v>
      </c>
      <c r="CS62" s="136">
        <f t="shared" si="3"/>
        <v>1.5951324277650316</v>
      </c>
      <c r="CT62" s="136">
        <f t="shared" si="4"/>
        <v>0.65962978864460664</v>
      </c>
      <c r="CU62" s="136">
        <f t="shared" si="5"/>
        <v>2.0257768219801648</v>
      </c>
      <c r="CV62" s="136">
        <f t="shared" si="6"/>
        <v>7.7041342016988335</v>
      </c>
      <c r="CW62" s="136">
        <f t="shared" si="7"/>
        <v>7.0490861695372846</v>
      </c>
      <c r="CX62" s="136">
        <f t="shared" si="8"/>
        <v>10.572410749847734</v>
      </c>
      <c r="CY62" s="136">
        <f t="shared" si="9"/>
        <v>13.66186715027292</v>
      </c>
      <c r="CZ62" s="136">
        <f t="shared" si="10"/>
        <v>-7.3257804203829693</v>
      </c>
      <c r="DA62" s="136">
        <f t="shared" si="11"/>
        <v>11.327947263566779</v>
      </c>
      <c r="DB62" s="22"/>
      <c r="DC62" s="141">
        <f t="shared" si="12"/>
        <v>3.0666666666666664</v>
      </c>
      <c r="DD62" s="141">
        <f t="shared" si="13"/>
        <v>2.1250000000000002E-2</v>
      </c>
      <c r="DE62" s="141">
        <f t="shared" si="14"/>
        <v>5.1894999999999997E-2</v>
      </c>
      <c r="DF62" s="141">
        <f t="shared" si="15"/>
        <v>2.9781249999999999</v>
      </c>
      <c r="DG62" s="141">
        <f t="shared" si="19"/>
        <v>8.5000000000000006E-3</v>
      </c>
      <c r="DH62" s="141">
        <f t="shared" si="17"/>
        <v>1.9132</v>
      </c>
    </row>
    <row r="63" spans="1:112" s="28" customFormat="1">
      <c r="A63" s="38" t="s">
        <v>908</v>
      </c>
      <c r="B63" s="28" t="s">
        <v>697</v>
      </c>
      <c r="C63" s="141">
        <v>0</v>
      </c>
      <c r="D63" s="141">
        <v>0.02</v>
      </c>
      <c r="E63" s="141">
        <v>0.01</v>
      </c>
      <c r="F63" s="362">
        <v>0.03</v>
      </c>
      <c r="G63" s="141">
        <v>0.05</v>
      </c>
      <c r="H63" s="141">
        <v>2.2999999999999998</v>
      </c>
      <c r="I63" s="141">
        <v>5.39</v>
      </c>
      <c r="J63" s="141">
        <v>1.2</v>
      </c>
      <c r="K63" s="141">
        <v>9.26</v>
      </c>
      <c r="L63" s="141">
        <v>2.63</v>
      </c>
      <c r="N63" s="35" t="s">
        <v>880</v>
      </c>
      <c r="O63" s="363">
        <v>8.4999999999999992E-2</v>
      </c>
      <c r="P63" s="363">
        <v>5.5721393034825865E-2</v>
      </c>
      <c r="Q63" s="363">
        <v>4.8104000000000005</v>
      </c>
      <c r="R63" s="363">
        <v>0.63703703703703707</v>
      </c>
      <c r="S63" s="363">
        <v>1.173913043478261E-2</v>
      </c>
      <c r="T63" s="363">
        <v>0.15</v>
      </c>
      <c r="U63"/>
      <c r="V63" s="17" t="s">
        <v>199</v>
      </c>
      <c r="W63" s="20" t="s">
        <v>200</v>
      </c>
      <c r="X63" s="15" t="s">
        <v>341</v>
      </c>
      <c r="Y63" s="17">
        <v>0.224914</v>
      </c>
      <c r="Z63" s="17">
        <v>34.799691000000003</v>
      </c>
      <c r="AA63" s="17" t="s">
        <v>356</v>
      </c>
      <c r="AB63" s="17" t="s">
        <v>330</v>
      </c>
      <c r="AC63" s="6" t="s">
        <v>347</v>
      </c>
      <c r="AD63" s="14" t="s">
        <v>371</v>
      </c>
      <c r="AE63" s="65" t="s">
        <v>687</v>
      </c>
      <c r="AF63" s="17" t="s">
        <v>367</v>
      </c>
      <c r="AG63" s="17" t="s">
        <v>684</v>
      </c>
      <c r="AH63" s="35" t="s">
        <v>683</v>
      </c>
      <c r="AI63" s="24">
        <v>2.214963764417591</v>
      </c>
      <c r="AJ63" s="73">
        <v>5.41</v>
      </c>
      <c r="AK63" s="76">
        <v>7.5795000000000001E-2</v>
      </c>
      <c r="AL63" s="73">
        <v>13.8</v>
      </c>
      <c r="AM63" s="73">
        <v>1.3</v>
      </c>
      <c r="AN63" s="73">
        <v>21681</v>
      </c>
      <c r="AO63" s="73">
        <v>15299</v>
      </c>
      <c r="AP63" s="73">
        <v>82421</v>
      </c>
      <c r="AQ63" s="73">
        <v>516</v>
      </c>
      <c r="AR63" s="73">
        <v>43</v>
      </c>
      <c r="AS63" s="73">
        <v>15173</v>
      </c>
      <c r="AT63" s="73">
        <v>22248</v>
      </c>
      <c r="AU63" s="73">
        <v>3514.5</v>
      </c>
      <c r="AV63" s="73">
        <v>143.6</v>
      </c>
      <c r="AW63" s="73">
        <v>210.8</v>
      </c>
      <c r="AX63" s="73">
        <v>1161.0999999999999</v>
      </c>
      <c r="AY63" s="73">
        <v>51924</v>
      </c>
      <c r="AZ63" s="73">
        <v>44.988999999999997</v>
      </c>
      <c r="BA63" s="73">
        <v>93.97</v>
      </c>
      <c r="BB63" s="73">
        <v>120.84</v>
      </c>
      <c r="BC63" s="73">
        <v>65</v>
      </c>
      <c r="BD63" s="73">
        <v>16.260000000000002</v>
      </c>
      <c r="BE63" s="73">
        <v>45.5</v>
      </c>
      <c r="BF63" s="73">
        <v>0.14000000000000001</v>
      </c>
      <c r="BG63" s="73">
        <v>48.14</v>
      </c>
      <c r="BH63" s="73">
        <v>414.04</v>
      </c>
      <c r="BI63" s="73">
        <v>15.727</v>
      </c>
      <c r="BJ63" s="73">
        <v>91.06</v>
      </c>
      <c r="BK63" s="73">
        <v>5.8360000000000003</v>
      </c>
      <c r="BL63" s="73">
        <v>0.64</v>
      </c>
      <c r="BM63" s="73">
        <v>9.6000000000000002E-2</v>
      </c>
      <c r="BN63" s="73">
        <v>7.1999999999999995E-2</v>
      </c>
      <c r="BO63" s="73">
        <v>1.06</v>
      </c>
      <c r="BP63" s="73">
        <v>2.319</v>
      </c>
      <c r="BQ63" s="73">
        <v>2.4300000000000002</v>
      </c>
      <c r="BR63" s="73">
        <v>659.47</v>
      </c>
      <c r="BS63" s="73">
        <v>30.73</v>
      </c>
      <c r="BT63" s="73">
        <v>74.194999999999993</v>
      </c>
      <c r="BU63" s="73">
        <v>7.085</v>
      </c>
      <c r="BV63" s="73">
        <v>28.17</v>
      </c>
      <c r="BW63" s="73">
        <v>4.95</v>
      </c>
      <c r="BX63" s="73">
        <v>1.28</v>
      </c>
      <c r="BY63" s="73">
        <v>3.69</v>
      </c>
      <c r="BZ63" s="73">
        <v>0.51900000000000002</v>
      </c>
      <c r="CA63" s="73">
        <v>2.8450000000000002</v>
      </c>
      <c r="CB63" s="73">
        <v>0.58799999999999997</v>
      </c>
      <c r="CC63" s="73">
        <v>1.66</v>
      </c>
      <c r="CD63" s="73">
        <v>0.249</v>
      </c>
      <c r="CE63" s="73">
        <v>1.5009999999999999</v>
      </c>
      <c r="CF63" s="73">
        <v>0.23300000000000001</v>
      </c>
      <c r="CG63" s="73">
        <v>2.61</v>
      </c>
      <c r="CH63" s="73">
        <v>0.38</v>
      </c>
      <c r="CI63" s="73">
        <v>1.7729999999999999</v>
      </c>
      <c r="CJ63" s="73">
        <v>0.23699999999999999</v>
      </c>
      <c r="CK63" s="73">
        <v>8.6</v>
      </c>
      <c r="CL63" s="73">
        <v>0.75</v>
      </c>
      <c r="CM63" s="73">
        <v>4.83</v>
      </c>
      <c r="CN63" s="73">
        <v>1.25</v>
      </c>
      <c r="CP63" s="136">
        <f t="shared" si="0"/>
        <v>4.5373557846989039</v>
      </c>
      <c r="CQ63" s="136">
        <f t="shared" si="1"/>
        <v>0.31192494168017593</v>
      </c>
      <c r="CR63" s="136">
        <f t="shared" si="2"/>
        <v>0.81324954637937241</v>
      </c>
      <c r="CS63" s="136">
        <f t="shared" si="3"/>
        <v>1.7517849806126906</v>
      </c>
      <c r="CT63" s="136">
        <f t="shared" si="4"/>
        <v>0.55481753051662919</v>
      </c>
      <c r="CU63" s="136">
        <f t="shared" si="5"/>
        <v>1.9759993273282204</v>
      </c>
      <c r="CV63" s="136">
        <f t="shared" si="6"/>
        <v>8.0102949807278794</v>
      </c>
      <c r="CW63" s="136">
        <f t="shared" si="7"/>
        <v>7.0659599881016799</v>
      </c>
      <c r="CX63" s="136">
        <f t="shared" si="8"/>
        <v>11.118917886598569</v>
      </c>
      <c r="CY63" s="136">
        <f t="shared" si="9"/>
        <v>13.807193898000193</v>
      </c>
      <c r="CZ63" s="136">
        <f t="shared" si="10"/>
        <v>-7.5652463550783589</v>
      </c>
      <c r="DA63" s="136">
        <f t="shared" si="11"/>
        <v>11.302231720956078</v>
      </c>
      <c r="DB63" s="22"/>
      <c r="DC63" s="141">
        <f t="shared" si="12"/>
        <v>3.7916666666666665</v>
      </c>
      <c r="DD63" s="141">
        <f t="shared" si="13"/>
        <v>2.1499999999999998E-2</v>
      </c>
      <c r="DE63" s="141">
        <f t="shared" si="14"/>
        <v>7.5795000000000001E-2</v>
      </c>
      <c r="DF63" s="141">
        <f t="shared" si="15"/>
        <v>3.2937500000000002</v>
      </c>
      <c r="DG63" s="141">
        <f>BN63/1.4</f>
        <v>5.1428571428571428E-2</v>
      </c>
      <c r="DH63" s="141">
        <f t="shared" si="17"/>
        <v>1.8794</v>
      </c>
    </row>
    <row r="64" spans="1:112" s="28" customFormat="1">
      <c r="A64" s="38"/>
      <c r="B64" s="28" t="s">
        <v>698</v>
      </c>
      <c r="C64" s="141">
        <v>51.41</v>
      </c>
      <c r="D64" s="141">
        <v>1.3</v>
      </c>
      <c r="E64" s="141">
        <v>1.55</v>
      </c>
      <c r="F64" s="362">
        <v>4.01</v>
      </c>
      <c r="G64" s="141">
        <v>0.24</v>
      </c>
      <c r="H64" s="141">
        <v>5.45</v>
      </c>
      <c r="I64" s="141">
        <v>8.7899999999999991</v>
      </c>
      <c r="J64" s="141">
        <v>4.46</v>
      </c>
      <c r="K64" s="141">
        <v>11.95</v>
      </c>
      <c r="L64" s="141">
        <v>7.49</v>
      </c>
      <c r="N64" s="35" t="s">
        <v>881</v>
      </c>
      <c r="O64" s="363">
        <v>323.13499999999999</v>
      </c>
      <c r="P64" s="363">
        <v>3.481592039800995</v>
      </c>
      <c r="Q64" s="363">
        <v>84.926200000000009</v>
      </c>
      <c r="R64" s="363">
        <v>22.309876543209874</v>
      </c>
      <c r="S64" s="363">
        <v>1.027536231884058</v>
      </c>
      <c r="T64" s="363">
        <v>18.226190476190474</v>
      </c>
      <c r="U64"/>
      <c r="V64" s="17" t="s">
        <v>201</v>
      </c>
      <c r="W64" s="20" t="s">
        <v>202</v>
      </c>
      <c r="X64" s="15" t="s">
        <v>341</v>
      </c>
      <c r="Y64" s="17">
        <v>0.21770700000000001</v>
      </c>
      <c r="Z64" s="17">
        <v>34.802644000000001</v>
      </c>
      <c r="AA64" s="17" t="s">
        <v>356</v>
      </c>
      <c r="AB64" s="17" t="s">
        <v>330</v>
      </c>
      <c r="AC64" s="6" t="s">
        <v>347</v>
      </c>
      <c r="AD64" s="14" t="s">
        <v>371</v>
      </c>
      <c r="AE64" s="65" t="s">
        <v>687</v>
      </c>
      <c r="AF64" s="17" t="s">
        <v>365</v>
      </c>
      <c r="AG64" s="17" t="s">
        <v>685</v>
      </c>
      <c r="AH64" s="35" t="s">
        <v>691</v>
      </c>
      <c r="AI64" s="24">
        <v>1.432610744580594</v>
      </c>
      <c r="AJ64" s="73">
        <v>5.14</v>
      </c>
      <c r="AK64" s="76">
        <v>0.35456499999999996</v>
      </c>
      <c r="AL64" s="73">
        <v>2.7</v>
      </c>
      <c r="AM64" s="73">
        <v>0.85</v>
      </c>
      <c r="AN64" s="73">
        <v>5027</v>
      </c>
      <c r="AO64" s="73">
        <v>1376</v>
      </c>
      <c r="AP64" s="73">
        <v>20414</v>
      </c>
      <c r="AQ64" s="73">
        <v>129</v>
      </c>
      <c r="AR64" s="73">
        <v>112</v>
      </c>
      <c r="AS64" s="73">
        <v>8477</v>
      </c>
      <c r="AT64" s="73">
        <v>1820</v>
      </c>
      <c r="AU64" s="73">
        <v>1199</v>
      </c>
      <c r="AV64" s="73">
        <v>45</v>
      </c>
      <c r="AW64" s="73">
        <v>67.099999999999994</v>
      </c>
      <c r="AX64" s="73">
        <v>388.8</v>
      </c>
      <c r="AY64" s="73">
        <v>17448</v>
      </c>
      <c r="AZ64" s="73">
        <v>8.02</v>
      </c>
      <c r="BA64" s="73">
        <v>9.07</v>
      </c>
      <c r="BB64" s="73">
        <v>43.26</v>
      </c>
      <c r="BC64" s="73">
        <v>36</v>
      </c>
      <c r="BD64" s="73">
        <v>4.4400000000000004</v>
      </c>
      <c r="BE64" s="73">
        <v>51.4</v>
      </c>
      <c r="BF64" s="73">
        <v>0.42</v>
      </c>
      <c r="BG64" s="73">
        <v>27.79</v>
      </c>
      <c r="BH64" s="73">
        <v>79.040000000000006</v>
      </c>
      <c r="BI64" s="73">
        <v>4.3719999999999999</v>
      </c>
      <c r="BJ64" s="73">
        <v>44.72</v>
      </c>
      <c r="BK64" s="73">
        <v>4.2590000000000003</v>
      </c>
      <c r="BL64" s="73">
        <v>1.1499999999999999</v>
      </c>
      <c r="BM64" s="73">
        <v>0.57199999999999995</v>
      </c>
      <c r="BN64" s="73">
        <v>0.127</v>
      </c>
      <c r="BO64" s="73">
        <v>0.86</v>
      </c>
      <c r="BP64" s="73">
        <v>1.02</v>
      </c>
      <c r="BQ64" s="73">
        <v>1.1379999999999999</v>
      </c>
      <c r="BR64" s="73">
        <v>371.84</v>
      </c>
      <c r="BS64" s="73">
        <v>10.617000000000001</v>
      </c>
      <c r="BT64" s="73">
        <v>50.393999999999998</v>
      </c>
      <c r="BU64" s="73">
        <v>2.2090000000000001</v>
      </c>
      <c r="BV64" s="73">
        <v>8.15</v>
      </c>
      <c r="BW64" s="73">
        <v>1.4470000000000001</v>
      </c>
      <c r="BX64" s="73">
        <v>0.32700000000000001</v>
      </c>
      <c r="BY64" s="73">
        <v>1.04</v>
      </c>
      <c r="BZ64" s="73">
        <v>0.154</v>
      </c>
      <c r="CA64" s="73">
        <v>0.86399999999999999</v>
      </c>
      <c r="CB64" s="73">
        <v>0.17599999999999999</v>
      </c>
      <c r="CC64" s="73">
        <v>0.498</v>
      </c>
      <c r="CD64" s="73">
        <v>8.4000000000000005E-2</v>
      </c>
      <c r="CE64" s="73">
        <v>0.54500000000000004</v>
      </c>
      <c r="CF64" s="73">
        <v>8.5000000000000006E-2</v>
      </c>
      <c r="CG64" s="73">
        <v>1.3580000000000001</v>
      </c>
      <c r="CH64" s="73">
        <v>0.28399999999999997</v>
      </c>
      <c r="CI64" s="73">
        <v>1.796</v>
      </c>
      <c r="CJ64" s="73">
        <v>0.186</v>
      </c>
      <c r="CK64" s="73">
        <v>27.8</v>
      </c>
      <c r="CL64" s="73">
        <v>6.54</v>
      </c>
      <c r="CM64" s="73">
        <v>3.6859999999999999</v>
      </c>
      <c r="CN64" s="73">
        <v>1.206</v>
      </c>
      <c r="CP64" s="136">
        <f t="shared" si="0"/>
        <v>15.253764800280498</v>
      </c>
      <c r="CQ64" s="136">
        <f t="shared" si="1"/>
        <v>3.0006748336324311</v>
      </c>
      <c r="CR64" s="136">
        <f t="shared" si="2"/>
        <v>11.321438824187894</v>
      </c>
      <c r="CS64" s="136">
        <f t="shared" si="3"/>
        <v>1.6594157232471163</v>
      </c>
      <c r="CT64" s="136">
        <f t="shared" si="4"/>
        <v>2.9123521581009548</v>
      </c>
      <c r="CU64" s="136">
        <f t="shared" si="5"/>
        <v>0.56758033666980934</v>
      </c>
      <c r="CV64" s="136">
        <f t="shared" si="6"/>
        <v>8.1861967948356984</v>
      </c>
      <c r="CW64" s="136">
        <f t="shared" si="7"/>
        <v>8.7586363061230905</v>
      </c>
      <c r="CX64" s="136">
        <f t="shared" si="8"/>
        <v>13.344793432029832</v>
      </c>
      <c r="CY64" s="136">
        <f t="shared" si="9"/>
        <v>12.15570370256316</v>
      </c>
      <c r="CZ64" s="136">
        <f t="shared" si="10"/>
        <v>-6.7464866697485055</v>
      </c>
      <c r="DA64" s="136">
        <f t="shared" si="11"/>
        <v>7.9292059281089964</v>
      </c>
      <c r="DB64" s="22"/>
      <c r="DC64" s="141">
        <f t="shared" si="12"/>
        <v>4.2833333333333332</v>
      </c>
      <c r="DD64" s="141">
        <f t="shared" si="13"/>
        <v>6.9500000000000006E-2</v>
      </c>
      <c r="DE64" s="141">
        <f t="shared" si="14"/>
        <v>0.35456499999999996</v>
      </c>
      <c r="DF64" s="141">
        <f t="shared" si="15"/>
        <v>1.0484374999999999</v>
      </c>
      <c r="DG64" s="141">
        <f t="shared" si="19"/>
        <v>1.2699999999999999E-2</v>
      </c>
      <c r="DH64" s="141">
        <f t="shared" si="17"/>
        <v>0.18140000000000001</v>
      </c>
    </row>
    <row r="65" spans="1:112" s="28" customFormat="1">
      <c r="A65" s="38"/>
      <c r="B65" s="28" t="s">
        <v>903</v>
      </c>
      <c r="C65" s="141">
        <v>18.25</v>
      </c>
      <c r="D65" s="141">
        <v>0.48666666666666664</v>
      </c>
      <c r="E65" s="141">
        <v>0.52333333333333332</v>
      </c>
      <c r="F65" s="362">
        <v>1.6466666666666665</v>
      </c>
      <c r="G65" s="141">
        <v>0.13</v>
      </c>
      <c r="H65" s="141">
        <v>3.29</v>
      </c>
      <c r="I65" s="141">
        <v>6.5124999999999993</v>
      </c>
      <c r="J65" s="141">
        <v>2.2925</v>
      </c>
      <c r="K65" s="141">
        <v>10.647500000000001</v>
      </c>
      <c r="L65" s="141">
        <v>4.47</v>
      </c>
      <c r="N65" s="35" t="s">
        <v>1173</v>
      </c>
      <c r="O65" s="363">
        <v>22.189</v>
      </c>
      <c r="P65" s="363">
        <v>0.29181236673773986</v>
      </c>
      <c r="Q65" s="363">
        <v>37.623854285714287</v>
      </c>
      <c r="R65" s="363">
        <v>4.0929805996472659</v>
      </c>
      <c r="S65" s="363">
        <v>0.1115859213250518</v>
      </c>
      <c r="T65" s="363">
        <v>4.1560408163265308</v>
      </c>
      <c r="U65"/>
      <c r="V65" s="17" t="s">
        <v>203</v>
      </c>
      <c r="W65" s="20" t="s">
        <v>204</v>
      </c>
      <c r="X65" s="15" t="s">
        <v>341</v>
      </c>
      <c r="Y65" s="17">
        <v>0.21768199999999999</v>
      </c>
      <c r="Z65" s="17">
        <v>34.802346</v>
      </c>
      <c r="AA65" s="17" t="s">
        <v>356</v>
      </c>
      <c r="AB65" s="17" t="s">
        <v>330</v>
      </c>
      <c r="AC65" s="6" t="s">
        <v>347</v>
      </c>
      <c r="AD65" s="14" t="s">
        <v>371</v>
      </c>
      <c r="AE65" s="65" t="s">
        <v>687</v>
      </c>
      <c r="AF65" s="17" t="s">
        <v>367</v>
      </c>
      <c r="AG65" s="17" t="s">
        <v>684</v>
      </c>
      <c r="AH65" s="35" t="s">
        <v>683</v>
      </c>
      <c r="AI65" s="24">
        <v>3.3010870649248023</v>
      </c>
      <c r="AJ65" s="73">
        <v>4.75</v>
      </c>
      <c r="AK65" s="76">
        <v>0.45981499999999997</v>
      </c>
      <c r="AL65" s="73">
        <v>6.7</v>
      </c>
      <c r="AM65" s="73">
        <v>1.1000000000000001</v>
      </c>
      <c r="AN65" s="73">
        <v>1679</v>
      </c>
      <c r="AO65" s="73">
        <v>1905</v>
      </c>
      <c r="AP65" s="73">
        <v>52200</v>
      </c>
      <c r="AQ65" s="73">
        <v>604</v>
      </c>
      <c r="AR65" s="73">
        <v>178</v>
      </c>
      <c r="AS65" s="73">
        <v>17386</v>
      </c>
      <c r="AT65" s="73">
        <v>1502</v>
      </c>
      <c r="AU65" s="73">
        <v>2684.8</v>
      </c>
      <c r="AV65" s="73">
        <v>59.9</v>
      </c>
      <c r="AW65" s="73">
        <v>55.5</v>
      </c>
      <c r="AX65" s="73">
        <v>1174.2</v>
      </c>
      <c r="AY65" s="73">
        <v>24261</v>
      </c>
      <c r="AZ65" s="73">
        <v>17.417999999999999</v>
      </c>
      <c r="BA65" s="73">
        <v>15.18</v>
      </c>
      <c r="BB65" s="73">
        <v>34.42</v>
      </c>
      <c r="BC65" s="73">
        <v>60</v>
      </c>
      <c r="BD65" s="73">
        <v>11.72</v>
      </c>
      <c r="BE65" s="73">
        <v>11.5</v>
      </c>
      <c r="BF65" s="73">
        <v>0.59</v>
      </c>
      <c r="BG65" s="73">
        <v>76.14</v>
      </c>
      <c r="BH65" s="73">
        <v>54.92</v>
      </c>
      <c r="BI65" s="73">
        <v>11.391999999999999</v>
      </c>
      <c r="BJ65" s="73">
        <v>128.44999999999999</v>
      </c>
      <c r="BK65" s="73">
        <v>18.826000000000001</v>
      </c>
      <c r="BL65" s="73">
        <v>1.73</v>
      </c>
      <c r="BM65" s="73">
        <v>0.104</v>
      </c>
      <c r="BN65" s="73">
        <v>9.2999999999999999E-2</v>
      </c>
      <c r="BO65" s="73">
        <v>1.64</v>
      </c>
      <c r="BP65" s="73">
        <v>0.996</v>
      </c>
      <c r="BQ65" s="73">
        <v>2.84</v>
      </c>
      <c r="BR65" s="73">
        <v>599.80999999999995</v>
      </c>
      <c r="BS65" s="73">
        <v>27.695</v>
      </c>
      <c r="BT65" s="73">
        <v>69.09</v>
      </c>
      <c r="BU65" s="73">
        <v>5.0110000000000001</v>
      </c>
      <c r="BV65" s="73">
        <v>18.239999999999998</v>
      </c>
      <c r="BW65" s="73">
        <v>3.1280000000000001</v>
      </c>
      <c r="BX65" s="73">
        <v>0.65900000000000003</v>
      </c>
      <c r="BY65" s="73">
        <v>2.3929999999999998</v>
      </c>
      <c r="BZ65" s="73">
        <v>0.36099999999999999</v>
      </c>
      <c r="CA65" s="73">
        <v>2.036</v>
      </c>
      <c r="CB65" s="73">
        <v>0.40799999999999997</v>
      </c>
      <c r="CC65" s="73">
        <v>1.163</v>
      </c>
      <c r="CD65" s="73">
        <v>0.17599999999999999</v>
      </c>
      <c r="CE65" s="73">
        <v>1.177</v>
      </c>
      <c r="CF65" s="73">
        <v>0.183</v>
      </c>
      <c r="CG65" s="73">
        <v>3.6720000000000002</v>
      </c>
      <c r="CH65" s="73">
        <v>1.075</v>
      </c>
      <c r="CI65" s="73">
        <v>1.7150000000000001</v>
      </c>
      <c r="CJ65" s="73">
        <v>0.44</v>
      </c>
      <c r="CK65" s="73">
        <v>17.100000000000001</v>
      </c>
      <c r="CL65" s="73">
        <v>0.26</v>
      </c>
      <c r="CM65" s="73">
        <v>8.9779999999999998</v>
      </c>
      <c r="CN65" s="73">
        <v>2.2599999999999998</v>
      </c>
      <c r="CP65" s="136">
        <f t="shared" si="0"/>
        <v>2.4544190991593866</v>
      </c>
      <c r="CQ65" s="136">
        <f t="shared" si="1"/>
        <v>1.327416479927134</v>
      </c>
      <c r="CR65" s="136">
        <f t="shared" si="2"/>
        <v>10.559074412415821</v>
      </c>
      <c r="CS65" s="136">
        <f t="shared" si="3"/>
        <v>0.98710333335757949</v>
      </c>
      <c r="CT65" s="136">
        <f t="shared" si="4"/>
        <v>1.5337694054430793</v>
      </c>
      <c r="CU65" s="136">
        <f t="shared" si="5"/>
        <v>0.68316998989254074</v>
      </c>
      <c r="CV65" s="136">
        <f t="shared" si="6"/>
        <v>6.0260622965861961</v>
      </c>
      <c r="CW65" s="136">
        <f t="shared" si="7"/>
        <v>8.0575477482854794</v>
      </c>
      <c r="CX65" s="136">
        <f t="shared" si="8"/>
        <v>13.719796830963817</v>
      </c>
      <c r="CY65" s="136">
        <f t="shared" si="9"/>
        <v>11.881878707600446</v>
      </c>
      <c r="CZ65" s="136">
        <f t="shared" si="10"/>
        <v>-7.1960125454126391</v>
      </c>
      <c r="DA65" s="136">
        <f t="shared" si="11"/>
        <v>8.6722032629959394</v>
      </c>
      <c r="DB65" s="22"/>
      <c r="DC65" s="141">
        <f t="shared" si="12"/>
        <v>0.95833333333333337</v>
      </c>
      <c r="DD65" s="141">
        <f t="shared" si="13"/>
        <v>4.2750000000000003E-2</v>
      </c>
      <c r="DE65" s="141">
        <f t="shared" si="14"/>
        <v>0.45981499999999997</v>
      </c>
      <c r="DF65" s="141">
        <f t="shared" si="15"/>
        <v>0.8671875</v>
      </c>
      <c r="DG65" s="141">
        <f t="shared" si="19"/>
        <v>9.2999999999999992E-3</v>
      </c>
      <c r="DH65" s="141">
        <f t="shared" si="17"/>
        <v>0.30359999999999998</v>
      </c>
    </row>
    <row r="66" spans="1:112" s="28" customFormat="1">
      <c r="A66" s="38" t="s">
        <v>909</v>
      </c>
      <c r="C66" s="141"/>
      <c r="D66" s="141"/>
      <c r="E66" s="141"/>
      <c r="F66" s="362"/>
      <c r="G66" s="141"/>
      <c r="H66" s="141"/>
      <c r="I66" s="141"/>
      <c r="J66" s="141"/>
      <c r="K66" s="141"/>
      <c r="L66" s="141"/>
      <c r="M66" s="38" t="s">
        <v>1172</v>
      </c>
      <c r="O66" s="363"/>
      <c r="P66" s="363"/>
      <c r="Q66" s="363"/>
      <c r="R66" s="363"/>
      <c r="S66" s="363"/>
      <c r="T66" s="363"/>
      <c r="U66"/>
      <c r="V66" s="17" t="s">
        <v>205</v>
      </c>
      <c r="W66" s="20" t="s">
        <v>206</v>
      </c>
      <c r="X66" s="15" t="s">
        <v>341</v>
      </c>
      <c r="Y66" s="17">
        <v>0.21768199999999999</v>
      </c>
      <c r="Z66" s="17">
        <v>34.802346</v>
      </c>
      <c r="AA66" s="17" t="s">
        <v>356</v>
      </c>
      <c r="AB66" s="17" t="s">
        <v>330</v>
      </c>
      <c r="AC66" s="6" t="s">
        <v>347</v>
      </c>
      <c r="AD66" s="14" t="s">
        <v>371</v>
      </c>
      <c r="AE66" s="65" t="s">
        <v>687</v>
      </c>
      <c r="AF66" s="17" t="s">
        <v>361</v>
      </c>
      <c r="AG66" s="17" t="s">
        <v>685</v>
      </c>
      <c r="AH66" s="35" t="s">
        <v>690</v>
      </c>
      <c r="AI66" s="24">
        <v>3.5826771653543794</v>
      </c>
      <c r="AJ66" s="73">
        <v>4.75</v>
      </c>
      <c r="AK66" s="76">
        <v>1.5039950000000002</v>
      </c>
      <c r="AL66" s="73">
        <v>6.7</v>
      </c>
      <c r="AM66" s="73">
        <v>0.82</v>
      </c>
      <c r="AN66" s="73">
        <v>1860</v>
      </c>
      <c r="AO66" s="73">
        <v>1820</v>
      </c>
      <c r="AP66" s="73">
        <v>40880</v>
      </c>
      <c r="AQ66" s="73">
        <v>351</v>
      </c>
      <c r="AR66" s="73">
        <v>155</v>
      </c>
      <c r="AS66" s="73">
        <v>11964</v>
      </c>
      <c r="AT66" s="73">
        <v>1420</v>
      </c>
      <c r="AU66" s="73">
        <v>1976.5</v>
      </c>
      <c r="AV66" s="73">
        <v>65.3</v>
      </c>
      <c r="AW66" s="73">
        <v>112.5</v>
      </c>
      <c r="AX66" s="73">
        <v>1016.9</v>
      </c>
      <c r="AY66" s="73">
        <v>24113</v>
      </c>
      <c r="AZ66" s="73">
        <v>16.132000000000001</v>
      </c>
      <c r="BA66" s="73">
        <v>17.73</v>
      </c>
      <c r="BB66" s="73">
        <v>57.54</v>
      </c>
      <c r="BC66" s="73">
        <v>45</v>
      </c>
      <c r="BD66" s="73">
        <v>9.7100000000000009</v>
      </c>
      <c r="BE66" s="73">
        <v>44.5</v>
      </c>
      <c r="BF66" s="73">
        <v>0.54</v>
      </c>
      <c r="BG66" s="73">
        <v>53.63</v>
      </c>
      <c r="BH66" s="73">
        <v>51.32</v>
      </c>
      <c r="BI66" s="73">
        <v>10.198</v>
      </c>
      <c r="BJ66" s="73">
        <v>94.69</v>
      </c>
      <c r="BK66" s="73">
        <v>13.506</v>
      </c>
      <c r="BL66" s="73">
        <v>1.75</v>
      </c>
      <c r="BM66" s="73">
        <v>0.89300000000000002</v>
      </c>
      <c r="BN66" s="73">
        <v>0.11600000000000001</v>
      </c>
      <c r="BO66" s="73">
        <v>1.46</v>
      </c>
      <c r="BP66" s="73">
        <v>1.1100000000000001</v>
      </c>
      <c r="BQ66" s="73">
        <v>2.3540000000000001</v>
      </c>
      <c r="BR66" s="73">
        <v>439.86</v>
      </c>
      <c r="BS66" s="73">
        <v>24.751999999999999</v>
      </c>
      <c r="BT66" s="73">
        <v>84.338999999999999</v>
      </c>
      <c r="BU66" s="73">
        <v>4.6790000000000003</v>
      </c>
      <c r="BV66" s="73">
        <v>17.190000000000001</v>
      </c>
      <c r="BW66" s="73">
        <v>2.9590000000000001</v>
      </c>
      <c r="BX66" s="73">
        <v>0.624</v>
      </c>
      <c r="BY66" s="73">
        <v>2.23</v>
      </c>
      <c r="BZ66" s="73">
        <v>0.315</v>
      </c>
      <c r="CA66" s="73">
        <v>1.871</v>
      </c>
      <c r="CB66" s="73">
        <v>0.36899999999999999</v>
      </c>
      <c r="CC66" s="73">
        <v>1.0449999999999999</v>
      </c>
      <c r="CD66" s="73">
        <v>0.157</v>
      </c>
      <c r="CE66" s="73">
        <v>0.98599999999999999</v>
      </c>
      <c r="CF66" s="73">
        <v>0.14899999999999999</v>
      </c>
      <c r="CG66" s="73">
        <v>2.746</v>
      </c>
      <c r="CH66" s="73">
        <v>0.76900000000000002</v>
      </c>
      <c r="CI66" s="73">
        <v>2.359</v>
      </c>
      <c r="CJ66" s="73">
        <v>0.33200000000000002</v>
      </c>
      <c r="CK66" s="73">
        <v>36.299999999999997</v>
      </c>
      <c r="CL66" s="73">
        <v>12.01</v>
      </c>
      <c r="CM66" s="73">
        <v>6.9939999999999998</v>
      </c>
      <c r="CN66" s="73">
        <v>1.8160000000000001</v>
      </c>
      <c r="CP66" s="136">
        <f t="shared" si="0"/>
        <v>9.5558284401140714</v>
      </c>
      <c r="CQ66" s="136">
        <f t="shared" si="1"/>
        <v>2.8351443223543065</v>
      </c>
      <c r="CR66" s="136">
        <f t="shared" si="2"/>
        <v>34.749339967489576</v>
      </c>
      <c r="CS66" s="136">
        <f t="shared" si="3"/>
        <v>2.0131661039566162</v>
      </c>
      <c r="CT66" s="136">
        <f t="shared" si="4"/>
        <v>1.9248308155163378</v>
      </c>
      <c r="CU66" s="136">
        <f t="shared" si="5"/>
        <v>0.80282926703853608</v>
      </c>
      <c r="CV66" s="136">
        <f t="shared" si="6"/>
        <v>7.9782337714955815</v>
      </c>
      <c r="CW66" s="136">
        <f t="shared" si="7"/>
        <v>9.1435209713953327</v>
      </c>
      <c r="CX66" s="136">
        <f t="shared" si="8"/>
        <v>15.429471166510231</v>
      </c>
      <c r="CY66" s="136">
        <f t="shared" si="9"/>
        <v>12.901244032467376</v>
      </c>
      <c r="CZ66" s="136">
        <f t="shared" si="10"/>
        <v>-6.8771903613930983</v>
      </c>
      <c r="DA66" s="136">
        <f t="shared" si="11"/>
        <v>8.8962240084791624</v>
      </c>
      <c r="DB66" s="22"/>
      <c r="DC66" s="141">
        <f t="shared" si="12"/>
        <v>3.7083333333333335</v>
      </c>
      <c r="DD66" s="141">
        <f t="shared" si="13"/>
        <v>9.0749999999999997E-2</v>
      </c>
      <c r="DE66" s="141">
        <f t="shared" si="14"/>
        <v>1.5039950000000002</v>
      </c>
      <c r="DF66" s="141">
        <f t="shared" si="15"/>
        <v>1.7578125</v>
      </c>
      <c r="DG66" s="141">
        <f t="shared" si="19"/>
        <v>1.1600000000000001E-2</v>
      </c>
      <c r="DH66" s="141">
        <f t="shared" si="17"/>
        <v>0.35460000000000003</v>
      </c>
    </row>
    <row r="67" spans="1:112" s="28" customFormat="1">
      <c r="A67" s="38"/>
      <c r="B67" s="28" t="s">
        <v>697</v>
      </c>
      <c r="C67" s="141">
        <v>0</v>
      </c>
      <c r="D67" s="141">
        <v>0.02</v>
      </c>
      <c r="E67" s="141">
        <v>0.01</v>
      </c>
      <c r="F67" s="362">
        <v>0.03</v>
      </c>
      <c r="G67" s="141">
        <v>0.05</v>
      </c>
      <c r="H67" s="141">
        <v>0.69</v>
      </c>
      <c r="I67" s="141">
        <v>4.08</v>
      </c>
      <c r="J67" s="141">
        <v>1</v>
      </c>
      <c r="K67" s="141">
        <v>9.26</v>
      </c>
      <c r="L67" s="141">
        <v>2.31</v>
      </c>
      <c r="N67" s="35" t="s">
        <v>880</v>
      </c>
      <c r="O67" s="363">
        <v>0.11666666666666665</v>
      </c>
      <c r="P67" s="363">
        <v>1.44E-2</v>
      </c>
      <c r="Q67" s="363">
        <v>2.2800000000000001E-2</v>
      </c>
      <c r="R67" s="363">
        <v>0.73906249999999996</v>
      </c>
      <c r="S67" s="363">
        <v>1.2000000000000001E-3</v>
      </c>
      <c r="T67" s="363">
        <v>0.10779999999999999</v>
      </c>
      <c r="U67"/>
      <c r="V67" s="17" t="s">
        <v>207</v>
      </c>
      <c r="W67" s="20" t="s">
        <v>208</v>
      </c>
      <c r="X67" s="15" t="s">
        <v>341</v>
      </c>
      <c r="Y67" s="17">
        <v>0.21768199999999999</v>
      </c>
      <c r="Z67" s="17">
        <v>34.802346</v>
      </c>
      <c r="AA67" s="17" t="s">
        <v>356</v>
      </c>
      <c r="AB67" s="17" t="s">
        <v>330</v>
      </c>
      <c r="AC67" s="6" t="s">
        <v>347</v>
      </c>
      <c r="AD67" s="14" t="s">
        <v>371</v>
      </c>
      <c r="AE67" s="65" t="s">
        <v>687</v>
      </c>
      <c r="AF67" s="17" t="s">
        <v>366</v>
      </c>
      <c r="AG67" s="17" t="s">
        <v>684</v>
      </c>
      <c r="AH67" s="35" t="s">
        <v>683</v>
      </c>
      <c r="AI67" s="24">
        <v>3.7090311312032322</v>
      </c>
      <c r="AJ67" s="73">
        <v>7.07</v>
      </c>
      <c r="AK67" s="76">
        <v>0.55713499999999994</v>
      </c>
      <c r="AL67" s="73">
        <v>4.3</v>
      </c>
      <c r="AM67" s="73">
        <v>1.17</v>
      </c>
      <c r="AN67" s="73">
        <v>4440</v>
      </c>
      <c r="AO67" s="73">
        <v>2499</v>
      </c>
      <c r="AP67" s="73">
        <v>36607</v>
      </c>
      <c r="AQ67" s="73">
        <v>498</v>
      </c>
      <c r="AR67" s="73">
        <v>301</v>
      </c>
      <c r="AS67" s="73">
        <v>13025</v>
      </c>
      <c r="AT67" s="73">
        <v>1884</v>
      </c>
      <c r="AU67" s="73">
        <v>1836.4</v>
      </c>
      <c r="AV67" s="73">
        <v>50.9</v>
      </c>
      <c r="AW67" s="73">
        <v>72.599999999999994</v>
      </c>
      <c r="AX67" s="73">
        <v>687.1</v>
      </c>
      <c r="AY67" s="73">
        <v>23588</v>
      </c>
      <c r="AZ67" s="73">
        <v>11.095000000000001</v>
      </c>
      <c r="BA67" s="73">
        <v>12.14</v>
      </c>
      <c r="BB67" s="73">
        <v>39.61</v>
      </c>
      <c r="BC67" s="73">
        <v>66</v>
      </c>
      <c r="BD67" s="73">
        <v>7.99</v>
      </c>
      <c r="BE67" s="73">
        <v>57.9</v>
      </c>
      <c r="BF67" s="73">
        <v>0.49</v>
      </c>
      <c r="BG67" s="73">
        <v>50.07</v>
      </c>
      <c r="BH67" s="73">
        <v>67.819999999999993</v>
      </c>
      <c r="BI67" s="73">
        <v>7.8479999999999999</v>
      </c>
      <c r="BJ67" s="73">
        <v>88.67</v>
      </c>
      <c r="BK67" s="73">
        <v>10.215999999999999</v>
      </c>
      <c r="BL67" s="73">
        <v>1.26</v>
      </c>
      <c r="BM67" s="73">
        <v>1.008</v>
      </c>
      <c r="BN67" s="73">
        <v>0.36799999999999999</v>
      </c>
      <c r="BO67" s="73">
        <v>1.45</v>
      </c>
      <c r="BP67" s="73">
        <v>0.93600000000000005</v>
      </c>
      <c r="BQ67" s="73">
        <v>1.7390000000000001</v>
      </c>
      <c r="BR67" s="73">
        <v>413.4</v>
      </c>
      <c r="BS67" s="73">
        <v>16.731999999999999</v>
      </c>
      <c r="BT67" s="73">
        <v>48.427999999999997</v>
      </c>
      <c r="BU67" s="73">
        <v>3.319</v>
      </c>
      <c r="BV67" s="73">
        <v>12.02</v>
      </c>
      <c r="BW67" s="73">
        <v>2.1720000000000002</v>
      </c>
      <c r="BX67" s="73">
        <v>0.46100000000000002</v>
      </c>
      <c r="BY67" s="73">
        <v>1.669</v>
      </c>
      <c r="BZ67" s="73">
        <v>0.247</v>
      </c>
      <c r="CA67" s="73">
        <v>1.371</v>
      </c>
      <c r="CB67" s="73">
        <v>0.28199999999999997</v>
      </c>
      <c r="CC67" s="73">
        <v>0.83499999999999996</v>
      </c>
      <c r="CD67" s="73">
        <v>0.127</v>
      </c>
      <c r="CE67" s="73">
        <v>0.82699999999999996</v>
      </c>
      <c r="CF67" s="73">
        <v>0.13300000000000001</v>
      </c>
      <c r="CG67" s="73">
        <v>2.4820000000000002</v>
      </c>
      <c r="CH67" s="73">
        <v>0.65</v>
      </c>
      <c r="CI67" s="73">
        <v>1.855</v>
      </c>
      <c r="CJ67" s="73">
        <v>0.251</v>
      </c>
      <c r="CK67" s="73">
        <v>28.7</v>
      </c>
      <c r="CL67" s="73">
        <v>6.14</v>
      </c>
      <c r="CM67" s="73">
        <v>5.1970000000000001</v>
      </c>
      <c r="CN67" s="73">
        <v>1.48</v>
      </c>
      <c r="CP67" s="136">
        <f t="shared" si="0"/>
        <v>12.710043117637085</v>
      </c>
      <c r="CQ67" s="136">
        <f t="shared" si="1"/>
        <v>2.2914509756670802</v>
      </c>
      <c r="CR67" s="136">
        <f t="shared" si="2"/>
        <v>13.158934853835783</v>
      </c>
      <c r="CS67" s="136">
        <f t="shared" si="3"/>
        <v>1.3280787713593154</v>
      </c>
      <c r="CT67" s="136">
        <f t="shared" si="4"/>
        <v>6.2422695669600881</v>
      </c>
      <c r="CU67" s="136">
        <f t="shared" si="5"/>
        <v>0.56194430525644334</v>
      </c>
      <c r="CV67" s="136">
        <f t="shared" si="6"/>
        <v>8.3579917836310571</v>
      </c>
      <c r="CW67" s="136">
        <f t="shared" si="7"/>
        <v>8.8046021600752695</v>
      </c>
      <c r="CX67" s="136">
        <f t="shared" si="8"/>
        <v>13.996770251770792</v>
      </c>
      <c r="CY67" s="136">
        <f t="shared" si="9"/>
        <v>12.269360484358728</v>
      </c>
      <c r="CZ67" s="136">
        <f t="shared" si="10"/>
        <v>-5.2116094004636579</v>
      </c>
      <c r="DA67" s="136">
        <f t="shared" si="11"/>
        <v>8.3497998938361562</v>
      </c>
      <c r="DB67" s="22"/>
      <c r="DC67" s="141">
        <f t="shared" si="12"/>
        <v>4.8250000000000002</v>
      </c>
      <c r="DD67" s="141">
        <f t="shared" si="13"/>
        <v>7.1749999999999994E-2</v>
      </c>
      <c r="DE67" s="141">
        <f t="shared" si="14"/>
        <v>0.55713499999999994</v>
      </c>
      <c r="DF67" s="141">
        <f t="shared" si="15"/>
        <v>1.1343749999999999</v>
      </c>
      <c r="DG67" s="141">
        <f>BN67/1.4</f>
        <v>0.26285714285714284</v>
      </c>
      <c r="DH67" s="141">
        <f t="shared" si="17"/>
        <v>0.24280000000000002</v>
      </c>
    </row>
    <row r="68" spans="1:112" s="28" customFormat="1">
      <c r="A68" s="38"/>
      <c r="B68" s="28" t="s">
        <v>698</v>
      </c>
      <c r="C68" s="141">
        <v>59.1</v>
      </c>
      <c r="D68" s="141">
        <v>4.66</v>
      </c>
      <c r="E68" s="141">
        <v>1.58</v>
      </c>
      <c r="F68" s="362">
        <v>5.41</v>
      </c>
      <c r="G68" s="141">
        <v>0.21</v>
      </c>
      <c r="H68" s="141">
        <v>3.07</v>
      </c>
      <c r="I68" s="141">
        <v>5.88</v>
      </c>
      <c r="J68" s="141">
        <v>2.71</v>
      </c>
      <c r="K68" s="141">
        <v>12.19</v>
      </c>
      <c r="L68" s="141">
        <v>3.38</v>
      </c>
      <c r="N68" s="35" t="s">
        <v>881</v>
      </c>
      <c r="O68" s="363">
        <v>7936.6166666666659</v>
      </c>
      <c r="P68" s="363">
        <v>16.133749999999999</v>
      </c>
      <c r="Q68" s="363">
        <v>144.67769999999999</v>
      </c>
      <c r="R68" s="363">
        <v>26.285937499999999</v>
      </c>
      <c r="S68" s="363">
        <v>1.4455</v>
      </c>
      <c r="T68" s="363">
        <v>12.8392</v>
      </c>
      <c r="U68"/>
      <c r="V68" s="17" t="s">
        <v>209</v>
      </c>
      <c r="W68" s="20" t="s">
        <v>210</v>
      </c>
      <c r="X68" s="15" t="s">
        <v>341</v>
      </c>
      <c r="Y68" s="17">
        <v>0.16381399999999999</v>
      </c>
      <c r="Z68" s="17">
        <v>34.761139</v>
      </c>
      <c r="AA68" s="17" t="s">
        <v>357</v>
      </c>
      <c r="AB68" s="17" t="s">
        <v>330</v>
      </c>
      <c r="AC68" s="6" t="s">
        <v>347</v>
      </c>
      <c r="AD68" s="14" t="s">
        <v>371</v>
      </c>
      <c r="AE68" s="65" t="s">
        <v>687</v>
      </c>
      <c r="AF68" s="17" t="s">
        <v>361</v>
      </c>
      <c r="AG68" s="17" t="s">
        <v>685</v>
      </c>
      <c r="AH68" s="35" t="s">
        <v>690</v>
      </c>
      <c r="AI68" s="24">
        <v>2.8591011455986926</v>
      </c>
      <c r="AJ68" s="73">
        <v>5.28</v>
      </c>
      <c r="AK68" s="76">
        <v>0.13077499999999997</v>
      </c>
      <c r="AL68" s="73">
        <v>15.8</v>
      </c>
      <c r="AM68" s="73">
        <v>1.06</v>
      </c>
      <c r="AN68" s="73">
        <v>703</v>
      </c>
      <c r="AO68" s="73">
        <v>2037</v>
      </c>
      <c r="AP68" s="73">
        <v>38075</v>
      </c>
      <c r="AQ68" s="73">
        <v>279</v>
      </c>
      <c r="AR68" s="73">
        <v>153</v>
      </c>
      <c r="AS68" s="73">
        <v>5774</v>
      </c>
      <c r="AT68" s="73">
        <v>1207</v>
      </c>
      <c r="AU68" s="73">
        <v>1624.6</v>
      </c>
      <c r="AV68" s="73">
        <v>65.2</v>
      </c>
      <c r="AW68" s="73">
        <v>207.7</v>
      </c>
      <c r="AX68" s="73">
        <v>1072.4000000000001</v>
      </c>
      <c r="AY68" s="73">
        <v>26248</v>
      </c>
      <c r="AZ68" s="73">
        <v>35.881</v>
      </c>
      <c r="BA68" s="73">
        <v>66.37</v>
      </c>
      <c r="BB68" s="73">
        <v>26.33</v>
      </c>
      <c r="BC68" s="73">
        <v>96</v>
      </c>
      <c r="BD68" s="73">
        <v>10.07</v>
      </c>
      <c r="BE68" s="73">
        <v>57.8</v>
      </c>
      <c r="BF68" s="73">
        <v>0.4</v>
      </c>
      <c r="BG68" s="73">
        <v>37.31</v>
      </c>
      <c r="BH68" s="73">
        <v>21.32</v>
      </c>
      <c r="BI68" s="73">
        <v>12.358000000000001</v>
      </c>
      <c r="BJ68" s="73">
        <v>122.14</v>
      </c>
      <c r="BK68" s="73">
        <v>27.571999999999999</v>
      </c>
      <c r="BL68" s="73">
        <v>2.14</v>
      </c>
      <c r="BM68" s="73">
        <v>0.34599999999999997</v>
      </c>
      <c r="BN68" s="73">
        <v>9.2999999999999999E-2</v>
      </c>
      <c r="BO68" s="73">
        <v>1.41</v>
      </c>
      <c r="BP68" s="73">
        <v>0.39600000000000002</v>
      </c>
      <c r="BQ68" s="73">
        <v>2.1309999999999998</v>
      </c>
      <c r="BR68" s="73">
        <v>194.77</v>
      </c>
      <c r="BS68" s="73">
        <v>23.373999999999999</v>
      </c>
      <c r="BT68" s="73">
        <v>78.941999999999993</v>
      </c>
      <c r="BU68" s="73">
        <v>4.8659999999999997</v>
      </c>
      <c r="BV68" s="73">
        <v>17.670000000000002</v>
      </c>
      <c r="BW68" s="73">
        <v>3.335</v>
      </c>
      <c r="BX68" s="73">
        <v>0.64</v>
      </c>
      <c r="BY68" s="73">
        <v>2.5680000000000001</v>
      </c>
      <c r="BZ68" s="73">
        <v>0.42</v>
      </c>
      <c r="CA68" s="73">
        <v>2.4279999999999999</v>
      </c>
      <c r="CB68" s="73">
        <v>0.47</v>
      </c>
      <c r="CC68" s="73">
        <v>1.401</v>
      </c>
      <c r="CD68" s="73">
        <v>0.20699999999999999</v>
      </c>
      <c r="CE68" s="73">
        <v>1.3080000000000001</v>
      </c>
      <c r="CF68" s="73">
        <v>0.19600000000000001</v>
      </c>
      <c r="CG68" s="73">
        <v>3.2360000000000002</v>
      </c>
      <c r="CH68" s="73">
        <v>1.536</v>
      </c>
      <c r="CI68" s="73">
        <v>2.8039999999999998</v>
      </c>
      <c r="CJ68" s="73">
        <v>0.33500000000000002</v>
      </c>
      <c r="CK68" s="73">
        <v>18.600000000000001</v>
      </c>
      <c r="CL68" s="73">
        <v>1.28</v>
      </c>
      <c r="CM68" s="73">
        <v>6.3280000000000003</v>
      </c>
      <c r="CN68" s="73">
        <v>1.736</v>
      </c>
      <c r="CP68" s="136">
        <f t="shared" si="0"/>
        <v>11.402266839378237</v>
      </c>
      <c r="CQ68" s="136">
        <f t="shared" si="1"/>
        <v>1.334555131090861</v>
      </c>
      <c r="CR68" s="136">
        <f t="shared" si="2"/>
        <v>2.7757472932235454</v>
      </c>
      <c r="CS68" s="136">
        <f t="shared" si="3"/>
        <v>3.414433135148299</v>
      </c>
      <c r="CT68" s="136">
        <f t="shared" si="4"/>
        <v>1.4176615187997008</v>
      </c>
      <c r="CU68" s="136">
        <f t="shared" si="5"/>
        <v>2.7608404356295098</v>
      </c>
      <c r="CV68" s="136">
        <f t="shared" si="6"/>
        <v>8.3554979281424995</v>
      </c>
      <c r="CW68" s="136">
        <f t="shared" si="7"/>
        <v>8.178854044507613</v>
      </c>
      <c r="CX68" s="136">
        <f t="shared" si="8"/>
        <v>11.905830070824818</v>
      </c>
      <c r="CY68" s="136">
        <f t="shared" si="9"/>
        <v>13.785820247207624</v>
      </c>
      <c r="CZ68" s="136">
        <f t="shared" si="10"/>
        <v>-7.1960125454126391</v>
      </c>
      <c r="DA68" s="136">
        <f t="shared" si="11"/>
        <v>10.800562746473295</v>
      </c>
      <c r="DB68" s="22"/>
      <c r="DC68" s="141">
        <f t="shared" si="12"/>
        <v>4.8166666666666664</v>
      </c>
      <c r="DD68" s="141">
        <f t="shared" si="13"/>
        <v>4.6500000000000007E-2</v>
      </c>
      <c r="DE68" s="141">
        <f t="shared" si="14"/>
        <v>0.13077499999999997</v>
      </c>
      <c r="DF68" s="141">
        <f t="shared" si="15"/>
        <v>3.2453124999999998</v>
      </c>
      <c r="DG68" s="141">
        <f t="shared" si="19"/>
        <v>9.2999999999999992E-3</v>
      </c>
      <c r="DH68" s="141">
        <f t="shared" si="17"/>
        <v>1.3274000000000001</v>
      </c>
    </row>
    <row r="69" spans="1:112" s="28" customFormat="1">
      <c r="A69" s="38"/>
      <c r="B69" s="28" t="s">
        <v>903</v>
      </c>
      <c r="C69" s="141">
        <v>33.125</v>
      </c>
      <c r="D69" s="141">
        <v>2.75</v>
      </c>
      <c r="E69" s="141">
        <v>0.94000000000000006</v>
      </c>
      <c r="F69" s="362">
        <v>3.09</v>
      </c>
      <c r="G69" s="141">
        <v>0.185</v>
      </c>
      <c r="H69" s="141">
        <v>1.88</v>
      </c>
      <c r="I69" s="141">
        <v>4.9800000000000004</v>
      </c>
      <c r="J69" s="141">
        <v>1.855</v>
      </c>
      <c r="K69" s="141">
        <v>11.114999999999998</v>
      </c>
      <c r="L69" s="141">
        <v>2.8449999999999998</v>
      </c>
      <c r="N69" s="35" t="s">
        <v>882</v>
      </c>
      <c r="O69" s="363">
        <v>148.69806547619052</v>
      </c>
      <c r="P69" s="363">
        <v>0.3000207589285715</v>
      </c>
      <c r="Q69" s="363">
        <v>5.4070105045871548</v>
      </c>
      <c r="R69" s="363">
        <v>4.9249581473214281</v>
      </c>
      <c r="S69" s="363">
        <v>7.5606249999999986E-2</v>
      </c>
      <c r="T69" s="363">
        <v>1.9618214285714284</v>
      </c>
      <c r="U69"/>
      <c r="V69" s="17" t="s">
        <v>211</v>
      </c>
      <c r="W69" s="20" t="s">
        <v>212</v>
      </c>
      <c r="X69" s="15" t="s">
        <v>341</v>
      </c>
      <c r="Y69" s="17">
        <v>0.16381399999999999</v>
      </c>
      <c r="Z69" s="17">
        <v>34.761139</v>
      </c>
      <c r="AA69" s="17" t="s">
        <v>357</v>
      </c>
      <c r="AB69" s="17" t="s">
        <v>330</v>
      </c>
      <c r="AC69" s="6" t="s">
        <v>347</v>
      </c>
      <c r="AD69" s="14" t="s">
        <v>371</v>
      </c>
      <c r="AE69" s="65" t="s">
        <v>687</v>
      </c>
      <c r="AF69" s="17" t="s">
        <v>367</v>
      </c>
      <c r="AG69" s="17" t="s">
        <v>684</v>
      </c>
      <c r="AH69" s="35" t="s">
        <v>683</v>
      </c>
      <c r="AI69" s="24">
        <v>4.8925556408286983</v>
      </c>
      <c r="AJ69" s="73">
        <v>4.05</v>
      </c>
      <c r="AK69" s="76">
        <v>0.46534500000000001</v>
      </c>
      <c r="AL69" s="73">
        <v>17.899999999999999</v>
      </c>
      <c r="AM69" s="73">
        <v>1.46</v>
      </c>
      <c r="AN69" s="73">
        <v>924</v>
      </c>
      <c r="AO69" s="73">
        <v>1604</v>
      </c>
      <c r="AP69" s="73">
        <v>76593</v>
      </c>
      <c r="AQ69" s="73">
        <v>539</v>
      </c>
      <c r="AR69" s="73">
        <v>210</v>
      </c>
      <c r="AS69" s="73">
        <v>9360</v>
      </c>
      <c r="AT69" s="73" t="s">
        <v>125</v>
      </c>
      <c r="AU69" s="73">
        <v>3640.2</v>
      </c>
      <c r="AV69" s="73">
        <v>108.1</v>
      </c>
      <c r="AW69" s="73">
        <v>135.19999999999999</v>
      </c>
      <c r="AX69" s="73">
        <v>1484.8</v>
      </c>
      <c r="AY69" s="73">
        <v>42852</v>
      </c>
      <c r="AZ69" s="73">
        <v>27.745999999999999</v>
      </c>
      <c r="BA69" s="73">
        <v>40.54</v>
      </c>
      <c r="BB69" s="73">
        <v>31.05</v>
      </c>
      <c r="BC69" s="73">
        <v>53</v>
      </c>
      <c r="BD69" s="73">
        <v>18.920000000000002</v>
      </c>
      <c r="BE69" s="73">
        <v>55</v>
      </c>
      <c r="BF69" s="73">
        <v>0.83</v>
      </c>
      <c r="BG69" s="73">
        <v>71.59</v>
      </c>
      <c r="BH69" s="73">
        <v>26.86</v>
      </c>
      <c r="BI69" s="73">
        <v>21.332000000000001</v>
      </c>
      <c r="BJ69" s="73">
        <v>295.75</v>
      </c>
      <c r="BK69" s="73">
        <v>68.061000000000007</v>
      </c>
      <c r="BL69" s="73">
        <v>3.3</v>
      </c>
      <c r="BM69" s="73">
        <v>0.1</v>
      </c>
      <c r="BN69" s="73">
        <v>0.06</v>
      </c>
      <c r="BO69" s="73">
        <v>3.03</v>
      </c>
      <c r="BP69" s="73">
        <v>0.377</v>
      </c>
      <c r="BQ69" s="73">
        <v>3.831</v>
      </c>
      <c r="BR69" s="73">
        <v>278.55</v>
      </c>
      <c r="BS69" s="73">
        <v>39.765999999999998</v>
      </c>
      <c r="BT69" s="73">
        <v>133.66900000000001</v>
      </c>
      <c r="BU69" s="73">
        <v>8.3620000000000001</v>
      </c>
      <c r="BV69" s="73">
        <v>30.35</v>
      </c>
      <c r="BW69" s="73">
        <v>5.8860000000000001</v>
      </c>
      <c r="BX69" s="73">
        <v>1.04</v>
      </c>
      <c r="BY69" s="73">
        <v>4.6059999999999999</v>
      </c>
      <c r="BZ69" s="73">
        <v>0.75600000000000001</v>
      </c>
      <c r="CA69" s="73">
        <v>4.3680000000000003</v>
      </c>
      <c r="CB69" s="73">
        <v>0.872</v>
      </c>
      <c r="CC69" s="73">
        <v>2.577</v>
      </c>
      <c r="CD69" s="73">
        <v>0.38100000000000001</v>
      </c>
      <c r="CE69" s="73">
        <v>2.452</v>
      </c>
      <c r="CF69" s="73">
        <v>0.373</v>
      </c>
      <c r="CG69" s="73">
        <v>7.2910000000000004</v>
      </c>
      <c r="CH69" s="73">
        <v>3.7610000000000001</v>
      </c>
      <c r="CI69" s="73">
        <v>2.3069999999999999</v>
      </c>
      <c r="CJ69" s="73">
        <v>0.58699999999999997</v>
      </c>
      <c r="CK69" s="73">
        <v>23.5</v>
      </c>
      <c r="CL69" s="73">
        <v>0.32</v>
      </c>
      <c r="CM69" s="73">
        <v>13.191000000000001</v>
      </c>
      <c r="CN69" s="73">
        <v>3.282</v>
      </c>
      <c r="CP69" s="136">
        <f t="shared" si="0"/>
        <v>6.6458597580729295</v>
      </c>
      <c r="CQ69" s="136">
        <f t="shared" si="1"/>
        <v>1.0328007831914012</v>
      </c>
      <c r="CR69" s="136">
        <f t="shared" si="2"/>
        <v>6.0499999257822328</v>
      </c>
      <c r="CS69" s="136">
        <f t="shared" si="3"/>
        <v>1.3613943019567576</v>
      </c>
      <c r="CT69" s="136">
        <f t="shared" si="4"/>
        <v>0.56022950026730478</v>
      </c>
      <c r="CU69" s="136">
        <f t="shared" si="5"/>
        <v>1.0329477522087236</v>
      </c>
      <c r="CV69" s="136">
        <f t="shared" si="6"/>
        <v>8.283860054053843</v>
      </c>
      <c r="CW69" s="136">
        <f t="shared" si="7"/>
        <v>8.5162121799645831</v>
      </c>
      <c r="CX69" s="136">
        <f t="shared" si="8"/>
        <v>13.737044006790196</v>
      </c>
      <c r="CY69" s="136">
        <f t="shared" si="9"/>
        <v>13.166414182645161</v>
      </c>
      <c r="CZ69" s="136">
        <f t="shared" si="10"/>
        <v>-7.8282807609121523</v>
      </c>
      <c r="DA69" s="136">
        <f t="shared" si="11"/>
        <v>10.089377561047373</v>
      </c>
      <c r="DB69" s="22"/>
      <c r="DC69" s="141">
        <f t="shared" si="12"/>
        <v>4.583333333333333</v>
      </c>
      <c r="DD69" s="141">
        <f t="shared" si="13"/>
        <v>5.8749999999999997E-2</v>
      </c>
      <c r="DE69" s="141">
        <f t="shared" si="14"/>
        <v>0.46534500000000001</v>
      </c>
      <c r="DF69" s="141">
        <f t="shared" si="15"/>
        <v>2.1124999999999998</v>
      </c>
      <c r="DG69" s="141">
        <f t="shared" si="19"/>
        <v>6.0000000000000001E-3</v>
      </c>
      <c r="DH69" s="141">
        <f t="shared" si="17"/>
        <v>0.81079999999999997</v>
      </c>
    </row>
    <row r="70" spans="1:112" s="28" customFormat="1">
      <c r="A70" s="38"/>
      <c r="F70" s="38"/>
      <c r="O70" s="363"/>
      <c r="P70" s="363"/>
      <c r="Q70" s="363"/>
      <c r="R70" s="363"/>
      <c r="S70" s="363"/>
      <c r="T70" s="363"/>
      <c r="U70"/>
      <c r="V70" s="17" t="s">
        <v>213</v>
      </c>
      <c r="W70" s="20" t="s">
        <v>214</v>
      </c>
      <c r="X70" s="15" t="s">
        <v>341</v>
      </c>
      <c r="Y70" s="17">
        <v>0.16381399999999999</v>
      </c>
      <c r="Z70" s="17">
        <v>34.761139</v>
      </c>
      <c r="AA70" s="17" t="s">
        <v>357</v>
      </c>
      <c r="AB70" s="17" t="s">
        <v>330</v>
      </c>
      <c r="AC70" s="6" t="s">
        <v>347</v>
      </c>
      <c r="AD70" s="14" t="s">
        <v>371</v>
      </c>
      <c r="AE70" s="65" t="s">
        <v>687</v>
      </c>
      <c r="AF70" s="17" t="s">
        <v>365</v>
      </c>
      <c r="AG70" s="17" t="s">
        <v>685</v>
      </c>
      <c r="AH70" s="35" t="s">
        <v>691</v>
      </c>
      <c r="AI70" s="24">
        <v>0.41701417848183764</v>
      </c>
      <c r="AJ70" s="73">
        <v>6.35</v>
      </c>
      <c r="AK70" s="76">
        <v>7.3565000000000005E-2</v>
      </c>
      <c r="AL70" s="73">
        <v>10.9</v>
      </c>
      <c r="AM70" s="73">
        <v>0.4</v>
      </c>
      <c r="AN70" s="73">
        <v>406</v>
      </c>
      <c r="AO70" s="73">
        <v>1127</v>
      </c>
      <c r="AP70" s="73">
        <v>5717</v>
      </c>
      <c r="AQ70" s="73">
        <v>71</v>
      </c>
      <c r="AR70" s="73">
        <v>27</v>
      </c>
      <c r="AS70" s="73">
        <v>1070</v>
      </c>
      <c r="AT70" s="73" t="s">
        <v>125</v>
      </c>
      <c r="AU70" s="73">
        <v>152.9</v>
      </c>
      <c r="AV70" s="73">
        <v>16</v>
      </c>
      <c r="AW70" s="73">
        <v>141.69999999999999</v>
      </c>
      <c r="AX70" s="73">
        <v>754</v>
      </c>
      <c r="AY70" s="73">
        <v>9537</v>
      </c>
      <c r="AZ70" s="73">
        <v>45.680999999999997</v>
      </c>
      <c r="BA70" s="73">
        <v>54.66</v>
      </c>
      <c r="BB70" s="73">
        <v>15.99</v>
      </c>
      <c r="BC70" s="73">
        <v>27</v>
      </c>
      <c r="BD70" s="73">
        <v>1.51</v>
      </c>
      <c r="BE70" s="73">
        <v>19.3</v>
      </c>
      <c r="BF70" s="73">
        <v>0.16</v>
      </c>
      <c r="BG70" s="73">
        <v>5.0999999999999996</v>
      </c>
      <c r="BH70" s="73">
        <v>10.5</v>
      </c>
      <c r="BI70" s="73">
        <v>1.5580000000000001</v>
      </c>
      <c r="BJ70" s="73">
        <v>9.5500000000000007</v>
      </c>
      <c r="BK70" s="73">
        <v>1.0960000000000001</v>
      </c>
      <c r="BL70" s="73">
        <v>1.17</v>
      </c>
      <c r="BM70" s="73">
        <v>0.20300000000000001</v>
      </c>
      <c r="BN70" s="73">
        <v>4.4999999999999998E-2</v>
      </c>
      <c r="BO70" s="73">
        <v>0.15</v>
      </c>
      <c r="BP70" s="73">
        <v>0.23</v>
      </c>
      <c r="BQ70" s="73">
        <v>0.47699999999999998</v>
      </c>
      <c r="BR70" s="73">
        <v>67.760000000000005</v>
      </c>
      <c r="BS70" s="73">
        <v>3.0739999999999998</v>
      </c>
      <c r="BT70" s="73">
        <v>36.829000000000001</v>
      </c>
      <c r="BU70" s="73">
        <v>0.70899999999999996</v>
      </c>
      <c r="BV70" s="73">
        <v>2.58</v>
      </c>
      <c r="BW70" s="73">
        <v>0.53500000000000003</v>
      </c>
      <c r="BX70" s="73">
        <v>0.122</v>
      </c>
      <c r="BY70" s="73">
        <v>0.41099999999999998</v>
      </c>
      <c r="BZ70" s="73">
        <v>6.4000000000000001E-2</v>
      </c>
      <c r="CA70" s="73">
        <v>0.34399999999999997</v>
      </c>
      <c r="CB70" s="73">
        <v>6.6000000000000003E-2</v>
      </c>
      <c r="CC70" s="73">
        <v>0.183</v>
      </c>
      <c r="CD70" s="73">
        <v>2.5999999999999999E-2</v>
      </c>
      <c r="CE70" s="73">
        <v>0.16800000000000001</v>
      </c>
      <c r="CF70" s="73">
        <v>2.5000000000000001E-2</v>
      </c>
      <c r="CG70" s="73">
        <v>0.26600000000000001</v>
      </c>
      <c r="CH70" s="73">
        <v>5.8999999999999997E-2</v>
      </c>
      <c r="CI70" s="73">
        <v>1.4450000000000001</v>
      </c>
      <c r="CJ70" s="73">
        <v>8.1000000000000003E-2</v>
      </c>
      <c r="CK70" s="73">
        <v>17.399999999999999</v>
      </c>
      <c r="CL70" s="73">
        <v>1.08</v>
      </c>
      <c r="CM70" s="73">
        <v>0.82899999999999996</v>
      </c>
      <c r="CN70" s="73">
        <v>0.36699999999999999</v>
      </c>
      <c r="CP70" s="136">
        <f t="shared" si="0"/>
        <v>10.478644474461694</v>
      </c>
      <c r="CQ70" s="136">
        <f t="shared" si="1"/>
        <v>3.43603246217724</v>
      </c>
      <c r="CR70" s="136">
        <f t="shared" si="2"/>
        <v>4.2974503748226436</v>
      </c>
      <c r="CS70" s="136">
        <f t="shared" si="3"/>
        <v>6.41115683087747</v>
      </c>
      <c r="CT70" s="136">
        <f t="shared" si="4"/>
        <v>1.8879328834110214</v>
      </c>
      <c r="CU70" s="136">
        <f t="shared" si="5"/>
        <v>6.2578269824400365</v>
      </c>
      <c r="CV70" s="136">
        <f t="shared" si="6"/>
        <v>6.7730292829099019</v>
      </c>
      <c r="CW70" s="136">
        <f t="shared" si="7"/>
        <v>8.0826387292483108</v>
      </c>
      <c r="CX70" s="136">
        <f t="shared" si="8"/>
        <v>11.075834744807604</v>
      </c>
      <c r="CY70" s="136">
        <f t="shared" si="9"/>
        <v>13.234158789280995</v>
      </c>
      <c r="CZ70" s="136">
        <f t="shared" si="10"/>
        <v>-8.2433182601909962</v>
      </c>
      <c r="DA70" s="136">
        <f t="shared" si="11"/>
        <v>10.520516932103682</v>
      </c>
      <c r="DB70" s="22"/>
      <c r="DC70" s="141">
        <f t="shared" si="12"/>
        <v>1.6083333333333334</v>
      </c>
      <c r="DD70" s="141">
        <f t="shared" si="13"/>
        <v>4.3499999999999997E-2</v>
      </c>
      <c r="DE70" s="141">
        <f t="shared" si="14"/>
        <v>7.3565000000000005E-2</v>
      </c>
      <c r="DF70" s="141">
        <f t="shared" si="15"/>
        <v>2.2140624999999998</v>
      </c>
      <c r="DG70" s="141">
        <f t="shared" si="19"/>
        <v>4.4999999999999997E-3</v>
      </c>
      <c r="DH70" s="141">
        <f t="shared" si="17"/>
        <v>1.0931999999999999</v>
      </c>
    </row>
    <row r="71" spans="1:112" s="28" customFormat="1">
      <c r="A71" s="38"/>
      <c r="F71" s="38"/>
      <c r="O71"/>
      <c r="P71"/>
      <c r="Q71"/>
      <c r="R71"/>
      <c r="S71"/>
      <c r="T71"/>
      <c r="U71"/>
      <c r="V71" s="17" t="s">
        <v>215</v>
      </c>
      <c r="W71" s="20" t="s">
        <v>216</v>
      </c>
      <c r="X71" s="15" t="s">
        <v>341</v>
      </c>
      <c r="Y71" s="17">
        <v>0.16381399999999999</v>
      </c>
      <c r="Z71" s="17">
        <v>34.761139</v>
      </c>
      <c r="AA71" s="17" t="s">
        <v>357</v>
      </c>
      <c r="AB71" s="17" t="s">
        <v>330</v>
      </c>
      <c r="AC71" s="6" t="s">
        <v>347</v>
      </c>
      <c r="AD71" s="14" t="s">
        <v>371</v>
      </c>
      <c r="AE71" s="65" t="s">
        <v>687</v>
      </c>
      <c r="AF71" s="17" t="s">
        <v>364</v>
      </c>
      <c r="AG71" s="17" t="s">
        <v>685</v>
      </c>
      <c r="AH71" s="35" t="s">
        <v>690</v>
      </c>
      <c r="AI71" s="24">
        <v>0.50834452330695423</v>
      </c>
      <c r="AJ71" s="73">
        <v>6.66</v>
      </c>
      <c r="AK71" s="76">
        <v>0.16572500000000001</v>
      </c>
      <c r="AL71" s="73">
        <v>7.8</v>
      </c>
      <c r="AM71" s="73">
        <v>7.0000000000000007E-2</v>
      </c>
      <c r="AN71" s="73">
        <v>244</v>
      </c>
      <c r="AO71" s="73">
        <v>618</v>
      </c>
      <c r="AP71" s="73">
        <v>3779</v>
      </c>
      <c r="AQ71" s="73">
        <v>40</v>
      </c>
      <c r="AR71" s="73">
        <v>20</v>
      </c>
      <c r="AS71" s="73">
        <v>802</v>
      </c>
      <c r="AT71" s="73" t="s">
        <v>125</v>
      </c>
      <c r="AU71" s="73">
        <v>101.9</v>
      </c>
      <c r="AV71" s="73">
        <v>9.4</v>
      </c>
      <c r="AW71" s="73">
        <v>208.7</v>
      </c>
      <c r="AX71" s="73">
        <v>491.7</v>
      </c>
      <c r="AY71" s="73">
        <v>6452</v>
      </c>
      <c r="AZ71" s="73">
        <v>34.491</v>
      </c>
      <c r="BA71" s="73">
        <v>44.84</v>
      </c>
      <c r="BB71" s="73">
        <v>11.15</v>
      </c>
      <c r="BC71" s="73">
        <v>14</v>
      </c>
      <c r="BD71" s="73">
        <v>1.05</v>
      </c>
      <c r="BE71" s="73">
        <v>8.6999999999999993</v>
      </c>
      <c r="BF71" s="73">
        <v>0.04</v>
      </c>
      <c r="BG71" s="73">
        <v>3.77</v>
      </c>
      <c r="BH71" s="73">
        <v>7.35</v>
      </c>
      <c r="BI71" s="73">
        <v>0.93</v>
      </c>
      <c r="BJ71" s="73">
        <v>6.06</v>
      </c>
      <c r="BK71" s="73">
        <v>0.94599999999999995</v>
      </c>
      <c r="BL71" s="73">
        <v>1.6</v>
      </c>
      <c r="BM71" s="73">
        <v>0.39200000000000002</v>
      </c>
      <c r="BN71" s="73">
        <v>3.1E-2</v>
      </c>
      <c r="BO71" s="73">
        <v>0.2</v>
      </c>
      <c r="BP71" s="73">
        <v>0.20100000000000001</v>
      </c>
      <c r="BQ71" s="73">
        <v>0.39100000000000001</v>
      </c>
      <c r="BR71" s="73">
        <v>39.200000000000003</v>
      </c>
      <c r="BS71" s="73">
        <v>2.016</v>
      </c>
      <c r="BT71" s="73">
        <v>14.324999999999999</v>
      </c>
      <c r="BU71" s="73">
        <v>0.45400000000000001</v>
      </c>
      <c r="BV71" s="73">
        <v>1.64</v>
      </c>
      <c r="BW71" s="73">
        <v>0.34</v>
      </c>
      <c r="BX71" s="73">
        <v>7.3999999999999996E-2</v>
      </c>
      <c r="BY71" s="73">
        <v>0.25</v>
      </c>
      <c r="BZ71" s="73">
        <v>3.5999999999999997E-2</v>
      </c>
      <c r="CA71" s="73">
        <v>0.20899999999999999</v>
      </c>
      <c r="CB71" s="73">
        <v>4.1000000000000002E-2</v>
      </c>
      <c r="CC71" s="73">
        <v>0.11</v>
      </c>
      <c r="CD71" s="73">
        <v>1.4E-2</v>
      </c>
      <c r="CE71" s="73">
        <v>9.5000000000000001E-2</v>
      </c>
      <c r="CF71" s="73">
        <v>1.7999999999999999E-2</v>
      </c>
      <c r="CG71" s="73">
        <v>0.17100000000000001</v>
      </c>
      <c r="CH71" s="73">
        <v>4.7E-2</v>
      </c>
      <c r="CI71" s="73">
        <v>1.8049999999999999</v>
      </c>
      <c r="CJ71" s="73">
        <v>5.0999999999999997E-2</v>
      </c>
      <c r="CK71" s="73">
        <v>6.8</v>
      </c>
      <c r="CL71" s="73">
        <v>0.67</v>
      </c>
      <c r="CM71" s="73">
        <v>0.59299999999999997</v>
      </c>
      <c r="CN71" s="73">
        <v>0.214</v>
      </c>
      <c r="CP71" s="136">
        <f t="shared" si="0"/>
        <v>6.9820744137704676</v>
      </c>
      <c r="CQ71" s="136">
        <f t="shared" si="1"/>
        <v>1.9848804150912265</v>
      </c>
      <c r="CR71" s="136">
        <f t="shared" si="2"/>
        <v>14.310179541521814</v>
      </c>
      <c r="CS71" s="136">
        <f t="shared" si="3"/>
        <v>13.957461016799778</v>
      </c>
      <c r="CT71" s="136">
        <f t="shared" si="4"/>
        <v>1.9224415966860171</v>
      </c>
      <c r="CU71" s="136">
        <f t="shared" si="5"/>
        <v>7.5881682536904398</v>
      </c>
      <c r="CV71" s="136">
        <f t="shared" si="6"/>
        <v>5.6235157414905492</v>
      </c>
      <c r="CW71" s="136">
        <f t="shared" si="7"/>
        <v>6.7271580746499211</v>
      </c>
      <c r="CX71" s="136">
        <f t="shared" si="8"/>
        <v>12.247534553672811</v>
      </c>
      <c r="CY71" s="136">
        <f t="shared" si="9"/>
        <v>13.792749631522813</v>
      </c>
      <c r="CZ71" s="136">
        <f t="shared" si="10"/>
        <v>-8.780975046133797</v>
      </c>
      <c r="DA71" s="136">
        <f t="shared" si="11"/>
        <v>10.234817750385902</v>
      </c>
      <c r="DB71" s="22"/>
      <c r="DC71" s="141">
        <f t="shared" si="12"/>
        <v>0.72499999999999998</v>
      </c>
      <c r="DD71" s="141">
        <f t="shared" si="13"/>
        <v>1.7000000000000001E-2</v>
      </c>
      <c r="DE71" s="141">
        <f t="shared" si="14"/>
        <v>0.16572500000000001</v>
      </c>
      <c r="DF71" s="141">
        <f t="shared" si="15"/>
        <v>3.2609374999999998</v>
      </c>
      <c r="DG71" s="141">
        <f t="shared" si="19"/>
        <v>3.0999999999999999E-3</v>
      </c>
      <c r="DH71" s="141">
        <f t="shared" si="17"/>
        <v>0.89680000000000004</v>
      </c>
    </row>
    <row r="72" spans="1:112" s="28" customFormat="1">
      <c r="A72" s="38"/>
      <c r="F72" s="38"/>
      <c r="O72"/>
      <c r="P72"/>
      <c r="Q72"/>
      <c r="R72"/>
      <c r="S72"/>
      <c r="T72"/>
      <c r="U72"/>
      <c r="V72" s="17" t="s">
        <v>217</v>
      </c>
      <c r="W72" s="20" t="s">
        <v>218</v>
      </c>
      <c r="X72" s="15" t="s">
        <v>341</v>
      </c>
      <c r="Y72" s="17">
        <v>0.17374600000000001</v>
      </c>
      <c r="Z72" s="17">
        <v>34.768698000000001</v>
      </c>
      <c r="AA72" s="17" t="s">
        <v>358</v>
      </c>
      <c r="AB72" s="17" t="s">
        <v>330</v>
      </c>
      <c r="AC72" s="6" t="s">
        <v>347</v>
      </c>
      <c r="AD72" s="14" t="s">
        <v>371</v>
      </c>
      <c r="AE72" s="65" t="s">
        <v>687</v>
      </c>
      <c r="AF72" s="17" t="s">
        <v>365</v>
      </c>
      <c r="AG72" s="17" t="s">
        <v>685</v>
      </c>
      <c r="AH72" s="35" t="s">
        <v>691</v>
      </c>
      <c r="AI72" s="24">
        <v>1.758569299552692</v>
      </c>
      <c r="AJ72" s="73">
        <v>6.36</v>
      </c>
      <c r="AK72" s="76">
        <v>0.30123499999999998</v>
      </c>
      <c r="AL72" s="73">
        <v>11.4</v>
      </c>
      <c r="AM72" s="73">
        <v>0.71</v>
      </c>
      <c r="AN72" s="73">
        <v>513</v>
      </c>
      <c r="AO72" s="73">
        <v>9391</v>
      </c>
      <c r="AP72" s="73">
        <v>24631</v>
      </c>
      <c r="AQ72" s="73">
        <v>385</v>
      </c>
      <c r="AR72" s="73">
        <v>123</v>
      </c>
      <c r="AS72" s="73">
        <v>4816</v>
      </c>
      <c r="AT72" s="73">
        <v>1190</v>
      </c>
      <c r="AU72" s="73">
        <v>831.3</v>
      </c>
      <c r="AV72" s="73">
        <v>69.599999999999994</v>
      </c>
      <c r="AW72" s="73">
        <v>427.2</v>
      </c>
      <c r="AX72" s="73">
        <v>800.3</v>
      </c>
      <c r="AY72" s="73">
        <v>24933</v>
      </c>
      <c r="AZ72" s="73">
        <v>40.81</v>
      </c>
      <c r="BA72" s="73">
        <v>173.06</v>
      </c>
      <c r="BB72" s="73">
        <v>25.43</v>
      </c>
      <c r="BC72" s="73">
        <v>69</v>
      </c>
      <c r="BD72" s="73">
        <v>5.73</v>
      </c>
      <c r="BE72" s="73">
        <v>251.9</v>
      </c>
      <c r="BF72" s="73">
        <v>0.17</v>
      </c>
      <c r="BG72" s="73">
        <v>18.98</v>
      </c>
      <c r="BH72" s="73">
        <v>14.1</v>
      </c>
      <c r="BI72" s="73">
        <v>5.2080000000000002</v>
      </c>
      <c r="BJ72" s="73">
        <v>38.32</v>
      </c>
      <c r="BK72" s="73">
        <v>3.2330000000000001</v>
      </c>
      <c r="BL72" s="73">
        <v>0.59</v>
      </c>
      <c r="BM72" s="73">
        <v>0.29199999999999998</v>
      </c>
      <c r="BN72" s="73">
        <v>0.14899999999999999</v>
      </c>
      <c r="BO72" s="73">
        <v>0.81</v>
      </c>
      <c r="BP72" s="73">
        <v>0.76800000000000002</v>
      </c>
      <c r="BQ72" s="73">
        <v>0.55400000000000005</v>
      </c>
      <c r="BR72" s="73">
        <v>187.44</v>
      </c>
      <c r="BS72" s="73">
        <v>7.9480000000000004</v>
      </c>
      <c r="BT72" s="73">
        <v>23.001000000000001</v>
      </c>
      <c r="BU72" s="73">
        <v>1.887</v>
      </c>
      <c r="BV72" s="73">
        <v>7.37</v>
      </c>
      <c r="BW72" s="73">
        <v>1.514</v>
      </c>
      <c r="BX72" s="73">
        <v>0.36699999999999999</v>
      </c>
      <c r="BY72" s="73">
        <v>1.1830000000000001</v>
      </c>
      <c r="BZ72" s="73">
        <v>0.17299999999999999</v>
      </c>
      <c r="CA72" s="73">
        <v>1</v>
      </c>
      <c r="CB72" s="73">
        <v>0.2</v>
      </c>
      <c r="CC72" s="73">
        <v>0.57099999999999995</v>
      </c>
      <c r="CD72" s="73">
        <v>8.8999999999999996E-2</v>
      </c>
      <c r="CE72" s="73">
        <v>0.502</v>
      </c>
      <c r="CF72" s="73">
        <v>8.3000000000000004E-2</v>
      </c>
      <c r="CG72" s="73">
        <v>1.05</v>
      </c>
      <c r="CH72" s="73">
        <v>0.188</v>
      </c>
      <c r="CI72" s="73">
        <v>1.9390000000000001</v>
      </c>
      <c r="CJ72" s="73">
        <v>0.128</v>
      </c>
      <c r="CK72" s="73">
        <v>11.6</v>
      </c>
      <c r="CL72" s="73">
        <v>0.24</v>
      </c>
      <c r="CM72" s="73">
        <v>1.897</v>
      </c>
      <c r="CN72" s="73">
        <v>0.501</v>
      </c>
      <c r="CP72" s="136">
        <f t="shared" si="0"/>
        <v>52.313431643864376</v>
      </c>
      <c r="CQ72" s="136">
        <f t="shared" si="1"/>
        <v>0.87619999175882934</v>
      </c>
      <c r="CR72" s="136">
        <f t="shared" si="2"/>
        <v>6.7310421023279092</v>
      </c>
      <c r="CS72" s="136">
        <f t="shared" si="3"/>
        <v>7.3932440115981422</v>
      </c>
      <c r="CT72" s="136">
        <f t="shared" si="4"/>
        <v>2.3910989634037403</v>
      </c>
      <c r="CU72" s="136">
        <f t="shared" si="5"/>
        <v>7.5785805188866213</v>
      </c>
      <c r="CV72" s="136">
        <f t="shared" si="6"/>
        <v>10.479207652376063</v>
      </c>
      <c r="CW72" s="136">
        <f t="shared" si="7"/>
        <v>7.4976762285271548</v>
      </c>
      <c r="CX72" s="136">
        <f t="shared" si="8"/>
        <v>13.109632704925293</v>
      </c>
      <c r="CY72" s="136">
        <f t="shared" si="9"/>
        <v>14.82623067805053</v>
      </c>
      <c r="CZ72" s="136">
        <f t="shared" si="10"/>
        <v>-6.5160028360585098</v>
      </c>
      <c r="DA72" s="136">
        <f t="shared" si="11"/>
        <v>12.183231874906511</v>
      </c>
      <c r="DB72" s="22"/>
      <c r="DC72" s="141">
        <f t="shared" ref="DC72:DC129" si="20">BE72/12</f>
        <v>20.991666666666667</v>
      </c>
      <c r="DD72" s="141">
        <f t="shared" ref="DD72:DD129" si="21">CK72/400</f>
        <v>2.8999999999999998E-2</v>
      </c>
      <c r="DE72" s="141">
        <f t="shared" ref="DE72:DE129" si="22">AK72/1</f>
        <v>0.30123499999999998</v>
      </c>
      <c r="DF72" s="141">
        <f t="shared" ref="DF72:DF129" si="23">AW72/64</f>
        <v>6.6749999999999998</v>
      </c>
      <c r="DG72" s="141">
        <f t="shared" si="19"/>
        <v>1.49E-2</v>
      </c>
      <c r="DH72" s="141">
        <f t="shared" ref="DH72:DH129" si="24">BA72/50</f>
        <v>3.4611999999999998</v>
      </c>
    </row>
    <row r="73" spans="1:112" s="28" customFormat="1">
      <c r="A73" s="38"/>
      <c r="F73" s="38"/>
      <c r="O73"/>
      <c r="P73"/>
      <c r="Q73"/>
      <c r="R73"/>
      <c r="S73"/>
      <c r="T73"/>
      <c r="U73"/>
      <c r="V73" s="17" t="s">
        <v>219</v>
      </c>
      <c r="W73" s="20" t="s">
        <v>220</v>
      </c>
      <c r="X73" s="15" t="s">
        <v>341</v>
      </c>
      <c r="Y73" s="17">
        <v>0.17374600000000001</v>
      </c>
      <c r="Z73" s="17">
        <v>34.768698000000001</v>
      </c>
      <c r="AA73" s="17" t="s">
        <v>358</v>
      </c>
      <c r="AB73" s="17" t="s">
        <v>330</v>
      </c>
      <c r="AC73" s="6" t="s">
        <v>347</v>
      </c>
      <c r="AD73" s="14" t="s">
        <v>371</v>
      </c>
      <c r="AE73" s="65" t="s">
        <v>687</v>
      </c>
      <c r="AF73" s="17" t="s">
        <v>364</v>
      </c>
      <c r="AG73" s="17" t="s">
        <v>685</v>
      </c>
      <c r="AH73" s="35" t="s">
        <v>690</v>
      </c>
      <c r="AI73" s="24">
        <v>0.86320706814237358</v>
      </c>
      <c r="AJ73" s="73">
        <v>7.8</v>
      </c>
      <c r="AK73" s="76">
        <v>8.9385000000000006E-2</v>
      </c>
      <c r="AL73" s="73">
        <v>6.5</v>
      </c>
      <c r="AM73" s="73">
        <v>0.2</v>
      </c>
      <c r="AN73" s="73">
        <v>215</v>
      </c>
      <c r="AO73" s="73">
        <v>4588</v>
      </c>
      <c r="AP73" s="73">
        <v>12552</v>
      </c>
      <c r="AQ73" s="73">
        <v>179</v>
      </c>
      <c r="AR73" s="73">
        <v>116</v>
      </c>
      <c r="AS73" s="73">
        <v>3280</v>
      </c>
      <c r="AT73" s="73">
        <v>1338</v>
      </c>
      <c r="AU73" s="73">
        <v>419.1</v>
      </c>
      <c r="AV73" s="73">
        <v>34</v>
      </c>
      <c r="AW73" s="73">
        <v>280.2</v>
      </c>
      <c r="AX73" s="73">
        <v>348.2</v>
      </c>
      <c r="AY73" s="73">
        <v>12169</v>
      </c>
      <c r="AZ73" s="73">
        <v>11.292</v>
      </c>
      <c r="BA73" s="73">
        <v>65.91</v>
      </c>
      <c r="BB73" s="73">
        <v>10.08</v>
      </c>
      <c r="BC73" s="73">
        <v>25</v>
      </c>
      <c r="BD73" s="73">
        <v>2.91</v>
      </c>
      <c r="BE73" s="73">
        <v>97.4</v>
      </c>
      <c r="BF73" s="73">
        <v>0.08</v>
      </c>
      <c r="BG73" s="73">
        <v>11.43</v>
      </c>
      <c r="BH73" s="73">
        <v>11.91</v>
      </c>
      <c r="BI73" s="73">
        <v>2.4910000000000001</v>
      </c>
      <c r="BJ73" s="73">
        <v>16.899999999999999</v>
      </c>
      <c r="BK73" s="73">
        <v>1.569</v>
      </c>
      <c r="BL73" s="73">
        <v>0.42</v>
      </c>
      <c r="BM73" s="73">
        <v>0.317</v>
      </c>
      <c r="BN73" s="73">
        <v>7.5999999999999998E-2</v>
      </c>
      <c r="BO73" s="73">
        <v>0.38</v>
      </c>
      <c r="BP73" s="73">
        <v>0.50800000000000001</v>
      </c>
      <c r="BQ73" s="73">
        <v>0.26600000000000001</v>
      </c>
      <c r="BR73" s="73">
        <v>99.77</v>
      </c>
      <c r="BS73" s="73">
        <v>3.4540000000000002</v>
      </c>
      <c r="BT73" s="73">
        <v>8.3439999999999994</v>
      </c>
      <c r="BU73" s="73">
        <v>0.80300000000000005</v>
      </c>
      <c r="BV73" s="73">
        <v>3.09</v>
      </c>
      <c r="BW73" s="73">
        <v>0.64900000000000002</v>
      </c>
      <c r="BX73" s="73">
        <v>0.17899999999999999</v>
      </c>
      <c r="BY73" s="73">
        <v>0.56100000000000005</v>
      </c>
      <c r="BZ73" s="73">
        <v>7.8E-2</v>
      </c>
      <c r="CA73" s="73">
        <v>0.46300000000000002</v>
      </c>
      <c r="CB73" s="73">
        <v>9.6000000000000002E-2</v>
      </c>
      <c r="CC73" s="73">
        <v>0.26100000000000001</v>
      </c>
      <c r="CD73" s="73">
        <v>3.6999999999999998E-2</v>
      </c>
      <c r="CE73" s="73">
        <v>0.24</v>
      </c>
      <c r="CF73" s="73">
        <v>3.9E-2</v>
      </c>
      <c r="CG73" s="73">
        <v>0.48899999999999999</v>
      </c>
      <c r="CH73" s="73">
        <v>8.7999999999999995E-2</v>
      </c>
      <c r="CI73" s="73">
        <v>0.98</v>
      </c>
      <c r="CJ73" s="73">
        <v>0.06</v>
      </c>
      <c r="CK73" s="73">
        <v>91.6</v>
      </c>
      <c r="CL73" s="73">
        <v>0.15</v>
      </c>
      <c r="CM73" s="73">
        <v>0.752</v>
      </c>
      <c r="CN73" s="73">
        <v>0.20799999999999999</v>
      </c>
      <c r="CP73" s="136">
        <f t="shared" si="0"/>
        <v>41.444188946841784</v>
      </c>
      <c r="CQ73" s="136">
        <f t="shared" si="1"/>
        <v>14.176217739098904</v>
      </c>
      <c r="CR73" s="136">
        <f t="shared" si="2"/>
        <v>4.0922406683406995</v>
      </c>
      <c r="CS73" s="136">
        <f t="shared" si="3"/>
        <v>9.9355422167223377</v>
      </c>
      <c r="CT73" s="136">
        <f t="shared" si="4"/>
        <v>2.498874935566529</v>
      </c>
      <c r="CU73" s="136">
        <f t="shared" si="5"/>
        <v>5.9137386473093034</v>
      </c>
      <c r="CV73" s="136">
        <f t="shared" si="6"/>
        <v>9.1083502077241647</v>
      </c>
      <c r="CW73" s="136">
        <f t="shared" si="7"/>
        <v>10.478899021496526</v>
      </c>
      <c r="CX73" s="136">
        <f t="shared" si="8"/>
        <v>11.356847954094251</v>
      </c>
      <c r="CY73" s="136">
        <f t="shared" si="9"/>
        <v>14.217775986793795</v>
      </c>
      <c r="CZ73" s="136">
        <f t="shared" si="10"/>
        <v>-7.4872438430770858</v>
      </c>
      <c r="DA73" s="136">
        <f t="shared" si="11"/>
        <v>10.790528842724907</v>
      </c>
      <c r="DB73" s="22"/>
      <c r="DC73" s="141">
        <f t="shared" si="20"/>
        <v>8.1166666666666671</v>
      </c>
      <c r="DD73" s="141">
        <f t="shared" si="21"/>
        <v>0.22899999999999998</v>
      </c>
      <c r="DE73" s="141">
        <f t="shared" si="22"/>
        <v>8.9385000000000006E-2</v>
      </c>
      <c r="DF73" s="141">
        <f t="shared" si="23"/>
        <v>4.3781249999999998</v>
      </c>
      <c r="DG73" s="141">
        <f t="shared" si="19"/>
        <v>7.6E-3</v>
      </c>
      <c r="DH73" s="141">
        <f t="shared" si="24"/>
        <v>1.3182</v>
      </c>
    </row>
    <row r="74" spans="1:112" s="28" customFormat="1">
      <c r="A74" s="38"/>
      <c r="F74" s="38"/>
      <c r="V74" s="17" t="s">
        <v>221</v>
      </c>
      <c r="W74" s="20" t="s">
        <v>222</v>
      </c>
      <c r="X74" s="15" t="s">
        <v>341</v>
      </c>
      <c r="Y74" s="17">
        <v>0.17374600000000001</v>
      </c>
      <c r="Z74" s="17">
        <v>34.768698000000001</v>
      </c>
      <c r="AA74" s="17" t="s">
        <v>358</v>
      </c>
      <c r="AB74" s="17" t="s">
        <v>330</v>
      </c>
      <c r="AC74" s="6" t="s">
        <v>347</v>
      </c>
      <c r="AD74" s="14" t="s">
        <v>371</v>
      </c>
      <c r="AE74" s="65" t="s">
        <v>687</v>
      </c>
      <c r="AF74" s="17" t="s">
        <v>361</v>
      </c>
      <c r="AG74" s="17" t="s">
        <v>685</v>
      </c>
      <c r="AH74" s="35" t="s">
        <v>690</v>
      </c>
      <c r="AI74" s="24">
        <v>6.1854616092421733</v>
      </c>
      <c r="AJ74" s="73">
        <v>6.17</v>
      </c>
      <c r="AK74" s="76">
        <v>0.450735</v>
      </c>
      <c r="AL74" s="73">
        <v>14.5</v>
      </c>
      <c r="AM74" s="73">
        <v>1.89</v>
      </c>
      <c r="AN74" s="73">
        <v>1680</v>
      </c>
      <c r="AO74" s="73">
        <v>21131</v>
      </c>
      <c r="AP74" s="73">
        <v>61623</v>
      </c>
      <c r="AQ74" s="73">
        <v>906</v>
      </c>
      <c r="AR74" s="73">
        <v>312</v>
      </c>
      <c r="AS74" s="73">
        <v>10601</v>
      </c>
      <c r="AT74" s="73">
        <v>2313</v>
      </c>
      <c r="AU74" s="73">
        <v>2665.7</v>
      </c>
      <c r="AV74" s="73">
        <v>104.1</v>
      </c>
      <c r="AW74" s="73">
        <v>574.79999999999995</v>
      </c>
      <c r="AX74" s="73">
        <v>1524.9</v>
      </c>
      <c r="AY74" s="73">
        <v>53774</v>
      </c>
      <c r="AZ74" s="73">
        <v>57.935000000000002</v>
      </c>
      <c r="BA74" s="73">
        <v>357.86</v>
      </c>
      <c r="BB74" s="73">
        <v>43.14</v>
      </c>
      <c r="BC74" s="73">
        <v>106</v>
      </c>
      <c r="BD74" s="73">
        <v>13.86</v>
      </c>
      <c r="BE74" s="73">
        <v>145.30000000000001</v>
      </c>
      <c r="BF74" s="73">
        <v>0.82</v>
      </c>
      <c r="BG74" s="73">
        <v>49.99</v>
      </c>
      <c r="BH74" s="73">
        <v>34.82</v>
      </c>
      <c r="BI74" s="73">
        <v>13.879</v>
      </c>
      <c r="BJ74" s="73">
        <v>181.8</v>
      </c>
      <c r="BK74" s="73">
        <v>21.716000000000001</v>
      </c>
      <c r="BL74" s="73">
        <v>1.69</v>
      </c>
      <c r="BM74" s="73">
        <v>0.38100000000000001</v>
      </c>
      <c r="BN74" s="73">
        <v>0.14499999999999999</v>
      </c>
      <c r="BO74" s="73">
        <v>1.87</v>
      </c>
      <c r="BP74" s="73">
        <v>0.498</v>
      </c>
      <c r="BQ74" s="73">
        <v>1.526</v>
      </c>
      <c r="BR74" s="73">
        <v>395.97</v>
      </c>
      <c r="BS74" s="73">
        <v>27.387</v>
      </c>
      <c r="BT74" s="73">
        <v>73.03</v>
      </c>
      <c r="BU74" s="73">
        <v>5.61</v>
      </c>
      <c r="BV74" s="73">
        <v>20.66</v>
      </c>
      <c r="BW74" s="73">
        <v>3.6859999999999999</v>
      </c>
      <c r="BX74" s="73">
        <v>0.8</v>
      </c>
      <c r="BY74" s="73">
        <v>2.9849999999999999</v>
      </c>
      <c r="BZ74" s="73">
        <v>0.46400000000000002</v>
      </c>
      <c r="CA74" s="73">
        <v>2.6509999999999998</v>
      </c>
      <c r="CB74" s="73">
        <v>0.53300000000000003</v>
      </c>
      <c r="CC74" s="73">
        <v>1.49</v>
      </c>
      <c r="CD74" s="73">
        <v>0.23499999999999999</v>
      </c>
      <c r="CE74" s="73">
        <v>1.5089999999999999</v>
      </c>
      <c r="CF74" s="73">
        <v>0.24</v>
      </c>
      <c r="CG74" s="73">
        <v>4.992</v>
      </c>
      <c r="CH74" s="73">
        <v>1.278</v>
      </c>
      <c r="CI74" s="73">
        <v>1.7110000000000001</v>
      </c>
      <c r="CJ74" s="73">
        <v>0.38100000000000001</v>
      </c>
      <c r="CK74" s="73">
        <v>29</v>
      </c>
      <c r="CL74" s="73">
        <v>0.54</v>
      </c>
      <c r="CM74" s="73">
        <v>9.2249999999999996</v>
      </c>
      <c r="CN74" s="73">
        <v>2.165</v>
      </c>
      <c r="CP74" s="136">
        <f t="shared" ref="CP74:CP139" si="25">(BE74/AY74)/(8.5/44012.75)</f>
        <v>13.991131894048952</v>
      </c>
      <c r="CQ74" s="136">
        <f t="shared" ref="CQ74:CQ139" si="26">(CK74/AY74)/(23.37/44012.75)</f>
        <v>1.015653215053878</v>
      </c>
      <c r="CR74" s="136">
        <f t="shared" ref="CR74:CR139" si="27">(AK74/AY74)/(0.079/44012.75)</f>
        <v>4.6698222874755242</v>
      </c>
      <c r="CS74" s="136">
        <f t="shared" ref="CS74:CS139" si="28">(AW74/AY74)/(102/44012.75)</f>
        <v>4.6123552493113884</v>
      </c>
      <c r="CT74" s="136">
        <f t="shared" ref="CT74:CT139" si="29">(BN74/AY74)/(0.11/44012.75)</f>
        <v>1.0789007107185966</v>
      </c>
      <c r="CU74" s="136">
        <f t="shared" ref="CU74:CU139" si="30">(BA74/AY74)/(40.31/44012.75)</f>
        <v>7.266186180746331</v>
      </c>
      <c r="CV74" s="136">
        <f t="shared" ref="CV74:CV139" si="31">LOG(BE74/1.5*8.5,2)</f>
        <v>9.6853912332746628</v>
      </c>
      <c r="CW74" s="136">
        <f t="shared" ref="CW74:CW139" si="32">LOG(CK74/1.5*23.37,2)</f>
        <v>8.8196043234145165</v>
      </c>
      <c r="CX74" s="136">
        <f t="shared" ref="CX74:CX139" si="33">LOG((AK74/1.5*44012.75),2)</f>
        <v>13.691022781849345</v>
      </c>
      <c r="CY74" s="136">
        <f t="shared" ref="CY74:CY139" si="34">LOG(AW74/1.5*102,2)</f>
        <v>15.254379092820313</v>
      </c>
      <c r="CZ74" s="136">
        <f t="shared" ref="CZ74:CZ139" si="35">LOG(BN74/1.5*0.11,2)</f>
        <v>-6.5552622665057356</v>
      </c>
      <c r="DA74" s="136">
        <f t="shared" ref="DA74:DA139" si="36">LOG(BA74/1.5*40.31,2)</f>
        <v>13.231354861857465</v>
      </c>
      <c r="DB74" s="22"/>
      <c r="DC74" s="141">
        <f t="shared" si="20"/>
        <v>12.108333333333334</v>
      </c>
      <c r="DD74" s="141">
        <f t="shared" si="21"/>
        <v>7.2499999999999995E-2</v>
      </c>
      <c r="DE74" s="141">
        <f t="shared" si="22"/>
        <v>0.450735</v>
      </c>
      <c r="DF74" s="141">
        <f t="shared" si="23"/>
        <v>8.9812499999999993</v>
      </c>
      <c r="DG74" s="141">
        <f>BN74/1.4</f>
        <v>0.10357142857142856</v>
      </c>
      <c r="DH74" s="141">
        <f t="shared" si="24"/>
        <v>7.1572000000000005</v>
      </c>
    </row>
    <row r="75" spans="1:112" s="28" customFormat="1">
      <c r="A75" s="38"/>
      <c r="F75" s="38"/>
      <c r="V75" s="17" t="s">
        <v>223</v>
      </c>
      <c r="W75" s="20" t="s">
        <v>224</v>
      </c>
      <c r="X75" s="15" t="s">
        <v>341</v>
      </c>
      <c r="Y75" s="17">
        <v>0.17374600000000001</v>
      </c>
      <c r="Z75" s="17">
        <v>34.768698000000001</v>
      </c>
      <c r="AA75" s="17" t="s">
        <v>358</v>
      </c>
      <c r="AB75" s="17" t="s">
        <v>330</v>
      </c>
      <c r="AC75" s="6" t="s">
        <v>347</v>
      </c>
      <c r="AD75" s="14" t="s">
        <v>371</v>
      </c>
      <c r="AE75" s="65" t="s">
        <v>687</v>
      </c>
      <c r="AF75" s="17" t="s">
        <v>366</v>
      </c>
      <c r="AG75" s="17" t="s">
        <v>684</v>
      </c>
      <c r="AH75" s="35" t="s">
        <v>683</v>
      </c>
      <c r="AI75" s="24">
        <v>6.8718753063425249</v>
      </c>
      <c r="AJ75" s="73">
        <v>5.7</v>
      </c>
      <c r="AK75" s="76">
        <v>1.6044850000000002</v>
      </c>
      <c r="AL75" s="73">
        <v>15.7</v>
      </c>
      <c r="AM75" s="73">
        <v>2.34</v>
      </c>
      <c r="AN75" s="73">
        <v>2407</v>
      </c>
      <c r="AO75" s="73">
        <v>22095</v>
      </c>
      <c r="AP75" s="73">
        <v>65140</v>
      </c>
      <c r="AQ75" s="73">
        <v>1112</v>
      </c>
      <c r="AR75" s="73">
        <v>473</v>
      </c>
      <c r="AS75" s="73">
        <v>9117</v>
      </c>
      <c r="AT75" s="73">
        <v>2953</v>
      </c>
      <c r="AU75" s="73">
        <v>2935.3</v>
      </c>
      <c r="AV75" s="73">
        <v>129.80000000000001</v>
      </c>
      <c r="AW75" s="73">
        <v>648.6</v>
      </c>
      <c r="AX75" s="73">
        <v>1885.1</v>
      </c>
      <c r="AY75" s="73">
        <v>61244</v>
      </c>
      <c r="AZ75" s="73">
        <v>76.626999999999995</v>
      </c>
      <c r="BA75" s="73">
        <v>375.29</v>
      </c>
      <c r="BB75" s="73">
        <v>48.42</v>
      </c>
      <c r="BC75" s="73">
        <v>138</v>
      </c>
      <c r="BD75" s="73">
        <v>14.87</v>
      </c>
      <c r="BE75" s="73">
        <v>42.2</v>
      </c>
      <c r="BF75" s="73">
        <v>0.87</v>
      </c>
      <c r="BG75" s="73">
        <v>49.18</v>
      </c>
      <c r="BH75" s="73">
        <v>45.31</v>
      </c>
      <c r="BI75" s="73">
        <v>19.471</v>
      </c>
      <c r="BJ75" s="73">
        <v>192.46</v>
      </c>
      <c r="BK75" s="73">
        <v>31.623999999999999</v>
      </c>
      <c r="BL75" s="73">
        <v>1.73</v>
      </c>
      <c r="BM75" s="73">
        <v>8.7999999999999995E-2</v>
      </c>
      <c r="BN75" s="73">
        <v>0.16800000000000001</v>
      </c>
      <c r="BO75" s="73">
        <v>1.87</v>
      </c>
      <c r="BP75" s="73">
        <v>0.54600000000000004</v>
      </c>
      <c r="BQ75" s="73">
        <v>2.161</v>
      </c>
      <c r="BR75" s="73">
        <v>355.74</v>
      </c>
      <c r="BS75" s="73">
        <v>35.817999999999998</v>
      </c>
      <c r="BT75" s="73">
        <v>101.238</v>
      </c>
      <c r="BU75" s="73">
        <v>7.3940000000000001</v>
      </c>
      <c r="BV75" s="73">
        <v>27.71</v>
      </c>
      <c r="BW75" s="73">
        <v>5.1340000000000003</v>
      </c>
      <c r="BX75" s="73">
        <v>1.081</v>
      </c>
      <c r="BY75" s="73">
        <v>4.0490000000000004</v>
      </c>
      <c r="BZ75" s="73">
        <v>0.626</v>
      </c>
      <c r="CA75" s="73">
        <v>3.61</v>
      </c>
      <c r="CB75" s="73">
        <v>0.70199999999999996</v>
      </c>
      <c r="CC75" s="73">
        <v>2.044</v>
      </c>
      <c r="CD75" s="73">
        <v>0.31</v>
      </c>
      <c r="CE75" s="73">
        <v>1.958</v>
      </c>
      <c r="CF75" s="73">
        <v>0.28699999999999998</v>
      </c>
      <c r="CG75" s="73">
        <v>5.1669999999999998</v>
      </c>
      <c r="CH75" s="73">
        <v>1.7949999999999999</v>
      </c>
      <c r="CI75" s="73">
        <v>1.337</v>
      </c>
      <c r="CJ75" s="73">
        <v>0.41</v>
      </c>
      <c r="CK75" s="73">
        <v>24.2</v>
      </c>
      <c r="CL75" s="73">
        <v>0.2</v>
      </c>
      <c r="CM75" s="73">
        <v>8.4290000000000003</v>
      </c>
      <c r="CN75" s="73">
        <v>2.0139999999999998</v>
      </c>
      <c r="CP75" s="136">
        <f t="shared" si="25"/>
        <v>3.5678655676234317</v>
      </c>
      <c r="CQ75" s="136">
        <f t="shared" si="26"/>
        <v>0.74416906194815702</v>
      </c>
      <c r="CR75" s="136">
        <f t="shared" si="27"/>
        <v>14.595652911026574</v>
      </c>
      <c r="CS75" s="136">
        <f t="shared" si="28"/>
        <v>4.5697425101906752</v>
      </c>
      <c r="CT75" s="136">
        <f t="shared" si="29"/>
        <v>1.0975682961150925</v>
      </c>
      <c r="CU75" s="136">
        <f t="shared" si="30"/>
        <v>6.6906629341935764</v>
      </c>
      <c r="CV75" s="136">
        <f t="shared" si="31"/>
        <v>7.901671434349006</v>
      </c>
      <c r="CW75" s="136">
        <f t="shared" si="32"/>
        <v>8.5585584706741766</v>
      </c>
      <c r="CX75" s="136">
        <f t="shared" si="33"/>
        <v>15.522781697920061</v>
      </c>
      <c r="CY75" s="136">
        <f t="shared" si="34"/>
        <v>15.428648054818785</v>
      </c>
      <c r="CZ75" s="136">
        <f t="shared" si="35"/>
        <v>-6.3428539337419103</v>
      </c>
      <c r="DA75" s="136">
        <f t="shared" si="36"/>
        <v>13.299965415727801</v>
      </c>
      <c r="DB75" s="22"/>
      <c r="DC75" s="141">
        <f t="shared" si="20"/>
        <v>3.5166666666666671</v>
      </c>
      <c r="DD75" s="141">
        <f t="shared" si="21"/>
        <v>6.0499999999999998E-2</v>
      </c>
      <c r="DE75" s="141">
        <f t="shared" si="22"/>
        <v>1.6044850000000002</v>
      </c>
      <c r="DF75" s="141">
        <f t="shared" si="23"/>
        <v>10.134375</v>
      </c>
      <c r="DG75" s="141">
        <f t="shared" si="19"/>
        <v>1.6800000000000002E-2</v>
      </c>
      <c r="DH75" s="141">
        <f t="shared" si="24"/>
        <v>7.5058000000000007</v>
      </c>
    </row>
    <row r="76" spans="1:112" s="28" customFormat="1">
      <c r="A76" s="38"/>
      <c r="F76" s="38"/>
      <c r="V76" s="17" t="s">
        <v>225</v>
      </c>
      <c r="W76" s="20" t="s">
        <v>226</v>
      </c>
      <c r="X76" s="15" t="s">
        <v>341</v>
      </c>
      <c r="Y76" s="17">
        <v>0.17394000000000001</v>
      </c>
      <c r="Z76" s="17">
        <v>34.769052000000002</v>
      </c>
      <c r="AA76" s="17" t="s">
        <v>358</v>
      </c>
      <c r="AB76" s="17" t="s">
        <v>330</v>
      </c>
      <c r="AC76" s="6" t="s">
        <v>347</v>
      </c>
      <c r="AD76" s="14" t="s">
        <v>371</v>
      </c>
      <c r="AE76" s="65" t="s">
        <v>687</v>
      </c>
      <c r="AF76" s="17" t="s">
        <v>367</v>
      </c>
      <c r="AG76" s="17" t="s">
        <v>684</v>
      </c>
      <c r="AH76" s="35" t="s">
        <v>683</v>
      </c>
      <c r="AI76" s="24">
        <v>9.8862888826238109</v>
      </c>
      <c r="AJ76" s="73">
        <v>5.74</v>
      </c>
      <c r="AK76" s="76">
        <v>1.0580050000000001</v>
      </c>
      <c r="AL76" s="73">
        <v>13.7</v>
      </c>
      <c r="AM76" s="73">
        <v>2.08</v>
      </c>
      <c r="AN76" s="73">
        <v>1595</v>
      </c>
      <c r="AO76" s="73">
        <v>30155</v>
      </c>
      <c r="AP76" s="73">
        <v>57853</v>
      </c>
      <c r="AQ76" s="73">
        <v>2356</v>
      </c>
      <c r="AR76" s="73">
        <v>557</v>
      </c>
      <c r="AS76" s="73">
        <v>7710</v>
      </c>
      <c r="AT76" s="73">
        <v>4584</v>
      </c>
      <c r="AU76" s="73">
        <v>2948.1</v>
      </c>
      <c r="AV76" s="73">
        <v>117.9</v>
      </c>
      <c r="AW76" s="73">
        <v>748.3</v>
      </c>
      <c r="AX76" s="73">
        <v>2023.4</v>
      </c>
      <c r="AY76" s="73">
        <v>59326</v>
      </c>
      <c r="AZ76" s="73">
        <v>61.274000000000001</v>
      </c>
      <c r="BA76" s="73">
        <v>459.85</v>
      </c>
      <c r="BB76" s="73">
        <v>51.51</v>
      </c>
      <c r="BC76" s="73">
        <v>289</v>
      </c>
      <c r="BD76" s="73">
        <v>12.36</v>
      </c>
      <c r="BE76" s="73">
        <v>31.3</v>
      </c>
      <c r="BF76" s="73">
        <v>0.77</v>
      </c>
      <c r="BG76" s="73">
        <v>52.87</v>
      </c>
      <c r="BH76" s="73">
        <v>51.31</v>
      </c>
      <c r="BI76" s="73">
        <v>14.804</v>
      </c>
      <c r="BJ76" s="73">
        <v>161.22</v>
      </c>
      <c r="BK76" s="73">
        <v>23.177</v>
      </c>
      <c r="BL76" s="73">
        <v>1.54</v>
      </c>
      <c r="BM76" s="73">
        <v>8.2000000000000003E-2</v>
      </c>
      <c r="BN76" s="73">
        <v>0.29799999999999999</v>
      </c>
      <c r="BO76" s="73">
        <v>1.76</v>
      </c>
      <c r="BP76" s="73">
        <v>0.505</v>
      </c>
      <c r="BQ76" s="73">
        <v>1.5049999999999999</v>
      </c>
      <c r="BR76" s="73">
        <v>340.96</v>
      </c>
      <c r="BS76" s="73">
        <v>27.146000000000001</v>
      </c>
      <c r="BT76" s="73">
        <v>84.221000000000004</v>
      </c>
      <c r="BU76" s="73">
        <v>5.6109999999999998</v>
      </c>
      <c r="BV76" s="73">
        <v>21.08</v>
      </c>
      <c r="BW76" s="73">
        <v>3.9670000000000001</v>
      </c>
      <c r="BX76" s="73">
        <v>0.83499999999999996</v>
      </c>
      <c r="BY76" s="73">
        <v>3.081</v>
      </c>
      <c r="BZ76" s="73">
        <v>0.48099999999999998</v>
      </c>
      <c r="CA76" s="73">
        <v>2.8050000000000002</v>
      </c>
      <c r="CB76" s="73">
        <v>0.55600000000000005</v>
      </c>
      <c r="CC76" s="73">
        <v>1.585</v>
      </c>
      <c r="CD76" s="73">
        <v>0.251</v>
      </c>
      <c r="CE76" s="73">
        <v>1.5920000000000001</v>
      </c>
      <c r="CF76" s="73">
        <v>0.249</v>
      </c>
      <c r="CG76" s="73">
        <v>4.4420000000000002</v>
      </c>
      <c r="CH76" s="73">
        <v>1.3360000000000001</v>
      </c>
      <c r="CI76" s="73">
        <v>0.93700000000000006</v>
      </c>
      <c r="CJ76" s="73">
        <v>0.33800000000000002</v>
      </c>
      <c r="CK76" s="73">
        <v>38.799999999999997</v>
      </c>
      <c r="CL76" s="73">
        <v>0.17</v>
      </c>
      <c r="CM76" s="73">
        <v>7.2439999999999998</v>
      </c>
      <c r="CN76" s="73">
        <v>1.7689999999999999</v>
      </c>
      <c r="CP76" s="136">
        <f t="shared" si="25"/>
        <v>2.7318625798429812</v>
      </c>
      <c r="CQ76" s="136">
        <f t="shared" si="26"/>
        <v>1.2317042805379979</v>
      </c>
      <c r="CR76" s="136">
        <f t="shared" si="27"/>
        <v>9.9355992577698764</v>
      </c>
      <c r="CS76" s="136">
        <f t="shared" si="28"/>
        <v>5.4426325039842993</v>
      </c>
      <c r="CT76" s="136">
        <f t="shared" si="29"/>
        <v>2.0098193188330735</v>
      </c>
      <c r="CU76" s="136">
        <f t="shared" si="30"/>
        <v>8.463243380095598</v>
      </c>
      <c r="CV76" s="136">
        <f t="shared" si="31"/>
        <v>7.4705910925744394</v>
      </c>
      <c r="CW76" s="136">
        <f t="shared" si="32"/>
        <v>9.2396080755867089</v>
      </c>
      <c r="CX76" s="136">
        <f t="shared" si="33"/>
        <v>14.922017841161594</v>
      </c>
      <c r="CY76" s="136">
        <f t="shared" si="34"/>
        <v>15.634935806141073</v>
      </c>
      <c r="CZ76" s="136">
        <f t="shared" si="35"/>
        <v>-5.5160028360585098</v>
      </c>
      <c r="DA76" s="136">
        <f t="shared" si="36"/>
        <v>13.593122907544993</v>
      </c>
      <c r="DB76" s="22"/>
      <c r="DC76" s="141">
        <f t="shared" si="20"/>
        <v>2.6083333333333334</v>
      </c>
      <c r="DD76" s="141">
        <f t="shared" si="21"/>
        <v>9.6999999999999989E-2</v>
      </c>
      <c r="DE76" s="141">
        <f t="shared" si="22"/>
        <v>1.0580050000000001</v>
      </c>
      <c r="DF76" s="141">
        <f t="shared" si="23"/>
        <v>11.692187499999999</v>
      </c>
      <c r="DG76" s="141">
        <f t="shared" si="19"/>
        <v>2.98E-2</v>
      </c>
      <c r="DH76" s="141">
        <f t="shared" si="24"/>
        <v>9.197000000000001</v>
      </c>
    </row>
    <row r="77" spans="1:112" s="28" customFormat="1">
      <c r="A77" s="38"/>
      <c r="F77" s="38"/>
      <c r="V77" s="17" t="s">
        <v>227</v>
      </c>
      <c r="W77" s="20" t="s">
        <v>228</v>
      </c>
      <c r="X77" s="15" t="s">
        <v>341</v>
      </c>
      <c r="Y77" s="17">
        <v>0.10542700000000001</v>
      </c>
      <c r="Z77" s="17">
        <v>34.698397999999997</v>
      </c>
      <c r="AA77" s="17" t="s">
        <v>359</v>
      </c>
      <c r="AB77" s="17" t="s">
        <v>334</v>
      </c>
      <c r="AC77" s="6" t="s">
        <v>347</v>
      </c>
      <c r="AD77" s="14" t="s">
        <v>371</v>
      </c>
      <c r="AE77" s="65" t="s">
        <v>687</v>
      </c>
      <c r="AF77" s="17" t="s">
        <v>364</v>
      </c>
      <c r="AG77" s="17" t="s">
        <v>685</v>
      </c>
      <c r="AH77" s="35" t="s">
        <v>690</v>
      </c>
      <c r="AI77" s="24">
        <v>1.4122394082042182</v>
      </c>
      <c r="AJ77" s="73">
        <v>4.1900000000000004</v>
      </c>
      <c r="AK77" s="76">
        <v>3.3985000000000001E-2</v>
      </c>
      <c r="AL77" s="73">
        <v>36.6</v>
      </c>
      <c r="AM77" s="73">
        <v>2.64</v>
      </c>
      <c r="AN77" s="73">
        <v>6306</v>
      </c>
      <c r="AO77" s="73">
        <v>1418</v>
      </c>
      <c r="AP77" s="73">
        <v>124639</v>
      </c>
      <c r="AQ77" s="73">
        <v>529</v>
      </c>
      <c r="AR77" s="73">
        <v>79</v>
      </c>
      <c r="AS77" s="73">
        <v>29045</v>
      </c>
      <c r="AT77" s="73">
        <v>2276</v>
      </c>
      <c r="AU77" s="73">
        <v>2634.2</v>
      </c>
      <c r="AV77" s="73">
        <v>184.7</v>
      </c>
      <c r="AW77" s="73">
        <v>250.7</v>
      </c>
      <c r="AX77" s="73">
        <v>745.8</v>
      </c>
      <c r="AY77" s="73">
        <v>48904</v>
      </c>
      <c r="AZ77" s="73">
        <v>54.61</v>
      </c>
      <c r="BA77" s="73">
        <v>124.68</v>
      </c>
      <c r="BB77" s="73">
        <v>100.88</v>
      </c>
      <c r="BC77" s="73">
        <v>169</v>
      </c>
      <c r="BD77" s="73">
        <v>24.29</v>
      </c>
      <c r="BE77" s="73">
        <v>847.1</v>
      </c>
      <c r="BF77" s="73">
        <v>0.3</v>
      </c>
      <c r="BG77" s="73">
        <v>125.56</v>
      </c>
      <c r="BH77" s="73">
        <v>164.64</v>
      </c>
      <c r="BI77" s="73">
        <v>79.929000000000002</v>
      </c>
      <c r="BJ77" s="73">
        <v>131.22999999999999</v>
      </c>
      <c r="BK77" s="73">
        <v>8.8930000000000007</v>
      </c>
      <c r="BL77" s="73">
        <v>4.51</v>
      </c>
      <c r="BM77" s="73">
        <v>0.92</v>
      </c>
      <c r="BN77" s="73">
        <v>0.753</v>
      </c>
      <c r="BO77" s="73">
        <v>2.2799999999999998</v>
      </c>
      <c r="BP77" s="73">
        <v>8.6129999999999995</v>
      </c>
      <c r="BQ77" s="73">
        <v>8.25</v>
      </c>
      <c r="BR77" s="73">
        <v>401.42</v>
      </c>
      <c r="BS77" s="73">
        <v>179.268</v>
      </c>
      <c r="BT77" s="73">
        <v>85.373999999999995</v>
      </c>
      <c r="BU77" s="73">
        <v>35.316000000000003</v>
      </c>
      <c r="BV77" s="73">
        <v>130.06</v>
      </c>
      <c r="BW77" s="73">
        <v>22.911999999999999</v>
      </c>
      <c r="BX77" s="73">
        <v>4.3040000000000003</v>
      </c>
      <c r="BY77" s="73">
        <v>18.061</v>
      </c>
      <c r="BZ77" s="73">
        <v>2.5659999999999998</v>
      </c>
      <c r="CA77" s="73">
        <v>13.374000000000001</v>
      </c>
      <c r="CB77" s="73">
        <v>2.6480000000000001</v>
      </c>
      <c r="CC77" s="73">
        <v>7.077</v>
      </c>
      <c r="CD77" s="73">
        <v>0.97</v>
      </c>
      <c r="CE77" s="73">
        <v>5.6749999999999998</v>
      </c>
      <c r="CF77" s="73">
        <v>0.86199999999999999</v>
      </c>
      <c r="CG77" s="73">
        <v>3.96</v>
      </c>
      <c r="CH77" s="73">
        <v>0.59299999999999997</v>
      </c>
      <c r="CI77" s="73">
        <v>17.361000000000001</v>
      </c>
      <c r="CJ77" s="73">
        <v>1.1359999999999999</v>
      </c>
      <c r="CK77" s="73">
        <v>290.39999999999998</v>
      </c>
      <c r="CL77" s="73">
        <v>1.18</v>
      </c>
      <c r="CM77" s="73">
        <v>12.128</v>
      </c>
      <c r="CN77" s="73">
        <v>5.9960000000000004</v>
      </c>
      <c r="CP77" s="136">
        <f t="shared" si="25"/>
        <v>89.691209007322882</v>
      </c>
      <c r="CQ77" s="136">
        <f t="shared" si="26"/>
        <v>11.183352698336234</v>
      </c>
      <c r="CR77" s="136">
        <f t="shared" si="27"/>
        <v>0.38716340894948931</v>
      </c>
      <c r="CS77" s="136">
        <f t="shared" si="28"/>
        <v>2.2120161037791526</v>
      </c>
      <c r="CT77" s="136">
        <f t="shared" si="29"/>
        <v>6.1607901101229876</v>
      </c>
      <c r="CU77" s="136">
        <f t="shared" si="30"/>
        <v>2.7836723626395679</v>
      </c>
      <c r="CV77" s="136">
        <f t="shared" si="31"/>
        <v>12.228888819800297</v>
      </c>
      <c r="CW77" s="136">
        <f t="shared" si="32"/>
        <v>12.143520971395333</v>
      </c>
      <c r="CX77" s="136">
        <f t="shared" si="33"/>
        <v>9.9617133287362574</v>
      </c>
      <c r="CY77" s="136">
        <f t="shared" si="34"/>
        <v>14.057281027196916</v>
      </c>
      <c r="CZ77" s="136">
        <f t="shared" si="35"/>
        <v>-4.178665301848743</v>
      </c>
      <c r="DA77" s="136">
        <f t="shared" si="36"/>
        <v>11.710189627205843</v>
      </c>
      <c r="DB77" s="22"/>
      <c r="DC77" s="141">
        <f t="shared" si="20"/>
        <v>70.591666666666669</v>
      </c>
      <c r="DD77" s="141">
        <f t="shared" si="21"/>
        <v>0.72599999999999998</v>
      </c>
      <c r="DE77" s="141">
        <f t="shared" si="22"/>
        <v>3.3985000000000001E-2</v>
      </c>
      <c r="DF77" s="141">
        <f t="shared" si="23"/>
        <v>3.9171874999999998</v>
      </c>
      <c r="DG77" s="141">
        <f t="shared" si="19"/>
        <v>7.5300000000000006E-2</v>
      </c>
      <c r="DH77" s="141">
        <f t="shared" si="24"/>
        <v>2.4936000000000003</v>
      </c>
    </row>
    <row r="78" spans="1:112" s="28" customFormat="1">
      <c r="A78" s="38"/>
      <c r="F78" s="38"/>
      <c r="V78" s="17" t="s">
        <v>229</v>
      </c>
      <c r="W78" s="20" t="s">
        <v>230</v>
      </c>
      <c r="X78" s="15" t="s">
        <v>341</v>
      </c>
      <c r="Y78" s="17">
        <v>0.10542700000000001</v>
      </c>
      <c r="Z78" s="17">
        <v>34.698397999999997</v>
      </c>
      <c r="AA78" s="17" t="s">
        <v>359</v>
      </c>
      <c r="AB78" s="17" t="s">
        <v>334</v>
      </c>
      <c r="AC78" s="6" t="s">
        <v>347</v>
      </c>
      <c r="AD78" s="14" t="s">
        <v>371</v>
      </c>
      <c r="AE78" s="65" t="s">
        <v>687</v>
      </c>
      <c r="AF78" s="17" t="s">
        <v>361</v>
      </c>
      <c r="AG78" s="17" t="s">
        <v>685</v>
      </c>
      <c r="AH78" s="35" t="s">
        <v>690</v>
      </c>
      <c r="AI78" s="24">
        <v>1.8823063205863249</v>
      </c>
      <c r="AJ78" s="73">
        <v>6.28</v>
      </c>
      <c r="AK78" s="76">
        <v>0.159215</v>
      </c>
      <c r="AL78" s="73">
        <v>42.7</v>
      </c>
      <c r="AM78" s="73">
        <v>2.39</v>
      </c>
      <c r="AN78" s="73">
        <v>6738</v>
      </c>
      <c r="AO78" s="73">
        <v>1193</v>
      </c>
      <c r="AP78" s="73">
        <v>107760</v>
      </c>
      <c r="AQ78" s="73">
        <v>443</v>
      </c>
      <c r="AR78" s="73">
        <v>135</v>
      </c>
      <c r="AS78" s="73">
        <v>25557</v>
      </c>
      <c r="AT78" s="73">
        <v>3448</v>
      </c>
      <c r="AU78" s="73">
        <v>2535.4</v>
      </c>
      <c r="AV78" s="73">
        <v>171.5</v>
      </c>
      <c r="AW78" s="73">
        <v>248.5</v>
      </c>
      <c r="AX78" s="73">
        <v>728.6</v>
      </c>
      <c r="AY78" s="73">
        <v>45948</v>
      </c>
      <c r="AZ78" s="73">
        <v>45.417999999999999</v>
      </c>
      <c r="BA78" s="73">
        <v>105.19</v>
      </c>
      <c r="BB78" s="73">
        <v>73.150000000000006</v>
      </c>
      <c r="BC78" s="73">
        <v>109</v>
      </c>
      <c r="BD78" s="73">
        <v>23.49</v>
      </c>
      <c r="BE78" s="73">
        <v>575.70000000000005</v>
      </c>
      <c r="BF78" s="73">
        <v>0.28000000000000003</v>
      </c>
      <c r="BG78" s="73">
        <v>106.81</v>
      </c>
      <c r="BH78" s="73">
        <v>177.08</v>
      </c>
      <c r="BI78" s="73">
        <v>58.497999999999998</v>
      </c>
      <c r="BJ78" s="73">
        <v>137.91999999999999</v>
      </c>
      <c r="BK78" s="73">
        <v>11.327</v>
      </c>
      <c r="BL78" s="73">
        <v>3.45</v>
      </c>
      <c r="BM78" s="73">
        <v>0.81100000000000005</v>
      </c>
      <c r="BN78" s="73">
        <v>0.45800000000000002</v>
      </c>
      <c r="BO78" s="73">
        <v>2.13</v>
      </c>
      <c r="BP78" s="73">
        <v>5.7030000000000003</v>
      </c>
      <c r="BQ78" s="73">
        <v>7.4119999999999999</v>
      </c>
      <c r="BR78" s="73">
        <v>402.78</v>
      </c>
      <c r="BS78" s="73">
        <v>109.23399999999999</v>
      </c>
      <c r="BT78" s="73">
        <v>88.372</v>
      </c>
      <c r="BU78" s="73">
        <v>22.356000000000002</v>
      </c>
      <c r="BV78" s="73">
        <v>83.91</v>
      </c>
      <c r="BW78" s="73">
        <v>15.31</v>
      </c>
      <c r="BX78" s="73">
        <v>3.08</v>
      </c>
      <c r="BY78" s="73">
        <v>12.465</v>
      </c>
      <c r="BZ78" s="73">
        <v>1.83</v>
      </c>
      <c r="CA78" s="73">
        <v>9.3919999999999995</v>
      </c>
      <c r="CB78" s="73">
        <v>1.978</v>
      </c>
      <c r="CC78" s="73">
        <v>5.4189999999999996</v>
      </c>
      <c r="CD78" s="73">
        <v>0.76100000000000001</v>
      </c>
      <c r="CE78" s="73">
        <v>4.4290000000000003</v>
      </c>
      <c r="CF78" s="73">
        <v>0.69</v>
      </c>
      <c r="CG78" s="73">
        <v>4.1520000000000001</v>
      </c>
      <c r="CH78" s="73">
        <v>0.69899999999999995</v>
      </c>
      <c r="CI78" s="73">
        <v>13.776</v>
      </c>
      <c r="CJ78" s="73">
        <v>0.96499999999999997</v>
      </c>
      <c r="CK78" s="73">
        <v>140.19999999999999</v>
      </c>
      <c r="CL78" s="73">
        <v>0.82</v>
      </c>
      <c r="CM78" s="73">
        <v>11.849</v>
      </c>
      <c r="CN78" s="73">
        <v>5.4470000000000001</v>
      </c>
      <c r="CP78" s="136">
        <f t="shared" si="25"/>
        <v>64.87676651099197</v>
      </c>
      <c r="CQ78" s="136">
        <f t="shared" si="26"/>
        <v>5.7464706619478942</v>
      </c>
      <c r="CR78" s="136">
        <f t="shared" si="27"/>
        <v>1.930495450346732</v>
      </c>
      <c r="CS78" s="136">
        <f t="shared" si="28"/>
        <v>2.3336628565198168</v>
      </c>
      <c r="CT78" s="136">
        <f t="shared" si="29"/>
        <v>3.9882712275536778</v>
      </c>
      <c r="CU78" s="136">
        <f t="shared" si="30"/>
        <v>2.4996174596062195</v>
      </c>
      <c r="CV78" s="136">
        <f t="shared" si="31"/>
        <v>11.671673742558358</v>
      </c>
      <c r="CW78" s="136">
        <f t="shared" si="32"/>
        <v>11.092965867410205</v>
      </c>
      <c r="CX78" s="136">
        <f t="shared" si="33"/>
        <v>12.189719562608717</v>
      </c>
      <c r="CY78" s="136">
        <f t="shared" si="34"/>
        <v>14.044564882812626</v>
      </c>
      <c r="CZ78" s="136">
        <f t="shared" si="35"/>
        <v>-4.8959675684237265</v>
      </c>
      <c r="DA78" s="136">
        <f t="shared" si="36"/>
        <v>11.464957126929875</v>
      </c>
      <c r="DB78" s="22"/>
      <c r="DC78" s="141">
        <f t="shared" si="20"/>
        <v>47.975000000000001</v>
      </c>
      <c r="DD78" s="141">
        <f t="shared" si="21"/>
        <v>0.35049999999999998</v>
      </c>
      <c r="DE78" s="141">
        <f t="shared" si="22"/>
        <v>0.159215</v>
      </c>
      <c r="DF78" s="141">
        <f t="shared" si="23"/>
        <v>3.8828125</v>
      </c>
      <c r="DG78" s="141">
        <f>BN78/1.4</f>
        <v>0.32714285714285718</v>
      </c>
      <c r="DH78" s="141">
        <f t="shared" si="24"/>
        <v>2.1038000000000001</v>
      </c>
    </row>
    <row r="79" spans="1:112" s="28" customFormat="1">
      <c r="A79" s="38"/>
      <c r="F79" s="38"/>
      <c r="V79" s="17" t="s">
        <v>231</v>
      </c>
      <c r="W79" s="20" t="s">
        <v>232</v>
      </c>
      <c r="X79" s="15" t="s">
        <v>341</v>
      </c>
      <c r="Y79" s="17">
        <v>0.105117</v>
      </c>
      <c r="Z79" s="17">
        <v>34.698954000000001</v>
      </c>
      <c r="AA79" s="17" t="s">
        <v>359</v>
      </c>
      <c r="AB79" s="17" t="s">
        <v>334</v>
      </c>
      <c r="AC79" s="6" t="s">
        <v>347</v>
      </c>
      <c r="AD79" s="14" t="s">
        <v>371</v>
      </c>
      <c r="AE79" s="65" t="s">
        <v>687</v>
      </c>
      <c r="AF79" s="17" t="s">
        <v>366</v>
      </c>
      <c r="AG79" s="17" t="s">
        <v>684</v>
      </c>
      <c r="AH79" s="35" t="s">
        <v>683</v>
      </c>
      <c r="AI79" s="24">
        <v>3.6588530403945003</v>
      </c>
      <c r="AJ79" s="73">
        <v>5.87</v>
      </c>
      <c r="AK79" s="76">
        <v>1.294535</v>
      </c>
      <c r="AL79" s="73">
        <v>31.6</v>
      </c>
      <c r="AM79" s="73">
        <v>1.68</v>
      </c>
      <c r="AN79" s="73">
        <v>5356</v>
      </c>
      <c r="AO79" s="73">
        <v>2599</v>
      </c>
      <c r="AP79" s="73">
        <v>82629</v>
      </c>
      <c r="AQ79" s="73">
        <v>484</v>
      </c>
      <c r="AR79" s="73">
        <v>907</v>
      </c>
      <c r="AS79" s="73">
        <v>17357</v>
      </c>
      <c r="AT79" s="73">
        <v>3363</v>
      </c>
      <c r="AU79" s="73">
        <v>2075.1999999999998</v>
      </c>
      <c r="AV79" s="73">
        <v>125.4</v>
      </c>
      <c r="AW79" s="73">
        <v>191.6</v>
      </c>
      <c r="AX79" s="73">
        <v>1218.4000000000001</v>
      </c>
      <c r="AY79" s="73">
        <v>40284</v>
      </c>
      <c r="AZ79" s="73">
        <v>39.499000000000002</v>
      </c>
      <c r="BA79" s="73">
        <v>72.87</v>
      </c>
      <c r="BB79" s="73">
        <v>46.11</v>
      </c>
      <c r="BC79" s="73">
        <v>117</v>
      </c>
      <c r="BD79" s="73">
        <v>18.149999999999999</v>
      </c>
      <c r="BE79" s="73">
        <v>1347.5</v>
      </c>
      <c r="BF79" s="73">
        <v>0.54</v>
      </c>
      <c r="BG79" s="73">
        <v>78.510000000000005</v>
      </c>
      <c r="BH79" s="73">
        <v>132.36000000000001</v>
      </c>
      <c r="BI79" s="73">
        <v>29.013999999999999</v>
      </c>
      <c r="BJ79" s="73">
        <v>149.02000000000001</v>
      </c>
      <c r="BK79" s="73">
        <v>19.939</v>
      </c>
      <c r="BL79" s="73">
        <v>3.35</v>
      </c>
      <c r="BM79" s="73">
        <v>11.06</v>
      </c>
      <c r="BN79" s="73">
        <v>0.67700000000000005</v>
      </c>
      <c r="BO79" s="73">
        <v>1.9</v>
      </c>
      <c r="BP79" s="73">
        <v>4.0010000000000003</v>
      </c>
      <c r="BQ79" s="73">
        <v>4.5579999999999998</v>
      </c>
      <c r="BR79" s="73">
        <v>378.84</v>
      </c>
      <c r="BS79" s="73">
        <v>57.765000000000001</v>
      </c>
      <c r="BT79" s="73">
        <v>90.84</v>
      </c>
      <c r="BU79" s="73">
        <v>11.849</v>
      </c>
      <c r="BV79" s="73">
        <v>43.96</v>
      </c>
      <c r="BW79" s="73">
        <v>8.0269999999999992</v>
      </c>
      <c r="BX79" s="73">
        <v>1.603</v>
      </c>
      <c r="BY79" s="73">
        <v>6.4269999999999996</v>
      </c>
      <c r="BZ79" s="73">
        <v>0.98099999999999998</v>
      </c>
      <c r="CA79" s="73">
        <v>5.1420000000000003</v>
      </c>
      <c r="CB79" s="73">
        <v>1.0609999999999999</v>
      </c>
      <c r="CC79" s="73">
        <v>2.9409999999999998</v>
      </c>
      <c r="CD79" s="73">
        <v>0.42399999999999999</v>
      </c>
      <c r="CE79" s="73">
        <v>2.5830000000000002</v>
      </c>
      <c r="CF79" s="73">
        <v>0.4</v>
      </c>
      <c r="CG79" s="73">
        <v>4.2300000000000004</v>
      </c>
      <c r="CH79" s="73">
        <v>1.123</v>
      </c>
      <c r="CI79" s="73">
        <v>13.632999999999999</v>
      </c>
      <c r="CJ79" s="73">
        <v>0.69699999999999995</v>
      </c>
      <c r="CK79" s="73">
        <v>148.9</v>
      </c>
      <c r="CL79" s="73">
        <v>1.1599999999999999</v>
      </c>
      <c r="CM79" s="73">
        <v>10.077</v>
      </c>
      <c r="CN79" s="73">
        <v>3.6720000000000002</v>
      </c>
      <c r="CP79" s="136">
        <f t="shared" si="25"/>
        <v>173.20314188380146</v>
      </c>
      <c r="CQ79" s="136">
        <f t="shared" si="26"/>
        <v>6.961164600612503</v>
      </c>
      <c r="CR79" s="136">
        <f t="shared" si="27"/>
        <v>17.903280795356135</v>
      </c>
      <c r="CS79" s="136">
        <f t="shared" si="28"/>
        <v>2.0523019161989096</v>
      </c>
      <c r="CT79" s="136">
        <f t="shared" si="29"/>
        <v>6.724219800778112</v>
      </c>
      <c r="CU79" s="136">
        <f t="shared" si="30"/>
        <v>1.975067255985357</v>
      </c>
      <c r="CV79" s="136">
        <f t="shared" si="31"/>
        <v>12.89856989816905</v>
      </c>
      <c r="CW79" s="136">
        <f t="shared" si="32"/>
        <v>11.179823271981682</v>
      </c>
      <c r="CX79" s="136">
        <f t="shared" si="33"/>
        <v>15.213105367225394</v>
      </c>
      <c r="CY79" s="136">
        <f t="shared" si="34"/>
        <v>13.669416592099157</v>
      </c>
      <c r="CZ79" s="136">
        <f t="shared" si="35"/>
        <v>-4.3321593329456736</v>
      </c>
      <c r="DA79" s="136">
        <f t="shared" si="36"/>
        <v>10.935356462937495</v>
      </c>
      <c r="DB79" s="22"/>
      <c r="DC79" s="141">
        <f t="shared" si="20"/>
        <v>112.29166666666667</v>
      </c>
      <c r="DD79" s="141">
        <f t="shared" si="21"/>
        <v>0.37225000000000003</v>
      </c>
      <c r="DE79" s="141">
        <f t="shared" si="22"/>
        <v>1.294535</v>
      </c>
      <c r="DF79" s="141">
        <f t="shared" si="23"/>
        <v>2.9937499999999999</v>
      </c>
      <c r="DG79" s="141">
        <f t="shared" si="19"/>
        <v>6.770000000000001E-2</v>
      </c>
      <c r="DH79" s="141">
        <f t="shared" si="24"/>
        <v>1.4574</v>
      </c>
    </row>
    <row r="80" spans="1:112" s="28" customFormat="1">
      <c r="A80" s="38"/>
      <c r="F80" s="38"/>
      <c r="V80" s="17" t="s">
        <v>233</v>
      </c>
      <c r="W80" s="20" t="s">
        <v>234</v>
      </c>
      <c r="X80" s="15" t="s">
        <v>341</v>
      </c>
      <c r="Y80" s="17">
        <v>0.105117</v>
      </c>
      <c r="Z80" s="17">
        <v>34.698954000000001</v>
      </c>
      <c r="AA80" s="17" t="s">
        <v>359</v>
      </c>
      <c r="AB80" s="17" t="s">
        <v>334</v>
      </c>
      <c r="AC80" s="6" t="s">
        <v>347</v>
      </c>
      <c r="AD80" s="14" t="s">
        <v>371</v>
      </c>
      <c r="AE80" s="65" t="s">
        <v>687</v>
      </c>
      <c r="AF80" s="17" t="s">
        <v>367</v>
      </c>
      <c r="AG80" s="17" t="s">
        <v>684</v>
      </c>
      <c r="AH80" s="35" t="s">
        <v>683</v>
      </c>
      <c r="AI80" s="24">
        <v>4.7767070769867539</v>
      </c>
      <c r="AJ80" s="73">
        <v>5.54</v>
      </c>
      <c r="AK80" s="76">
        <v>0.83558500000000002</v>
      </c>
      <c r="AL80" s="73">
        <v>27.3</v>
      </c>
      <c r="AM80" s="73">
        <v>1.93</v>
      </c>
      <c r="AN80" s="73">
        <v>3278</v>
      </c>
      <c r="AO80" s="73">
        <v>1636</v>
      </c>
      <c r="AP80" s="73">
        <v>91171</v>
      </c>
      <c r="AQ80" s="73">
        <v>634</v>
      </c>
      <c r="AR80" s="73">
        <v>394</v>
      </c>
      <c r="AS80" s="73">
        <v>15062</v>
      </c>
      <c r="AT80" s="73">
        <v>2760</v>
      </c>
      <c r="AU80" s="73">
        <v>2980.9</v>
      </c>
      <c r="AV80" s="73">
        <v>126</v>
      </c>
      <c r="AW80" s="73">
        <v>177.4</v>
      </c>
      <c r="AX80" s="73">
        <v>1590.9</v>
      </c>
      <c r="AY80" s="73">
        <v>43724</v>
      </c>
      <c r="AZ80" s="73">
        <v>38.170999999999999</v>
      </c>
      <c r="BA80" s="73">
        <v>56.1</v>
      </c>
      <c r="BB80" s="73">
        <v>41.07</v>
      </c>
      <c r="BC80" s="73">
        <v>105</v>
      </c>
      <c r="BD80" s="73">
        <v>21.4</v>
      </c>
      <c r="BE80" s="73">
        <v>435.3</v>
      </c>
      <c r="BF80" s="73">
        <v>0.81</v>
      </c>
      <c r="BG80" s="73">
        <v>86.42</v>
      </c>
      <c r="BH80" s="73">
        <v>102.03</v>
      </c>
      <c r="BI80" s="73">
        <v>28.834</v>
      </c>
      <c r="BJ80" s="73">
        <v>252.32</v>
      </c>
      <c r="BK80" s="73">
        <v>45.293999999999997</v>
      </c>
      <c r="BL80" s="73">
        <v>4</v>
      </c>
      <c r="BM80" s="73">
        <v>0.42599999999999999</v>
      </c>
      <c r="BN80" s="73">
        <v>0.22500000000000001</v>
      </c>
      <c r="BO80" s="73">
        <v>2.73</v>
      </c>
      <c r="BP80" s="73">
        <v>1.925</v>
      </c>
      <c r="BQ80" s="73">
        <v>3.9239999999999999</v>
      </c>
      <c r="BR80" s="73">
        <v>399.07</v>
      </c>
      <c r="BS80" s="73">
        <v>55.536000000000001</v>
      </c>
      <c r="BT80" s="73">
        <v>126.26600000000001</v>
      </c>
      <c r="BU80" s="73">
        <v>11.201000000000001</v>
      </c>
      <c r="BV80" s="73">
        <v>41.35</v>
      </c>
      <c r="BW80" s="73">
        <v>7.6020000000000003</v>
      </c>
      <c r="BX80" s="73">
        <v>1.4950000000000001</v>
      </c>
      <c r="BY80" s="73">
        <v>6.1159999999999997</v>
      </c>
      <c r="BZ80" s="73">
        <v>0.98</v>
      </c>
      <c r="CA80" s="73">
        <v>5.4160000000000004</v>
      </c>
      <c r="CB80" s="73">
        <v>1.1200000000000001</v>
      </c>
      <c r="CC80" s="73">
        <v>3.1440000000000001</v>
      </c>
      <c r="CD80" s="73">
        <v>0.48499999999999999</v>
      </c>
      <c r="CE80" s="73">
        <v>2.9769999999999999</v>
      </c>
      <c r="CF80" s="73">
        <v>0.45800000000000002</v>
      </c>
      <c r="CG80" s="73">
        <v>6.6589999999999998</v>
      </c>
      <c r="CH80" s="73">
        <v>2.5430000000000001</v>
      </c>
      <c r="CI80" s="73">
        <v>4.1820000000000004</v>
      </c>
      <c r="CJ80" s="73">
        <v>0.72099999999999997</v>
      </c>
      <c r="CK80" s="73">
        <v>52</v>
      </c>
      <c r="CL80" s="73">
        <v>0.56999999999999995</v>
      </c>
      <c r="CM80" s="73">
        <v>13.654</v>
      </c>
      <c r="CN80" s="73">
        <v>4.1349999999999998</v>
      </c>
      <c r="CP80" s="136">
        <f t="shared" si="25"/>
        <v>51.549963339557763</v>
      </c>
      <c r="CQ80" s="136">
        <f t="shared" si="26"/>
        <v>2.239769109120199</v>
      </c>
      <c r="CR80" s="136">
        <f t="shared" si="27"/>
        <v>10.646875194328869</v>
      </c>
      <c r="CS80" s="136">
        <f t="shared" si="28"/>
        <v>1.750701335561212</v>
      </c>
      <c r="CT80" s="136">
        <f t="shared" si="29"/>
        <v>2.0589625730823928</v>
      </c>
      <c r="CU80" s="136">
        <f t="shared" si="30"/>
        <v>1.4009049905996798</v>
      </c>
      <c r="CV80" s="136">
        <f t="shared" si="31"/>
        <v>11.268366550429722</v>
      </c>
      <c r="CW80" s="136">
        <f t="shared" si="32"/>
        <v>9.6620630464280381</v>
      </c>
      <c r="CX80" s="136">
        <f t="shared" si="33"/>
        <v>14.581529894913487</v>
      </c>
      <c r="CY80" s="136">
        <f t="shared" si="34"/>
        <v>13.558325040664041</v>
      </c>
      <c r="CZ80" s="136">
        <f t="shared" si="35"/>
        <v>-5.9213901653036345</v>
      </c>
      <c r="DA80" s="136">
        <f t="shared" si="36"/>
        <v>10.55803224307663</v>
      </c>
      <c r="DB80" s="22"/>
      <c r="DC80" s="141">
        <f t="shared" si="20"/>
        <v>36.274999999999999</v>
      </c>
      <c r="DD80" s="141">
        <f t="shared" si="21"/>
        <v>0.13</v>
      </c>
      <c r="DE80" s="141">
        <f t="shared" si="22"/>
        <v>0.83558500000000002</v>
      </c>
      <c r="DF80" s="141">
        <f t="shared" si="23"/>
        <v>2.7718750000000001</v>
      </c>
      <c r="DG80" s="141">
        <f t="shared" si="19"/>
        <v>2.2499999999999999E-2</v>
      </c>
      <c r="DH80" s="141">
        <f t="shared" si="24"/>
        <v>1.1220000000000001</v>
      </c>
    </row>
    <row r="81" spans="1:112" s="28" customFormat="1">
      <c r="A81" s="38"/>
      <c r="F81" s="38"/>
      <c r="V81" s="17" t="s">
        <v>235</v>
      </c>
      <c r="W81" s="20" t="s">
        <v>236</v>
      </c>
      <c r="X81" s="15" t="s">
        <v>341</v>
      </c>
      <c r="Y81" s="17">
        <v>0.105629</v>
      </c>
      <c r="Z81" s="17">
        <v>34.699337</v>
      </c>
      <c r="AA81" s="17" t="s">
        <v>359</v>
      </c>
      <c r="AB81" s="17" t="s">
        <v>334</v>
      </c>
      <c r="AC81" s="6" t="s">
        <v>347</v>
      </c>
      <c r="AD81" s="14" t="s">
        <v>371</v>
      </c>
      <c r="AE81" s="65" t="s">
        <v>687</v>
      </c>
      <c r="AF81" s="17" t="s">
        <v>361</v>
      </c>
      <c r="AG81" s="17" t="s">
        <v>685</v>
      </c>
      <c r="AH81" s="35" t="s">
        <v>690</v>
      </c>
      <c r="AI81" s="24">
        <v>3.530031612223409</v>
      </c>
      <c r="AJ81" s="73">
        <v>4.49</v>
      </c>
      <c r="AK81" s="76">
        <v>9.0802549999999993</v>
      </c>
      <c r="AL81" s="73">
        <v>50</v>
      </c>
      <c r="AM81" s="73">
        <v>1.6</v>
      </c>
      <c r="AN81" s="73">
        <v>7335</v>
      </c>
      <c r="AO81" s="73">
        <v>8078</v>
      </c>
      <c r="AP81" s="73">
        <v>105034</v>
      </c>
      <c r="AQ81" s="73">
        <v>481</v>
      </c>
      <c r="AR81" s="73">
        <v>3378</v>
      </c>
      <c r="AS81" s="73">
        <v>19477</v>
      </c>
      <c r="AT81" s="73">
        <v>4735</v>
      </c>
      <c r="AU81" s="73">
        <v>2654.4</v>
      </c>
      <c r="AV81" s="73">
        <v>154.1</v>
      </c>
      <c r="AW81" s="73">
        <v>237.8</v>
      </c>
      <c r="AX81" s="73">
        <v>821.5</v>
      </c>
      <c r="AY81" s="73">
        <v>50472</v>
      </c>
      <c r="AZ81" s="73">
        <v>39.624000000000002</v>
      </c>
      <c r="BA81" s="73">
        <v>98.85</v>
      </c>
      <c r="BB81" s="73">
        <v>63.78</v>
      </c>
      <c r="BC81" s="73">
        <v>146</v>
      </c>
      <c r="BD81" s="73">
        <v>22.52</v>
      </c>
      <c r="BE81" s="73">
        <v>3405.1</v>
      </c>
      <c r="BF81" s="73">
        <v>0.74</v>
      </c>
      <c r="BG81" s="73">
        <v>87.33</v>
      </c>
      <c r="BH81" s="73">
        <v>162.63999999999999</v>
      </c>
      <c r="BI81" s="73">
        <v>19.323</v>
      </c>
      <c r="BJ81" s="73">
        <v>163.66999999999999</v>
      </c>
      <c r="BK81" s="73">
        <v>18.138999999999999</v>
      </c>
      <c r="BL81" s="73">
        <v>3.91</v>
      </c>
      <c r="BM81" s="73">
        <v>1.103</v>
      </c>
      <c r="BN81" s="73">
        <v>0.95899999999999996</v>
      </c>
      <c r="BO81" s="73">
        <v>2.19</v>
      </c>
      <c r="BP81" s="73">
        <v>5.1980000000000004</v>
      </c>
      <c r="BQ81" s="73">
        <v>6.5410000000000004</v>
      </c>
      <c r="BR81" s="73">
        <v>444.43</v>
      </c>
      <c r="BS81" s="73">
        <v>42.561999999999998</v>
      </c>
      <c r="BT81" s="73">
        <v>109.047</v>
      </c>
      <c r="BU81" s="73">
        <v>9.8290000000000006</v>
      </c>
      <c r="BV81" s="73">
        <v>37.89</v>
      </c>
      <c r="BW81" s="73">
        <v>7.1429999999999998</v>
      </c>
      <c r="BX81" s="73">
        <v>1.597</v>
      </c>
      <c r="BY81" s="73">
        <v>5.0880000000000001</v>
      </c>
      <c r="BZ81" s="73">
        <v>0.73399999999999999</v>
      </c>
      <c r="CA81" s="73">
        <v>3.968</v>
      </c>
      <c r="CB81" s="73">
        <v>0.76300000000000001</v>
      </c>
      <c r="CC81" s="73">
        <v>2.0750000000000002</v>
      </c>
      <c r="CD81" s="73">
        <v>0.309</v>
      </c>
      <c r="CE81" s="73">
        <v>1.9379999999999999</v>
      </c>
      <c r="CF81" s="73">
        <v>0.28499999999999998</v>
      </c>
      <c r="CG81" s="73">
        <v>4.6379999999999999</v>
      </c>
      <c r="CH81" s="73">
        <v>1.0880000000000001</v>
      </c>
      <c r="CI81" s="73">
        <v>6.4160000000000004</v>
      </c>
      <c r="CJ81" s="73">
        <v>0.80300000000000005</v>
      </c>
      <c r="CK81" s="73">
        <v>141.1</v>
      </c>
      <c r="CL81" s="73">
        <v>1.28</v>
      </c>
      <c r="CM81" s="73">
        <v>13.542</v>
      </c>
      <c r="CN81" s="73">
        <v>5.1470000000000002</v>
      </c>
      <c r="CP81" s="136">
        <f t="shared" si="25"/>
        <v>349.33245462830877</v>
      </c>
      <c r="CQ81" s="136">
        <f t="shared" si="26"/>
        <v>5.2649747402916125</v>
      </c>
      <c r="CR81" s="136">
        <f t="shared" si="27"/>
        <v>100.23028014310729</v>
      </c>
      <c r="CS81" s="136">
        <f t="shared" si="28"/>
        <v>2.0330107219223086</v>
      </c>
      <c r="CT81" s="136">
        <f t="shared" si="29"/>
        <v>7.6024559521751032</v>
      </c>
      <c r="CU81" s="136">
        <f t="shared" si="30"/>
        <v>2.138414379175984</v>
      </c>
      <c r="CV81" s="136">
        <f t="shared" si="31"/>
        <v>14.23598179270487</v>
      </c>
      <c r="CW81" s="136">
        <f t="shared" si="32"/>
        <v>11.102197505996847</v>
      </c>
      <c r="CX81" s="136">
        <f t="shared" si="33"/>
        <v>18.023404208858906</v>
      </c>
      <c r="CY81" s="136">
        <f t="shared" si="34"/>
        <v>13.981067746108634</v>
      </c>
      <c r="CZ81" s="136">
        <f t="shared" si="35"/>
        <v>-3.82978435150254</v>
      </c>
      <c r="DA81" s="136">
        <f t="shared" si="36"/>
        <v>11.375272438197044</v>
      </c>
      <c r="DB81" s="22"/>
      <c r="DC81" s="141">
        <f t="shared" si="20"/>
        <v>283.75833333333333</v>
      </c>
      <c r="DD81" s="141">
        <f t="shared" si="21"/>
        <v>0.35275000000000001</v>
      </c>
      <c r="DE81" s="141">
        <f t="shared" si="22"/>
        <v>9.0802549999999993</v>
      </c>
      <c r="DF81" s="141">
        <f t="shared" si="23"/>
        <v>3.7156250000000002</v>
      </c>
      <c r="DG81" s="141">
        <f t="shared" si="19"/>
        <v>9.5899999999999999E-2</v>
      </c>
      <c r="DH81" s="141">
        <f t="shared" si="24"/>
        <v>1.9769999999999999</v>
      </c>
    </row>
    <row r="82" spans="1:112" s="28" customFormat="1">
      <c r="A82" s="38"/>
      <c r="F82" s="38"/>
      <c r="V82" s="17" t="s">
        <v>237</v>
      </c>
      <c r="W82" s="20" t="s">
        <v>238</v>
      </c>
      <c r="X82" s="15" t="s">
        <v>341</v>
      </c>
      <c r="Y82" s="17">
        <v>0.105629</v>
      </c>
      <c r="Z82" s="17">
        <v>34.699337</v>
      </c>
      <c r="AA82" s="17" t="s">
        <v>359</v>
      </c>
      <c r="AB82" s="17" t="s">
        <v>334</v>
      </c>
      <c r="AC82" s="6" t="s">
        <v>347</v>
      </c>
      <c r="AD82" s="14" t="s">
        <v>371</v>
      </c>
      <c r="AE82" s="65" t="s">
        <v>687</v>
      </c>
      <c r="AF82" s="17" t="s">
        <v>368</v>
      </c>
      <c r="AG82" s="17" t="s">
        <v>684</v>
      </c>
      <c r="AH82" s="35" t="s">
        <v>683</v>
      </c>
      <c r="AI82" s="24">
        <v>4.4860234445449922</v>
      </c>
      <c r="AJ82" s="73">
        <v>6.19</v>
      </c>
      <c r="AK82" s="24">
        <v>2.3111900000000003</v>
      </c>
      <c r="AL82" s="73">
        <v>25.5</v>
      </c>
      <c r="AM82" s="73">
        <v>1.48</v>
      </c>
      <c r="AN82" s="73">
        <v>3574</v>
      </c>
      <c r="AO82" s="73">
        <v>2236</v>
      </c>
      <c r="AP82" s="73">
        <v>59918</v>
      </c>
      <c r="AQ82" s="73">
        <v>477</v>
      </c>
      <c r="AR82" s="73">
        <v>1497</v>
      </c>
      <c r="AS82" s="73">
        <v>11470</v>
      </c>
      <c r="AT82" s="73">
        <v>3050</v>
      </c>
      <c r="AU82" s="73">
        <v>2307</v>
      </c>
      <c r="AV82" s="73">
        <v>89.4</v>
      </c>
      <c r="AW82" s="73">
        <v>148.19999999999999</v>
      </c>
      <c r="AX82" s="73">
        <v>1991.9</v>
      </c>
      <c r="AY82" s="73">
        <v>35489</v>
      </c>
      <c r="AZ82" s="73">
        <v>44.646999999999998</v>
      </c>
      <c r="BA82" s="73">
        <v>58.89</v>
      </c>
      <c r="BB82" s="73">
        <v>40.869999999999997</v>
      </c>
      <c r="BC82" s="73">
        <v>127</v>
      </c>
      <c r="BD82" s="73">
        <v>14.57</v>
      </c>
      <c r="BE82" s="73">
        <v>1615.5</v>
      </c>
      <c r="BF82" s="73">
        <v>0.57999999999999996</v>
      </c>
      <c r="BG82" s="73">
        <v>61.2</v>
      </c>
      <c r="BH82" s="73">
        <v>88.47</v>
      </c>
      <c r="BI82" s="73">
        <v>26.952999999999999</v>
      </c>
      <c r="BJ82" s="73">
        <v>166.19</v>
      </c>
      <c r="BK82" s="73">
        <v>29.023</v>
      </c>
      <c r="BL82" s="73">
        <v>3.75</v>
      </c>
      <c r="BM82" s="73">
        <v>0.73299999999999998</v>
      </c>
      <c r="BN82" s="73">
        <v>0.53200000000000003</v>
      </c>
      <c r="BO82" s="73">
        <v>1.75</v>
      </c>
      <c r="BP82" s="73">
        <v>3.7469999999999999</v>
      </c>
      <c r="BQ82" s="73">
        <v>3.0979999999999999</v>
      </c>
      <c r="BR82" s="73">
        <v>306.10000000000002</v>
      </c>
      <c r="BS82" s="73">
        <v>52.77</v>
      </c>
      <c r="BT82" s="73">
        <v>111.331</v>
      </c>
      <c r="BU82" s="73">
        <v>10.324999999999999</v>
      </c>
      <c r="BV82" s="73">
        <v>37.39</v>
      </c>
      <c r="BW82" s="73">
        <v>6.6849999999999996</v>
      </c>
      <c r="BX82" s="73">
        <v>1.274</v>
      </c>
      <c r="BY82" s="73">
        <v>5.4939999999999998</v>
      </c>
      <c r="BZ82" s="73">
        <v>0.88300000000000001</v>
      </c>
      <c r="CA82" s="73">
        <v>4.827</v>
      </c>
      <c r="CB82" s="73">
        <v>1</v>
      </c>
      <c r="CC82" s="73">
        <v>2.774</v>
      </c>
      <c r="CD82" s="73">
        <v>0.41199999999999998</v>
      </c>
      <c r="CE82" s="73">
        <v>2.5649999999999999</v>
      </c>
      <c r="CF82" s="73">
        <v>0.36399999999999999</v>
      </c>
      <c r="CG82" s="73">
        <v>4.5289999999999999</v>
      </c>
      <c r="CH82" s="73">
        <v>1.5940000000000001</v>
      </c>
      <c r="CI82" s="73">
        <v>10.147</v>
      </c>
      <c r="CJ82" s="73">
        <v>0.57399999999999995</v>
      </c>
      <c r="CK82" s="73">
        <v>99.2</v>
      </c>
      <c r="CL82" s="73">
        <v>1.18</v>
      </c>
      <c r="CM82" s="73">
        <v>9.3040000000000003</v>
      </c>
      <c r="CN82" s="73">
        <v>3.3759999999999999</v>
      </c>
      <c r="CP82" s="136">
        <f t="shared" si="25"/>
        <v>235.7071623684555</v>
      </c>
      <c r="CQ82" s="136">
        <f t="shared" si="26"/>
        <v>5.264264507255457</v>
      </c>
      <c r="CR82" s="136">
        <f t="shared" si="27"/>
        <v>36.282173963870427</v>
      </c>
      <c r="CS82" s="136">
        <f t="shared" si="28"/>
        <v>1.8019086692976947</v>
      </c>
      <c r="CT82" s="136">
        <f t="shared" si="29"/>
        <v>5.9979617243755436</v>
      </c>
      <c r="CU82" s="136">
        <f t="shared" si="30"/>
        <v>1.8118135322646263</v>
      </c>
      <c r="CV82" s="136">
        <f t="shared" si="31"/>
        <v>13.160265375794546</v>
      </c>
      <c r="CW82" s="136">
        <f t="shared" si="32"/>
        <v>10.593891543786457</v>
      </c>
      <c r="CX82" s="136">
        <f t="shared" si="33"/>
        <v>16.049307262507551</v>
      </c>
      <c r="CY82" s="136">
        <f t="shared" si="34"/>
        <v>13.298864478668813</v>
      </c>
      <c r="CZ82" s="136">
        <f t="shared" si="35"/>
        <v>-4.6798889210194812</v>
      </c>
      <c r="DA82" s="136">
        <f t="shared" si="36"/>
        <v>10.628054145767802</v>
      </c>
      <c r="DB82" s="22"/>
      <c r="DC82" s="141">
        <f t="shared" si="20"/>
        <v>134.625</v>
      </c>
      <c r="DD82" s="141">
        <f t="shared" si="21"/>
        <v>0.248</v>
      </c>
      <c r="DE82" s="141">
        <f t="shared" si="22"/>
        <v>2.3111900000000003</v>
      </c>
      <c r="DF82" s="141">
        <f t="shared" si="23"/>
        <v>2.3156249999999998</v>
      </c>
      <c r="DG82" s="141">
        <f>BN82/1.4</f>
        <v>0.38000000000000006</v>
      </c>
      <c r="DH82" s="141">
        <f t="shared" si="24"/>
        <v>1.1778</v>
      </c>
    </row>
    <row r="83" spans="1:112" s="28" customFormat="1">
      <c r="A83" s="38"/>
      <c r="F83" s="38"/>
      <c r="V83" s="17" t="s">
        <v>239</v>
      </c>
      <c r="W83" s="20" t="s">
        <v>240</v>
      </c>
      <c r="X83" s="15" t="s">
        <v>341</v>
      </c>
      <c r="Y83" s="17">
        <v>0.10542700000000001</v>
      </c>
      <c r="Z83" s="17">
        <v>34.698397999999997</v>
      </c>
      <c r="AA83" s="17" t="s">
        <v>359</v>
      </c>
      <c r="AB83" s="17" t="s">
        <v>334</v>
      </c>
      <c r="AC83" s="6" t="s">
        <v>347</v>
      </c>
      <c r="AD83" s="14" t="s">
        <v>371</v>
      </c>
      <c r="AE83" s="65" t="s">
        <v>687</v>
      </c>
      <c r="AF83" s="17" t="s">
        <v>365</v>
      </c>
      <c r="AG83" s="17" t="s">
        <v>685</v>
      </c>
      <c r="AH83" s="35" t="s">
        <v>691</v>
      </c>
      <c r="AI83" s="24">
        <v>1.55137604930379</v>
      </c>
      <c r="AJ83" s="73">
        <v>8.51</v>
      </c>
      <c r="AK83" s="24">
        <v>5.1827399999999999</v>
      </c>
      <c r="AL83" s="73">
        <v>23.6</v>
      </c>
      <c r="AM83" s="73">
        <v>1.38</v>
      </c>
      <c r="AN83" s="73">
        <v>7511</v>
      </c>
      <c r="AO83" s="73">
        <v>7016</v>
      </c>
      <c r="AP83" s="73">
        <v>65586</v>
      </c>
      <c r="AQ83" s="73">
        <v>403</v>
      </c>
      <c r="AR83" s="73">
        <v>3744</v>
      </c>
      <c r="AS83" s="73">
        <v>16746</v>
      </c>
      <c r="AT83" s="73">
        <v>10344</v>
      </c>
      <c r="AU83" s="73">
        <v>1975.1</v>
      </c>
      <c r="AV83" s="73">
        <v>111.9</v>
      </c>
      <c r="AW83" s="73">
        <v>186.3</v>
      </c>
      <c r="AX83" s="73">
        <v>867.3</v>
      </c>
      <c r="AY83" s="73">
        <v>38397</v>
      </c>
      <c r="AZ83" s="73">
        <v>25.986999999999998</v>
      </c>
      <c r="BA83" s="73">
        <v>56.3</v>
      </c>
      <c r="BB83" s="73">
        <v>72.849999999999994</v>
      </c>
      <c r="BC83" s="73">
        <v>210</v>
      </c>
      <c r="BD83" s="73">
        <v>14.7</v>
      </c>
      <c r="BE83" s="73">
        <v>4071.7</v>
      </c>
      <c r="BF83" s="73">
        <v>0.85</v>
      </c>
      <c r="BG83" s="73">
        <v>63.48</v>
      </c>
      <c r="BH83" s="73">
        <v>120.42</v>
      </c>
      <c r="BI83" s="73">
        <v>14.33</v>
      </c>
      <c r="BJ83" s="73">
        <v>86.92</v>
      </c>
      <c r="BK83" s="73">
        <v>9.1110000000000007</v>
      </c>
      <c r="BL83" s="73">
        <v>5.54</v>
      </c>
      <c r="BM83" s="73">
        <v>1.393</v>
      </c>
      <c r="BN83" s="73">
        <v>2.0920000000000001</v>
      </c>
      <c r="BO83" s="73">
        <v>1.5</v>
      </c>
      <c r="BP83" s="73">
        <v>5.5590000000000002</v>
      </c>
      <c r="BQ83" s="73">
        <v>3.84</v>
      </c>
      <c r="BR83" s="73">
        <v>382.04</v>
      </c>
      <c r="BS83" s="73">
        <v>25.478999999999999</v>
      </c>
      <c r="BT83" s="73">
        <v>52.99</v>
      </c>
      <c r="BU83" s="73">
        <v>5.649</v>
      </c>
      <c r="BV83" s="73">
        <v>21.43</v>
      </c>
      <c r="BW83" s="73">
        <v>4.0830000000000002</v>
      </c>
      <c r="BX83" s="73">
        <v>0.96099999999999997</v>
      </c>
      <c r="BY83" s="73">
        <v>3.2450000000000001</v>
      </c>
      <c r="BZ83" s="73">
        <v>0.47599999999999998</v>
      </c>
      <c r="CA83" s="73">
        <v>2.6640000000000001</v>
      </c>
      <c r="CB83" s="73">
        <v>0.54600000000000004</v>
      </c>
      <c r="CC83" s="73">
        <v>1.4710000000000001</v>
      </c>
      <c r="CD83" s="73">
        <v>0.224</v>
      </c>
      <c r="CE83" s="73">
        <v>1.4079999999999999</v>
      </c>
      <c r="CF83" s="73">
        <v>0.20399999999999999</v>
      </c>
      <c r="CG83" s="73">
        <v>2.504</v>
      </c>
      <c r="CH83" s="73">
        <v>0.51100000000000001</v>
      </c>
      <c r="CI83" s="73">
        <v>22.266999999999999</v>
      </c>
      <c r="CJ83" s="73">
        <v>0.54900000000000004</v>
      </c>
      <c r="CK83" s="73">
        <v>224.7</v>
      </c>
      <c r="CL83" s="73">
        <v>8</v>
      </c>
      <c r="CM83" s="73">
        <v>5.7640000000000002</v>
      </c>
      <c r="CN83" s="73">
        <v>2.593</v>
      </c>
      <c r="CP83" s="136">
        <f t="shared" si="25"/>
        <v>549.0830753474919</v>
      </c>
      <c r="CQ83" s="136">
        <f t="shared" si="26"/>
        <v>11.021115942178703</v>
      </c>
      <c r="CR83" s="136">
        <f t="shared" si="27"/>
        <v>75.199255722114373</v>
      </c>
      <c r="CS83" s="136">
        <f t="shared" si="28"/>
        <v>2.093600890234991</v>
      </c>
      <c r="CT83" s="136">
        <f t="shared" si="29"/>
        <v>21.799684397692054</v>
      </c>
      <c r="CU83" s="136">
        <f t="shared" si="30"/>
        <v>1.600946458860026</v>
      </c>
      <c r="CV83" s="136">
        <f t="shared" si="31"/>
        <v>14.493915893761955</v>
      </c>
      <c r="CW83" s="136">
        <f t="shared" si="32"/>
        <v>11.773479642579488</v>
      </c>
      <c r="CX83" s="136">
        <f t="shared" si="33"/>
        <v>17.214386416252914</v>
      </c>
      <c r="CY83" s="136">
        <f t="shared" si="34"/>
        <v>13.628946705304614</v>
      </c>
      <c r="CZ83" s="136">
        <f t="shared" si="35"/>
        <v>-2.7045042202737295</v>
      </c>
      <c r="DA83" s="136">
        <f t="shared" si="36"/>
        <v>10.563166394548066</v>
      </c>
      <c r="DB83" s="22"/>
      <c r="DC83" s="141">
        <f t="shared" si="20"/>
        <v>339.30833333333334</v>
      </c>
      <c r="DD83" s="141">
        <f t="shared" si="21"/>
        <v>0.56174999999999997</v>
      </c>
      <c r="DE83" s="141">
        <f t="shared" si="22"/>
        <v>5.1827399999999999</v>
      </c>
      <c r="DF83" s="141">
        <f t="shared" si="23"/>
        <v>2.9109375000000002</v>
      </c>
      <c r="DG83" s="141">
        <f t="shared" si="19"/>
        <v>0.2092</v>
      </c>
      <c r="DH83" s="141">
        <f t="shared" si="24"/>
        <v>1.1259999999999999</v>
      </c>
    </row>
    <row r="84" spans="1:112" s="28" customFormat="1">
      <c r="A84" s="38"/>
      <c r="F84" s="38"/>
      <c r="V84" s="17" t="s">
        <v>241</v>
      </c>
      <c r="W84" s="20" t="s">
        <v>242</v>
      </c>
      <c r="X84" s="15" t="s">
        <v>341</v>
      </c>
      <c r="Y84" s="17">
        <v>0.105629</v>
      </c>
      <c r="Z84" s="17">
        <v>34.699337</v>
      </c>
      <c r="AA84" s="17" t="s">
        <v>359</v>
      </c>
      <c r="AB84" s="17" t="s">
        <v>334</v>
      </c>
      <c r="AC84" s="6" t="s">
        <v>347</v>
      </c>
      <c r="AD84" s="14" t="s">
        <v>371</v>
      </c>
      <c r="AE84" s="65" t="s">
        <v>687</v>
      </c>
      <c r="AF84" s="17" t="s">
        <v>367</v>
      </c>
      <c r="AG84" s="17" t="s">
        <v>684</v>
      </c>
      <c r="AH84" s="35" t="s">
        <v>683</v>
      </c>
      <c r="AI84" s="24">
        <v>6.8600754084625262</v>
      </c>
      <c r="AJ84" s="73">
        <v>5.86</v>
      </c>
      <c r="AK84" s="24">
        <v>2.6561400000000002</v>
      </c>
      <c r="AL84" s="73">
        <v>32.1</v>
      </c>
      <c r="AM84" s="73">
        <v>1.87</v>
      </c>
      <c r="AN84" s="73">
        <v>3891</v>
      </c>
      <c r="AO84" s="73">
        <v>3062</v>
      </c>
      <c r="AP84" s="73">
        <v>93937</v>
      </c>
      <c r="AQ84" s="73">
        <v>723</v>
      </c>
      <c r="AR84" s="73">
        <v>361</v>
      </c>
      <c r="AS84" s="73">
        <v>16978</v>
      </c>
      <c r="AT84" s="73">
        <v>3743</v>
      </c>
      <c r="AU84" s="73">
        <v>3417.7</v>
      </c>
      <c r="AV84" s="73">
        <v>134.1</v>
      </c>
      <c r="AW84" s="73">
        <v>197.5</v>
      </c>
      <c r="AX84" s="73">
        <v>2173.6</v>
      </c>
      <c r="AY84" s="73">
        <v>46132</v>
      </c>
      <c r="AZ84" s="73">
        <v>38.603999999999999</v>
      </c>
      <c r="BA84" s="73">
        <v>54.39</v>
      </c>
      <c r="BB84" s="73">
        <v>50.93</v>
      </c>
      <c r="BC84" s="73">
        <v>153</v>
      </c>
      <c r="BD84" s="73">
        <v>22.12</v>
      </c>
      <c r="BE84" s="73">
        <v>668.9</v>
      </c>
      <c r="BF84" s="73">
        <v>0.85</v>
      </c>
      <c r="BG84" s="73">
        <v>98.28</v>
      </c>
      <c r="BH84" s="73">
        <v>106.78</v>
      </c>
      <c r="BI84" s="73">
        <v>35.521000000000001</v>
      </c>
      <c r="BJ84" s="73">
        <v>280.7</v>
      </c>
      <c r="BK84" s="73">
        <v>50.107999999999997</v>
      </c>
      <c r="BL84" s="73">
        <v>4.2300000000000004</v>
      </c>
      <c r="BM84" s="73">
        <v>0.84699999999999998</v>
      </c>
      <c r="BN84" s="73">
        <v>1.0369999999999999</v>
      </c>
      <c r="BO84" s="73">
        <v>3.08</v>
      </c>
      <c r="BP84" s="73">
        <v>2.056</v>
      </c>
      <c r="BQ84" s="73">
        <v>4.3879999999999999</v>
      </c>
      <c r="BR84" s="73">
        <v>442.92</v>
      </c>
      <c r="BS84" s="73">
        <v>71.164000000000001</v>
      </c>
      <c r="BT84" s="73">
        <v>137.20599999999999</v>
      </c>
      <c r="BU84" s="73">
        <v>13.836</v>
      </c>
      <c r="BV84" s="73">
        <v>50.52</v>
      </c>
      <c r="BW84" s="73">
        <v>9.0790000000000006</v>
      </c>
      <c r="BX84" s="73">
        <v>1.7</v>
      </c>
      <c r="BY84" s="73">
        <v>7.1849999999999996</v>
      </c>
      <c r="BZ84" s="73">
        <v>1.155</v>
      </c>
      <c r="CA84" s="73">
        <v>6.5339999999999998</v>
      </c>
      <c r="CB84" s="73">
        <v>1.3360000000000001</v>
      </c>
      <c r="CC84" s="73">
        <v>3.7160000000000002</v>
      </c>
      <c r="CD84" s="73">
        <v>0.54400000000000004</v>
      </c>
      <c r="CE84" s="73">
        <v>3.3820000000000001</v>
      </c>
      <c r="CF84" s="73">
        <v>0.52700000000000002</v>
      </c>
      <c r="CG84" s="73">
        <v>7.1280000000000001</v>
      </c>
      <c r="CH84" s="73">
        <v>2.8149999999999999</v>
      </c>
      <c r="CI84" s="73">
        <v>4.6109999999999998</v>
      </c>
      <c r="CJ84" s="73">
        <v>0.80800000000000005</v>
      </c>
      <c r="CK84" s="73">
        <v>153.9</v>
      </c>
      <c r="CL84" s="73">
        <v>1.35</v>
      </c>
      <c r="CM84" s="73">
        <v>13.847</v>
      </c>
      <c r="CN84" s="73">
        <v>4.0650000000000004</v>
      </c>
      <c r="CP84" s="136">
        <f t="shared" si="25"/>
        <v>75.079002134539763</v>
      </c>
      <c r="CQ84" s="136">
        <f t="shared" si="26"/>
        <v>6.2828418662882548</v>
      </c>
      <c r="CR84" s="136">
        <f t="shared" si="27"/>
        <v>32.077468888121814</v>
      </c>
      <c r="CS84" s="136">
        <f t="shared" si="28"/>
        <v>1.8473243286953209</v>
      </c>
      <c r="CT84" s="136">
        <f t="shared" si="29"/>
        <v>8.9941948696625502</v>
      </c>
      <c r="CU84" s="136">
        <f t="shared" si="30"/>
        <v>1.2873080416957601</v>
      </c>
      <c r="CV84" s="136">
        <f t="shared" si="31"/>
        <v>11.888147075568794</v>
      </c>
      <c r="CW84" s="136">
        <f t="shared" si="32"/>
        <v>11.227472749727793</v>
      </c>
      <c r="CX84" s="136">
        <f t="shared" si="33"/>
        <v>16.250002586049298</v>
      </c>
      <c r="CY84" s="136">
        <f t="shared" si="34"/>
        <v>13.713171684314805</v>
      </c>
      <c r="CZ84" s="136">
        <f t="shared" si="35"/>
        <v>-3.7169711777074452</v>
      </c>
      <c r="DA84" s="136">
        <f t="shared" si="36"/>
        <v>10.513372898045789</v>
      </c>
      <c r="DB84" s="22"/>
      <c r="DC84" s="141">
        <f t="shared" si="20"/>
        <v>55.741666666666667</v>
      </c>
      <c r="DD84" s="141">
        <f t="shared" si="21"/>
        <v>0.38475000000000004</v>
      </c>
      <c r="DE84" s="141">
        <f t="shared" si="22"/>
        <v>2.6561400000000002</v>
      </c>
      <c r="DF84" s="141">
        <f t="shared" si="23"/>
        <v>3.0859375</v>
      </c>
      <c r="DG84" s="141">
        <f t="shared" si="19"/>
        <v>0.10369999999999999</v>
      </c>
      <c r="DH84" s="141">
        <f t="shared" si="24"/>
        <v>1.0878000000000001</v>
      </c>
    </row>
    <row r="85" spans="1:112" s="28" customFormat="1">
      <c r="A85" s="38"/>
      <c r="F85" s="38"/>
      <c r="V85" s="17" t="s">
        <v>243</v>
      </c>
      <c r="W85" s="20" t="s">
        <v>244</v>
      </c>
      <c r="X85" s="15" t="s">
        <v>341</v>
      </c>
      <c r="Y85" s="17">
        <v>0.105629</v>
      </c>
      <c r="Z85" s="17">
        <v>34.699337</v>
      </c>
      <c r="AA85" s="17" t="s">
        <v>359</v>
      </c>
      <c r="AB85" s="17" t="s">
        <v>334</v>
      </c>
      <c r="AC85" s="6" t="s">
        <v>347</v>
      </c>
      <c r="AD85" s="14" t="s">
        <v>371</v>
      </c>
      <c r="AE85" s="65" t="s">
        <v>687</v>
      </c>
      <c r="AF85" s="17" t="s">
        <v>361</v>
      </c>
      <c r="AG85" s="17" t="s">
        <v>685</v>
      </c>
      <c r="AH85" s="35" t="s">
        <v>690</v>
      </c>
      <c r="AI85" s="24">
        <v>3.55897435897444</v>
      </c>
      <c r="AJ85" s="73">
        <v>5.65</v>
      </c>
      <c r="AK85" s="24">
        <v>2.89608</v>
      </c>
      <c r="AL85" s="73">
        <v>37.700000000000003</v>
      </c>
      <c r="AM85" s="73">
        <v>1.81</v>
      </c>
      <c r="AN85" s="73">
        <v>5390</v>
      </c>
      <c r="AO85" s="73">
        <v>6334</v>
      </c>
      <c r="AP85" s="73">
        <v>105065</v>
      </c>
      <c r="AQ85" s="73">
        <v>446</v>
      </c>
      <c r="AR85" s="73">
        <v>2400</v>
      </c>
      <c r="AS85" s="73">
        <v>18249</v>
      </c>
      <c r="AT85" s="73">
        <v>4319</v>
      </c>
      <c r="AU85" s="73">
        <v>2867</v>
      </c>
      <c r="AV85" s="73">
        <v>143.30000000000001</v>
      </c>
      <c r="AW85" s="73">
        <v>224.1</v>
      </c>
      <c r="AX85" s="73">
        <v>1130</v>
      </c>
      <c r="AY85" s="73">
        <v>47689</v>
      </c>
      <c r="AZ85" s="73">
        <v>40.817</v>
      </c>
      <c r="BA85" s="73">
        <v>83.07</v>
      </c>
      <c r="BB85" s="73">
        <v>55.31</v>
      </c>
      <c r="BC85" s="73">
        <v>266</v>
      </c>
      <c r="BD85" s="73">
        <v>23.13</v>
      </c>
      <c r="BE85" s="73">
        <v>1730.2</v>
      </c>
      <c r="BF85" s="73">
        <v>0.56999999999999995</v>
      </c>
      <c r="BG85" s="73">
        <v>89.79</v>
      </c>
      <c r="BH85" s="73">
        <v>118.79</v>
      </c>
      <c r="BI85" s="73">
        <v>29.584</v>
      </c>
      <c r="BJ85" s="73">
        <v>199.82</v>
      </c>
      <c r="BK85" s="73">
        <v>32.365000000000002</v>
      </c>
      <c r="BL85" s="73">
        <v>4.2699999999999996</v>
      </c>
      <c r="BM85" s="73">
        <v>0.86399999999999999</v>
      </c>
      <c r="BN85" s="73">
        <v>1.1439999999999999</v>
      </c>
      <c r="BO85" s="73">
        <v>2.57</v>
      </c>
      <c r="BP85" s="73">
        <v>3.4790000000000001</v>
      </c>
      <c r="BQ85" s="73">
        <v>5.593</v>
      </c>
      <c r="BR85" s="73">
        <v>414.31</v>
      </c>
      <c r="BS85" s="73">
        <v>57.378999999999998</v>
      </c>
      <c r="BT85" s="73">
        <v>123.864</v>
      </c>
      <c r="BU85" s="73">
        <v>12.238</v>
      </c>
      <c r="BV85" s="73">
        <v>45.6</v>
      </c>
      <c r="BW85" s="73">
        <v>8.3550000000000004</v>
      </c>
      <c r="BX85" s="73">
        <v>1.6679999999999999</v>
      </c>
      <c r="BY85" s="73">
        <v>6.4550000000000001</v>
      </c>
      <c r="BZ85" s="73">
        <v>0.97899999999999998</v>
      </c>
      <c r="CA85" s="73">
        <v>5.4669999999999996</v>
      </c>
      <c r="CB85" s="73">
        <v>1.0880000000000001</v>
      </c>
      <c r="CC85" s="73">
        <v>3.117</v>
      </c>
      <c r="CD85" s="73">
        <v>0.46899999999999997</v>
      </c>
      <c r="CE85" s="73">
        <v>2.798</v>
      </c>
      <c r="CF85" s="73">
        <v>0.42899999999999999</v>
      </c>
      <c r="CG85" s="73">
        <v>5.6189999999999998</v>
      </c>
      <c r="CH85" s="73">
        <v>1.869</v>
      </c>
      <c r="CI85" s="73">
        <v>19.396999999999998</v>
      </c>
      <c r="CJ85" s="73">
        <v>0.78400000000000003</v>
      </c>
      <c r="CK85" s="73">
        <v>115.1</v>
      </c>
      <c r="CL85" s="73">
        <v>1.39</v>
      </c>
      <c r="CM85" s="73">
        <v>12.531000000000001</v>
      </c>
      <c r="CN85" s="73">
        <v>4.7300000000000004</v>
      </c>
      <c r="CP85" s="136">
        <f t="shared" si="25"/>
        <v>187.86145047630913</v>
      </c>
      <c r="CQ85" s="136">
        <f t="shared" si="26"/>
        <v>4.5454501631070574</v>
      </c>
      <c r="CR85" s="136">
        <f t="shared" si="27"/>
        <v>33.833252691290163</v>
      </c>
      <c r="CS85" s="136">
        <f t="shared" si="28"/>
        <v>2.0276919359872112</v>
      </c>
      <c r="CT85" s="136">
        <f t="shared" si="29"/>
        <v>9.5982847197466921</v>
      </c>
      <c r="CU85" s="136">
        <f t="shared" si="30"/>
        <v>1.9019176184315725</v>
      </c>
      <c r="CV85" s="136">
        <f t="shared" si="31"/>
        <v>13.259223438967091</v>
      </c>
      <c r="CW85" s="136">
        <f t="shared" si="32"/>
        <v>10.808367351531814</v>
      </c>
      <c r="CX85" s="136">
        <f t="shared" si="33"/>
        <v>16.374772851021106</v>
      </c>
      <c r="CY85" s="136">
        <f t="shared" si="34"/>
        <v>13.895461679873371</v>
      </c>
      <c r="CZ85" s="136">
        <f t="shared" si="35"/>
        <v>-3.5753000197422811</v>
      </c>
      <c r="DA85" s="136">
        <f t="shared" si="36"/>
        <v>11.124359026668561</v>
      </c>
      <c r="DB85" s="22"/>
      <c r="DC85" s="141">
        <f t="shared" si="20"/>
        <v>144.18333333333334</v>
      </c>
      <c r="DD85" s="141">
        <f t="shared" si="21"/>
        <v>0.28775000000000001</v>
      </c>
      <c r="DE85" s="141">
        <f t="shared" si="22"/>
        <v>2.89608</v>
      </c>
      <c r="DF85" s="141">
        <f t="shared" si="23"/>
        <v>3.5015624999999999</v>
      </c>
      <c r="DG85" s="141">
        <f t="shared" si="19"/>
        <v>0.11439999999999999</v>
      </c>
      <c r="DH85" s="141">
        <f t="shared" si="24"/>
        <v>1.6613999999999998</v>
      </c>
    </row>
    <row r="86" spans="1:112" s="28" customFormat="1">
      <c r="A86" s="38"/>
      <c r="F86" s="38"/>
      <c r="V86" s="17" t="s">
        <v>245</v>
      </c>
      <c r="W86" s="20" t="s">
        <v>246</v>
      </c>
      <c r="X86" s="15" t="s">
        <v>341</v>
      </c>
      <c r="Y86" s="17">
        <v>0.105629</v>
      </c>
      <c r="Z86" s="17">
        <v>34.699337</v>
      </c>
      <c r="AA86" s="17" t="s">
        <v>359</v>
      </c>
      <c r="AB86" s="17" t="s">
        <v>334</v>
      </c>
      <c r="AC86" s="6" t="s">
        <v>347</v>
      </c>
      <c r="AD86" s="14" t="s">
        <v>371</v>
      </c>
      <c r="AE86" s="65" t="s">
        <v>687</v>
      </c>
      <c r="AF86" s="17" t="s">
        <v>365</v>
      </c>
      <c r="AG86" s="17" t="s">
        <v>685</v>
      </c>
      <c r="AH86" s="35" t="s">
        <v>691</v>
      </c>
      <c r="AI86" s="24">
        <v>0.54315027157529971</v>
      </c>
      <c r="AJ86" s="73">
        <v>7.43</v>
      </c>
      <c r="AK86" s="24">
        <v>144.67769999999999</v>
      </c>
      <c r="AL86" s="73">
        <v>35.700000000000003</v>
      </c>
      <c r="AM86" s="73">
        <v>1.62</v>
      </c>
      <c r="AN86" s="73">
        <v>7784</v>
      </c>
      <c r="AO86" s="73">
        <v>14374</v>
      </c>
      <c r="AP86" s="73">
        <v>75373</v>
      </c>
      <c r="AQ86" s="73">
        <v>458</v>
      </c>
      <c r="AR86" s="73">
        <v>255614</v>
      </c>
      <c r="AS86" s="73">
        <v>22607</v>
      </c>
      <c r="AT86" s="73">
        <v>13268</v>
      </c>
      <c r="AU86" s="73">
        <v>2171.6</v>
      </c>
      <c r="AV86" s="73">
        <v>112.4</v>
      </c>
      <c r="AW86" s="73">
        <v>385.2</v>
      </c>
      <c r="AX86" s="73">
        <v>575.20000000000005</v>
      </c>
      <c r="AY86" s="73">
        <v>353081</v>
      </c>
      <c r="AZ86" s="73">
        <v>403.96</v>
      </c>
      <c r="BA86" s="73">
        <v>641.96</v>
      </c>
      <c r="BB86" s="73">
        <v>2634.04</v>
      </c>
      <c r="BC86" s="73">
        <v>1144</v>
      </c>
      <c r="BD86" s="73">
        <v>18.510000000000002</v>
      </c>
      <c r="BE86" s="73">
        <v>95239.4</v>
      </c>
      <c r="BF86" s="73">
        <v>23.19</v>
      </c>
      <c r="BG86" s="73">
        <v>101.71</v>
      </c>
      <c r="BH86" s="73">
        <v>115.14</v>
      </c>
      <c r="BI86" s="73">
        <v>14.77</v>
      </c>
      <c r="BJ86" s="73">
        <v>101.15</v>
      </c>
      <c r="BK86" s="73">
        <v>3.2160000000000002</v>
      </c>
      <c r="BL86" s="73">
        <v>4.6100000000000003</v>
      </c>
      <c r="BM86" s="73">
        <v>55.286000000000001</v>
      </c>
      <c r="BN86" s="73">
        <v>14.455</v>
      </c>
      <c r="BO86" s="73">
        <v>1.89</v>
      </c>
      <c r="BP86" s="73">
        <v>153.99</v>
      </c>
      <c r="BQ86" s="73">
        <v>7.3</v>
      </c>
      <c r="BR86" s="73">
        <v>177.19</v>
      </c>
      <c r="BS86" s="73">
        <v>26.605</v>
      </c>
      <c r="BT86" s="73">
        <v>52.975999999999999</v>
      </c>
      <c r="BU86" s="73">
        <v>6.6950000000000003</v>
      </c>
      <c r="BV86" s="73">
        <v>24.19</v>
      </c>
      <c r="BW86" s="73">
        <v>4.7160000000000002</v>
      </c>
      <c r="BX86" s="73">
        <v>0.91100000000000003</v>
      </c>
      <c r="BY86" s="73">
        <v>3.1040000000000001</v>
      </c>
      <c r="BZ86" s="73">
        <v>0.498</v>
      </c>
      <c r="CA86" s="73">
        <v>2.8919999999999999</v>
      </c>
      <c r="CB86" s="73">
        <v>0.52400000000000002</v>
      </c>
      <c r="CC86" s="73">
        <v>1.744</v>
      </c>
      <c r="CD86" s="73">
        <v>0.19600000000000001</v>
      </c>
      <c r="CE86" s="73">
        <v>1.5129999999999999</v>
      </c>
      <c r="CF86" s="73">
        <v>0.217</v>
      </c>
      <c r="CG86" s="73">
        <v>2.74</v>
      </c>
      <c r="CH86" s="73">
        <v>0.28499999999999998</v>
      </c>
      <c r="CI86" s="73">
        <v>125.804</v>
      </c>
      <c r="CJ86" s="73">
        <v>22</v>
      </c>
      <c r="CK86" s="73">
        <v>6453.5</v>
      </c>
      <c r="CL86" s="73">
        <v>65.56</v>
      </c>
      <c r="CM86" s="73">
        <v>8.968</v>
      </c>
      <c r="CN86" s="73">
        <v>5.0819999999999999</v>
      </c>
      <c r="CP86" s="136">
        <f t="shared" si="25"/>
        <v>1396.6959763940185</v>
      </c>
      <c r="CQ86" s="136">
        <f t="shared" si="26"/>
        <v>34.422369252931389</v>
      </c>
      <c r="CR86" s="136">
        <f t="shared" si="27"/>
        <v>228.28567578569394</v>
      </c>
      <c r="CS86" s="136">
        <f t="shared" si="28"/>
        <v>0.47074992956956885</v>
      </c>
      <c r="CT86" s="136">
        <f t="shared" si="29"/>
        <v>16.38059104259105</v>
      </c>
      <c r="CU86" s="136">
        <f t="shared" si="30"/>
        <v>1.9851774222401648</v>
      </c>
      <c r="CV86" s="136">
        <f t="shared" si="31"/>
        <v>19.041771251861267</v>
      </c>
      <c r="CW86" s="136">
        <f t="shared" si="32"/>
        <v>16.617489418932585</v>
      </c>
      <c r="CX86" s="136">
        <f t="shared" si="33"/>
        <v>22.01737015365218</v>
      </c>
      <c r="CY86" s="136">
        <f t="shared" si="34"/>
        <v>14.676926734206436</v>
      </c>
      <c r="CZ86" s="136">
        <f t="shared" si="35"/>
        <v>8.410963184374122E-2</v>
      </c>
      <c r="DA86" s="136">
        <f t="shared" si="36"/>
        <v>14.074442974135664</v>
      </c>
      <c r="DB86" s="22"/>
      <c r="DC86" s="141">
        <f t="shared" si="20"/>
        <v>7936.6166666666659</v>
      </c>
      <c r="DD86" s="141">
        <f t="shared" si="21"/>
        <v>16.133749999999999</v>
      </c>
      <c r="DE86" s="141">
        <f t="shared" si="22"/>
        <v>144.67769999999999</v>
      </c>
      <c r="DF86" s="141">
        <f t="shared" si="23"/>
        <v>6.0187499999999998</v>
      </c>
      <c r="DG86" s="141">
        <f t="shared" si="19"/>
        <v>1.4455</v>
      </c>
      <c r="DH86" s="141">
        <f t="shared" si="24"/>
        <v>12.8392</v>
      </c>
    </row>
    <row r="87" spans="1:112" s="28" customFormat="1">
      <c r="A87" s="38"/>
      <c r="F87" s="38"/>
      <c r="V87" s="17" t="s">
        <v>247</v>
      </c>
      <c r="W87" s="20" t="s">
        <v>248</v>
      </c>
      <c r="X87" s="15" t="s">
        <v>341</v>
      </c>
      <c r="Y87" s="17">
        <v>0.105629</v>
      </c>
      <c r="Z87" s="17">
        <v>34.699337</v>
      </c>
      <c r="AA87" s="17" t="s">
        <v>359</v>
      </c>
      <c r="AB87" s="17" t="s">
        <v>334</v>
      </c>
      <c r="AC87" s="6" t="s">
        <v>347</v>
      </c>
      <c r="AD87" s="14" t="s">
        <v>371</v>
      </c>
      <c r="AE87" s="65" t="s">
        <v>687</v>
      </c>
      <c r="AF87" s="17" t="s">
        <v>364</v>
      </c>
      <c r="AG87" s="17" t="s">
        <v>685</v>
      </c>
      <c r="AH87" s="35" t="s">
        <v>690</v>
      </c>
      <c r="AI87" s="24">
        <v>1.6777175005023266</v>
      </c>
      <c r="AJ87" s="73">
        <v>4.55</v>
      </c>
      <c r="AK87" s="24">
        <v>9.3579999999999997E-2</v>
      </c>
      <c r="AL87" s="73">
        <v>56.1</v>
      </c>
      <c r="AM87" s="73">
        <v>2.76</v>
      </c>
      <c r="AN87" s="73">
        <v>7506</v>
      </c>
      <c r="AO87" s="73">
        <v>1018</v>
      </c>
      <c r="AP87" s="73">
        <v>110710</v>
      </c>
      <c r="AQ87" s="73">
        <v>392</v>
      </c>
      <c r="AR87" s="73">
        <v>115</v>
      </c>
      <c r="AS87" s="73">
        <v>23626</v>
      </c>
      <c r="AT87" s="73">
        <v>3925</v>
      </c>
      <c r="AU87" s="73">
        <v>2073.4</v>
      </c>
      <c r="AV87" s="73">
        <v>163.80000000000001</v>
      </c>
      <c r="AW87" s="73">
        <v>257</v>
      </c>
      <c r="AX87" s="73">
        <v>1117.0999999999999</v>
      </c>
      <c r="AY87" s="73">
        <v>40755</v>
      </c>
      <c r="AZ87" s="73">
        <v>70.381</v>
      </c>
      <c r="BA87" s="73">
        <v>103.2</v>
      </c>
      <c r="BB87" s="73">
        <v>66.73</v>
      </c>
      <c r="BC87" s="73">
        <v>82</v>
      </c>
      <c r="BD87" s="73">
        <v>23.91</v>
      </c>
      <c r="BE87" s="73">
        <v>420.1</v>
      </c>
      <c r="BF87" s="73">
        <v>0.25</v>
      </c>
      <c r="BG87" s="73">
        <v>95.16</v>
      </c>
      <c r="BH87" s="73">
        <v>196.55</v>
      </c>
      <c r="BI87" s="73">
        <v>54.46</v>
      </c>
      <c r="BJ87" s="73">
        <v>123.61</v>
      </c>
      <c r="BK87" s="73">
        <v>8.2370000000000001</v>
      </c>
      <c r="BL87" s="73">
        <v>3.49</v>
      </c>
      <c r="BM87" s="73">
        <v>0.40400000000000003</v>
      </c>
      <c r="BN87" s="73">
        <v>0.23699999999999999</v>
      </c>
      <c r="BO87" s="73">
        <v>1.9</v>
      </c>
      <c r="BP87" s="73">
        <v>3.8690000000000002</v>
      </c>
      <c r="BQ87" s="73">
        <v>6.524</v>
      </c>
      <c r="BR87" s="73">
        <v>439.24</v>
      </c>
      <c r="BS87" s="73">
        <v>88.992000000000004</v>
      </c>
      <c r="BT87" s="73">
        <v>93.167000000000002</v>
      </c>
      <c r="BU87" s="73">
        <v>18.385000000000002</v>
      </c>
      <c r="BV87" s="73">
        <v>69.930000000000007</v>
      </c>
      <c r="BW87" s="73">
        <v>12.64</v>
      </c>
      <c r="BX87" s="73">
        <v>2.6720000000000002</v>
      </c>
      <c r="BY87" s="73">
        <v>10.582000000000001</v>
      </c>
      <c r="BZ87" s="73">
        <v>1.6180000000000001</v>
      </c>
      <c r="CA87" s="73">
        <v>8.86</v>
      </c>
      <c r="CB87" s="73">
        <v>1.8109999999999999</v>
      </c>
      <c r="CC87" s="73">
        <v>4.93</v>
      </c>
      <c r="CD87" s="73">
        <v>0.70699999999999996</v>
      </c>
      <c r="CE87" s="73">
        <v>4.0979999999999999</v>
      </c>
      <c r="CF87" s="73">
        <v>0.64700000000000002</v>
      </c>
      <c r="CG87" s="73">
        <v>3.847</v>
      </c>
      <c r="CH87" s="73">
        <v>0.53</v>
      </c>
      <c r="CI87" s="73">
        <v>6.9930000000000003</v>
      </c>
      <c r="CJ87" s="73">
        <v>0.88600000000000001</v>
      </c>
      <c r="CK87" s="73">
        <v>71.3</v>
      </c>
      <c r="CL87" s="73">
        <v>0.66</v>
      </c>
      <c r="CM87" s="73">
        <v>11.186999999999999</v>
      </c>
      <c r="CN87" s="73">
        <v>5.0439999999999996</v>
      </c>
      <c r="CP87" s="136">
        <f t="shared" si="25"/>
        <v>53.374198113547962</v>
      </c>
      <c r="CQ87" s="136">
        <f t="shared" si="26"/>
        <v>3.2947952024703597</v>
      </c>
      <c r="CR87" s="136">
        <f t="shared" si="27"/>
        <v>1.2792444958993925</v>
      </c>
      <c r="CS87" s="136">
        <f t="shared" si="28"/>
        <v>2.7210126388918958</v>
      </c>
      <c r="CT87" s="136">
        <f t="shared" si="29"/>
        <v>2.3267689965536853</v>
      </c>
      <c r="CU87" s="136">
        <f t="shared" si="30"/>
        <v>2.764805002672059</v>
      </c>
      <c r="CV87" s="136">
        <f t="shared" si="31"/>
        <v>11.217089316128337</v>
      </c>
      <c r="CW87" s="136">
        <f t="shared" si="32"/>
        <v>10.117453499843471</v>
      </c>
      <c r="CX87" s="136">
        <f t="shared" si="33"/>
        <v>11.423015434619771</v>
      </c>
      <c r="CY87" s="136">
        <f t="shared" si="34"/>
        <v>14.093087390444218</v>
      </c>
      <c r="CZ87" s="136">
        <f t="shared" si="35"/>
        <v>-5.8464281076224118</v>
      </c>
      <c r="DA87" s="136">
        <f t="shared" si="36"/>
        <v>11.437402537891092</v>
      </c>
      <c r="DB87" s="22"/>
      <c r="DC87" s="141">
        <f t="shared" si="20"/>
        <v>35.008333333333333</v>
      </c>
      <c r="DD87" s="141">
        <f t="shared" si="21"/>
        <v>0.17824999999999999</v>
      </c>
      <c r="DE87" s="141">
        <f t="shared" si="22"/>
        <v>9.3579999999999997E-2</v>
      </c>
      <c r="DF87" s="141">
        <f t="shared" si="23"/>
        <v>4.015625</v>
      </c>
      <c r="DG87" s="141">
        <f t="shared" si="19"/>
        <v>2.3699999999999999E-2</v>
      </c>
      <c r="DH87" s="141">
        <f t="shared" si="24"/>
        <v>2.0640000000000001</v>
      </c>
    </row>
    <row r="88" spans="1:112" s="28" customFormat="1">
      <c r="A88" s="38"/>
      <c r="F88" s="38"/>
      <c r="V88" s="17" t="s">
        <v>249</v>
      </c>
      <c r="W88" s="20" t="s">
        <v>250</v>
      </c>
      <c r="X88" s="15" t="s">
        <v>341</v>
      </c>
      <c r="Y88" s="17">
        <v>0.105629</v>
      </c>
      <c r="Z88" s="17">
        <v>34.699337</v>
      </c>
      <c r="AA88" s="17" t="s">
        <v>359</v>
      </c>
      <c r="AB88" s="17" t="s">
        <v>334</v>
      </c>
      <c r="AC88" s="6" t="s">
        <v>347</v>
      </c>
      <c r="AD88" s="14" t="s">
        <v>371</v>
      </c>
      <c r="AE88" s="65" t="s">
        <v>687</v>
      </c>
      <c r="AF88" s="17" t="s">
        <v>366</v>
      </c>
      <c r="AG88" s="17" t="s">
        <v>684</v>
      </c>
      <c r="AH88" s="35" t="s">
        <v>683</v>
      </c>
      <c r="AI88" s="24">
        <v>2.7681660899652738</v>
      </c>
      <c r="AJ88" s="73">
        <v>4.9800000000000004</v>
      </c>
      <c r="AK88" s="24">
        <v>5.7652700000000001</v>
      </c>
      <c r="AL88" s="73">
        <v>21.4</v>
      </c>
      <c r="AM88" s="73">
        <v>1.19</v>
      </c>
      <c r="AN88" s="73">
        <v>3777</v>
      </c>
      <c r="AO88" s="73">
        <v>2611</v>
      </c>
      <c r="AP88" s="73">
        <v>53132</v>
      </c>
      <c r="AQ88" s="73">
        <v>431</v>
      </c>
      <c r="AR88" s="73">
        <v>6879</v>
      </c>
      <c r="AS88" s="73">
        <v>9601</v>
      </c>
      <c r="AT88" s="73">
        <v>3164</v>
      </c>
      <c r="AU88" s="73">
        <v>2088</v>
      </c>
      <c r="AV88" s="73">
        <v>72.599999999999994</v>
      </c>
      <c r="AW88" s="73">
        <v>120.8</v>
      </c>
      <c r="AX88" s="73">
        <v>1390.8</v>
      </c>
      <c r="AY88" s="73">
        <v>38697</v>
      </c>
      <c r="AZ88" s="73">
        <v>46.970999999999997</v>
      </c>
      <c r="BA88" s="73">
        <v>61.82</v>
      </c>
      <c r="BB88" s="73">
        <v>38.71</v>
      </c>
      <c r="BC88" s="73">
        <v>130</v>
      </c>
      <c r="BD88" s="73">
        <v>12.62</v>
      </c>
      <c r="BE88" s="73">
        <v>8567.4</v>
      </c>
      <c r="BF88" s="73">
        <v>0.93</v>
      </c>
      <c r="BG88" s="73">
        <v>52.46</v>
      </c>
      <c r="BH88" s="73">
        <v>80.89</v>
      </c>
      <c r="BI88" s="73">
        <v>22.334</v>
      </c>
      <c r="BJ88" s="73">
        <v>150.47999999999999</v>
      </c>
      <c r="BK88" s="73">
        <v>27.016999999999999</v>
      </c>
      <c r="BL88" s="73">
        <v>3.5</v>
      </c>
      <c r="BM88" s="73">
        <v>3.0059999999999998</v>
      </c>
      <c r="BN88" s="73">
        <v>1.0309999999999999</v>
      </c>
      <c r="BO88" s="73">
        <v>2.29</v>
      </c>
      <c r="BP88" s="73">
        <v>7.0140000000000002</v>
      </c>
      <c r="BQ88" s="73">
        <v>2.6019999999999999</v>
      </c>
      <c r="BR88" s="73">
        <v>276.69</v>
      </c>
      <c r="BS88" s="73">
        <v>44.646000000000001</v>
      </c>
      <c r="BT88" s="73">
        <v>92.843999999999994</v>
      </c>
      <c r="BU88" s="73">
        <v>8.6750000000000007</v>
      </c>
      <c r="BV88" s="73">
        <v>31.55</v>
      </c>
      <c r="BW88" s="73">
        <v>5.7009999999999996</v>
      </c>
      <c r="BX88" s="73">
        <v>1.103</v>
      </c>
      <c r="BY88" s="73">
        <v>4.7229999999999999</v>
      </c>
      <c r="BZ88" s="73">
        <v>0.73499999999999999</v>
      </c>
      <c r="CA88" s="73">
        <v>4.12</v>
      </c>
      <c r="CB88" s="73">
        <v>0.84299999999999997</v>
      </c>
      <c r="CC88" s="73">
        <v>2.4</v>
      </c>
      <c r="CD88" s="73">
        <v>0.35499999999999998</v>
      </c>
      <c r="CE88" s="73">
        <v>2.1760000000000002</v>
      </c>
      <c r="CF88" s="73">
        <v>0.32200000000000001</v>
      </c>
      <c r="CG88" s="73">
        <v>4.13</v>
      </c>
      <c r="CH88" s="73">
        <v>1.53</v>
      </c>
      <c r="CI88" s="73">
        <v>18.423999999999999</v>
      </c>
      <c r="CJ88" s="73">
        <v>0.55000000000000004</v>
      </c>
      <c r="CK88" s="73">
        <v>181.4</v>
      </c>
      <c r="CL88" s="73">
        <v>2.11</v>
      </c>
      <c r="CM88" s="73">
        <v>8.8000000000000007</v>
      </c>
      <c r="CN88" s="73">
        <v>2.7890000000000001</v>
      </c>
      <c r="CP88" s="136">
        <f t="shared" si="25"/>
        <v>1146.3871932616755</v>
      </c>
      <c r="CQ88" s="136">
        <f t="shared" si="26"/>
        <v>8.8283547846230022</v>
      </c>
      <c r="CR88" s="136">
        <f t="shared" si="27"/>
        <v>83.002995748697359</v>
      </c>
      <c r="CS88" s="136">
        <f t="shared" si="28"/>
        <v>1.347001160854036</v>
      </c>
      <c r="CT88" s="136">
        <f t="shared" si="29"/>
        <v>10.660245038962382</v>
      </c>
      <c r="CU88" s="136">
        <f t="shared" si="30"/>
        <v>1.7442848552705856</v>
      </c>
      <c r="CV88" s="136">
        <f t="shared" si="31"/>
        <v>15.567142072677353</v>
      </c>
      <c r="CW88" s="136">
        <f t="shared" si="32"/>
        <v>11.464653973928105</v>
      </c>
      <c r="CX88" s="136">
        <f t="shared" si="33"/>
        <v>17.368059569668667</v>
      </c>
      <c r="CY88" s="136">
        <f t="shared" si="34"/>
        <v>13.003939485688056</v>
      </c>
      <c r="CZ88" s="136">
        <f t="shared" si="35"/>
        <v>-3.7253427391525626</v>
      </c>
      <c r="DA88" s="136">
        <f t="shared" si="36"/>
        <v>10.698105126438698</v>
      </c>
      <c r="DB88" s="22"/>
      <c r="DC88" s="141">
        <f t="shared" si="20"/>
        <v>713.94999999999993</v>
      </c>
      <c r="DD88" s="141">
        <f t="shared" si="21"/>
        <v>0.45350000000000001</v>
      </c>
      <c r="DE88" s="141">
        <f t="shared" si="22"/>
        <v>5.7652700000000001</v>
      </c>
      <c r="DF88" s="141">
        <f t="shared" si="23"/>
        <v>1.8875</v>
      </c>
      <c r="DG88" s="141">
        <f t="shared" si="19"/>
        <v>0.1031</v>
      </c>
      <c r="DH88" s="141">
        <f t="shared" si="24"/>
        <v>1.2363999999999999</v>
      </c>
    </row>
    <row r="89" spans="1:112" s="28" customFormat="1">
      <c r="A89" s="38"/>
      <c r="F89" s="38"/>
      <c r="V89" s="17" t="s">
        <v>251</v>
      </c>
      <c r="W89" s="20" t="s">
        <v>252</v>
      </c>
      <c r="X89" s="15" t="s">
        <v>341</v>
      </c>
      <c r="Y89" s="17">
        <v>0.105494</v>
      </c>
      <c r="Z89" s="17">
        <v>34.699541000000004</v>
      </c>
      <c r="AA89" s="17" t="s">
        <v>359</v>
      </c>
      <c r="AB89" s="17" t="s">
        <v>334</v>
      </c>
      <c r="AC89" s="6" t="s">
        <v>347</v>
      </c>
      <c r="AD89" s="14" t="s">
        <v>371</v>
      </c>
      <c r="AE89" s="28" t="s">
        <v>688</v>
      </c>
      <c r="AF89" s="17" t="s">
        <v>369</v>
      </c>
      <c r="AG89" s="17" t="s">
        <v>685</v>
      </c>
      <c r="AH89" s="35" t="s">
        <v>691</v>
      </c>
      <c r="AI89" s="24">
        <v>2.435099763999188</v>
      </c>
      <c r="AJ89" s="73">
        <v>8.67</v>
      </c>
      <c r="AK89" s="24">
        <v>7.8705299999999996</v>
      </c>
      <c r="AL89" s="73">
        <v>23.7</v>
      </c>
      <c r="AM89" s="73">
        <v>1.35</v>
      </c>
      <c r="AN89" s="73">
        <v>6359</v>
      </c>
      <c r="AO89" s="73">
        <v>6876</v>
      </c>
      <c r="AP89" s="73">
        <v>69175</v>
      </c>
      <c r="AQ89" s="73">
        <v>449</v>
      </c>
      <c r="AR89" s="73">
        <v>3057</v>
      </c>
      <c r="AS89" s="73">
        <v>18551</v>
      </c>
      <c r="AT89" s="73">
        <v>10479</v>
      </c>
      <c r="AU89" s="73">
        <v>2013.9</v>
      </c>
      <c r="AV89" s="73">
        <v>127.5</v>
      </c>
      <c r="AW89" s="73">
        <v>188.7</v>
      </c>
      <c r="AX89" s="73">
        <v>957.6</v>
      </c>
      <c r="AY89" s="73">
        <v>41970</v>
      </c>
      <c r="AZ89" s="73">
        <v>24.777999999999999</v>
      </c>
      <c r="BA89" s="73">
        <v>57.71</v>
      </c>
      <c r="BB89" s="73">
        <v>58.8</v>
      </c>
      <c r="BC89" s="73">
        <v>218</v>
      </c>
      <c r="BD89" s="73">
        <v>16.02</v>
      </c>
      <c r="BE89" s="73">
        <v>3694.8</v>
      </c>
      <c r="BF89" s="73">
        <v>0.74</v>
      </c>
      <c r="BG89" s="73">
        <v>70.53</v>
      </c>
      <c r="BH89" s="73">
        <v>118.29</v>
      </c>
      <c r="BI89" s="73">
        <v>15.84</v>
      </c>
      <c r="BJ89" s="73">
        <v>95.27</v>
      </c>
      <c r="BK89" s="73">
        <v>9.8309999999999995</v>
      </c>
      <c r="BL89" s="73">
        <v>5.43</v>
      </c>
      <c r="BM89" s="73">
        <v>1.042</v>
      </c>
      <c r="BN89" s="73">
        <v>2.1360000000000001</v>
      </c>
      <c r="BO89" s="73">
        <v>1.55</v>
      </c>
      <c r="BP89" s="73">
        <v>5.6769999999999996</v>
      </c>
      <c r="BQ89" s="73">
        <v>4.2140000000000004</v>
      </c>
      <c r="BR89" s="73">
        <v>424.17</v>
      </c>
      <c r="BS89" s="73">
        <v>28.198</v>
      </c>
      <c r="BT89" s="73">
        <v>55.145000000000003</v>
      </c>
      <c r="BU89" s="73">
        <v>6.085</v>
      </c>
      <c r="BV89" s="73">
        <v>23.34</v>
      </c>
      <c r="BW89" s="73">
        <v>4.2889999999999997</v>
      </c>
      <c r="BX89" s="73">
        <v>1.0609999999999999</v>
      </c>
      <c r="BY89" s="73">
        <v>3.4870000000000001</v>
      </c>
      <c r="BZ89" s="73">
        <v>0.52800000000000002</v>
      </c>
      <c r="CA89" s="73">
        <v>2.766</v>
      </c>
      <c r="CB89" s="73">
        <v>0.59599999999999997</v>
      </c>
      <c r="CC89" s="73">
        <v>1.661</v>
      </c>
      <c r="CD89" s="73">
        <v>0.24199999999999999</v>
      </c>
      <c r="CE89" s="73">
        <v>1.5169999999999999</v>
      </c>
      <c r="CF89" s="73">
        <v>0.23899999999999999</v>
      </c>
      <c r="CG89" s="73">
        <v>2.8010000000000002</v>
      </c>
      <c r="CH89" s="73">
        <v>0.57699999999999996</v>
      </c>
      <c r="CI89" s="73">
        <v>19.097999999999999</v>
      </c>
      <c r="CJ89" s="73">
        <v>0.61899999999999999</v>
      </c>
      <c r="CK89" s="73">
        <v>204.5</v>
      </c>
      <c r="CL89" s="73">
        <v>5.86</v>
      </c>
      <c r="CM89" s="73">
        <v>6.0430000000000001</v>
      </c>
      <c r="CN89" s="73">
        <v>2.6139999999999999</v>
      </c>
      <c r="CP89" s="136">
        <f t="shared" si="25"/>
        <v>455.83906908295842</v>
      </c>
      <c r="CQ89" s="136">
        <f t="shared" si="26"/>
        <v>9.1764380215752066</v>
      </c>
      <c r="CR89" s="136">
        <f t="shared" si="27"/>
        <v>104.47597266809022</v>
      </c>
      <c r="CS89" s="136">
        <f t="shared" si="28"/>
        <v>1.9400425899451987</v>
      </c>
      <c r="CT89" s="136">
        <f t="shared" si="29"/>
        <v>20.363297160309315</v>
      </c>
      <c r="CU89" s="136">
        <f t="shared" si="30"/>
        <v>1.501335700560352</v>
      </c>
      <c r="CV89" s="136">
        <f t="shared" si="31"/>
        <v>14.353780898407795</v>
      </c>
      <c r="CW89" s="136">
        <f t="shared" si="32"/>
        <v>11.637580361228693</v>
      </c>
      <c r="CX89" s="136">
        <f t="shared" si="33"/>
        <v>17.817132185511134</v>
      </c>
      <c r="CY89" s="136">
        <f t="shared" si="34"/>
        <v>13.647413453963424</v>
      </c>
      <c r="CZ89" s="136">
        <f t="shared" si="35"/>
        <v>-2.6744754248331168</v>
      </c>
      <c r="DA89" s="136">
        <f t="shared" si="36"/>
        <v>10.598852803251695</v>
      </c>
      <c r="DB89" s="22"/>
      <c r="DC89" s="141">
        <f t="shared" si="20"/>
        <v>307.90000000000003</v>
      </c>
      <c r="DD89" s="141">
        <f t="shared" si="21"/>
        <v>0.51124999999999998</v>
      </c>
      <c r="DE89" s="141">
        <f t="shared" si="22"/>
        <v>7.8705299999999996</v>
      </c>
      <c r="DF89" s="141">
        <f t="shared" si="23"/>
        <v>2.9484374999999998</v>
      </c>
      <c r="DG89" s="141">
        <f t="shared" si="19"/>
        <v>0.21360000000000001</v>
      </c>
      <c r="DH89" s="141">
        <f t="shared" si="24"/>
        <v>1.1542000000000001</v>
      </c>
    </row>
    <row r="90" spans="1:112" s="28" customFormat="1">
      <c r="A90" s="38"/>
      <c r="F90" s="38"/>
      <c r="V90" s="17" t="s">
        <v>253</v>
      </c>
      <c r="W90" s="20" t="s">
        <v>254</v>
      </c>
      <c r="X90" s="15" t="s">
        <v>341</v>
      </c>
      <c r="Y90" s="17">
        <v>0.105494</v>
      </c>
      <c r="Z90" s="17">
        <v>34.699541000000004</v>
      </c>
      <c r="AA90" s="17" t="s">
        <v>359</v>
      </c>
      <c r="AB90" s="17" t="s">
        <v>334</v>
      </c>
      <c r="AC90" s="6" t="s">
        <v>347</v>
      </c>
      <c r="AD90" s="14" t="s">
        <v>371</v>
      </c>
      <c r="AE90" s="65" t="s">
        <v>687</v>
      </c>
      <c r="AF90" s="17" t="s">
        <v>365</v>
      </c>
      <c r="AG90" s="17" t="s">
        <v>685</v>
      </c>
      <c r="AH90" s="35" t="s">
        <v>691</v>
      </c>
      <c r="AI90" s="24">
        <v>2.6004487048743052</v>
      </c>
      <c r="AJ90" s="73">
        <v>7.79</v>
      </c>
      <c r="AK90" s="24">
        <v>70.893924999999996</v>
      </c>
      <c r="AL90" s="73">
        <v>20.2</v>
      </c>
      <c r="AM90" s="73">
        <v>1.28</v>
      </c>
      <c r="AN90" s="73">
        <v>5839</v>
      </c>
      <c r="AO90" s="73">
        <v>4743</v>
      </c>
      <c r="AP90" s="73">
        <v>58365</v>
      </c>
      <c r="AQ90" s="73">
        <v>392</v>
      </c>
      <c r="AR90" s="73">
        <v>6587</v>
      </c>
      <c r="AS90" s="73">
        <v>14803</v>
      </c>
      <c r="AT90" s="73">
        <v>6706</v>
      </c>
      <c r="AU90" s="73">
        <v>1798.9</v>
      </c>
      <c r="AV90" s="73">
        <v>139</v>
      </c>
      <c r="AW90" s="73">
        <v>205.9</v>
      </c>
      <c r="AX90" s="73">
        <v>1577.2</v>
      </c>
      <c r="AY90" s="73">
        <v>47548</v>
      </c>
      <c r="AZ90" s="73">
        <v>42.645000000000003</v>
      </c>
      <c r="BA90" s="73">
        <v>72.430000000000007</v>
      </c>
      <c r="BB90" s="73">
        <v>1186.21</v>
      </c>
      <c r="BC90" s="73">
        <v>513</v>
      </c>
      <c r="BD90" s="73">
        <v>13.01</v>
      </c>
      <c r="BE90" s="73">
        <v>2492.6</v>
      </c>
      <c r="BF90" s="73">
        <v>1.31</v>
      </c>
      <c r="BG90" s="73">
        <v>58.07</v>
      </c>
      <c r="BH90" s="73">
        <v>81.17</v>
      </c>
      <c r="BI90" s="73">
        <v>17.402000000000001</v>
      </c>
      <c r="BJ90" s="73">
        <v>91.84</v>
      </c>
      <c r="BK90" s="73">
        <v>12.72</v>
      </c>
      <c r="BL90" s="73">
        <v>7.94</v>
      </c>
      <c r="BM90" s="73">
        <v>13.842000000000001</v>
      </c>
      <c r="BN90" s="73">
        <v>2.2000000000000002</v>
      </c>
      <c r="BO90" s="73">
        <v>2.1800000000000002</v>
      </c>
      <c r="BP90" s="73">
        <v>6.8419999999999996</v>
      </c>
      <c r="BQ90" s="73">
        <v>3.5960000000000001</v>
      </c>
      <c r="BR90" s="73">
        <v>309.22000000000003</v>
      </c>
      <c r="BS90" s="73">
        <v>26.6</v>
      </c>
      <c r="BT90" s="73">
        <v>46.793999999999997</v>
      </c>
      <c r="BU90" s="73">
        <v>5.694</v>
      </c>
      <c r="BV90" s="73">
        <v>21.51</v>
      </c>
      <c r="BW90" s="73">
        <v>4.1289999999999996</v>
      </c>
      <c r="BX90" s="73">
        <v>0.98599999999999999</v>
      </c>
      <c r="BY90" s="73">
        <v>3.536</v>
      </c>
      <c r="BZ90" s="73">
        <v>0.55400000000000005</v>
      </c>
      <c r="CA90" s="73">
        <v>3.0590000000000002</v>
      </c>
      <c r="CB90" s="73">
        <v>0.64700000000000002</v>
      </c>
      <c r="CC90" s="73">
        <v>1.786</v>
      </c>
      <c r="CD90" s="73">
        <v>0.27100000000000002</v>
      </c>
      <c r="CE90" s="73">
        <v>1.6950000000000001</v>
      </c>
      <c r="CF90" s="73">
        <v>0.26200000000000001</v>
      </c>
      <c r="CG90" s="73">
        <v>2.605</v>
      </c>
      <c r="CH90" s="73">
        <v>0.73099999999999998</v>
      </c>
      <c r="CI90" s="73">
        <v>11.614000000000001</v>
      </c>
      <c r="CJ90" s="73">
        <v>0.52</v>
      </c>
      <c r="CK90" s="73">
        <v>262.10000000000002</v>
      </c>
      <c r="CL90" s="73">
        <v>76.03</v>
      </c>
      <c r="CM90" s="73">
        <v>4.3600000000000003</v>
      </c>
      <c r="CN90" s="73">
        <v>1.734</v>
      </c>
      <c r="CP90" s="136">
        <f t="shared" si="25"/>
        <v>271.44379339268306</v>
      </c>
      <c r="CQ90" s="136">
        <f t="shared" si="26"/>
        <v>10.381367360178409</v>
      </c>
      <c r="CR90" s="136">
        <f t="shared" si="27"/>
        <v>830.66934028125343</v>
      </c>
      <c r="CS90" s="136">
        <f t="shared" si="28"/>
        <v>1.8685401140560542</v>
      </c>
      <c r="CT90" s="136">
        <f t="shared" si="29"/>
        <v>18.512976360730214</v>
      </c>
      <c r="CU90" s="136">
        <f t="shared" si="30"/>
        <v>1.6632285757971832</v>
      </c>
      <c r="CV90" s="136">
        <f t="shared" si="31"/>
        <v>13.785936010099636</v>
      </c>
      <c r="CW90" s="136">
        <f t="shared" si="32"/>
        <v>11.995596871727999</v>
      </c>
      <c r="CX90" s="136">
        <f t="shared" si="33"/>
        <v>20.988261496780748</v>
      </c>
      <c r="CY90" s="136">
        <f t="shared" si="34"/>
        <v>13.773262860995231</v>
      </c>
      <c r="CZ90" s="136">
        <f t="shared" si="35"/>
        <v>-2.6318835481086484</v>
      </c>
      <c r="DA90" s="136">
        <f t="shared" si="36"/>
        <v>10.926618847543802</v>
      </c>
      <c r="DB90" s="22"/>
      <c r="DC90" s="141">
        <f t="shared" si="20"/>
        <v>207.71666666666667</v>
      </c>
      <c r="DD90" s="141">
        <f t="shared" si="21"/>
        <v>0.65525000000000011</v>
      </c>
      <c r="DE90" s="141">
        <f t="shared" si="22"/>
        <v>70.893924999999996</v>
      </c>
      <c r="DF90" s="141">
        <f t="shared" si="23"/>
        <v>3.2171875000000001</v>
      </c>
      <c r="DG90" s="141">
        <f t="shared" si="19"/>
        <v>0.22000000000000003</v>
      </c>
      <c r="DH90" s="141">
        <f t="shared" si="24"/>
        <v>1.4486000000000001</v>
      </c>
    </row>
    <row r="91" spans="1:112" s="28" customFormat="1">
      <c r="A91" s="38"/>
      <c r="F91" s="38"/>
      <c r="V91" s="17" t="s">
        <v>255</v>
      </c>
      <c r="W91" s="20" t="s">
        <v>256</v>
      </c>
      <c r="X91" s="15" t="s">
        <v>342</v>
      </c>
      <c r="Y91" s="17">
        <v>0.10229199999999999</v>
      </c>
      <c r="Z91" s="17">
        <v>34.713501999999998</v>
      </c>
      <c r="AA91" s="17" t="s">
        <v>335</v>
      </c>
      <c r="AB91" s="17" t="s">
        <v>334</v>
      </c>
      <c r="AC91" s="6" t="s">
        <v>347</v>
      </c>
      <c r="AD91" s="14" t="s">
        <v>371</v>
      </c>
      <c r="AE91" s="65" t="s">
        <v>687</v>
      </c>
      <c r="AF91" s="17" t="s">
        <v>365</v>
      </c>
      <c r="AG91" s="17" t="s">
        <v>685</v>
      </c>
      <c r="AH91" s="35" t="s">
        <v>691</v>
      </c>
      <c r="AI91" s="24">
        <v>0.24499795835050109</v>
      </c>
      <c r="AJ91" s="73">
        <v>8.06</v>
      </c>
      <c r="AK91" s="24">
        <v>0.89992500000000009</v>
      </c>
      <c r="AL91" s="73">
        <v>28.9</v>
      </c>
      <c r="AM91" s="73">
        <v>0.92</v>
      </c>
      <c r="AN91" s="73">
        <v>15876</v>
      </c>
      <c r="AO91" s="73">
        <v>16662</v>
      </c>
      <c r="AP91" s="73">
        <v>72887</v>
      </c>
      <c r="AQ91" s="73">
        <v>1285</v>
      </c>
      <c r="AR91" s="73">
        <v>11624</v>
      </c>
      <c r="AS91" s="73">
        <v>22953</v>
      </c>
      <c r="AT91" s="73">
        <v>43041</v>
      </c>
      <c r="AU91" s="73">
        <v>4176.3999999999996</v>
      </c>
      <c r="AV91" s="73">
        <v>88.7</v>
      </c>
      <c r="AW91" s="73">
        <v>137.4</v>
      </c>
      <c r="AX91" s="73">
        <v>1075.9000000000001</v>
      </c>
      <c r="AY91" s="73">
        <v>35756</v>
      </c>
      <c r="AZ91" s="73">
        <v>23.131</v>
      </c>
      <c r="BA91" s="73">
        <v>76.260000000000005</v>
      </c>
      <c r="BB91" s="73">
        <v>14.65</v>
      </c>
      <c r="BC91" s="73">
        <v>76</v>
      </c>
      <c r="BD91" s="73">
        <v>14.57</v>
      </c>
      <c r="BE91" s="73">
        <v>10005.1</v>
      </c>
      <c r="BF91" s="73">
        <v>0.24</v>
      </c>
      <c r="BG91" s="73">
        <v>64.61</v>
      </c>
      <c r="BH91" s="73">
        <v>388.92</v>
      </c>
      <c r="BI91" s="73">
        <v>10.273</v>
      </c>
      <c r="BJ91" s="73">
        <v>43.66</v>
      </c>
      <c r="BK91" s="73">
        <v>4.6829999999999998</v>
      </c>
      <c r="BL91" s="73">
        <v>0.78</v>
      </c>
      <c r="BM91" s="73">
        <v>1.367</v>
      </c>
      <c r="BN91" s="73">
        <v>0.32400000000000001</v>
      </c>
      <c r="BO91" s="73">
        <v>0.8</v>
      </c>
      <c r="BP91" s="73">
        <v>3.9380000000000002</v>
      </c>
      <c r="BQ91" s="73">
        <v>2.7269999999999999</v>
      </c>
      <c r="BR91" s="73">
        <v>405.28</v>
      </c>
      <c r="BS91" s="73">
        <v>20.786999999999999</v>
      </c>
      <c r="BT91" s="73">
        <v>48.75</v>
      </c>
      <c r="BU91" s="73">
        <v>6.7190000000000003</v>
      </c>
      <c r="BV91" s="73">
        <v>28.93</v>
      </c>
      <c r="BW91" s="73">
        <v>5.5179999999999998</v>
      </c>
      <c r="BX91" s="73">
        <v>1.5620000000000001</v>
      </c>
      <c r="BY91" s="73">
        <v>4.0739999999999998</v>
      </c>
      <c r="BZ91" s="73">
        <v>0.50900000000000001</v>
      </c>
      <c r="CA91" s="73">
        <v>2.3620000000000001</v>
      </c>
      <c r="CB91" s="73">
        <v>0.40799999999999997</v>
      </c>
      <c r="CC91" s="73">
        <v>0.94699999999999995</v>
      </c>
      <c r="CD91" s="73">
        <v>0.12</v>
      </c>
      <c r="CE91" s="73">
        <v>0.66100000000000003</v>
      </c>
      <c r="CF91" s="73">
        <v>9.2999999999999999E-2</v>
      </c>
      <c r="CG91" s="73">
        <v>1.2270000000000001</v>
      </c>
      <c r="CH91" s="73">
        <v>0.27800000000000002</v>
      </c>
      <c r="CI91" s="73">
        <v>2.4420000000000002</v>
      </c>
      <c r="CJ91" s="73">
        <v>0.29899999999999999</v>
      </c>
      <c r="CK91" s="73">
        <v>24.2</v>
      </c>
      <c r="CL91" s="73">
        <v>0.77</v>
      </c>
      <c r="CM91" s="73">
        <v>1.5409999999999999</v>
      </c>
      <c r="CN91" s="73">
        <v>0.36499999999999999</v>
      </c>
      <c r="CP91" s="136">
        <f t="shared" si="25"/>
        <v>1448.8788883642728</v>
      </c>
      <c r="CQ91" s="136">
        <f t="shared" si="26"/>
        <v>1.2746361458203641</v>
      </c>
      <c r="CR91" s="136">
        <f t="shared" si="27"/>
        <v>14.021962515187324</v>
      </c>
      <c r="CS91" s="136">
        <f t="shared" si="28"/>
        <v>1.6581206856274227</v>
      </c>
      <c r="CT91" s="136">
        <f t="shared" si="29"/>
        <v>3.6256168068423356</v>
      </c>
      <c r="CU91" s="136">
        <f t="shared" si="30"/>
        <v>2.328700192786584</v>
      </c>
      <c r="CV91" s="136">
        <f t="shared" si="31"/>
        <v>15.790948306990762</v>
      </c>
      <c r="CW91" s="136">
        <f t="shared" si="32"/>
        <v>8.5585584706741766</v>
      </c>
      <c r="CX91" s="136">
        <f t="shared" si="33"/>
        <v>14.688548072654845</v>
      </c>
      <c r="CY91" s="136">
        <f t="shared" si="34"/>
        <v>13.189701035181079</v>
      </c>
      <c r="CZ91" s="136">
        <f t="shared" si="35"/>
        <v>-5.3953213536360467</v>
      </c>
      <c r="DA91" s="136">
        <f t="shared" si="36"/>
        <v>11.000958003306589</v>
      </c>
      <c r="DB91" s="22"/>
      <c r="DC91" s="141">
        <f t="shared" si="20"/>
        <v>833.75833333333333</v>
      </c>
      <c r="DD91" s="141">
        <f t="shared" si="21"/>
        <v>6.0499999999999998E-2</v>
      </c>
      <c r="DE91" s="141">
        <f t="shared" si="22"/>
        <v>0.89992500000000009</v>
      </c>
      <c r="DF91" s="141">
        <f t="shared" si="23"/>
        <v>2.1468750000000001</v>
      </c>
      <c r="DG91" s="141">
        <f t="shared" si="19"/>
        <v>3.2399999999999998E-2</v>
      </c>
      <c r="DH91" s="141">
        <f t="shared" si="24"/>
        <v>1.5252000000000001</v>
      </c>
    </row>
    <row r="92" spans="1:112" s="28" customFormat="1">
      <c r="A92" s="38"/>
      <c r="F92" s="38"/>
      <c r="V92" s="17" t="s">
        <v>257</v>
      </c>
      <c r="W92" s="20" t="s">
        <v>258</v>
      </c>
      <c r="X92" s="15" t="s">
        <v>342</v>
      </c>
      <c r="Y92" s="17">
        <v>0.10229199999999999</v>
      </c>
      <c r="Z92" s="17">
        <v>34.713501999999998</v>
      </c>
      <c r="AA92" s="17" t="s">
        <v>335</v>
      </c>
      <c r="AB92" s="17" t="s">
        <v>334</v>
      </c>
      <c r="AC92" s="6" t="s">
        <v>347</v>
      </c>
      <c r="AD92" s="14" t="s">
        <v>371</v>
      </c>
      <c r="AE92" s="65" t="s">
        <v>687</v>
      </c>
      <c r="AF92" s="17" t="s">
        <v>361</v>
      </c>
      <c r="AG92" s="17" t="s">
        <v>685</v>
      </c>
      <c r="AH92" s="35" t="s">
        <v>690</v>
      </c>
      <c r="AI92" s="24">
        <v>2.8204253383376074</v>
      </c>
      <c r="AJ92" s="73">
        <v>7.59</v>
      </c>
      <c r="AK92" s="24">
        <v>88.313275000000004</v>
      </c>
      <c r="AL92" s="73">
        <v>23.6</v>
      </c>
      <c r="AM92" s="73">
        <v>1.58</v>
      </c>
      <c r="AN92" s="73">
        <v>10850</v>
      </c>
      <c r="AO92" s="73">
        <v>11713</v>
      </c>
      <c r="AP92" s="73">
        <v>85795</v>
      </c>
      <c r="AQ92" s="73">
        <v>1124</v>
      </c>
      <c r="AR92" s="73">
        <v>3930</v>
      </c>
      <c r="AS92" s="73">
        <v>14737</v>
      </c>
      <c r="AT92" s="73">
        <v>25786</v>
      </c>
      <c r="AU92" s="73">
        <v>6825</v>
      </c>
      <c r="AV92" s="73">
        <v>105.3</v>
      </c>
      <c r="AW92" s="73">
        <v>128.30000000000001</v>
      </c>
      <c r="AX92" s="73">
        <v>1419</v>
      </c>
      <c r="AY92" s="73">
        <v>51534</v>
      </c>
      <c r="AZ92" s="73">
        <v>31.355</v>
      </c>
      <c r="BA92" s="73">
        <v>81.83</v>
      </c>
      <c r="BB92" s="73">
        <v>27.76</v>
      </c>
      <c r="BC92" s="73">
        <v>174</v>
      </c>
      <c r="BD92" s="73">
        <v>18.47</v>
      </c>
      <c r="BE92" s="73">
        <v>5348.2</v>
      </c>
      <c r="BF92" s="73">
        <v>0.25</v>
      </c>
      <c r="BG92" s="73">
        <v>53.81</v>
      </c>
      <c r="BH92" s="73">
        <v>303.77</v>
      </c>
      <c r="BI92" s="73">
        <v>18.87</v>
      </c>
      <c r="BJ92" s="73">
        <v>79.78</v>
      </c>
      <c r="BK92" s="73">
        <v>17.091000000000001</v>
      </c>
      <c r="BL92" s="73">
        <v>1.61</v>
      </c>
      <c r="BM92" s="73">
        <v>2.4689999999999999</v>
      </c>
      <c r="BN92" s="73">
        <v>0.90300000000000002</v>
      </c>
      <c r="BO92" s="73">
        <v>1.61</v>
      </c>
      <c r="BP92" s="73">
        <v>2.8260000000000001</v>
      </c>
      <c r="BQ92" s="73">
        <v>2.379</v>
      </c>
      <c r="BR92" s="73">
        <v>458.34</v>
      </c>
      <c r="BS92" s="73">
        <v>34.393999999999998</v>
      </c>
      <c r="BT92" s="73">
        <v>87.837000000000003</v>
      </c>
      <c r="BU92" s="73">
        <v>10.289</v>
      </c>
      <c r="BV92" s="73">
        <v>44.51</v>
      </c>
      <c r="BW92" s="73">
        <v>8.7859999999999996</v>
      </c>
      <c r="BX92" s="73">
        <v>2.3090000000000002</v>
      </c>
      <c r="BY92" s="73">
        <v>6.3209999999999997</v>
      </c>
      <c r="BZ92" s="73">
        <v>0.83899999999999997</v>
      </c>
      <c r="CA92" s="73">
        <v>4.1420000000000003</v>
      </c>
      <c r="CB92" s="73">
        <v>0.73299999999999998</v>
      </c>
      <c r="CC92" s="73">
        <v>1.845</v>
      </c>
      <c r="CD92" s="73">
        <v>0.23599999999999999</v>
      </c>
      <c r="CE92" s="73">
        <v>1.375</v>
      </c>
      <c r="CF92" s="73">
        <v>0.191</v>
      </c>
      <c r="CG92" s="73">
        <v>2.2170000000000001</v>
      </c>
      <c r="CH92" s="73">
        <v>1.0029999999999999</v>
      </c>
      <c r="CI92" s="73">
        <v>2.5830000000000002</v>
      </c>
      <c r="CJ92" s="73">
        <v>0.32100000000000001</v>
      </c>
      <c r="CK92" s="73">
        <v>105.9</v>
      </c>
      <c r="CL92" s="73">
        <v>1.18</v>
      </c>
      <c r="CM92" s="73">
        <v>3.53</v>
      </c>
      <c r="CN92" s="73">
        <v>1.1339999999999999</v>
      </c>
      <c r="CP92" s="136">
        <f t="shared" si="25"/>
        <v>537.36993635269914</v>
      </c>
      <c r="CQ92" s="136">
        <f t="shared" si="26"/>
        <v>3.8700974388183873</v>
      </c>
      <c r="CR92" s="136">
        <f t="shared" si="27"/>
        <v>954.73655447239457</v>
      </c>
      <c r="CS92" s="136">
        <f t="shared" si="28"/>
        <v>1.0742642825943203</v>
      </c>
      <c r="CT92" s="136">
        <f t="shared" si="29"/>
        <v>7.0109959620656443</v>
      </c>
      <c r="CU92" s="136">
        <f t="shared" si="30"/>
        <v>1.7337417394303087</v>
      </c>
      <c r="CV92" s="136">
        <f t="shared" si="31"/>
        <v>14.887338042307848</v>
      </c>
      <c r="CW92" s="136">
        <f t="shared" si="32"/>
        <v>10.688182107391919</v>
      </c>
      <c r="CX92" s="136">
        <f t="shared" si="33"/>
        <v>21.305229806568082</v>
      </c>
      <c r="CY92" s="136">
        <f t="shared" si="34"/>
        <v>13.090840201452661</v>
      </c>
      <c r="CZ92" s="136">
        <f t="shared" si="35"/>
        <v>-3.9165891790398124</v>
      </c>
      <c r="DA92" s="136">
        <f t="shared" si="36"/>
        <v>11.102661324169734</v>
      </c>
      <c r="DB92" s="22"/>
      <c r="DC92" s="141">
        <f t="shared" si="20"/>
        <v>445.68333333333334</v>
      </c>
      <c r="DD92" s="141">
        <f t="shared" si="21"/>
        <v>0.26475000000000004</v>
      </c>
      <c r="DE92" s="141">
        <f t="shared" si="22"/>
        <v>88.313275000000004</v>
      </c>
      <c r="DF92" s="141">
        <f t="shared" si="23"/>
        <v>2.0046875000000002</v>
      </c>
      <c r="DG92" s="141">
        <f t="shared" si="19"/>
        <v>9.0300000000000005E-2</v>
      </c>
      <c r="DH92" s="141">
        <f t="shared" si="24"/>
        <v>1.6366000000000001</v>
      </c>
    </row>
    <row r="93" spans="1:112" s="28" customFormat="1">
      <c r="A93" s="38"/>
      <c r="F93" s="38"/>
      <c r="V93" s="17" t="s">
        <v>259</v>
      </c>
      <c r="W93" s="20" t="s">
        <v>260</v>
      </c>
      <c r="X93" s="15" t="s">
        <v>342</v>
      </c>
      <c r="Y93" s="17">
        <v>0.10333000000000001</v>
      </c>
      <c r="Z93" s="17">
        <v>34.713628999999997</v>
      </c>
      <c r="AA93" s="17" t="s">
        <v>335</v>
      </c>
      <c r="AB93" s="17" t="s">
        <v>334</v>
      </c>
      <c r="AC93" s="6" t="s">
        <v>347</v>
      </c>
      <c r="AD93" s="14" t="s">
        <v>371</v>
      </c>
      <c r="AE93" s="65" t="s">
        <v>687</v>
      </c>
      <c r="AF93" s="17" t="s">
        <v>365</v>
      </c>
      <c r="AG93" s="17" t="s">
        <v>685</v>
      </c>
      <c r="AH93" s="35" t="s">
        <v>691</v>
      </c>
      <c r="AI93" s="24">
        <v>0.38217747949301822</v>
      </c>
      <c r="AJ93" s="73">
        <v>7.92</v>
      </c>
      <c r="AK93" s="24">
        <v>15.309225000000001</v>
      </c>
      <c r="AL93" s="73">
        <v>22.3</v>
      </c>
      <c r="AM93" s="73">
        <v>0.74</v>
      </c>
      <c r="AN93" s="73">
        <v>17692</v>
      </c>
      <c r="AO93" s="73">
        <v>12109</v>
      </c>
      <c r="AP93" s="73">
        <v>75922</v>
      </c>
      <c r="AQ93" s="73">
        <v>1183</v>
      </c>
      <c r="AR93" s="73">
        <v>5592</v>
      </c>
      <c r="AS93" s="73">
        <v>17246</v>
      </c>
      <c r="AT93" s="73">
        <v>40835</v>
      </c>
      <c r="AU93" s="73">
        <v>2818</v>
      </c>
      <c r="AV93" s="73">
        <v>62.3</v>
      </c>
      <c r="AW93" s="73">
        <v>73.599999999999994</v>
      </c>
      <c r="AX93" s="73">
        <v>784</v>
      </c>
      <c r="AY93" s="73">
        <v>29515</v>
      </c>
      <c r="AZ93" s="73">
        <v>20.448</v>
      </c>
      <c r="BA93" s="73">
        <v>50.31</v>
      </c>
      <c r="BB93" s="73">
        <v>69.819999999999993</v>
      </c>
      <c r="BC93" s="73">
        <v>102</v>
      </c>
      <c r="BD93" s="73">
        <v>14.28</v>
      </c>
      <c r="BE93" s="73">
        <v>7897.1</v>
      </c>
      <c r="BF93" s="73">
        <v>0.22</v>
      </c>
      <c r="BG93" s="73">
        <v>47.73</v>
      </c>
      <c r="BH93" s="73">
        <v>505.61</v>
      </c>
      <c r="BI93" s="73">
        <v>9.2590000000000003</v>
      </c>
      <c r="BJ93" s="73">
        <v>70.16</v>
      </c>
      <c r="BK93" s="73">
        <v>5.6059999999999999</v>
      </c>
      <c r="BL93" s="73">
        <v>0.85</v>
      </c>
      <c r="BM93" s="73">
        <v>2.0070000000000001</v>
      </c>
      <c r="BN93" s="73">
        <v>0.78400000000000003</v>
      </c>
      <c r="BO93" s="73">
        <v>0.75</v>
      </c>
      <c r="BP93" s="73">
        <v>3.09</v>
      </c>
      <c r="BQ93" s="73">
        <v>2.544</v>
      </c>
      <c r="BR93" s="73">
        <v>348.4</v>
      </c>
      <c r="BS93" s="73">
        <v>26.658000000000001</v>
      </c>
      <c r="BT93" s="73">
        <v>67.111000000000004</v>
      </c>
      <c r="BU93" s="73">
        <v>7.4859999999999998</v>
      </c>
      <c r="BV93" s="73">
        <v>30.42</v>
      </c>
      <c r="BW93" s="73">
        <v>5.2919999999999998</v>
      </c>
      <c r="BX93" s="73">
        <v>1.4019999999999999</v>
      </c>
      <c r="BY93" s="73">
        <v>3.5</v>
      </c>
      <c r="BZ93" s="73">
        <v>0.443</v>
      </c>
      <c r="CA93" s="73">
        <v>1.9650000000000001</v>
      </c>
      <c r="CB93" s="73">
        <v>0.36599999999999999</v>
      </c>
      <c r="CC93" s="73">
        <v>0.86399999999999999</v>
      </c>
      <c r="CD93" s="73">
        <v>0.114</v>
      </c>
      <c r="CE93" s="73">
        <v>0.66900000000000004</v>
      </c>
      <c r="CF93" s="73">
        <v>9.9000000000000005E-2</v>
      </c>
      <c r="CG93" s="73">
        <v>2.0259999999999998</v>
      </c>
      <c r="CH93" s="73">
        <v>0.34300000000000003</v>
      </c>
      <c r="CI93" s="73">
        <v>1.744</v>
      </c>
      <c r="CJ93" s="73">
        <v>0.25800000000000001</v>
      </c>
      <c r="CK93" s="73">
        <v>68.900000000000006</v>
      </c>
      <c r="CL93" s="73">
        <v>3.82</v>
      </c>
      <c r="CM93" s="73">
        <v>2.544</v>
      </c>
      <c r="CN93" s="73">
        <v>0.58399999999999996</v>
      </c>
      <c r="CP93" s="136">
        <f t="shared" si="25"/>
        <v>1385.4294945740451</v>
      </c>
      <c r="CQ93" s="136">
        <f t="shared" si="26"/>
        <v>4.3963901574962687</v>
      </c>
      <c r="CR93" s="136">
        <f t="shared" si="27"/>
        <v>288.97603776614341</v>
      </c>
      <c r="CS93" s="136">
        <f t="shared" si="28"/>
        <v>1.0760026971994965</v>
      </c>
      <c r="CT93" s="136">
        <f t="shared" si="29"/>
        <v>10.628184744274868</v>
      </c>
      <c r="CU93" s="136">
        <f t="shared" si="30"/>
        <v>1.8611322579502334</v>
      </c>
      <c r="CV93" s="136">
        <f t="shared" si="31"/>
        <v>15.449607584338974</v>
      </c>
      <c r="CW93" s="136">
        <f t="shared" si="32"/>
        <v>10.068055406103875</v>
      </c>
      <c r="CX93" s="136">
        <f t="shared" si="33"/>
        <v>18.777000741614884</v>
      </c>
      <c r="CY93" s="136">
        <f t="shared" si="34"/>
        <v>12.289096702419991</v>
      </c>
      <c r="CZ93" s="136">
        <f t="shared" si="35"/>
        <v>-4.1204615124054627</v>
      </c>
      <c r="DA93" s="136">
        <f t="shared" si="36"/>
        <v>10.400876661865977</v>
      </c>
      <c r="DB93" s="22"/>
      <c r="DC93" s="141">
        <f t="shared" si="20"/>
        <v>658.0916666666667</v>
      </c>
      <c r="DD93" s="141">
        <f t="shared" si="21"/>
        <v>0.17225000000000001</v>
      </c>
      <c r="DE93" s="141">
        <f t="shared" si="22"/>
        <v>15.309225000000001</v>
      </c>
      <c r="DF93" s="141">
        <f t="shared" si="23"/>
        <v>1.1499999999999999</v>
      </c>
      <c r="DG93" s="141">
        <f t="shared" si="19"/>
        <v>7.8399999999999997E-2</v>
      </c>
      <c r="DH93" s="141">
        <f t="shared" si="24"/>
        <v>1.0062</v>
      </c>
    </row>
    <row r="94" spans="1:112" s="28" customFormat="1">
      <c r="A94" s="38"/>
      <c r="F94" s="38"/>
      <c r="V94" s="17" t="s">
        <v>261</v>
      </c>
      <c r="W94" s="20" t="s">
        <v>262</v>
      </c>
      <c r="X94" s="15" t="s">
        <v>342</v>
      </c>
      <c r="Y94" s="17">
        <v>0.10229199999999999</v>
      </c>
      <c r="Z94" s="17">
        <v>34.713501999999998</v>
      </c>
      <c r="AA94" s="17" t="s">
        <v>335</v>
      </c>
      <c r="AB94" s="17" t="s">
        <v>334</v>
      </c>
      <c r="AC94" s="6" t="s">
        <v>347</v>
      </c>
      <c r="AD94" s="14" t="s">
        <v>371</v>
      </c>
      <c r="AE94" s="65" t="s">
        <v>687</v>
      </c>
      <c r="AF94" s="17" t="s">
        <v>364</v>
      </c>
      <c r="AG94" s="17" t="s">
        <v>685</v>
      </c>
      <c r="AH94" s="35" t="s">
        <v>690</v>
      </c>
      <c r="AI94" s="24">
        <v>0.22869643034684281</v>
      </c>
      <c r="AJ94" s="73">
        <v>8.1</v>
      </c>
      <c r="AK94" s="24">
        <v>8.342625</v>
      </c>
      <c r="AL94" s="73">
        <v>27.4</v>
      </c>
      <c r="AM94" s="73">
        <v>0.81</v>
      </c>
      <c r="AN94" s="73">
        <v>16111</v>
      </c>
      <c r="AO94" s="73">
        <v>16848</v>
      </c>
      <c r="AP94" s="73">
        <v>75290</v>
      </c>
      <c r="AQ94" s="73">
        <v>1217</v>
      </c>
      <c r="AR94" s="73">
        <v>12454</v>
      </c>
      <c r="AS94" s="73">
        <v>23421</v>
      </c>
      <c r="AT94" s="73">
        <v>43504</v>
      </c>
      <c r="AU94" s="73">
        <v>4113.8999999999996</v>
      </c>
      <c r="AV94" s="73">
        <v>85.6</v>
      </c>
      <c r="AW94" s="73">
        <v>167.4</v>
      </c>
      <c r="AX94" s="73">
        <v>1103</v>
      </c>
      <c r="AY94" s="73">
        <v>36194</v>
      </c>
      <c r="AZ94" s="73">
        <v>23.082000000000001</v>
      </c>
      <c r="BA94" s="73">
        <v>78.48</v>
      </c>
      <c r="BB94" s="73">
        <v>14.84</v>
      </c>
      <c r="BC94" s="73">
        <v>84</v>
      </c>
      <c r="BD94" s="73">
        <v>14.8</v>
      </c>
      <c r="BE94" s="73">
        <v>10325.700000000001</v>
      </c>
      <c r="BF94" s="73">
        <v>0.23</v>
      </c>
      <c r="BG94" s="73">
        <v>64.72</v>
      </c>
      <c r="BH94" s="73">
        <v>381.94</v>
      </c>
      <c r="BI94" s="73">
        <v>10.18</v>
      </c>
      <c r="BJ94" s="73">
        <v>44.56</v>
      </c>
      <c r="BK94" s="73">
        <v>4.7069999999999999</v>
      </c>
      <c r="BL94" s="73">
        <v>0.88</v>
      </c>
      <c r="BM94" s="73">
        <v>1.028</v>
      </c>
      <c r="BN94" s="73">
        <v>0.38100000000000001</v>
      </c>
      <c r="BO94" s="73">
        <v>0.76</v>
      </c>
      <c r="BP94" s="73">
        <v>4.13</v>
      </c>
      <c r="BQ94" s="73">
        <v>2.6179999999999999</v>
      </c>
      <c r="BR94" s="73">
        <v>402.5</v>
      </c>
      <c r="BS94" s="73">
        <v>19.962</v>
      </c>
      <c r="BT94" s="73">
        <v>46.981999999999999</v>
      </c>
      <c r="BU94" s="73">
        <v>6.4390000000000001</v>
      </c>
      <c r="BV94" s="73">
        <v>27.66</v>
      </c>
      <c r="BW94" s="73">
        <v>5.26</v>
      </c>
      <c r="BX94" s="73">
        <v>1.508</v>
      </c>
      <c r="BY94" s="73">
        <v>3.8079999999999998</v>
      </c>
      <c r="BZ94" s="73">
        <v>0.497</v>
      </c>
      <c r="CA94" s="73">
        <v>2.2530000000000001</v>
      </c>
      <c r="CB94" s="73">
        <v>0.40500000000000003</v>
      </c>
      <c r="CC94" s="73">
        <v>0.95299999999999996</v>
      </c>
      <c r="CD94" s="73">
        <v>0.12</v>
      </c>
      <c r="CE94" s="73">
        <v>0.67700000000000005</v>
      </c>
      <c r="CF94" s="73">
        <v>8.7999999999999995E-2</v>
      </c>
      <c r="CG94" s="73">
        <v>1.268</v>
      </c>
      <c r="CH94" s="73">
        <v>0.28599999999999998</v>
      </c>
      <c r="CI94" s="73">
        <v>2.56</v>
      </c>
      <c r="CJ94" s="73">
        <v>0.30099999999999999</v>
      </c>
      <c r="CK94" s="73">
        <v>26.6</v>
      </c>
      <c r="CL94" s="73">
        <v>0.87</v>
      </c>
      <c r="CM94" s="73">
        <v>1.524</v>
      </c>
      <c r="CN94" s="73">
        <v>0.35</v>
      </c>
      <c r="CP94" s="136">
        <f t="shared" si="25"/>
        <v>1477.2108886263243</v>
      </c>
      <c r="CQ94" s="136">
        <f t="shared" si="26"/>
        <v>1.3840916452486622</v>
      </c>
      <c r="CR94" s="136">
        <f t="shared" si="27"/>
        <v>128.41553165632391</v>
      </c>
      <c r="CS94" s="136">
        <f t="shared" si="28"/>
        <v>1.9957089491595943</v>
      </c>
      <c r="CT94" s="136">
        <f t="shared" si="29"/>
        <v>4.2118627773563677</v>
      </c>
      <c r="CU94" s="136">
        <f t="shared" si="30"/>
        <v>2.3674898138092542</v>
      </c>
      <c r="CV94" s="136">
        <f t="shared" si="31"/>
        <v>15.836452308241197</v>
      </c>
      <c r="CW94" s="136">
        <f t="shared" si="32"/>
        <v>8.6949776689007727</v>
      </c>
      <c r="CX94" s="136">
        <f t="shared" si="33"/>
        <v>17.901172793589225</v>
      </c>
      <c r="CY94" s="136">
        <f t="shared" si="34"/>
        <v>13.47461855891332</v>
      </c>
      <c r="CZ94" s="136">
        <f t="shared" si="35"/>
        <v>-5.1615241690273486</v>
      </c>
      <c r="DA94" s="136">
        <f t="shared" si="36"/>
        <v>11.042356513799714</v>
      </c>
      <c r="DB94" s="22"/>
      <c r="DC94" s="141">
        <f t="shared" si="20"/>
        <v>860.47500000000002</v>
      </c>
      <c r="DD94" s="141">
        <f t="shared" si="21"/>
        <v>6.6500000000000004E-2</v>
      </c>
      <c r="DE94" s="141">
        <f t="shared" si="22"/>
        <v>8.342625</v>
      </c>
      <c r="DF94" s="141">
        <f t="shared" si="23"/>
        <v>2.6156250000000001</v>
      </c>
      <c r="DG94" s="141">
        <f t="shared" ref="DG94:DG129" si="37">BN94/10</f>
        <v>3.8100000000000002E-2</v>
      </c>
      <c r="DH94" s="141">
        <f t="shared" si="24"/>
        <v>1.5696000000000001</v>
      </c>
    </row>
    <row r="95" spans="1:112" s="28" customFormat="1">
      <c r="A95" s="38"/>
      <c r="F95" s="38"/>
      <c r="V95" s="17" t="s">
        <v>263</v>
      </c>
      <c r="W95" s="20" t="s">
        <v>264</v>
      </c>
      <c r="X95" s="15" t="s">
        <v>342</v>
      </c>
      <c r="Y95" s="17">
        <v>0.1033</v>
      </c>
      <c r="Z95" s="17">
        <v>34.713628999999997</v>
      </c>
      <c r="AA95" s="17" t="s">
        <v>335</v>
      </c>
      <c r="AB95" s="17" t="s">
        <v>334</v>
      </c>
      <c r="AC95" s="6" t="s">
        <v>347</v>
      </c>
      <c r="AD95" s="14" t="s">
        <v>371</v>
      </c>
      <c r="AE95" s="65" t="s">
        <v>687</v>
      </c>
      <c r="AF95" s="17" t="s">
        <v>366</v>
      </c>
      <c r="AG95" s="17" t="s">
        <v>684</v>
      </c>
      <c r="AH95" s="35" t="s">
        <v>683</v>
      </c>
      <c r="AI95" s="24">
        <v>2.6256928911797122</v>
      </c>
      <c r="AJ95" s="73">
        <v>7.63</v>
      </c>
      <c r="AK95" s="24">
        <v>5.6278050000000004</v>
      </c>
      <c r="AL95" s="73">
        <v>13.6</v>
      </c>
      <c r="AM95" s="73">
        <v>1.54</v>
      </c>
      <c r="AN95" s="73">
        <v>7254</v>
      </c>
      <c r="AO95" s="73">
        <v>2663</v>
      </c>
      <c r="AP95" s="73">
        <v>58819</v>
      </c>
      <c r="AQ95" s="73">
        <v>442</v>
      </c>
      <c r="AR95" s="73">
        <v>774</v>
      </c>
      <c r="AS95" s="73">
        <v>18051</v>
      </c>
      <c r="AT95" s="73">
        <v>8609</v>
      </c>
      <c r="AU95" s="73">
        <v>2581.3000000000002</v>
      </c>
      <c r="AV95" s="73">
        <v>72.3</v>
      </c>
      <c r="AW95" s="73">
        <v>99.7</v>
      </c>
      <c r="AX95" s="73">
        <v>2041.4</v>
      </c>
      <c r="AY95" s="73">
        <v>36564</v>
      </c>
      <c r="AZ95" s="73">
        <v>23.783000000000001</v>
      </c>
      <c r="BA95" s="73">
        <v>33.380000000000003</v>
      </c>
      <c r="BB95" s="73">
        <v>24.15</v>
      </c>
      <c r="BC95" s="73">
        <v>73</v>
      </c>
      <c r="BD95" s="73">
        <v>12.9</v>
      </c>
      <c r="BE95" s="73">
        <v>994</v>
      </c>
      <c r="BF95" s="73">
        <v>0.37</v>
      </c>
      <c r="BG95" s="73">
        <v>71.760000000000005</v>
      </c>
      <c r="BH95" s="73">
        <v>154.54</v>
      </c>
      <c r="BI95" s="73">
        <v>18.826000000000001</v>
      </c>
      <c r="BJ95" s="73">
        <v>137.62</v>
      </c>
      <c r="BK95" s="73">
        <v>29.593</v>
      </c>
      <c r="BL95" s="73">
        <v>2.75</v>
      </c>
      <c r="BM95" s="73">
        <v>0.43</v>
      </c>
      <c r="BN95" s="73">
        <v>0.26500000000000001</v>
      </c>
      <c r="BO95" s="73">
        <v>1.52</v>
      </c>
      <c r="BP95" s="73">
        <v>0.95399999999999996</v>
      </c>
      <c r="BQ95" s="73">
        <v>2.3199999999999998</v>
      </c>
      <c r="BR95" s="73">
        <v>569.25</v>
      </c>
      <c r="BS95" s="73">
        <v>37.075000000000003</v>
      </c>
      <c r="BT95" s="73">
        <v>119.488</v>
      </c>
      <c r="BU95" s="73">
        <v>7.6280000000000001</v>
      </c>
      <c r="BV95" s="73">
        <v>27.72</v>
      </c>
      <c r="BW95" s="73">
        <v>5.1230000000000002</v>
      </c>
      <c r="BX95" s="73">
        <v>1.01</v>
      </c>
      <c r="BY95" s="73">
        <v>3.964</v>
      </c>
      <c r="BZ95" s="73">
        <v>0.65100000000000002</v>
      </c>
      <c r="CA95" s="73">
        <v>3.52</v>
      </c>
      <c r="CB95" s="73">
        <v>0.752</v>
      </c>
      <c r="CC95" s="73">
        <v>2.06</v>
      </c>
      <c r="CD95" s="73">
        <v>0.313</v>
      </c>
      <c r="CE95" s="73">
        <v>1.954</v>
      </c>
      <c r="CF95" s="73">
        <v>0.28699999999999998</v>
      </c>
      <c r="CG95" s="73">
        <v>3.6379999999999999</v>
      </c>
      <c r="CH95" s="73">
        <v>1.64</v>
      </c>
      <c r="CI95" s="73">
        <v>2.827</v>
      </c>
      <c r="CJ95" s="73">
        <v>0.52700000000000002</v>
      </c>
      <c r="CK95" s="73">
        <v>38</v>
      </c>
      <c r="CL95" s="73">
        <v>1.33</v>
      </c>
      <c r="CM95" s="73">
        <v>6.4269999999999996</v>
      </c>
      <c r="CN95" s="73">
        <v>1.946</v>
      </c>
      <c r="CP95" s="136">
        <f t="shared" si="25"/>
        <v>140.76421520363971</v>
      </c>
      <c r="CQ95" s="136">
        <f t="shared" si="26"/>
        <v>1.9572652651370623</v>
      </c>
      <c r="CR95" s="136">
        <f t="shared" si="27"/>
        <v>85.7505184298833</v>
      </c>
      <c r="CS95" s="136">
        <f t="shared" si="28"/>
        <v>1.1765754741618781</v>
      </c>
      <c r="CT95" s="136">
        <f t="shared" si="29"/>
        <v>2.8998664235064795</v>
      </c>
      <c r="CU95" s="136">
        <f t="shared" si="30"/>
        <v>0.99677775858147388</v>
      </c>
      <c r="CV95" s="136">
        <f t="shared" si="31"/>
        <v>12.459602382091468</v>
      </c>
      <c r="CW95" s="136">
        <f t="shared" si="32"/>
        <v>9.2095508417305307</v>
      </c>
      <c r="CX95" s="136">
        <f t="shared" si="33"/>
        <v>17.333243736636248</v>
      </c>
      <c r="CY95" s="136">
        <f t="shared" si="34"/>
        <v>12.726984440761173</v>
      </c>
      <c r="CZ95" s="136">
        <f t="shared" si="35"/>
        <v>-5.6853228070701096</v>
      </c>
      <c r="DA95" s="136">
        <f t="shared" si="36"/>
        <v>9.8090154269430734</v>
      </c>
      <c r="DB95" s="22"/>
      <c r="DC95" s="141">
        <f t="shared" si="20"/>
        <v>82.833333333333329</v>
      </c>
      <c r="DD95" s="141">
        <f t="shared" si="21"/>
        <v>9.5000000000000001E-2</v>
      </c>
      <c r="DE95" s="141">
        <f t="shared" si="22"/>
        <v>5.6278050000000004</v>
      </c>
      <c r="DF95" s="141">
        <f t="shared" si="23"/>
        <v>1.5578125</v>
      </c>
      <c r="DG95" s="141">
        <f t="shared" si="37"/>
        <v>2.6500000000000003E-2</v>
      </c>
      <c r="DH95" s="141">
        <f t="shared" si="24"/>
        <v>0.66760000000000008</v>
      </c>
    </row>
    <row r="96" spans="1:112" s="28" customFormat="1">
      <c r="A96" s="38"/>
      <c r="F96" s="38"/>
      <c r="V96" s="17" t="s">
        <v>265</v>
      </c>
      <c r="W96" s="20" t="s">
        <v>266</v>
      </c>
      <c r="X96" s="15" t="s">
        <v>342</v>
      </c>
      <c r="Y96" s="17">
        <v>0.15733900000000001</v>
      </c>
      <c r="Z96" s="17">
        <v>34.817802</v>
      </c>
      <c r="AA96" s="17" t="s">
        <v>679</v>
      </c>
      <c r="AB96" s="17" t="s">
        <v>334</v>
      </c>
      <c r="AC96" s="6" t="s">
        <v>347</v>
      </c>
      <c r="AD96" s="14" t="s">
        <v>371</v>
      </c>
      <c r="AE96" s="65" t="s">
        <v>687</v>
      </c>
      <c r="AF96" s="17" t="s">
        <v>364</v>
      </c>
      <c r="AG96" s="17" t="s">
        <v>685</v>
      </c>
      <c r="AH96" s="35" t="s">
        <v>690</v>
      </c>
      <c r="AI96" s="24">
        <v>2.5038101458741182</v>
      </c>
      <c r="AJ96" s="73">
        <v>4.3600000000000003</v>
      </c>
      <c r="AK96" s="24">
        <v>0.45077499999999998</v>
      </c>
      <c r="AL96" s="73">
        <v>26.1</v>
      </c>
      <c r="AM96" s="73">
        <v>1.73</v>
      </c>
      <c r="AN96" s="73">
        <v>7180</v>
      </c>
      <c r="AO96" s="73">
        <v>1819</v>
      </c>
      <c r="AP96" s="73">
        <v>79832</v>
      </c>
      <c r="AQ96" s="73">
        <v>277</v>
      </c>
      <c r="AR96" s="73">
        <v>76</v>
      </c>
      <c r="AS96" s="73">
        <v>4732</v>
      </c>
      <c r="AT96" s="73" t="s">
        <v>125</v>
      </c>
      <c r="AU96" s="73">
        <v>1241.2</v>
      </c>
      <c r="AV96" s="73">
        <v>44.7</v>
      </c>
      <c r="AW96" s="73">
        <v>123.9</v>
      </c>
      <c r="AX96" s="73">
        <v>338.9</v>
      </c>
      <c r="AY96" s="73">
        <v>28153</v>
      </c>
      <c r="AZ96" s="73">
        <v>34.247</v>
      </c>
      <c r="BA96" s="73">
        <v>99.52</v>
      </c>
      <c r="BB96" s="73">
        <v>57.53</v>
      </c>
      <c r="BC96" s="73">
        <v>91</v>
      </c>
      <c r="BD96" s="73">
        <v>14.91</v>
      </c>
      <c r="BE96" s="73">
        <v>632.29999999999995</v>
      </c>
      <c r="BF96" s="73">
        <v>0.32</v>
      </c>
      <c r="BG96" s="73">
        <v>23.65</v>
      </c>
      <c r="BH96" s="73">
        <v>24.77</v>
      </c>
      <c r="BI96" s="73">
        <v>25.672000000000001</v>
      </c>
      <c r="BJ96" s="73">
        <v>80.92</v>
      </c>
      <c r="BK96" s="73">
        <v>3.831</v>
      </c>
      <c r="BL96" s="73">
        <v>3.09</v>
      </c>
      <c r="BM96" s="73">
        <v>0.85299999999999998</v>
      </c>
      <c r="BN96" s="73">
        <v>0.29599999999999999</v>
      </c>
      <c r="BO96" s="73">
        <v>0.82</v>
      </c>
      <c r="BP96" s="73">
        <v>1.161</v>
      </c>
      <c r="BQ96" s="73">
        <v>1.387</v>
      </c>
      <c r="BR96" s="73">
        <v>219.27</v>
      </c>
      <c r="BS96" s="73">
        <v>75.974999999999994</v>
      </c>
      <c r="BT96" s="73">
        <v>87.055000000000007</v>
      </c>
      <c r="BU96" s="73">
        <v>13.621</v>
      </c>
      <c r="BV96" s="73">
        <v>47.6</v>
      </c>
      <c r="BW96" s="73">
        <v>7.6150000000000002</v>
      </c>
      <c r="BX96" s="73">
        <v>1.823</v>
      </c>
      <c r="BY96" s="73">
        <v>5.8970000000000002</v>
      </c>
      <c r="BZ96" s="73">
        <v>0.83899999999999997</v>
      </c>
      <c r="CA96" s="73">
        <v>4.335</v>
      </c>
      <c r="CB96" s="73">
        <v>0.85699999999999998</v>
      </c>
      <c r="CC96" s="73">
        <v>2.3109999999999999</v>
      </c>
      <c r="CD96" s="73">
        <v>0.33200000000000002</v>
      </c>
      <c r="CE96" s="73">
        <v>1.9630000000000001</v>
      </c>
      <c r="CF96" s="73">
        <v>0.28000000000000003</v>
      </c>
      <c r="CG96" s="73">
        <v>2.75</v>
      </c>
      <c r="CH96" s="73">
        <v>0.314</v>
      </c>
      <c r="CI96" s="73">
        <v>6.6740000000000004</v>
      </c>
      <c r="CJ96" s="73">
        <v>0.221</v>
      </c>
      <c r="CK96" s="73">
        <v>36.6</v>
      </c>
      <c r="CL96" s="73">
        <v>1.3</v>
      </c>
      <c r="CM96" s="73">
        <v>16.681999999999999</v>
      </c>
      <c r="CN96" s="73">
        <v>5.0460000000000003</v>
      </c>
      <c r="CP96" s="136">
        <f t="shared" si="25"/>
        <v>116.29420676095536</v>
      </c>
      <c r="CQ96" s="136">
        <f t="shared" si="26"/>
        <v>2.4483651979256753</v>
      </c>
      <c r="CR96" s="136">
        <f t="shared" si="27"/>
        <v>8.9204457295285664</v>
      </c>
      <c r="CS96" s="136">
        <f t="shared" si="28"/>
        <v>1.8989999759716343</v>
      </c>
      <c r="CT96" s="136">
        <f t="shared" si="29"/>
        <v>4.2068095439530104</v>
      </c>
      <c r="CU96" s="136">
        <f t="shared" si="30"/>
        <v>3.8596808383308399</v>
      </c>
      <c r="CV96" s="136">
        <f t="shared" si="31"/>
        <v>11.806965749815816</v>
      </c>
      <c r="CW96" s="136">
        <f t="shared" si="32"/>
        <v>9.1553950716836248</v>
      </c>
      <c r="CX96" s="136">
        <f t="shared" si="33"/>
        <v>13.691150806611518</v>
      </c>
      <c r="CY96" s="136">
        <f t="shared" si="34"/>
        <v>13.04049521850358</v>
      </c>
      <c r="CZ96" s="136">
        <f t="shared" si="35"/>
        <v>-5.5257179908917209</v>
      </c>
      <c r="DA96" s="136">
        <f t="shared" si="36"/>
        <v>11.385017957711078</v>
      </c>
      <c r="DB96" s="22"/>
      <c r="DC96" s="141">
        <f t="shared" si="20"/>
        <v>52.691666666666663</v>
      </c>
      <c r="DD96" s="141">
        <f t="shared" si="21"/>
        <v>9.1499999999999998E-2</v>
      </c>
      <c r="DE96" s="141">
        <f t="shared" si="22"/>
        <v>0.45077499999999998</v>
      </c>
      <c r="DF96" s="141">
        <f t="shared" si="23"/>
        <v>1.9359375000000001</v>
      </c>
      <c r="DG96" s="141">
        <f t="shared" si="37"/>
        <v>2.9599999999999998E-2</v>
      </c>
      <c r="DH96" s="141">
        <f t="shared" si="24"/>
        <v>1.9903999999999999</v>
      </c>
    </row>
    <row r="97" spans="1:112" s="28" customFormat="1">
      <c r="A97" s="38"/>
      <c r="F97" s="38"/>
      <c r="V97" s="17" t="s">
        <v>267</v>
      </c>
      <c r="W97" s="20" t="s">
        <v>268</v>
      </c>
      <c r="X97" s="15" t="s">
        <v>342</v>
      </c>
      <c r="Y97" s="17">
        <v>0.15733900000000001</v>
      </c>
      <c r="Z97" s="17">
        <v>34.817802</v>
      </c>
      <c r="AA97" s="17" t="s">
        <v>360</v>
      </c>
      <c r="AB97" s="17" t="s">
        <v>334</v>
      </c>
      <c r="AC97" s="6" t="s">
        <v>347</v>
      </c>
      <c r="AD97" s="14" t="s">
        <v>371</v>
      </c>
      <c r="AE97" s="65" t="s">
        <v>687</v>
      </c>
      <c r="AF97" s="17" t="s">
        <v>365</v>
      </c>
      <c r="AG97" s="17" t="s">
        <v>685</v>
      </c>
      <c r="AH97" s="35" t="s">
        <v>691</v>
      </c>
      <c r="AI97" s="24">
        <v>0.36383092562859087</v>
      </c>
      <c r="AJ97" s="73">
        <v>6.56</v>
      </c>
      <c r="AK97" s="24">
        <v>1.075005</v>
      </c>
      <c r="AL97" s="73">
        <v>5.0999999999999996</v>
      </c>
      <c r="AM97" s="73">
        <v>0.28999999999999998</v>
      </c>
      <c r="AN97" s="73">
        <v>706</v>
      </c>
      <c r="AO97" s="73">
        <v>2033</v>
      </c>
      <c r="AP97" s="73">
        <v>13705</v>
      </c>
      <c r="AQ97" s="73">
        <v>70</v>
      </c>
      <c r="AR97" s="73">
        <v>45</v>
      </c>
      <c r="AS97" s="73">
        <v>3447</v>
      </c>
      <c r="AT97" s="73" t="s">
        <v>125</v>
      </c>
      <c r="AU97" s="73">
        <v>414.3</v>
      </c>
      <c r="AV97" s="73">
        <v>23.2</v>
      </c>
      <c r="AW97" s="73">
        <v>245.1</v>
      </c>
      <c r="AX97" s="73">
        <v>102</v>
      </c>
      <c r="AY97" s="73">
        <v>8337</v>
      </c>
      <c r="AZ97" s="73">
        <v>4.8520000000000003</v>
      </c>
      <c r="BA97" s="73">
        <v>13.43</v>
      </c>
      <c r="BB97" s="73">
        <v>15.07</v>
      </c>
      <c r="BC97" s="73">
        <v>28</v>
      </c>
      <c r="BD97" s="73">
        <v>3.77</v>
      </c>
      <c r="BE97" s="73">
        <v>27.3</v>
      </c>
      <c r="BF97" s="73">
        <v>0.04</v>
      </c>
      <c r="BG97" s="73">
        <v>14.72</v>
      </c>
      <c r="BH97" s="73">
        <v>8.3699999999999992</v>
      </c>
      <c r="BI97" s="73">
        <v>2.2930000000000001</v>
      </c>
      <c r="BJ97" s="73">
        <v>13.66</v>
      </c>
      <c r="BK97" s="73">
        <v>1.379</v>
      </c>
      <c r="BL97" s="73">
        <v>0.87</v>
      </c>
      <c r="BM97" s="73">
        <v>0.42199999999999999</v>
      </c>
      <c r="BN97" s="73">
        <v>3.5000000000000003E-2</v>
      </c>
      <c r="BO97" s="73">
        <v>0.33</v>
      </c>
      <c r="BP97" s="73">
        <v>0.129</v>
      </c>
      <c r="BQ97" s="73">
        <v>1.034</v>
      </c>
      <c r="BR97" s="73">
        <v>121.28</v>
      </c>
      <c r="BS97" s="73">
        <v>4.8860000000000001</v>
      </c>
      <c r="BT97" s="73">
        <v>9.641</v>
      </c>
      <c r="BU97" s="73">
        <v>1.0209999999999999</v>
      </c>
      <c r="BV97" s="73">
        <v>3.91</v>
      </c>
      <c r="BW97" s="73">
        <v>0.69899999999999995</v>
      </c>
      <c r="BX97" s="73">
        <v>0.16400000000000001</v>
      </c>
      <c r="BY97" s="73">
        <v>0.55100000000000005</v>
      </c>
      <c r="BZ97" s="73">
        <v>8.3000000000000004E-2</v>
      </c>
      <c r="CA97" s="73">
        <v>0.41099999999999998</v>
      </c>
      <c r="CB97" s="73">
        <v>8.8999999999999996E-2</v>
      </c>
      <c r="CC97" s="73">
        <v>0.25600000000000001</v>
      </c>
      <c r="CD97" s="73">
        <v>3.5999999999999997E-2</v>
      </c>
      <c r="CE97" s="73">
        <v>0.22600000000000001</v>
      </c>
      <c r="CF97" s="73">
        <v>0.04</v>
      </c>
      <c r="CG97" s="73">
        <v>0.45700000000000002</v>
      </c>
      <c r="CH97" s="73">
        <v>7.8E-2</v>
      </c>
      <c r="CI97" s="73">
        <v>0.72699999999999998</v>
      </c>
      <c r="CJ97" s="73">
        <v>0.13300000000000001</v>
      </c>
      <c r="CK97" s="73">
        <v>8.1999999999999993</v>
      </c>
      <c r="CL97" s="73">
        <v>0.36</v>
      </c>
      <c r="CM97" s="73">
        <v>1.3640000000000001</v>
      </c>
      <c r="CN97" s="73">
        <v>0.55700000000000005</v>
      </c>
      <c r="CP97" s="136">
        <f t="shared" si="25"/>
        <v>16.955571195732702</v>
      </c>
      <c r="CQ97" s="136">
        <f t="shared" si="26"/>
        <v>1.8523533855629837</v>
      </c>
      <c r="CR97" s="136">
        <f t="shared" si="27"/>
        <v>71.837646595624506</v>
      </c>
      <c r="CS97" s="136">
        <f t="shared" si="28"/>
        <v>12.685624237100383</v>
      </c>
      <c r="CT97" s="136">
        <f t="shared" si="29"/>
        <v>1.6797477291809788</v>
      </c>
      <c r="CU97" s="136">
        <f t="shared" si="30"/>
        <v>1.7588626149619446</v>
      </c>
      <c r="CV97" s="136">
        <f t="shared" si="31"/>
        <v>7.2733293865616728</v>
      </c>
      <c r="CW97" s="136">
        <f t="shared" si="32"/>
        <v>6.9972472380176658</v>
      </c>
      <c r="CX97" s="136">
        <f t="shared" si="33"/>
        <v>14.945014765704894</v>
      </c>
      <c r="CY97" s="136">
        <f t="shared" si="34"/>
        <v>14.024689515229818</v>
      </c>
      <c r="CZ97" s="136">
        <f t="shared" si="35"/>
        <v>-8.6058883395757046</v>
      </c>
      <c r="DA97" s="136">
        <f t="shared" si="36"/>
        <v>8.495490777007916</v>
      </c>
      <c r="DB97" s="22"/>
      <c r="DC97" s="141">
        <f t="shared" si="20"/>
        <v>2.2749999999999999</v>
      </c>
      <c r="DD97" s="141">
        <f t="shared" si="21"/>
        <v>2.0499999999999997E-2</v>
      </c>
      <c r="DE97" s="141">
        <f t="shared" si="22"/>
        <v>1.075005</v>
      </c>
      <c r="DF97" s="141">
        <f t="shared" si="23"/>
        <v>3.8296874999999999</v>
      </c>
      <c r="DG97" s="141">
        <f t="shared" si="37"/>
        <v>3.5000000000000005E-3</v>
      </c>
      <c r="DH97" s="141">
        <f t="shared" si="24"/>
        <v>0.26860000000000001</v>
      </c>
    </row>
    <row r="98" spans="1:112" s="28" customFormat="1">
      <c r="A98" s="38"/>
      <c r="F98" s="38"/>
      <c r="V98" s="17" t="s">
        <v>269</v>
      </c>
      <c r="W98" s="20" t="s">
        <v>270</v>
      </c>
      <c r="X98" s="15" t="s">
        <v>342</v>
      </c>
      <c r="Y98" s="17">
        <v>0.15733900000000001</v>
      </c>
      <c r="Z98" s="17">
        <v>34.817802</v>
      </c>
      <c r="AA98" s="17" t="s">
        <v>679</v>
      </c>
      <c r="AB98" s="17" t="s">
        <v>334</v>
      </c>
      <c r="AC98" s="6" t="s">
        <v>347</v>
      </c>
      <c r="AD98" s="14" t="s">
        <v>371</v>
      </c>
      <c r="AE98" s="65" t="s">
        <v>687</v>
      </c>
      <c r="AF98" s="17" t="s">
        <v>361</v>
      </c>
      <c r="AG98" s="17" t="s">
        <v>685</v>
      </c>
      <c r="AH98" s="35" t="s">
        <v>690</v>
      </c>
      <c r="AI98" s="24">
        <v>0.94098394190445822</v>
      </c>
      <c r="AJ98" s="73">
        <v>5.53</v>
      </c>
      <c r="AK98" s="24">
        <v>3.6753849999999999</v>
      </c>
      <c r="AL98" s="73">
        <v>13.6</v>
      </c>
      <c r="AM98" s="73">
        <v>0.46</v>
      </c>
      <c r="AN98" s="73">
        <v>4189</v>
      </c>
      <c r="AO98" s="73">
        <v>1681</v>
      </c>
      <c r="AP98" s="73">
        <v>35661</v>
      </c>
      <c r="AQ98" s="73">
        <v>149</v>
      </c>
      <c r="AR98" s="73">
        <v>724</v>
      </c>
      <c r="AS98" s="73">
        <v>6966</v>
      </c>
      <c r="AT98" s="73">
        <v>1134</v>
      </c>
      <c r="AU98" s="73">
        <v>1001.2</v>
      </c>
      <c r="AV98" s="73">
        <v>34.5</v>
      </c>
      <c r="AW98" s="73">
        <v>133.69999999999999</v>
      </c>
      <c r="AX98" s="73">
        <v>242.4</v>
      </c>
      <c r="AY98" s="73">
        <v>17684</v>
      </c>
      <c r="AZ98" s="73">
        <v>16.170999999999999</v>
      </c>
      <c r="BA98" s="73">
        <v>27.95</v>
      </c>
      <c r="BB98" s="73">
        <v>21.14</v>
      </c>
      <c r="BC98" s="73">
        <v>65</v>
      </c>
      <c r="BD98" s="73">
        <v>7.74</v>
      </c>
      <c r="BE98" s="73">
        <v>507.7</v>
      </c>
      <c r="BF98" s="73">
        <v>0.27</v>
      </c>
      <c r="BG98" s="73">
        <v>31.54</v>
      </c>
      <c r="BH98" s="73">
        <v>28.97</v>
      </c>
      <c r="BI98" s="73">
        <v>8.3360000000000003</v>
      </c>
      <c r="BJ98" s="73">
        <v>57.63</v>
      </c>
      <c r="BK98" s="73">
        <v>7.6420000000000003</v>
      </c>
      <c r="BL98" s="73">
        <v>1.84</v>
      </c>
      <c r="BM98" s="73">
        <v>0.84799999999999998</v>
      </c>
      <c r="BN98" s="73">
        <v>0.185</v>
      </c>
      <c r="BO98" s="73">
        <v>0.79</v>
      </c>
      <c r="BP98" s="73">
        <v>1.091</v>
      </c>
      <c r="BQ98" s="73">
        <v>1.4990000000000001</v>
      </c>
      <c r="BR98" s="73">
        <v>219.43</v>
      </c>
      <c r="BS98" s="73">
        <v>24.23</v>
      </c>
      <c r="BT98" s="73">
        <v>43.017000000000003</v>
      </c>
      <c r="BU98" s="73">
        <v>4.6369999999999996</v>
      </c>
      <c r="BV98" s="73">
        <v>16.57</v>
      </c>
      <c r="BW98" s="73">
        <v>2.7229999999999999</v>
      </c>
      <c r="BX98" s="73">
        <v>0.59599999999999997</v>
      </c>
      <c r="BY98" s="73">
        <v>2.0179999999999998</v>
      </c>
      <c r="BZ98" s="73">
        <v>0.29499999999999998</v>
      </c>
      <c r="CA98" s="73">
        <v>1.5640000000000001</v>
      </c>
      <c r="CB98" s="73">
        <v>0.316</v>
      </c>
      <c r="CC98" s="73">
        <v>0.90700000000000003</v>
      </c>
      <c r="CD98" s="73">
        <v>0.13500000000000001</v>
      </c>
      <c r="CE98" s="73">
        <v>0.82399999999999995</v>
      </c>
      <c r="CF98" s="73">
        <v>0.122</v>
      </c>
      <c r="CG98" s="73">
        <v>1.806</v>
      </c>
      <c r="CH98" s="73">
        <v>0.47599999999999998</v>
      </c>
      <c r="CI98" s="73">
        <v>3.6880000000000002</v>
      </c>
      <c r="CJ98" s="73">
        <v>0.25900000000000001</v>
      </c>
      <c r="CK98" s="73">
        <v>28.1</v>
      </c>
      <c r="CL98" s="73">
        <v>1.4</v>
      </c>
      <c r="CM98" s="73">
        <v>7.2320000000000002</v>
      </c>
      <c r="CN98" s="73">
        <v>2.246</v>
      </c>
      <c r="CP98" s="136">
        <f t="shared" si="25"/>
        <v>148.65729855502479</v>
      </c>
      <c r="CQ98" s="136">
        <f t="shared" si="26"/>
        <v>2.9925788774876048</v>
      </c>
      <c r="CR98" s="136">
        <f t="shared" si="27"/>
        <v>115.79071774725203</v>
      </c>
      <c r="CS98" s="136">
        <f t="shared" si="28"/>
        <v>3.2623400986157862</v>
      </c>
      <c r="CT98" s="136">
        <f t="shared" si="29"/>
        <v>4.1857862011885425</v>
      </c>
      <c r="CU98" s="136">
        <f t="shared" si="30"/>
        <v>1.7257068094637065</v>
      </c>
      <c r="CV98" s="136">
        <f t="shared" si="31"/>
        <v>11.490332790371443</v>
      </c>
      <c r="CW98" s="136">
        <f t="shared" si="32"/>
        <v>8.7741215536205086</v>
      </c>
      <c r="CX98" s="136">
        <f t="shared" si="33"/>
        <v>16.718566777209471</v>
      </c>
      <c r="CY98" s="136">
        <f t="shared" si="34"/>
        <v>13.150318496456331</v>
      </c>
      <c r="CZ98" s="136">
        <f t="shared" si="35"/>
        <v>-6.2037898960043583</v>
      </c>
      <c r="DA98" s="136">
        <f t="shared" si="36"/>
        <v>9.552879755311027</v>
      </c>
      <c r="DB98" s="22"/>
      <c r="DC98" s="141">
        <f t="shared" si="20"/>
        <v>42.30833333333333</v>
      </c>
      <c r="DD98" s="141">
        <f t="shared" si="21"/>
        <v>7.0250000000000007E-2</v>
      </c>
      <c r="DE98" s="141">
        <f t="shared" si="22"/>
        <v>3.6753849999999999</v>
      </c>
      <c r="DF98" s="141">
        <f t="shared" si="23"/>
        <v>2.0890624999999998</v>
      </c>
      <c r="DG98" s="141">
        <f t="shared" si="37"/>
        <v>1.8499999999999999E-2</v>
      </c>
      <c r="DH98" s="141">
        <f t="shared" si="24"/>
        <v>0.55899999999999994</v>
      </c>
    </row>
    <row r="99" spans="1:112" s="28" customFormat="1">
      <c r="A99" s="38"/>
      <c r="F99" s="38"/>
      <c r="V99" s="17" t="s">
        <v>271</v>
      </c>
      <c r="W99" s="20" t="s">
        <v>272</v>
      </c>
      <c r="X99" s="15" t="s">
        <v>342</v>
      </c>
      <c r="Y99" s="17">
        <v>0.156809</v>
      </c>
      <c r="Z99" s="17">
        <v>34.818221000000001</v>
      </c>
      <c r="AA99" s="17" t="s">
        <v>679</v>
      </c>
      <c r="AB99" s="17" t="s">
        <v>334</v>
      </c>
      <c r="AC99" s="6" t="s">
        <v>347</v>
      </c>
      <c r="AD99" s="14" t="s">
        <v>371</v>
      </c>
      <c r="AE99" s="65" t="s">
        <v>687</v>
      </c>
      <c r="AF99" s="17" t="s">
        <v>361</v>
      </c>
      <c r="AG99" s="17" t="s">
        <v>685</v>
      </c>
      <c r="AH99" s="35" t="s">
        <v>690</v>
      </c>
      <c r="AI99" s="24">
        <v>3.6641384467473328</v>
      </c>
      <c r="AJ99" s="73">
        <v>4.13</v>
      </c>
      <c r="AK99" s="24">
        <v>0.92200500000000007</v>
      </c>
      <c r="AL99" s="73">
        <v>19</v>
      </c>
      <c r="AM99" s="73">
        <v>1.1100000000000001</v>
      </c>
      <c r="AN99" s="73">
        <v>3102</v>
      </c>
      <c r="AO99" s="73">
        <v>1769</v>
      </c>
      <c r="AP99" s="73">
        <v>59037</v>
      </c>
      <c r="AQ99" s="73">
        <v>272</v>
      </c>
      <c r="AR99" s="73">
        <v>359</v>
      </c>
      <c r="AS99" s="73">
        <v>9936</v>
      </c>
      <c r="AT99" s="73">
        <v>932</v>
      </c>
      <c r="AU99" s="73">
        <v>2041.8</v>
      </c>
      <c r="AV99" s="73">
        <v>52.8</v>
      </c>
      <c r="AW99" s="73">
        <v>80.2</v>
      </c>
      <c r="AX99" s="73">
        <v>374.7</v>
      </c>
      <c r="AY99" s="73">
        <v>25222</v>
      </c>
      <c r="AZ99" s="73">
        <v>13.41</v>
      </c>
      <c r="BA99" s="73">
        <v>24.18</v>
      </c>
      <c r="BB99" s="73">
        <v>20.239999999999998</v>
      </c>
      <c r="BC99" s="73">
        <v>41</v>
      </c>
      <c r="BD99" s="73">
        <v>13.57</v>
      </c>
      <c r="BE99" s="73">
        <v>197.5</v>
      </c>
      <c r="BF99" s="73">
        <v>0.55000000000000004</v>
      </c>
      <c r="BG99" s="73">
        <v>54.14</v>
      </c>
      <c r="BH99" s="73">
        <v>28.87</v>
      </c>
      <c r="BI99" s="73">
        <v>9.8780000000000001</v>
      </c>
      <c r="BJ99" s="73">
        <v>145.99</v>
      </c>
      <c r="BK99" s="73">
        <v>28.879000000000001</v>
      </c>
      <c r="BL99" s="73">
        <v>2.62</v>
      </c>
      <c r="BM99" s="73">
        <v>0.80800000000000005</v>
      </c>
      <c r="BN99" s="73">
        <v>8.7999999999999995E-2</v>
      </c>
      <c r="BO99" s="73">
        <v>1.99</v>
      </c>
      <c r="BP99" s="73">
        <v>1.302</v>
      </c>
      <c r="BQ99" s="73">
        <v>2.4580000000000002</v>
      </c>
      <c r="BR99" s="73">
        <v>295.37</v>
      </c>
      <c r="BS99" s="73">
        <v>26.274000000000001</v>
      </c>
      <c r="BT99" s="73">
        <v>80.394000000000005</v>
      </c>
      <c r="BU99" s="73">
        <v>4.8090000000000002</v>
      </c>
      <c r="BV99" s="73">
        <v>16.63</v>
      </c>
      <c r="BW99" s="73">
        <v>2.9870000000000001</v>
      </c>
      <c r="BX99" s="73">
        <v>0.59899999999999998</v>
      </c>
      <c r="BY99" s="73">
        <v>2.2069999999999999</v>
      </c>
      <c r="BZ99" s="73">
        <v>0.35599999999999998</v>
      </c>
      <c r="CA99" s="73">
        <v>1.9359999999999999</v>
      </c>
      <c r="CB99" s="73">
        <v>0.41099999999999998</v>
      </c>
      <c r="CC99" s="73">
        <v>1.157</v>
      </c>
      <c r="CD99" s="73">
        <v>0.183</v>
      </c>
      <c r="CE99" s="73">
        <v>1.159</v>
      </c>
      <c r="CF99" s="73">
        <v>0.17699999999999999</v>
      </c>
      <c r="CG99" s="73">
        <v>4.2759999999999998</v>
      </c>
      <c r="CH99" s="73">
        <v>1.6879999999999999</v>
      </c>
      <c r="CI99" s="73">
        <v>3.24</v>
      </c>
      <c r="CJ99" s="73">
        <v>0.42299999999999999</v>
      </c>
      <c r="CK99" s="73">
        <v>36.4</v>
      </c>
      <c r="CL99" s="73">
        <v>1.92</v>
      </c>
      <c r="CM99" s="73">
        <v>13.189</v>
      </c>
      <c r="CN99" s="73">
        <v>3.1309999999999998</v>
      </c>
      <c r="CP99" s="136">
        <f t="shared" si="25"/>
        <v>40.545919878537411</v>
      </c>
      <c r="CQ99" s="136">
        <f t="shared" si="26"/>
        <v>2.7179512001038821</v>
      </c>
      <c r="CR99" s="136">
        <f t="shared" si="27"/>
        <v>20.365973227988626</v>
      </c>
      <c r="CS99" s="136">
        <f t="shared" si="28"/>
        <v>1.3720602423032491</v>
      </c>
      <c r="CT99" s="136">
        <f t="shared" si="29"/>
        <v>1.3960114186028072</v>
      </c>
      <c r="CU99" s="136">
        <f t="shared" si="30"/>
        <v>1.0467488247896264</v>
      </c>
      <c r="CV99" s="136">
        <f t="shared" si="31"/>
        <v>10.128209183593649</v>
      </c>
      <c r="CW99" s="136">
        <f t="shared" si="32"/>
        <v>9.1474898735982784</v>
      </c>
      <c r="CX99" s="136">
        <f t="shared" si="33"/>
        <v>14.723517875168126</v>
      </c>
      <c r="CY99" s="136">
        <f t="shared" si="34"/>
        <v>12.412993172817899</v>
      </c>
      <c r="CZ99" s="136">
        <f t="shared" si="35"/>
        <v>-7.2757397378833737</v>
      </c>
      <c r="DA99" s="136">
        <f t="shared" si="36"/>
        <v>9.3438457168295983</v>
      </c>
      <c r="DB99" s="22"/>
      <c r="DC99" s="141">
        <f t="shared" si="20"/>
        <v>16.458333333333332</v>
      </c>
      <c r="DD99" s="141">
        <f t="shared" si="21"/>
        <v>9.0999999999999998E-2</v>
      </c>
      <c r="DE99" s="141">
        <f t="shared" si="22"/>
        <v>0.92200500000000007</v>
      </c>
      <c r="DF99" s="141">
        <f t="shared" si="23"/>
        <v>1.253125</v>
      </c>
      <c r="DG99" s="141">
        <f t="shared" si="37"/>
        <v>8.7999999999999988E-3</v>
      </c>
      <c r="DH99" s="141">
        <f t="shared" si="24"/>
        <v>0.48359999999999997</v>
      </c>
    </row>
    <row r="100" spans="1:112" s="28" customFormat="1">
      <c r="A100" s="38"/>
      <c r="F100" s="38"/>
      <c r="V100" s="17" t="s">
        <v>273</v>
      </c>
      <c r="W100" s="20" t="s">
        <v>274</v>
      </c>
      <c r="X100" s="15" t="s">
        <v>342</v>
      </c>
      <c r="Y100" s="17">
        <v>0.156809</v>
      </c>
      <c r="Z100" s="17">
        <v>34.818221000000001</v>
      </c>
      <c r="AA100" s="17" t="s">
        <v>679</v>
      </c>
      <c r="AB100" s="17" t="s">
        <v>334</v>
      </c>
      <c r="AC100" s="6" t="s">
        <v>347</v>
      </c>
      <c r="AD100" s="14" t="s">
        <v>371</v>
      </c>
      <c r="AE100" s="65" t="s">
        <v>687</v>
      </c>
      <c r="AF100" s="17" t="s">
        <v>365</v>
      </c>
      <c r="AG100" s="17" t="s">
        <v>685</v>
      </c>
      <c r="AH100" s="35" t="s">
        <v>691</v>
      </c>
      <c r="AI100" s="24">
        <v>0.34186535764389564</v>
      </c>
      <c r="AJ100" s="73">
        <v>6.63</v>
      </c>
      <c r="AK100" s="24">
        <v>0.257525</v>
      </c>
      <c r="AL100" s="73">
        <v>12.7</v>
      </c>
      <c r="AM100" s="73">
        <v>0.56999999999999995</v>
      </c>
      <c r="AN100" s="73">
        <v>1914</v>
      </c>
      <c r="AO100" s="73">
        <v>2805</v>
      </c>
      <c r="AP100" s="73">
        <v>21359</v>
      </c>
      <c r="AQ100" s="73">
        <v>84</v>
      </c>
      <c r="AR100" s="73">
        <v>4252</v>
      </c>
      <c r="AS100" s="73">
        <v>9443</v>
      </c>
      <c r="AT100" s="73">
        <v>1724</v>
      </c>
      <c r="AU100" s="73">
        <v>635.20000000000005</v>
      </c>
      <c r="AV100" s="73">
        <v>24.7</v>
      </c>
      <c r="AW100" s="73">
        <v>170.1</v>
      </c>
      <c r="AX100" s="73">
        <v>102.6</v>
      </c>
      <c r="AY100" s="73">
        <v>11244</v>
      </c>
      <c r="AZ100" s="73">
        <v>5.9960000000000004</v>
      </c>
      <c r="BA100" s="73">
        <v>17.170000000000002</v>
      </c>
      <c r="BB100" s="73">
        <v>13.39</v>
      </c>
      <c r="BC100" s="73">
        <v>35</v>
      </c>
      <c r="BD100" s="73">
        <v>5.27</v>
      </c>
      <c r="BE100" s="73">
        <v>1283.7</v>
      </c>
      <c r="BF100" s="73">
        <v>0.24</v>
      </c>
      <c r="BG100" s="73">
        <v>36.72</v>
      </c>
      <c r="BH100" s="73">
        <v>25.42</v>
      </c>
      <c r="BI100" s="73">
        <v>3.661</v>
      </c>
      <c r="BJ100" s="73">
        <v>25.34</v>
      </c>
      <c r="BK100" s="73">
        <v>1.3480000000000001</v>
      </c>
      <c r="BL100" s="73">
        <v>0.87</v>
      </c>
      <c r="BM100" s="73">
        <v>0.82899999999999996</v>
      </c>
      <c r="BN100" s="73">
        <v>0.17199999999999999</v>
      </c>
      <c r="BO100" s="73">
        <v>0.46</v>
      </c>
      <c r="BP100" s="73">
        <v>2.0960000000000001</v>
      </c>
      <c r="BQ100" s="73">
        <v>1.429</v>
      </c>
      <c r="BR100" s="73">
        <v>221.85</v>
      </c>
      <c r="BS100" s="73">
        <v>9.968</v>
      </c>
      <c r="BT100" s="73">
        <v>18.247</v>
      </c>
      <c r="BU100" s="73">
        <v>1.9890000000000001</v>
      </c>
      <c r="BV100" s="73">
        <v>7.3</v>
      </c>
      <c r="BW100" s="73">
        <v>1.2609999999999999</v>
      </c>
      <c r="BX100" s="73">
        <v>0.28799999999999998</v>
      </c>
      <c r="BY100" s="73">
        <v>0.86799999999999999</v>
      </c>
      <c r="BZ100" s="73">
        <v>0.126</v>
      </c>
      <c r="CA100" s="73">
        <v>0.68500000000000005</v>
      </c>
      <c r="CB100" s="73">
        <v>0.13300000000000001</v>
      </c>
      <c r="CC100" s="73">
        <v>0.38300000000000001</v>
      </c>
      <c r="CD100" s="73">
        <v>5.2999999999999999E-2</v>
      </c>
      <c r="CE100" s="73">
        <v>0.374</v>
      </c>
      <c r="CF100" s="73">
        <v>5.8999999999999997E-2</v>
      </c>
      <c r="CG100" s="73">
        <v>0.80500000000000005</v>
      </c>
      <c r="CH100" s="73">
        <v>0.111</v>
      </c>
      <c r="CI100" s="73">
        <v>4.2050000000000001</v>
      </c>
      <c r="CJ100" s="73">
        <v>0.25800000000000001</v>
      </c>
      <c r="CK100" s="73">
        <v>40.5</v>
      </c>
      <c r="CL100" s="73">
        <v>1.4</v>
      </c>
      <c r="CM100" s="73">
        <v>3.4990000000000001</v>
      </c>
      <c r="CN100" s="73">
        <v>1.1020000000000001</v>
      </c>
      <c r="CP100" s="136">
        <f t="shared" si="25"/>
        <v>591.15624725343719</v>
      </c>
      <c r="CQ100" s="136">
        <f t="shared" si="26"/>
        <v>6.783502335177821</v>
      </c>
      <c r="CR100" s="136">
        <f t="shared" si="27"/>
        <v>12.759979380001262</v>
      </c>
      <c r="CS100" s="136">
        <f t="shared" si="28"/>
        <v>6.5277243941867038</v>
      </c>
      <c r="CT100" s="136">
        <f t="shared" si="29"/>
        <v>6.1205919924970091</v>
      </c>
      <c r="CU100" s="136">
        <f t="shared" si="30"/>
        <v>1.6673054317742584</v>
      </c>
      <c r="CV100" s="136">
        <f t="shared" si="31"/>
        <v>12.828592709986467</v>
      </c>
      <c r="CW100" s="136">
        <f t="shared" si="32"/>
        <v>9.3014733311715698</v>
      </c>
      <c r="CX100" s="136">
        <f t="shared" si="33"/>
        <v>12.883455793785512</v>
      </c>
      <c r="CY100" s="136">
        <f t="shared" si="34"/>
        <v>13.497702172026361</v>
      </c>
      <c r="CZ100" s="136">
        <f t="shared" si="35"/>
        <v>-6.3089066018185722</v>
      </c>
      <c r="DA100" s="136">
        <f t="shared" si="36"/>
        <v>8.8499215115826093</v>
      </c>
      <c r="DB100" s="22"/>
      <c r="DC100" s="141">
        <f t="shared" si="20"/>
        <v>106.97500000000001</v>
      </c>
      <c r="DD100" s="141">
        <f t="shared" si="21"/>
        <v>0.10125000000000001</v>
      </c>
      <c r="DE100" s="141">
        <f t="shared" si="22"/>
        <v>0.257525</v>
      </c>
      <c r="DF100" s="141">
        <f t="shared" si="23"/>
        <v>2.6578124999999999</v>
      </c>
      <c r="DG100" s="141">
        <f>BN100/1.4</f>
        <v>0.12285714285714286</v>
      </c>
      <c r="DH100" s="141">
        <f t="shared" si="24"/>
        <v>0.34340000000000004</v>
      </c>
    </row>
    <row r="101" spans="1:112" s="28" customFormat="1">
      <c r="A101" s="38"/>
      <c r="F101" s="38"/>
      <c r="V101" s="17" t="s">
        <v>275</v>
      </c>
      <c r="W101" s="20" t="s">
        <v>276</v>
      </c>
      <c r="X101" s="15" t="s">
        <v>342</v>
      </c>
      <c r="Y101" s="17">
        <v>0.156809</v>
      </c>
      <c r="Z101" s="17">
        <v>34.818221000000001</v>
      </c>
      <c r="AA101" s="17" t="s">
        <v>679</v>
      </c>
      <c r="AB101" s="17" t="s">
        <v>334</v>
      </c>
      <c r="AC101" s="6" t="s">
        <v>347</v>
      </c>
      <c r="AD101" s="14" t="s">
        <v>371</v>
      </c>
      <c r="AE101" s="65" t="s">
        <v>687</v>
      </c>
      <c r="AF101" s="17" t="s">
        <v>364</v>
      </c>
      <c r="AG101" s="17" t="s">
        <v>685</v>
      </c>
      <c r="AH101" s="35" t="s">
        <v>690</v>
      </c>
      <c r="AI101" s="24">
        <v>0.30465385019438396</v>
      </c>
      <c r="AJ101" s="73">
        <v>4.8600000000000003</v>
      </c>
      <c r="AK101" s="24">
        <v>0.136435</v>
      </c>
      <c r="AL101" s="73">
        <v>6.3</v>
      </c>
      <c r="AM101" s="73">
        <v>0.43</v>
      </c>
      <c r="AN101" s="73">
        <v>142</v>
      </c>
      <c r="AO101" s="73">
        <v>598</v>
      </c>
      <c r="AP101" s="73">
        <v>16342</v>
      </c>
      <c r="AQ101" s="73">
        <v>71</v>
      </c>
      <c r="AR101" s="73">
        <v>21</v>
      </c>
      <c r="AS101" s="73">
        <v>4472</v>
      </c>
      <c r="AT101" s="73" t="s">
        <v>125</v>
      </c>
      <c r="AU101" s="73">
        <v>437.5</v>
      </c>
      <c r="AV101" s="73">
        <v>21.3</v>
      </c>
      <c r="AW101" s="73">
        <v>103.2</v>
      </c>
      <c r="AX101" s="73">
        <v>48.6</v>
      </c>
      <c r="AY101" s="73">
        <v>11850</v>
      </c>
      <c r="AZ101" s="73">
        <v>1.78</v>
      </c>
      <c r="BA101" s="73">
        <v>5.39</v>
      </c>
      <c r="BB101" s="73">
        <v>5.66</v>
      </c>
      <c r="BC101" s="73">
        <v>29</v>
      </c>
      <c r="BD101" s="73">
        <v>4.47</v>
      </c>
      <c r="BE101" s="73">
        <v>56.7</v>
      </c>
      <c r="BF101" s="73">
        <v>0.38</v>
      </c>
      <c r="BG101" s="73">
        <v>17.61</v>
      </c>
      <c r="BH101" s="73">
        <v>5.2</v>
      </c>
      <c r="BI101" s="73">
        <v>1.9079999999999999</v>
      </c>
      <c r="BJ101" s="73">
        <v>34.479999999999997</v>
      </c>
      <c r="BK101" s="73">
        <v>4.202</v>
      </c>
      <c r="BL101" s="73">
        <v>1.23</v>
      </c>
      <c r="BM101" s="73">
        <v>0.14299999999999999</v>
      </c>
      <c r="BN101" s="73">
        <v>1.2E-2</v>
      </c>
      <c r="BO101" s="73">
        <v>0.37</v>
      </c>
      <c r="BP101" s="73">
        <v>0.873</v>
      </c>
      <c r="BQ101" s="73">
        <v>0.70399999999999996</v>
      </c>
      <c r="BR101" s="73">
        <v>151.16999999999999</v>
      </c>
      <c r="BS101" s="73">
        <v>4.617</v>
      </c>
      <c r="BT101" s="73">
        <v>17.919</v>
      </c>
      <c r="BU101" s="73">
        <v>0.92200000000000004</v>
      </c>
      <c r="BV101" s="73">
        <v>3.31</v>
      </c>
      <c r="BW101" s="73">
        <v>0.622</v>
      </c>
      <c r="BX101" s="73">
        <v>0.13700000000000001</v>
      </c>
      <c r="BY101" s="73">
        <v>0.45800000000000002</v>
      </c>
      <c r="BZ101" s="73">
        <v>7.8E-2</v>
      </c>
      <c r="CA101" s="73">
        <v>0.41799999999999998</v>
      </c>
      <c r="CB101" s="73">
        <v>8.7999999999999995E-2</v>
      </c>
      <c r="CC101" s="73">
        <v>0.24</v>
      </c>
      <c r="CD101" s="73">
        <v>3.9E-2</v>
      </c>
      <c r="CE101" s="73">
        <v>0.27600000000000002</v>
      </c>
      <c r="CF101" s="73">
        <v>4.2000000000000003E-2</v>
      </c>
      <c r="CG101" s="73">
        <v>0.92900000000000005</v>
      </c>
      <c r="CH101" s="73">
        <v>0.23</v>
      </c>
      <c r="CI101" s="73">
        <v>1.1379999999999999</v>
      </c>
      <c r="CJ101" s="73">
        <v>0.113</v>
      </c>
      <c r="CK101" s="73">
        <v>10.8</v>
      </c>
      <c r="CL101" s="73">
        <v>1.89</v>
      </c>
      <c r="CM101" s="73">
        <v>3.0649999999999999</v>
      </c>
      <c r="CN101" s="73">
        <v>0.80800000000000005</v>
      </c>
      <c r="CP101" s="136">
        <f t="shared" si="25"/>
        <v>24.775606105733434</v>
      </c>
      <c r="CQ101" s="136">
        <f t="shared" si="26"/>
        <v>1.7164264474090445</v>
      </c>
      <c r="CR101" s="136">
        <f t="shared" si="27"/>
        <v>6.4144416453025688</v>
      </c>
      <c r="CS101" s="136">
        <f t="shared" si="28"/>
        <v>3.7578520724745599</v>
      </c>
      <c r="CT101" s="136">
        <f t="shared" si="29"/>
        <v>0.40518066743383202</v>
      </c>
      <c r="CU101" s="136">
        <f t="shared" si="30"/>
        <v>0.49663362631588304</v>
      </c>
      <c r="CV101" s="136">
        <f t="shared" si="31"/>
        <v>8.3277771705840493</v>
      </c>
      <c r="CW101" s="136">
        <f t="shared" si="32"/>
        <v>7.394582735563052</v>
      </c>
      <c r="CX101" s="136">
        <f t="shared" si="33"/>
        <v>11.966957090692706</v>
      </c>
      <c r="CY101" s="136">
        <f t="shared" si="34"/>
        <v>12.776762001786231</v>
      </c>
      <c r="CZ101" s="136">
        <f t="shared" si="35"/>
        <v>-10.150208855799514</v>
      </c>
      <c r="DA101" s="136">
        <f t="shared" si="36"/>
        <v>7.1783886503329803</v>
      </c>
      <c r="DB101" s="22"/>
      <c r="DC101" s="141">
        <f t="shared" si="20"/>
        <v>4.7250000000000005</v>
      </c>
      <c r="DD101" s="141">
        <f t="shared" si="21"/>
        <v>2.7000000000000003E-2</v>
      </c>
      <c r="DE101" s="141">
        <f t="shared" si="22"/>
        <v>0.136435</v>
      </c>
      <c r="DF101" s="141">
        <f t="shared" si="23"/>
        <v>1.6125</v>
      </c>
      <c r="DG101" s="141">
        <f t="shared" si="37"/>
        <v>1.2000000000000001E-3</v>
      </c>
      <c r="DH101" s="141">
        <f t="shared" si="24"/>
        <v>0.10779999999999999</v>
      </c>
    </row>
    <row r="102" spans="1:112" s="28" customFormat="1">
      <c r="A102" s="38"/>
      <c r="F102" s="38"/>
      <c r="V102" s="17" t="s">
        <v>277</v>
      </c>
      <c r="W102" s="20" t="s">
        <v>278</v>
      </c>
      <c r="X102" s="15" t="s">
        <v>342</v>
      </c>
      <c r="Y102" s="17">
        <v>0.156392</v>
      </c>
      <c r="Z102" s="17">
        <v>34.817486000000002</v>
      </c>
      <c r="AA102" s="17" t="s">
        <v>679</v>
      </c>
      <c r="AB102" s="17" t="s">
        <v>334</v>
      </c>
      <c r="AC102" s="6" t="s">
        <v>347</v>
      </c>
      <c r="AD102" s="14" t="s">
        <v>371</v>
      </c>
      <c r="AE102" s="65" t="s">
        <v>687</v>
      </c>
      <c r="AF102" s="17" t="s">
        <v>367</v>
      </c>
      <c r="AG102" s="17" t="s">
        <v>684</v>
      </c>
      <c r="AH102" s="35" t="s">
        <v>683</v>
      </c>
      <c r="AI102" s="24">
        <v>3.7173957691518664</v>
      </c>
      <c r="AJ102" s="73">
        <v>4.3</v>
      </c>
      <c r="AK102" s="24">
        <v>0.22564500000000001</v>
      </c>
      <c r="AL102" s="73">
        <v>24.4</v>
      </c>
      <c r="AM102" s="73">
        <v>0.84</v>
      </c>
      <c r="AN102" s="73">
        <v>2350</v>
      </c>
      <c r="AO102" s="73">
        <v>1140</v>
      </c>
      <c r="AP102" s="73">
        <v>82531</v>
      </c>
      <c r="AQ102" s="73">
        <v>518</v>
      </c>
      <c r="AR102" s="73">
        <v>181</v>
      </c>
      <c r="AS102" s="73">
        <v>8912</v>
      </c>
      <c r="AT102" s="73">
        <v>1500</v>
      </c>
      <c r="AU102" s="73">
        <v>2880.9</v>
      </c>
      <c r="AV102" s="73">
        <v>89.8</v>
      </c>
      <c r="AW102" s="73">
        <v>115.1</v>
      </c>
      <c r="AX102" s="73">
        <v>1173.9000000000001</v>
      </c>
      <c r="AY102" s="73">
        <v>37218</v>
      </c>
      <c r="AZ102" s="73">
        <v>25.055</v>
      </c>
      <c r="BA102" s="73">
        <v>36.33</v>
      </c>
      <c r="BB102" s="73">
        <v>25.01</v>
      </c>
      <c r="BC102" s="73">
        <v>59</v>
      </c>
      <c r="BD102" s="73">
        <v>18.93</v>
      </c>
      <c r="BE102" s="73">
        <v>15.7</v>
      </c>
      <c r="BF102" s="73">
        <v>0.74</v>
      </c>
      <c r="BG102" s="73">
        <v>69.66</v>
      </c>
      <c r="BH102" s="73">
        <v>47.16</v>
      </c>
      <c r="BI102" s="73">
        <v>16.100000000000001</v>
      </c>
      <c r="BJ102" s="73">
        <v>271.88</v>
      </c>
      <c r="BK102" s="73">
        <v>58.203000000000003</v>
      </c>
      <c r="BL102" s="73">
        <v>3.18</v>
      </c>
      <c r="BM102" s="73">
        <v>0.10100000000000001</v>
      </c>
      <c r="BN102" s="73">
        <v>5.6000000000000001E-2</v>
      </c>
      <c r="BO102" s="73">
        <v>2.77</v>
      </c>
      <c r="BP102" s="73">
        <v>0.45900000000000002</v>
      </c>
      <c r="BQ102" s="73">
        <v>3.0649999999999999</v>
      </c>
      <c r="BR102" s="73">
        <v>246.6</v>
      </c>
      <c r="BS102" s="73">
        <v>30.812000000000001</v>
      </c>
      <c r="BT102" s="73">
        <v>117.114</v>
      </c>
      <c r="BU102" s="73">
        <v>6.3780000000000001</v>
      </c>
      <c r="BV102" s="73">
        <v>24.02</v>
      </c>
      <c r="BW102" s="73">
        <v>4.5270000000000001</v>
      </c>
      <c r="BX102" s="73">
        <v>0.85799999999999998</v>
      </c>
      <c r="BY102" s="73">
        <v>3.5590000000000002</v>
      </c>
      <c r="BZ102" s="73">
        <v>0.57999999999999996</v>
      </c>
      <c r="CA102" s="73">
        <v>3.3420000000000001</v>
      </c>
      <c r="CB102" s="73">
        <v>0.68</v>
      </c>
      <c r="CC102" s="73">
        <v>1.9419999999999999</v>
      </c>
      <c r="CD102" s="73">
        <v>0.30199999999999999</v>
      </c>
      <c r="CE102" s="73">
        <v>1.948</v>
      </c>
      <c r="CF102" s="73">
        <v>0.30099999999999999</v>
      </c>
      <c r="CG102" s="73">
        <v>7.0679999999999996</v>
      </c>
      <c r="CH102" s="73">
        <v>3.2730000000000001</v>
      </c>
      <c r="CI102" s="73">
        <v>1.7989999999999999</v>
      </c>
      <c r="CJ102" s="73">
        <v>0.53600000000000003</v>
      </c>
      <c r="CK102" s="73">
        <v>24.4</v>
      </c>
      <c r="CL102" s="73">
        <v>0.28999999999999998</v>
      </c>
      <c r="CM102" s="73">
        <v>13.194000000000001</v>
      </c>
      <c r="CN102" s="73">
        <v>3.2810000000000001</v>
      </c>
      <c r="CP102" s="136">
        <f t="shared" si="25"/>
        <v>2.1842693921031251</v>
      </c>
      <c r="CQ102" s="136">
        <f t="shared" si="26"/>
        <v>1.234686180830092</v>
      </c>
      <c r="CR102" s="136">
        <f t="shared" si="27"/>
        <v>3.3777235099084355</v>
      </c>
      <c r="CS102" s="136">
        <f t="shared" si="28"/>
        <v>1.3344448356213892</v>
      </c>
      <c r="CT102" s="136">
        <f t="shared" si="29"/>
        <v>0.60203371780028236</v>
      </c>
      <c r="CU102" s="136">
        <f t="shared" si="30"/>
        <v>1.0658057848306288</v>
      </c>
      <c r="CV102" s="136">
        <f t="shared" si="31"/>
        <v>6.4751929945334483</v>
      </c>
      <c r="CW102" s="136">
        <f t="shared" si="32"/>
        <v>8.5704325709624687</v>
      </c>
      <c r="CX102" s="136">
        <f t="shared" si="33"/>
        <v>12.692798111466002</v>
      </c>
      <c r="CY102" s="136">
        <f t="shared" si="34"/>
        <v>12.934206864495208</v>
      </c>
      <c r="CZ102" s="136">
        <f t="shared" si="35"/>
        <v>-7.9278164344630664</v>
      </c>
      <c r="DA102" s="136">
        <f t="shared" si="36"/>
        <v>9.93119283799596</v>
      </c>
      <c r="DB102" s="22"/>
      <c r="DC102" s="141">
        <f t="shared" si="20"/>
        <v>1.3083333333333333</v>
      </c>
      <c r="DD102" s="141">
        <f t="shared" si="21"/>
        <v>6.0999999999999999E-2</v>
      </c>
      <c r="DE102" s="141">
        <f t="shared" si="22"/>
        <v>0.22564500000000001</v>
      </c>
      <c r="DF102" s="141">
        <f t="shared" si="23"/>
        <v>1.7984374999999999</v>
      </c>
      <c r="DG102" s="141">
        <f t="shared" si="37"/>
        <v>5.5999999999999999E-3</v>
      </c>
      <c r="DH102" s="141">
        <f t="shared" si="24"/>
        <v>0.72659999999999991</v>
      </c>
    </row>
    <row r="103" spans="1:112" s="28" customFormat="1">
      <c r="A103" s="38"/>
      <c r="F103" s="38"/>
      <c r="V103" s="17" t="s">
        <v>279</v>
      </c>
      <c r="W103" s="20" t="s">
        <v>280</v>
      </c>
      <c r="X103" s="15" t="s">
        <v>342</v>
      </c>
      <c r="Y103" s="17">
        <v>0.156392</v>
      </c>
      <c r="Z103" s="17">
        <v>34.817486000000002</v>
      </c>
      <c r="AA103" s="17" t="s">
        <v>679</v>
      </c>
      <c r="AB103" s="17" t="s">
        <v>334</v>
      </c>
      <c r="AC103" s="6" t="s">
        <v>347</v>
      </c>
      <c r="AD103" s="14" t="s">
        <v>371</v>
      </c>
      <c r="AE103" s="65" t="s">
        <v>687</v>
      </c>
      <c r="AF103" s="17" t="s">
        <v>361</v>
      </c>
      <c r="AG103" s="17" t="s">
        <v>685</v>
      </c>
      <c r="AH103" s="35" t="s">
        <v>690</v>
      </c>
      <c r="AI103" s="24">
        <v>1.350997995293248</v>
      </c>
      <c r="AJ103" s="73">
        <v>7.49</v>
      </c>
      <c r="AK103" s="24">
        <v>4.1999950000000004</v>
      </c>
      <c r="AL103" s="73">
        <v>19.7</v>
      </c>
      <c r="AM103" s="73">
        <v>0.92</v>
      </c>
      <c r="AN103" s="73">
        <v>7783</v>
      </c>
      <c r="AO103" s="73">
        <v>3398</v>
      </c>
      <c r="AP103" s="73">
        <v>43282</v>
      </c>
      <c r="AQ103" s="73">
        <v>179</v>
      </c>
      <c r="AR103" s="73">
        <v>4266</v>
      </c>
      <c r="AS103" s="73">
        <v>14776</v>
      </c>
      <c r="AT103" s="73">
        <v>5324</v>
      </c>
      <c r="AU103" s="73">
        <v>1228.8</v>
      </c>
      <c r="AV103" s="73">
        <v>32.700000000000003</v>
      </c>
      <c r="AW103" s="73">
        <v>190.4</v>
      </c>
      <c r="AX103" s="73">
        <v>219.9</v>
      </c>
      <c r="AY103" s="73">
        <v>16395</v>
      </c>
      <c r="AZ103" s="73">
        <v>7.8890000000000002</v>
      </c>
      <c r="BA103" s="73">
        <v>16.37</v>
      </c>
      <c r="BB103" s="73">
        <v>18.23</v>
      </c>
      <c r="BC103" s="73">
        <v>62</v>
      </c>
      <c r="BD103" s="73">
        <v>9.93</v>
      </c>
      <c r="BE103" s="73">
        <v>1662.2</v>
      </c>
      <c r="BF103" s="73">
        <v>0.26</v>
      </c>
      <c r="BG103" s="73">
        <v>59.83</v>
      </c>
      <c r="BH103" s="73">
        <v>64.97</v>
      </c>
      <c r="BI103" s="73">
        <v>8.4169999999999998</v>
      </c>
      <c r="BJ103" s="73">
        <v>73.849999999999994</v>
      </c>
      <c r="BK103" s="73">
        <v>8.9749999999999996</v>
      </c>
      <c r="BL103" s="73">
        <v>1.98</v>
      </c>
      <c r="BM103" s="73">
        <v>1.3440000000000001</v>
      </c>
      <c r="BN103" s="73">
        <v>0.219</v>
      </c>
      <c r="BO103" s="73">
        <v>1.0900000000000001</v>
      </c>
      <c r="BP103" s="73">
        <v>2.6429999999999998</v>
      </c>
      <c r="BQ103" s="73">
        <v>2.601</v>
      </c>
      <c r="BR103" s="73">
        <v>354.38</v>
      </c>
      <c r="BS103" s="73">
        <v>29.698</v>
      </c>
      <c r="BT103" s="73">
        <v>58.156999999999996</v>
      </c>
      <c r="BU103" s="73">
        <v>5.6920000000000002</v>
      </c>
      <c r="BV103" s="73">
        <v>19.86</v>
      </c>
      <c r="BW103" s="73">
        <v>3.0720000000000001</v>
      </c>
      <c r="BX103" s="73">
        <v>0.621</v>
      </c>
      <c r="BY103" s="73">
        <v>2.1659999999999999</v>
      </c>
      <c r="BZ103" s="73">
        <v>0.30599999999999999</v>
      </c>
      <c r="CA103" s="73">
        <v>1.6240000000000001</v>
      </c>
      <c r="CB103" s="73">
        <v>0.32700000000000001</v>
      </c>
      <c r="CC103" s="73">
        <v>0.88600000000000001</v>
      </c>
      <c r="CD103" s="73">
        <v>0.14000000000000001</v>
      </c>
      <c r="CE103" s="73">
        <v>0.877</v>
      </c>
      <c r="CF103" s="73">
        <v>0.13700000000000001</v>
      </c>
      <c r="CG103" s="73">
        <v>2.3029999999999999</v>
      </c>
      <c r="CH103" s="73">
        <v>0.58099999999999996</v>
      </c>
      <c r="CI103" s="73">
        <v>5.1379999999999999</v>
      </c>
      <c r="CJ103" s="73">
        <v>0.39700000000000002</v>
      </c>
      <c r="CK103" s="73">
        <v>63.9</v>
      </c>
      <c r="CL103" s="73">
        <v>1.28</v>
      </c>
      <c r="CM103" s="73">
        <v>10.42</v>
      </c>
      <c r="CN103" s="73">
        <v>2.77</v>
      </c>
      <c r="CP103" s="136">
        <f t="shared" si="25"/>
        <v>524.96631361785342</v>
      </c>
      <c r="CQ103" s="136">
        <f t="shared" si="26"/>
        <v>7.3402225857863153</v>
      </c>
      <c r="CR103" s="136">
        <f t="shared" si="27"/>
        <v>142.72129117494916</v>
      </c>
      <c r="CS103" s="136">
        <f t="shared" si="28"/>
        <v>5.0111090779709269</v>
      </c>
      <c r="CT103" s="136">
        <f t="shared" si="29"/>
        <v>5.3446406886800304</v>
      </c>
      <c r="CU103" s="136">
        <f t="shared" si="30"/>
        <v>1.0901919357973568</v>
      </c>
      <c r="CV103" s="136">
        <f t="shared" si="31"/>
        <v>13.201378606366086</v>
      </c>
      <c r="CW103" s="136">
        <f t="shared" si="32"/>
        <v>9.9593673543465773</v>
      </c>
      <c r="CX103" s="136">
        <f t="shared" si="33"/>
        <v>16.91105900609255</v>
      </c>
      <c r="CY103" s="136">
        <f t="shared" si="34"/>
        <v>13.66035250967092</v>
      </c>
      <c r="CZ103" s="136">
        <f t="shared" si="35"/>
        <v>-5.9603842969194973</v>
      </c>
      <c r="DA103" s="136">
        <f t="shared" si="36"/>
        <v>8.7810857940546274</v>
      </c>
      <c r="DB103" s="22"/>
      <c r="DC103" s="141">
        <f t="shared" si="20"/>
        <v>138.51666666666668</v>
      </c>
      <c r="DD103" s="141">
        <f t="shared" si="21"/>
        <v>0.15975</v>
      </c>
      <c r="DE103" s="141">
        <f t="shared" si="22"/>
        <v>4.1999950000000004</v>
      </c>
      <c r="DF103" s="141">
        <f t="shared" si="23"/>
        <v>2.9750000000000001</v>
      </c>
      <c r="DG103" s="141">
        <f t="shared" si="37"/>
        <v>2.1899999999999999E-2</v>
      </c>
      <c r="DH103" s="141">
        <f t="shared" si="24"/>
        <v>0.32740000000000002</v>
      </c>
    </row>
    <row r="104" spans="1:112" s="28" customFormat="1">
      <c r="A104" s="38"/>
      <c r="F104" s="38"/>
      <c r="V104" s="17" t="s">
        <v>281</v>
      </c>
      <c r="W104" s="20" t="s">
        <v>282</v>
      </c>
      <c r="X104" s="15" t="s">
        <v>342</v>
      </c>
      <c r="Y104" s="17">
        <v>0.156392</v>
      </c>
      <c r="Z104" s="17">
        <v>34.817486000000002</v>
      </c>
      <c r="AA104" s="17" t="s">
        <v>679</v>
      </c>
      <c r="AB104" s="17" t="s">
        <v>334</v>
      </c>
      <c r="AC104" s="6" t="s">
        <v>347</v>
      </c>
      <c r="AD104" s="14" t="s">
        <v>371</v>
      </c>
      <c r="AE104" s="65" t="s">
        <v>687</v>
      </c>
      <c r="AF104" s="17" t="s">
        <v>365</v>
      </c>
      <c r="AG104" s="17" t="s">
        <v>685</v>
      </c>
      <c r="AH104" s="35" t="s">
        <v>691</v>
      </c>
      <c r="AI104" s="24">
        <v>0.38260169150239587</v>
      </c>
      <c r="AJ104" s="73">
        <v>7.62</v>
      </c>
      <c r="AK104" s="24">
        <v>3.6206849999999999</v>
      </c>
      <c r="AL104" s="73">
        <v>13.9</v>
      </c>
      <c r="AM104" s="73">
        <v>0.55000000000000004</v>
      </c>
      <c r="AN104" s="73">
        <v>9175</v>
      </c>
      <c r="AO104" s="73">
        <v>2911</v>
      </c>
      <c r="AP104" s="73">
        <v>30295</v>
      </c>
      <c r="AQ104" s="73">
        <v>114</v>
      </c>
      <c r="AR104" s="73">
        <v>1509</v>
      </c>
      <c r="AS104" s="73">
        <v>10001</v>
      </c>
      <c r="AT104" s="73">
        <v>3367</v>
      </c>
      <c r="AU104" s="73">
        <v>730.5</v>
      </c>
      <c r="AV104" s="73">
        <v>17.3</v>
      </c>
      <c r="AW104" s="73">
        <v>75.7</v>
      </c>
      <c r="AX104" s="73">
        <v>110.1</v>
      </c>
      <c r="AY104" s="73">
        <v>7469</v>
      </c>
      <c r="AZ104" s="73">
        <v>2.9119999999999999</v>
      </c>
      <c r="BA104" s="73">
        <v>7.12</v>
      </c>
      <c r="BB104" s="73">
        <v>9.07</v>
      </c>
      <c r="BC104" s="73">
        <v>30</v>
      </c>
      <c r="BD104" s="73">
        <v>5.85</v>
      </c>
      <c r="BE104" s="73">
        <v>531.9</v>
      </c>
      <c r="BF104" s="73">
        <v>0.09</v>
      </c>
      <c r="BG104" s="73">
        <v>40.090000000000003</v>
      </c>
      <c r="BH104" s="73">
        <v>68.599999999999994</v>
      </c>
      <c r="BI104" s="73">
        <v>5.2009999999999996</v>
      </c>
      <c r="BJ104" s="73">
        <v>33.78</v>
      </c>
      <c r="BK104" s="73">
        <v>2.0409999999999999</v>
      </c>
      <c r="BL104" s="73">
        <v>1.1399999999999999</v>
      </c>
      <c r="BM104" s="73">
        <v>1.3520000000000001</v>
      </c>
      <c r="BN104" s="73">
        <v>0.14199999999999999</v>
      </c>
      <c r="BO104" s="73">
        <v>0.56999999999999995</v>
      </c>
      <c r="BP104" s="73">
        <v>1.3180000000000001</v>
      </c>
      <c r="BQ104" s="73">
        <v>1.724</v>
      </c>
      <c r="BR104" s="73">
        <v>263.42</v>
      </c>
      <c r="BS104" s="73">
        <v>21.346</v>
      </c>
      <c r="BT104" s="73">
        <v>38.478000000000002</v>
      </c>
      <c r="BU104" s="73">
        <v>4.07</v>
      </c>
      <c r="BV104" s="73">
        <v>13.83</v>
      </c>
      <c r="BW104" s="73">
        <v>2.0870000000000002</v>
      </c>
      <c r="BX104" s="73">
        <v>0.45800000000000002</v>
      </c>
      <c r="BY104" s="73">
        <v>1.4650000000000001</v>
      </c>
      <c r="BZ104" s="73">
        <v>0.193</v>
      </c>
      <c r="CA104" s="73">
        <v>1.032</v>
      </c>
      <c r="CB104" s="73">
        <v>0.2</v>
      </c>
      <c r="CC104" s="73">
        <v>0.56299999999999994</v>
      </c>
      <c r="CD104" s="73">
        <v>8.6999999999999994E-2</v>
      </c>
      <c r="CE104" s="73">
        <v>0.53700000000000003</v>
      </c>
      <c r="CF104" s="73">
        <v>0.08</v>
      </c>
      <c r="CG104" s="73">
        <v>1.157</v>
      </c>
      <c r="CH104" s="73">
        <v>0.17</v>
      </c>
      <c r="CI104" s="73">
        <v>2.9369999999999998</v>
      </c>
      <c r="CJ104" s="73">
        <v>0.28000000000000003</v>
      </c>
      <c r="CK104" s="73">
        <v>29.6</v>
      </c>
      <c r="CL104" s="73">
        <v>0.7</v>
      </c>
      <c r="CM104" s="73">
        <v>8.0939999999999994</v>
      </c>
      <c r="CN104" s="73">
        <v>1.8959999999999999</v>
      </c>
      <c r="CP104" s="136">
        <f t="shared" si="25"/>
        <v>368.74582352153607</v>
      </c>
      <c r="CQ104" s="136">
        <f t="shared" si="26"/>
        <v>7.4636118263290303</v>
      </c>
      <c r="CR104" s="136">
        <f t="shared" si="27"/>
        <v>270.07208484308984</v>
      </c>
      <c r="CS104" s="136">
        <f t="shared" si="28"/>
        <v>4.3733250047910452</v>
      </c>
      <c r="CT104" s="136">
        <f t="shared" si="29"/>
        <v>7.6069700215435923</v>
      </c>
      <c r="CU104" s="136">
        <f t="shared" si="30"/>
        <v>1.0408382432054641</v>
      </c>
      <c r="CV104" s="136">
        <f t="shared" si="31"/>
        <v>11.557511567261665</v>
      </c>
      <c r="CW104" s="136">
        <f t="shared" si="32"/>
        <v>8.849148599028533</v>
      </c>
      <c r="CX104" s="136">
        <f t="shared" si="33"/>
        <v>16.696934063340006</v>
      </c>
      <c r="CY104" s="136">
        <f t="shared" si="34"/>
        <v>12.329684236348708</v>
      </c>
      <c r="CZ104" s="136">
        <f t="shared" si="35"/>
        <v>-6.5854242370159888</v>
      </c>
      <c r="DA104" s="136">
        <f t="shared" si="36"/>
        <v>7.5799806185468723</v>
      </c>
      <c r="DB104" s="22"/>
      <c r="DC104" s="141">
        <f t="shared" si="20"/>
        <v>44.324999999999996</v>
      </c>
      <c r="DD104" s="141">
        <f t="shared" si="21"/>
        <v>7.400000000000001E-2</v>
      </c>
      <c r="DE104" s="141">
        <f t="shared" si="22"/>
        <v>3.6206849999999999</v>
      </c>
      <c r="DF104" s="141">
        <f t="shared" si="23"/>
        <v>1.1828125</v>
      </c>
      <c r="DG104" s="141">
        <f t="shared" si="37"/>
        <v>1.4199999999999999E-2</v>
      </c>
      <c r="DH104" s="141">
        <f t="shared" si="24"/>
        <v>0.1424</v>
      </c>
    </row>
    <row r="105" spans="1:112" s="28" customFormat="1">
      <c r="A105" s="38"/>
      <c r="F105" s="38"/>
      <c r="V105" s="17" t="s">
        <v>283</v>
      </c>
      <c r="W105" s="20" t="s">
        <v>284</v>
      </c>
      <c r="X105" s="15" t="s">
        <v>342</v>
      </c>
      <c r="Y105" s="17">
        <v>0.156392</v>
      </c>
      <c r="Z105" s="17">
        <v>34.817486000000002</v>
      </c>
      <c r="AA105" s="17" t="s">
        <v>679</v>
      </c>
      <c r="AB105" s="17" t="s">
        <v>334</v>
      </c>
      <c r="AC105" s="6" t="s">
        <v>347</v>
      </c>
      <c r="AD105" s="14" t="s">
        <v>371</v>
      </c>
      <c r="AE105" s="65" t="s">
        <v>687</v>
      </c>
      <c r="AF105" s="17" t="s">
        <v>364</v>
      </c>
      <c r="AG105" s="17" t="s">
        <v>685</v>
      </c>
      <c r="AH105" s="35" t="s">
        <v>690</v>
      </c>
      <c r="AI105" s="24">
        <v>2.881230313137126</v>
      </c>
      <c r="AJ105" s="73">
        <v>7.83</v>
      </c>
      <c r="AK105" s="24">
        <v>0.20890500000000001</v>
      </c>
      <c r="AL105" s="73">
        <v>17.600000000000001</v>
      </c>
      <c r="AM105" s="73">
        <v>1.05</v>
      </c>
      <c r="AN105" s="73">
        <v>9212</v>
      </c>
      <c r="AO105" s="73">
        <v>3706</v>
      </c>
      <c r="AP105" s="73">
        <v>39714</v>
      </c>
      <c r="AQ105" s="73">
        <v>148</v>
      </c>
      <c r="AR105" s="73">
        <v>3790</v>
      </c>
      <c r="AS105" s="73">
        <v>15157</v>
      </c>
      <c r="AT105" s="73">
        <v>5065</v>
      </c>
      <c r="AU105" s="73">
        <v>1001.3</v>
      </c>
      <c r="AV105" s="73">
        <v>25.5</v>
      </c>
      <c r="AW105" s="73">
        <v>208</v>
      </c>
      <c r="AX105" s="73">
        <v>150.5</v>
      </c>
      <c r="AY105" s="73">
        <v>12329</v>
      </c>
      <c r="AZ105" s="73">
        <v>5.9669999999999996</v>
      </c>
      <c r="BA105" s="73">
        <v>12.19</v>
      </c>
      <c r="BB105" s="73">
        <v>16.28</v>
      </c>
      <c r="BC105" s="73">
        <v>74</v>
      </c>
      <c r="BD105" s="73">
        <v>8.69</v>
      </c>
      <c r="BE105" s="73">
        <v>1360.6</v>
      </c>
      <c r="BF105" s="73">
        <v>0.19</v>
      </c>
      <c r="BG105" s="73">
        <v>57.73</v>
      </c>
      <c r="BH105" s="73">
        <v>71.02</v>
      </c>
      <c r="BI105" s="73">
        <v>6.9379999999999997</v>
      </c>
      <c r="BJ105" s="73">
        <v>47.13</v>
      </c>
      <c r="BK105" s="73">
        <v>2.6059999999999999</v>
      </c>
      <c r="BL105" s="73">
        <v>1.87</v>
      </c>
      <c r="BM105" s="73">
        <v>1.26</v>
      </c>
      <c r="BN105" s="73">
        <v>0.25</v>
      </c>
      <c r="BO105" s="73">
        <v>0.82</v>
      </c>
      <c r="BP105" s="73">
        <v>2.347</v>
      </c>
      <c r="BQ105" s="73">
        <v>2.379</v>
      </c>
      <c r="BR105" s="73">
        <v>362.64</v>
      </c>
      <c r="BS105" s="73">
        <v>26.2</v>
      </c>
      <c r="BT105" s="73">
        <v>47.405000000000001</v>
      </c>
      <c r="BU105" s="73">
        <v>5.077</v>
      </c>
      <c r="BV105" s="73">
        <v>17.29</v>
      </c>
      <c r="BW105" s="73">
        <v>2.629</v>
      </c>
      <c r="BX105" s="73">
        <v>0.56899999999999995</v>
      </c>
      <c r="BY105" s="73">
        <v>1.8129999999999999</v>
      </c>
      <c r="BZ105" s="73">
        <v>0.25900000000000001</v>
      </c>
      <c r="CA105" s="73">
        <v>1.319</v>
      </c>
      <c r="CB105" s="73">
        <v>0.25900000000000001</v>
      </c>
      <c r="CC105" s="73">
        <v>0.69899999999999995</v>
      </c>
      <c r="CD105" s="73">
        <v>0.11700000000000001</v>
      </c>
      <c r="CE105" s="73">
        <v>0.70899999999999996</v>
      </c>
      <c r="CF105" s="73">
        <v>0.106</v>
      </c>
      <c r="CG105" s="73">
        <v>1.623</v>
      </c>
      <c r="CH105" s="73">
        <v>0.20699999999999999</v>
      </c>
      <c r="CI105" s="73">
        <v>5.117</v>
      </c>
      <c r="CJ105" s="73">
        <v>0.38600000000000001</v>
      </c>
      <c r="CK105" s="73">
        <v>45</v>
      </c>
      <c r="CL105" s="73">
        <v>1.26</v>
      </c>
      <c r="CM105" s="73">
        <v>9.7010000000000005</v>
      </c>
      <c r="CN105" s="73">
        <v>2.5670000000000002</v>
      </c>
      <c r="CP105" s="136">
        <f t="shared" si="25"/>
        <v>571.42888980070893</v>
      </c>
      <c r="CQ105" s="136">
        <f t="shared" si="26"/>
        <v>6.873919688605854</v>
      </c>
      <c r="CR105" s="136">
        <f t="shared" si="27"/>
        <v>9.440008725696643</v>
      </c>
      <c r="CS105" s="136">
        <f t="shared" si="28"/>
        <v>7.279705588131919</v>
      </c>
      <c r="CT105" s="136">
        <f t="shared" si="29"/>
        <v>8.1133082385211512</v>
      </c>
      <c r="CU105" s="136">
        <f t="shared" si="30"/>
        <v>1.0795470123575304</v>
      </c>
      <c r="CV105" s="136">
        <f t="shared" si="31"/>
        <v>12.912527619413757</v>
      </c>
      <c r="CW105" s="136">
        <f t="shared" si="32"/>
        <v>9.4534764246166194</v>
      </c>
      <c r="CX105" s="136">
        <f t="shared" si="33"/>
        <v>12.581590323558014</v>
      </c>
      <c r="CY105" s="136">
        <f t="shared" si="34"/>
        <v>13.787902559391432</v>
      </c>
      <c r="CZ105" s="136">
        <f t="shared" si="35"/>
        <v>-5.7693870718585831</v>
      </c>
      <c r="DA105" s="136">
        <f t="shared" si="36"/>
        <v>8.3557295982006856</v>
      </c>
      <c r="DB105" s="22"/>
      <c r="DC105" s="141">
        <f t="shared" si="20"/>
        <v>113.38333333333333</v>
      </c>
      <c r="DD105" s="141">
        <f t="shared" si="21"/>
        <v>0.1125</v>
      </c>
      <c r="DE105" s="141">
        <f t="shared" si="22"/>
        <v>0.20890500000000001</v>
      </c>
      <c r="DF105" s="141">
        <f t="shared" si="23"/>
        <v>3.25</v>
      </c>
      <c r="DG105" s="141">
        <f t="shared" si="37"/>
        <v>2.5000000000000001E-2</v>
      </c>
      <c r="DH105" s="141">
        <f t="shared" si="24"/>
        <v>0.24379999999999999</v>
      </c>
    </row>
    <row r="106" spans="1:112" s="28" customFormat="1">
      <c r="A106" s="38"/>
      <c r="F106" s="38"/>
      <c r="V106" s="17" t="s">
        <v>285</v>
      </c>
      <c r="W106" s="20" t="s">
        <v>286</v>
      </c>
      <c r="X106" s="15" t="s">
        <v>342</v>
      </c>
      <c r="Y106" s="17">
        <v>0.156392</v>
      </c>
      <c r="Z106" s="17">
        <v>34.817486000000002</v>
      </c>
      <c r="AA106" s="17" t="s">
        <v>679</v>
      </c>
      <c r="AB106" s="17" t="s">
        <v>334</v>
      </c>
      <c r="AC106" s="6" t="s">
        <v>347</v>
      </c>
      <c r="AD106" s="14" t="s">
        <v>371</v>
      </c>
      <c r="AE106" s="65" t="s">
        <v>687</v>
      </c>
      <c r="AF106" s="17" t="s">
        <v>366</v>
      </c>
      <c r="AG106" s="17" t="s">
        <v>684</v>
      </c>
      <c r="AH106" s="35" t="s">
        <v>683</v>
      </c>
      <c r="AI106" s="24">
        <v>3.9717473641107963</v>
      </c>
      <c r="AJ106" s="73">
        <v>6.47</v>
      </c>
      <c r="AK106" s="24">
        <v>0.78137500000000004</v>
      </c>
      <c r="AL106" s="73">
        <v>28.5</v>
      </c>
      <c r="AM106" s="73">
        <v>1.18</v>
      </c>
      <c r="AN106" s="73">
        <v>3289</v>
      </c>
      <c r="AO106" s="73">
        <v>969</v>
      </c>
      <c r="AP106" s="73">
        <v>64155</v>
      </c>
      <c r="AQ106" s="73">
        <v>418</v>
      </c>
      <c r="AR106" s="73">
        <v>318</v>
      </c>
      <c r="AS106" s="73">
        <v>8441</v>
      </c>
      <c r="AT106" s="73">
        <v>2299</v>
      </c>
      <c r="AU106" s="73">
        <v>2099.5</v>
      </c>
      <c r="AV106" s="73">
        <v>79.900000000000006</v>
      </c>
      <c r="AW106" s="73">
        <v>128.5</v>
      </c>
      <c r="AX106" s="73">
        <v>732.2</v>
      </c>
      <c r="AY106" s="73">
        <v>31369</v>
      </c>
      <c r="AZ106" s="73">
        <v>25.388999999999999</v>
      </c>
      <c r="BA106" s="73">
        <v>30.54</v>
      </c>
      <c r="BB106" s="73">
        <v>22.04</v>
      </c>
      <c r="BC106" s="73">
        <v>92</v>
      </c>
      <c r="BD106" s="73">
        <v>14.73</v>
      </c>
      <c r="BE106" s="73">
        <v>34.4</v>
      </c>
      <c r="BF106" s="73">
        <v>0.66</v>
      </c>
      <c r="BG106" s="73">
        <v>54.57</v>
      </c>
      <c r="BH106" s="73">
        <v>61.89</v>
      </c>
      <c r="BI106" s="73">
        <v>11.654999999999999</v>
      </c>
      <c r="BJ106" s="73">
        <v>161.72</v>
      </c>
      <c r="BK106" s="73">
        <v>32.249000000000002</v>
      </c>
      <c r="BL106" s="73">
        <v>2.5499999999999998</v>
      </c>
      <c r="BM106" s="73">
        <v>0.36199999999999999</v>
      </c>
      <c r="BN106" s="73">
        <v>9.0999999999999998E-2</v>
      </c>
      <c r="BO106" s="73">
        <v>1.96</v>
      </c>
      <c r="BP106" s="73">
        <v>0.40200000000000002</v>
      </c>
      <c r="BQ106" s="73">
        <v>2.2770000000000001</v>
      </c>
      <c r="BR106" s="73">
        <v>218.84</v>
      </c>
      <c r="BS106" s="73">
        <v>22.423999999999999</v>
      </c>
      <c r="BT106" s="73">
        <v>78.042000000000002</v>
      </c>
      <c r="BU106" s="73">
        <v>4.7220000000000004</v>
      </c>
      <c r="BV106" s="73">
        <v>17.62</v>
      </c>
      <c r="BW106" s="73">
        <v>3.1509999999999998</v>
      </c>
      <c r="BX106" s="73">
        <v>0.69099999999999995</v>
      </c>
      <c r="BY106" s="73">
        <v>2.5750000000000002</v>
      </c>
      <c r="BZ106" s="73">
        <v>0.40899999999999997</v>
      </c>
      <c r="CA106" s="73">
        <v>2.2599999999999998</v>
      </c>
      <c r="CB106" s="73">
        <v>0.49199999999999999</v>
      </c>
      <c r="CC106" s="73">
        <v>1.3859999999999999</v>
      </c>
      <c r="CD106" s="73">
        <v>0.21199999999999999</v>
      </c>
      <c r="CE106" s="73">
        <v>1.3919999999999999</v>
      </c>
      <c r="CF106" s="73">
        <v>0.216</v>
      </c>
      <c r="CG106" s="73">
        <v>4.57</v>
      </c>
      <c r="CH106" s="73">
        <v>1.833</v>
      </c>
      <c r="CI106" s="73">
        <v>1.2330000000000001</v>
      </c>
      <c r="CJ106" s="73">
        <v>0.41799999999999998</v>
      </c>
      <c r="CK106" s="73">
        <v>25</v>
      </c>
      <c r="CL106" s="73">
        <v>0.47</v>
      </c>
      <c r="CM106" s="73">
        <v>9.548</v>
      </c>
      <c r="CN106" s="73">
        <v>2.7050000000000001</v>
      </c>
      <c r="CP106" s="136">
        <f t="shared" si="25"/>
        <v>5.6782871062288924</v>
      </c>
      <c r="CQ106" s="136">
        <f t="shared" si="26"/>
        <v>1.5009254685415108</v>
      </c>
      <c r="CR106" s="136">
        <f t="shared" si="27"/>
        <v>13.877468536521786</v>
      </c>
      <c r="CS106" s="136">
        <f t="shared" si="28"/>
        <v>1.7675869504612711</v>
      </c>
      <c r="CT106" s="136">
        <f t="shared" si="29"/>
        <v>1.1607175149756999</v>
      </c>
      <c r="CU106" s="136">
        <f t="shared" si="30"/>
        <v>1.0630019600321043</v>
      </c>
      <c r="CV106" s="136">
        <f t="shared" si="31"/>
        <v>7.6068370003439192</v>
      </c>
      <c r="CW106" s="136">
        <f t="shared" si="32"/>
        <v>8.605479518061669</v>
      </c>
      <c r="CX106" s="136">
        <f t="shared" si="33"/>
        <v>14.484758398213012</v>
      </c>
      <c r="CY106" s="136">
        <f t="shared" si="34"/>
        <v>13.093087390444218</v>
      </c>
      <c r="CZ106" s="136">
        <f t="shared" si="35"/>
        <v>-7.2273767163219746</v>
      </c>
      <c r="DA106" s="136">
        <f t="shared" si="36"/>
        <v>9.6807315343773261</v>
      </c>
      <c r="DB106" s="22"/>
      <c r="DC106" s="141">
        <f t="shared" si="20"/>
        <v>2.8666666666666667</v>
      </c>
      <c r="DD106" s="141">
        <f t="shared" si="21"/>
        <v>6.25E-2</v>
      </c>
      <c r="DE106" s="141" t="s">
        <v>288</v>
      </c>
      <c r="DF106" s="141">
        <f t="shared" si="23"/>
        <v>2.0078125</v>
      </c>
      <c r="DG106" s="141">
        <f t="shared" si="37"/>
        <v>9.1000000000000004E-3</v>
      </c>
      <c r="DH106" s="141">
        <f t="shared" si="24"/>
        <v>0.61080000000000001</v>
      </c>
    </row>
    <row r="107" spans="1:112" s="28" customFormat="1">
      <c r="A107" s="38"/>
      <c r="F107" s="38"/>
      <c r="V107" s="21" t="s">
        <v>287</v>
      </c>
      <c r="W107" s="14" t="s">
        <v>98</v>
      </c>
      <c r="X107" s="15" t="s">
        <v>339</v>
      </c>
      <c r="Y107" s="17">
        <v>0.258245</v>
      </c>
      <c r="Z107" s="17">
        <v>34.717754999999997</v>
      </c>
      <c r="AA107" s="17" t="s">
        <v>332</v>
      </c>
      <c r="AB107" s="17" t="s">
        <v>330</v>
      </c>
      <c r="AC107" s="6" t="s">
        <v>347</v>
      </c>
      <c r="AD107" s="14" t="s">
        <v>371</v>
      </c>
      <c r="AE107" s="65" t="s">
        <v>687</v>
      </c>
      <c r="AF107" s="21" t="s">
        <v>366</v>
      </c>
      <c r="AG107" s="17" t="s">
        <v>684</v>
      </c>
      <c r="AH107" s="35" t="s">
        <v>683</v>
      </c>
      <c r="AI107" s="24" t="s">
        <v>288</v>
      </c>
      <c r="AJ107" s="24" t="s">
        <v>288</v>
      </c>
      <c r="AK107" s="24" t="s">
        <v>288</v>
      </c>
      <c r="AL107" s="73">
        <v>17.899999999999999</v>
      </c>
      <c r="AM107" s="73">
        <v>3.29</v>
      </c>
      <c r="AN107" s="73">
        <v>1517</v>
      </c>
      <c r="AO107" s="73">
        <v>4940</v>
      </c>
      <c r="AP107" s="73">
        <v>95423</v>
      </c>
      <c r="AQ107" s="73">
        <v>780</v>
      </c>
      <c r="AR107" s="73">
        <v>221</v>
      </c>
      <c r="AS107" s="73">
        <v>14194</v>
      </c>
      <c r="AT107" s="73">
        <v>3547</v>
      </c>
      <c r="AU107" s="73">
        <v>5973.6</v>
      </c>
      <c r="AV107" s="73">
        <v>284.7</v>
      </c>
      <c r="AW107" s="73">
        <v>1330.5</v>
      </c>
      <c r="AX107" s="73">
        <v>1902.9</v>
      </c>
      <c r="AY107" s="73">
        <v>124124</v>
      </c>
      <c r="AZ107" s="73">
        <v>62.136000000000003</v>
      </c>
      <c r="BA107" s="73">
        <v>281.38</v>
      </c>
      <c r="BB107" s="73">
        <v>68.430000000000007</v>
      </c>
      <c r="BC107" s="73">
        <v>100</v>
      </c>
      <c r="BD107" s="73">
        <v>20.88</v>
      </c>
      <c r="BE107" s="73">
        <v>8.3000000000000007</v>
      </c>
      <c r="BF107" s="73">
        <v>1.08</v>
      </c>
      <c r="BG107" s="73">
        <v>82.77</v>
      </c>
      <c r="BH107" s="73">
        <v>73.89</v>
      </c>
      <c r="BI107" s="73">
        <v>14.680999999999999</v>
      </c>
      <c r="BJ107" s="73">
        <v>283.69</v>
      </c>
      <c r="BK107" s="73">
        <v>47.061</v>
      </c>
      <c r="BL107" s="73">
        <v>2.65</v>
      </c>
      <c r="BM107" s="73">
        <v>5.8999999999999997E-2</v>
      </c>
      <c r="BN107" s="73">
        <v>9.6000000000000002E-2</v>
      </c>
      <c r="BO107" s="73">
        <v>3.05</v>
      </c>
      <c r="BP107" s="73">
        <v>0.85299999999999998</v>
      </c>
      <c r="BQ107" s="73">
        <v>2.8460000000000001</v>
      </c>
      <c r="BR107" s="73">
        <v>468.29</v>
      </c>
      <c r="BS107" s="73">
        <v>22.715</v>
      </c>
      <c r="BT107" s="73">
        <v>105.22799999999999</v>
      </c>
      <c r="BU107" s="73">
        <v>4.71</v>
      </c>
      <c r="BV107" s="73">
        <v>17.62</v>
      </c>
      <c r="BW107" s="73">
        <v>3.536</v>
      </c>
      <c r="BX107" s="73">
        <v>0.79900000000000004</v>
      </c>
      <c r="BY107" s="73">
        <v>2.9239999999999999</v>
      </c>
      <c r="BZ107" s="73">
        <v>0.49099999999999999</v>
      </c>
      <c r="CA107" s="73">
        <v>2.8380000000000001</v>
      </c>
      <c r="CB107" s="73">
        <v>0.57499999999999996</v>
      </c>
      <c r="CC107" s="73">
        <v>1.712</v>
      </c>
      <c r="CD107" s="73">
        <v>0.27200000000000002</v>
      </c>
      <c r="CE107" s="73">
        <v>1.7470000000000001</v>
      </c>
      <c r="CF107" s="73">
        <v>0.27800000000000002</v>
      </c>
      <c r="CG107" s="73">
        <v>6.9560000000000004</v>
      </c>
      <c r="CH107" s="73">
        <v>2.589</v>
      </c>
      <c r="CI107" s="73">
        <v>2.9390000000000001</v>
      </c>
      <c r="CJ107" s="73">
        <v>0.45</v>
      </c>
      <c r="CK107" s="73">
        <v>19.7</v>
      </c>
      <c r="CL107" s="73">
        <v>1.21</v>
      </c>
      <c r="CM107" s="73">
        <v>12.948</v>
      </c>
      <c r="CN107" s="73">
        <v>2.2730000000000001</v>
      </c>
      <c r="CP107" s="136">
        <f t="shared" si="25"/>
        <v>0.34624372307009876</v>
      </c>
      <c r="CQ107" s="136">
        <f t="shared" si="26"/>
        <v>0.29890298770480145</v>
      </c>
      <c r="CR107" s="136" t="s">
        <v>288</v>
      </c>
      <c r="CS107" s="136">
        <f t="shared" si="28"/>
        <v>4.6252738307707473</v>
      </c>
      <c r="CT107" s="136">
        <f t="shared" si="29"/>
        <v>0.30945769772749249</v>
      </c>
      <c r="CU107" s="136">
        <f t="shared" si="30"/>
        <v>2.4751593815951893</v>
      </c>
      <c r="CV107" s="136">
        <f t="shared" si="31"/>
        <v>5.5556116769887458</v>
      </c>
      <c r="CW107" s="136">
        <f t="shared" si="32"/>
        <v>8.2617470528559593</v>
      </c>
      <c r="CX107" s="136" t="s">
        <v>288</v>
      </c>
      <c r="CY107" s="136">
        <f t="shared" si="34"/>
        <v>16.465215636272561</v>
      </c>
      <c r="CZ107" s="136">
        <f t="shared" si="35"/>
        <v>-7.150208855799514</v>
      </c>
      <c r="DA107" s="136">
        <f t="shared" si="36"/>
        <v>12.88447935509941</v>
      </c>
      <c r="DB107" s="22"/>
      <c r="DC107" s="141">
        <f t="shared" si="20"/>
        <v>0.69166666666666676</v>
      </c>
      <c r="DD107" s="141">
        <f t="shared" si="21"/>
        <v>4.9249999999999995E-2</v>
      </c>
      <c r="DE107" s="141" t="s">
        <v>288</v>
      </c>
      <c r="DF107" s="141">
        <f t="shared" si="23"/>
        <v>20.7890625</v>
      </c>
      <c r="DG107" s="141">
        <f>BN107/1.4</f>
        <v>6.8571428571428575E-2</v>
      </c>
      <c r="DH107" s="141">
        <f t="shared" si="24"/>
        <v>5.6276000000000002</v>
      </c>
    </row>
    <row r="108" spans="1:112" s="28" customFormat="1">
      <c r="A108" s="38"/>
      <c r="F108" s="38"/>
      <c r="V108" s="21" t="s">
        <v>289</v>
      </c>
      <c r="W108" s="17" t="s">
        <v>110</v>
      </c>
      <c r="X108" s="15" t="s">
        <v>339</v>
      </c>
      <c r="Y108" s="17">
        <v>0.26076500000000002</v>
      </c>
      <c r="Z108" s="17">
        <v>34.720081</v>
      </c>
      <c r="AA108" s="17" t="s">
        <v>332</v>
      </c>
      <c r="AB108" s="17" t="s">
        <v>330</v>
      </c>
      <c r="AC108" s="6" t="s">
        <v>347</v>
      </c>
      <c r="AD108" s="14" t="s">
        <v>371</v>
      </c>
      <c r="AE108" s="65" t="s">
        <v>687</v>
      </c>
      <c r="AF108" s="21" t="s">
        <v>361</v>
      </c>
      <c r="AG108" s="17" t="s">
        <v>685</v>
      </c>
      <c r="AH108" s="35" t="s">
        <v>690</v>
      </c>
      <c r="AI108" s="24" t="s">
        <v>288</v>
      </c>
      <c r="AJ108" s="24" t="s">
        <v>288</v>
      </c>
      <c r="AK108" s="24" t="s">
        <v>288</v>
      </c>
      <c r="AL108" s="73">
        <v>16.600000000000001</v>
      </c>
      <c r="AM108" s="73">
        <v>2.31</v>
      </c>
      <c r="AN108" s="73">
        <v>3537</v>
      </c>
      <c r="AO108" s="73">
        <v>7139</v>
      </c>
      <c r="AP108" s="73">
        <v>88879</v>
      </c>
      <c r="AQ108" s="73">
        <v>683</v>
      </c>
      <c r="AR108" s="73">
        <v>336</v>
      </c>
      <c r="AS108" s="73">
        <v>14608</v>
      </c>
      <c r="AT108" s="73">
        <v>6845</v>
      </c>
      <c r="AU108" s="73">
        <v>5645.8</v>
      </c>
      <c r="AV108" s="73">
        <v>228.9</v>
      </c>
      <c r="AW108" s="73">
        <v>987.2</v>
      </c>
      <c r="AX108" s="73">
        <v>2314.4</v>
      </c>
      <c r="AY108" s="73">
        <v>97639</v>
      </c>
      <c r="AZ108" s="73">
        <v>68.661000000000001</v>
      </c>
      <c r="BA108" s="73">
        <v>240.73</v>
      </c>
      <c r="BB108" s="73">
        <v>71.38</v>
      </c>
      <c r="BC108" s="73">
        <v>124</v>
      </c>
      <c r="BD108" s="73">
        <v>18.77</v>
      </c>
      <c r="BE108" s="73">
        <v>105.8</v>
      </c>
      <c r="BF108" s="73">
        <v>0.9</v>
      </c>
      <c r="BG108" s="73">
        <v>77.989999999999995</v>
      </c>
      <c r="BH108" s="73">
        <v>109.05</v>
      </c>
      <c r="BI108" s="73">
        <v>15.569000000000001</v>
      </c>
      <c r="BJ108" s="73">
        <v>227.97</v>
      </c>
      <c r="BK108" s="73">
        <v>39.200000000000003</v>
      </c>
      <c r="BL108" s="73">
        <v>2.5099999999999998</v>
      </c>
      <c r="BM108" s="73">
        <v>0.129</v>
      </c>
      <c r="BN108" s="73">
        <v>0.111</v>
      </c>
      <c r="BO108" s="73">
        <v>2.4500000000000002</v>
      </c>
      <c r="BP108" s="73">
        <v>0.82</v>
      </c>
      <c r="BQ108" s="73">
        <v>2.589</v>
      </c>
      <c r="BR108" s="73">
        <v>515.29999999999995</v>
      </c>
      <c r="BS108" s="73">
        <v>24.55</v>
      </c>
      <c r="BT108" s="73">
        <v>115.75</v>
      </c>
      <c r="BU108" s="73">
        <v>5.194</v>
      </c>
      <c r="BV108" s="73">
        <v>20.23</v>
      </c>
      <c r="BW108" s="73">
        <v>4.0650000000000004</v>
      </c>
      <c r="BX108" s="73">
        <v>0.91200000000000003</v>
      </c>
      <c r="BY108" s="73">
        <v>3.2029999999999998</v>
      </c>
      <c r="BZ108" s="73">
        <v>0.52</v>
      </c>
      <c r="CA108" s="73">
        <v>3.0339999999999998</v>
      </c>
      <c r="CB108" s="73">
        <v>0.60299999999999998</v>
      </c>
      <c r="CC108" s="73">
        <v>1.702</v>
      </c>
      <c r="CD108" s="73">
        <v>0.27900000000000003</v>
      </c>
      <c r="CE108" s="73">
        <v>1.75</v>
      </c>
      <c r="CF108" s="73">
        <v>0.27500000000000002</v>
      </c>
      <c r="CG108" s="73">
        <v>5.7370000000000001</v>
      </c>
      <c r="CH108" s="73">
        <v>2.1819999999999999</v>
      </c>
      <c r="CI108" s="73">
        <v>5.9530000000000003</v>
      </c>
      <c r="CJ108" s="73">
        <v>0.44500000000000001</v>
      </c>
      <c r="CK108" s="73">
        <v>25.1</v>
      </c>
      <c r="CL108" s="73">
        <v>6.6</v>
      </c>
      <c r="CM108" s="73">
        <v>8.5489999999999995</v>
      </c>
      <c r="CN108" s="73">
        <v>1.9550000000000001</v>
      </c>
      <c r="CP108" s="136">
        <f t="shared" si="25"/>
        <v>5.6107629967051507</v>
      </c>
      <c r="CQ108" s="136">
        <f t="shared" si="26"/>
        <v>0.48413913647998619</v>
      </c>
      <c r="CR108" s="136" t="s">
        <v>288</v>
      </c>
      <c r="CS108" s="136">
        <f t="shared" si="28"/>
        <v>4.3627482910738218</v>
      </c>
      <c r="CT108" s="136">
        <f t="shared" si="29"/>
        <v>0.45486809480935803</v>
      </c>
      <c r="CU108" s="136">
        <f t="shared" si="30"/>
        <v>2.6919847781004069</v>
      </c>
      <c r="CV108" s="136">
        <f t="shared" si="31"/>
        <v>9.2276961577558456</v>
      </c>
      <c r="CW108" s="136">
        <f t="shared" si="32"/>
        <v>8.611238787350354</v>
      </c>
      <c r="CX108" s="136" t="s">
        <v>288</v>
      </c>
      <c r="CY108" s="136">
        <f t="shared" si="34"/>
        <v>16.034661425512397</v>
      </c>
      <c r="CZ108" s="136">
        <f t="shared" si="35"/>
        <v>-6.9407554901705648</v>
      </c>
      <c r="DA108" s="136">
        <f t="shared" si="36"/>
        <v>12.659375510164869</v>
      </c>
      <c r="DB108" s="22"/>
      <c r="DC108" s="141">
        <f t="shared" si="20"/>
        <v>8.8166666666666664</v>
      </c>
      <c r="DD108" s="141">
        <f t="shared" si="21"/>
        <v>6.275E-2</v>
      </c>
      <c r="DE108" s="141" t="s">
        <v>288</v>
      </c>
      <c r="DF108" s="141">
        <f t="shared" si="23"/>
        <v>15.425000000000001</v>
      </c>
      <c r="DG108" s="141">
        <f t="shared" si="37"/>
        <v>1.11E-2</v>
      </c>
      <c r="DH108" s="141">
        <f t="shared" si="24"/>
        <v>4.8145999999999995</v>
      </c>
    </row>
    <row r="109" spans="1:112" s="28" customFormat="1">
      <c r="A109" s="38"/>
      <c r="F109" s="38"/>
      <c r="V109" s="21" t="s">
        <v>290</v>
      </c>
      <c r="W109" s="17" t="s">
        <v>133</v>
      </c>
      <c r="X109" s="15" t="s">
        <v>339</v>
      </c>
      <c r="Y109" s="17">
        <v>0.31578899999999999</v>
      </c>
      <c r="Z109" s="17">
        <v>34.648187999999998</v>
      </c>
      <c r="AA109" s="17" t="s">
        <v>350</v>
      </c>
      <c r="AB109" s="17" t="s">
        <v>330</v>
      </c>
      <c r="AC109" s="6" t="s">
        <v>347</v>
      </c>
      <c r="AD109" s="14" t="s">
        <v>371</v>
      </c>
      <c r="AE109" s="65" t="s">
        <v>687</v>
      </c>
      <c r="AF109" s="21" t="s">
        <v>367</v>
      </c>
      <c r="AG109" s="17" t="s">
        <v>684</v>
      </c>
      <c r="AH109" s="35" t="s">
        <v>683</v>
      </c>
      <c r="AI109" s="24" t="s">
        <v>288</v>
      </c>
      <c r="AJ109" s="24" t="s">
        <v>288</v>
      </c>
      <c r="AK109" s="24" t="s">
        <v>288</v>
      </c>
      <c r="AL109" s="73">
        <v>11.5</v>
      </c>
      <c r="AM109" s="73">
        <v>1.79</v>
      </c>
      <c r="AN109" s="73">
        <v>25275</v>
      </c>
      <c r="AO109" s="73">
        <v>3452</v>
      </c>
      <c r="AP109" s="73">
        <v>84554</v>
      </c>
      <c r="AQ109" s="73">
        <v>480</v>
      </c>
      <c r="AR109" s="73">
        <v>123</v>
      </c>
      <c r="AS109" s="73">
        <v>23163</v>
      </c>
      <c r="AT109" s="73">
        <v>10316</v>
      </c>
      <c r="AU109" s="73">
        <v>2708.9</v>
      </c>
      <c r="AV109" s="73">
        <v>60.7</v>
      </c>
      <c r="AW109" s="73">
        <v>47.3</v>
      </c>
      <c r="AX109" s="73">
        <v>624.5</v>
      </c>
      <c r="AY109" s="73">
        <v>25698</v>
      </c>
      <c r="AZ109" s="73">
        <v>12.891999999999999</v>
      </c>
      <c r="BA109" s="73">
        <v>18.7</v>
      </c>
      <c r="BB109" s="73">
        <v>9.36</v>
      </c>
      <c r="BC109" s="73">
        <v>47</v>
      </c>
      <c r="BD109" s="73">
        <v>16.98</v>
      </c>
      <c r="BE109" s="73">
        <v>1.4</v>
      </c>
      <c r="BF109" s="73">
        <v>0.21</v>
      </c>
      <c r="BG109" s="73">
        <v>61.22</v>
      </c>
      <c r="BH109" s="73">
        <v>501.96</v>
      </c>
      <c r="BI109" s="73">
        <v>9.2850000000000001</v>
      </c>
      <c r="BJ109" s="73">
        <v>64.42</v>
      </c>
      <c r="BK109" s="73">
        <v>12.635</v>
      </c>
      <c r="BL109" s="73">
        <v>0.59</v>
      </c>
      <c r="BM109" s="73">
        <v>6.4000000000000001E-2</v>
      </c>
      <c r="BN109" s="73">
        <v>0.04</v>
      </c>
      <c r="BO109" s="73">
        <v>1.38</v>
      </c>
      <c r="BP109" s="73">
        <v>8.7999999999999995E-2</v>
      </c>
      <c r="BQ109" s="73">
        <v>1.4159999999999999</v>
      </c>
      <c r="BR109" s="73">
        <v>1110.9000000000001</v>
      </c>
      <c r="BS109" s="73">
        <v>27.754000000000001</v>
      </c>
      <c r="BT109" s="73">
        <v>69.965999999999994</v>
      </c>
      <c r="BU109" s="73">
        <v>6.1689999999999996</v>
      </c>
      <c r="BV109" s="73">
        <v>24.04</v>
      </c>
      <c r="BW109" s="73">
        <v>3.95</v>
      </c>
      <c r="BX109" s="73">
        <v>0.98499999999999999</v>
      </c>
      <c r="BY109" s="73">
        <v>2.72</v>
      </c>
      <c r="BZ109" s="73">
        <v>0.36499999999999999</v>
      </c>
      <c r="CA109" s="73">
        <v>1.7250000000000001</v>
      </c>
      <c r="CB109" s="73">
        <v>0.34499999999999997</v>
      </c>
      <c r="CC109" s="73">
        <v>0.94399999999999995</v>
      </c>
      <c r="CD109" s="73">
        <v>0.14199999999999999</v>
      </c>
      <c r="CE109" s="73">
        <v>0.877</v>
      </c>
      <c r="CF109" s="73">
        <v>0.13100000000000001</v>
      </c>
      <c r="CG109" s="73">
        <v>1.9890000000000001</v>
      </c>
      <c r="CH109" s="73">
        <v>0.80100000000000005</v>
      </c>
      <c r="CI109" s="73">
        <v>0.68899999999999995</v>
      </c>
      <c r="CJ109" s="73">
        <v>0.32200000000000001</v>
      </c>
      <c r="CK109" s="73">
        <v>16.899999999999999</v>
      </c>
      <c r="CL109" s="73">
        <v>0.36</v>
      </c>
      <c r="CM109" s="73">
        <v>5.3410000000000002</v>
      </c>
      <c r="CN109" s="73">
        <v>2.2639999999999998</v>
      </c>
      <c r="CP109" s="136">
        <f t="shared" si="25"/>
        <v>0.28209038927268315</v>
      </c>
      <c r="CQ109" s="136">
        <f t="shared" si="26"/>
        <v>1.2385318301552948</v>
      </c>
      <c r="CR109" s="136" t="s">
        <v>288</v>
      </c>
      <c r="CS109" s="136">
        <f t="shared" si="28"/>
        <v>0.7942187745593996</v>
      </c>
      <c r="CT109" s="136">
        <f t="shared" si="29"/>
        <v>0.62279696332930046</v>
      </c>
      <c r="CU109" s="136">
        <f t="shared" si="30"/>
        <v>0.79452577125302093</v>
      </c>
      <c r="CV109" s="136">
        <f t="shared" si="31"/>
        <v>2.9879271676994246</v>
      </c>
      <c r="CW109" s="136">
        <f t="shared" si="32"/>
        <v>8.0405746696817673</v>
      </c>
      <c r="CX109" s="136" t="s">
        <v>288</v>
      </c>
      <c r="CY109" s="136">
        <f t="shared" si="34"/>
        <v>11.651231119702372</v>
      </c>
      <c r="CZ109" s="136">
        <f t="shared" si="35"/>
        <v>-8.4132432616333084</v>
      </c>
      <c r="DA109" s="136">
        <f t="shared" si="36"/>
        <v>8.9730697423554719</v>
      </c>
      <c r="DB109" s="22"/>
      <c r="DC109" s="141">
        <f t="shared" si="20"/>
        <v>0.11666666666666665</v>
      </c>
      <c r="DD109" s="141">
        <f t="shared" si="21"/>
        <v>4.2249999999999996E-2</v>
      </c>
      <c r="DE109" s="141" t="s">
        <v>288</v>
      </c>
      <c r="DF109" s="141">
        <f t="shared" si="23"/>
        <v>0.73906249999999996</v>
      </c>
      <c r="DG109" s="141">
        <f t="shared" si="37"/>
        <v>4.0000000000000001E-3</v>
      </c>
      <c r="DH109" s="141">
        <f t="shared" si="24"/>
        <v>0.374</v>
      </c>
    </row>
    <row r="110" spans="1:112" s="28" customFormat="1">
      <c r="A110" s="38"/>
      <c r="F110" s="38"/>
      <c r="V110" s="21" t="s">
        <v>291</v>
      </c>
      <c r="W110" s="17" t="s">
        <v>162</v>
      </c>
      <c r="X110" s="15" t="s">
        <v>343</v>
      </c>
      <c r="Y110" s="17">
        <v>0.18987899999999999</v>
      </c>
      <c r="Z110" s="17">
        <v>34.735692999999998</v>
      </c>
      <c r="AA110" s="17" t="s">
        <v>352</v>
      </c>
      <c r="AB110" s="17" t="s">
        <v>330</v>
      </c>
      <c r="AC110" s="6" t="s">
        <v>347</v>
      </c>
      <c r="AD110" s="14" t="s">
        <v>371</v>
      </c>
      <c r="AE110" s="65" t="s">
        <v>687</v>
      </c>
      <c r="AF110" s="21" t="s">
        <v>364</v>
      </c>
      <c r="AG110" s="17" t="s">
        <v>685</v>
      </c>
      <c r="AH110" s="35" t="s">
        <v>690</v>
      </c>
      <c r="AI110" s="24" t="s">
        <v>288</v>
      </c>
      <c r="AJ110" s="24" t="s">
        <v>288</v>
      </c>
      <c r="AK110" s="24" t="s">
        <v>288</v>
      </c>
      <c r="AL110" s="73">
        <v>15.6</v>
      </c>
      <c r="AM110" s="73">
        <v>1.9</v>
      </c>
      <c r="AN110" s="73">
        <v>7254</v>
      </c>
      <c r="AO110" s="73">
        <v>8582</v>
      </c>
      <c r="AP110" s="73">
        <v>84278</v>
      </c>
      <c r="AQ110" s="73">
        <v>436</v>
      </c>
      <c r="AR110" s="73">
        <v>184</v>
      </c>
      <c r="AS110" s="73">
        <v>22326</v>
      </c>
      <c r="AT110" s="73">
        <v>2744</v>
      </c>
      <c r="AU110" s="73">
        <v>3428.4</v>
      </c>
      <c r="AV110" s="73">
        <v>98.6</v>
      </c>
      <c r="AW110" s="73">
        <v>142.19999999999999</v>
      </c>
      <c r="AX110" s="73">
        <v>769.5</v>
      </c>
      <c r="AY110" s="73">
        <v>36543</v>
      </c>
      <c r="AZ110" s="73">
        <v>19.012</v>
      </c>
      <c r="BA110" s="73">
        <v>52.58</v>
      </c>
      <c r="BB110" s="73">
        <v>34.31</v>
      </c>
      <c r="BC110" s="73">
        <v>112</v>
      </c>
      <c r="BD110" s="73">
        <v>16.95</v>
      </c>
      <c r="BE110" s="73">
        <v>20.8</v>
      </c>
      <c r="BF110" s="73">
        <v>0.12</v>
      </c>
      <c r="BG110" s="73">
        <v>102.92</v>
      </c>
      <c r="BH110" s="73">
        <v>100.21</v>
      </c>
      <c r="BI110" s="73">
        <v>24.248000000000001</v>
      </c>
      <c r="BJ110" s="73">
        <v>145.59</v>
      </c>
      <c r="BK110" s="73">
        <v>8.2840000000000007</v>
      </c>
      <c r="BL110" s="73">
        <v>1.1599999999999999</v>
      </c>
      <c r="BM110" s="73">
        <v>0.1</v>
      </c>
      <c r="BN110" s="73">
        <v>0.249</v>
      </c>
      <c r="BO110" s="73">
        <v>1.85</v>
      </c>
      <c r="BP110" s="73">
        <v>0.53200000000000003</v>
      </c>
      <c r="BQ110" s="73">
        <v>1.974</v>
      </c>
      <c r="BR110" s="73">
        <v>657.27</v>
      </c>
      <c r="BS110" s="73">
        <v>51.006</v>
      </c>
      <c r="BT110" s="73">
        <v>131.02099999999999</v>
      </c>
      <c r="BU110" s="73">
        <v>12.574</v>
      </c>
      <c r="BV110" s="73">
        <v>48.78</v>
      </c>
      <c r="BW110" s="73">
        <v>8.6140000000000008</v>
      </c>
      <c r="BX110" s="73">
        <v>1.9390000000000001</v>
      </c>
      <c r="BY110" s="73">
        <v>6.3159999999999998</v>
      </c>
      <c r="BZ110" s="73">
        <v>0.89</v>
      </c>
      <c r="CA110" s="73">
        <v>4.577</v>
      </c>
      <c r="CB110" s="73">
        <v>0.89100000000000001</v>
      </c>
      <c r="CC110" s="73">
        <v>2.3490000000000002</v>
      </c>
      <c r="CD110" s="73">
        <v>0.33300000000000002</v>
      </c>
      <c r="CE110" s="73">
        <v>1.9830000000000001</v>
      </c>
      <c r="CF110" s="73">
        <v>0.309</v>
      </c>
      <c r="CG110" s="73">
        <v>4.335</v>
      </c>
      <c r="CH110" s="73">
        <v>0.51100000000000001</v>
      </c>
      <c r="CI110" s="73">
        <v>1.276</v>
      </c>
      <c r="CJ110" s="73">
        <v>0.503</v>
      </c>
      <c r="CK110" s="73">
        <v>37.6</v>
      </c>
      <c r="CL110" s="73">
        <v>0.13</v>
      </c>
      <c r="CM110" s="73">
        <v>9.0860000000000003</v>
      </c>
      <c r="CN110" s="73">
        <v>2.6160000000000001</v>
      </c>
      <c r="CP110" s="136">
        <f t="shared" si="25"/>
        <v>2.9472618076045789</v>
      </c>
      <c r="CQ110" s="136">
        <f t="shared" si="26"/>
        <v>1.9377754059083463</v>
      </c>
      <c r="CR110" s="136" t="s">
        <v>288</v>
      </c>
      <c r="CS110" s="136">
        <f t="shared" si="28"/>
        <v>1.6790890586593392</v>
      </c>
      <c r="CT110" s="136">
        <f t="shared" si="29"/>
        <v>2.7263459859244277</v>
      </c>
      <c r="CU110" s="136">
        <f t="shared" si="30"/>
        <v>1.5710213628903811</v>
      </c>
      <c r="CV110" s="136">
        <f t="shared" si="31"/>
        <v>6.8810119637829139</v>
      </c>
      <c r="CW110" s="136">
        <f t="shared" si="32"/>
        <v>9.1942840850772196</v>
      </c>
      <c r="CX110" s="136" t="s">
        <v>288</v>
      </c>
      <c r="CY110" s="136">
        <f t="shared" si="34"/>
        <v>13.239240495982392</v>
      </c>
      <c r="CZ110" s="136">
        <f t="shared" si="35"/>
        <v>-5.7751694244525895</v>
      </c>
      <c r="DA110" s="136">
        <f t="shared" si="36"/>
        <v>10.464545614198521</v>
      </c>
      <c r="DB110" s="22"/>
      <c r="DC110" s="141">
        <f t="shared" si="20"/>
        <v>1.7333333333333334</v>
      </c>
      <c r="DD110" s="141">
        <f t="shared" si="21"/>
        <v>9.4E-2</v>
      </c>
      <c r="DE110" s="141" t="s">
        <v>288</v>
      </c>
      <c r="DF110" s="141">
        <f t="shared" si="23"/>
        <v>2.2218749999999998</v>
      </c>
      <c r="DG110" s="141">
        <f t="shared" si="37"/>
        <v>2.4899999999999999E-2</v>
      </c>
      <c r="DH110" s="141">
        <f t="shared" si="24"/>
        <v>1.0515999999999999</v>
      </c>
    </row>
    <row r="111" spans="1:112" s="28" customFormat="1">
      <c r="A111" s="38"/>
      <c r="F111" s="38"/>
      <c r="V111" s="21" t="s">
        <v>292</v>
      </c>
      <c r="W111" s="20" t="s">
        <v>188</v>
      </c>
      <c r="X111" s="15" t="s">
        <v>343</v>
      </c>
      <c r="Y111" s="17">
        <v>0.19523199999999999</v>
      </c>
      <c r="Z111" s="17">
        <v>34.751345000000001</v>
      </c>
      <c r="AA111" s="17" t="s">
        <v>355</v>
      </c>
      <c r="AB111" s="17" t="s">
        <v>330</v>
      </c>
      <c r="AC111" s="6" t="s">
        <v>347</v>
      </c>
      <c r="AD111" s="14" t="s">
        <v>371</v>
      </c>
      <c r="AE111" s="65" t="s">
        <v>687</v>
      </c>
      <c r="AF111" s="21" t="s">
        <v>361</v>
      </c>
      <c r="AG111" s="17" t="s">
        <v>685</v>
      </c>
      <c r="AH111" s="35" t="s">
        <v>690</v>
      </c>
      <c r="AI111" s="24" t="s">
        <v>288</v>
      </c>
      <c r="AJ111" s="24" t="s">
        <v>288</v>
      </c>
      <c r="AK111" s="24" t="s">
        <v>288</v>
      </c>
      <c r="AL111" s="73">
        <v>9.9</v>
      </c>
      <c r="AM111" s="73">
        <v>3.44</v>
      </c>
      <c r="AN111" s="73">
        <v>817</v>
      </c>
      <c r="AO111" s="73">
        <v>4641</v>
      </c>
      <c r="AP111" s="73">
        <v>86277</v>
      </c>
      <c r="AQ111" s="73">
        <v>649</v>
      </c>
      <c r="AR111" s="73">
        <v>86</v>
      </c>
      <c r="AS111" s="73">
        <v>25040</v>
      </c>
      <c r="AT111" s="73">
        <v>1813</v>
      </c>
      <c r="AU111" s="73">
        <v>1466.9</v>
      </c>
      <c r="AV111" s="73">
        <v>159.69999999999999</v>
      </c>
      <c r="AW111" s="73">
        <v>102</v>
      </c>
      <c r="AX111" s="73">
        <v>1265</v>
      </c>
      <c r="AY111" s="73">
        <v>64548</v>
      </c>
      <c r="AZ111" s="73">
        <v>38.603000000000002</v>
      </c>
      <c r="BA111" s="73">
        <v>47.07</v>
      </c>
      <c r="BB111" s="73">
        <v>102.35</v>
      </c>
      <c r="BC111" s="73">
        <v>216</v>
      </c>
      <c r="BD111" s="73">
        <v>17.23</v>
      </c>
      <c r="BE111" s="73">
        <v>408.2</v>
      </c>
      <c r="BF111" s="73">
        <v>0.24</v>
      </c>
      <c r="BG111" s="73">
        <v>100.22</v>
      </c>
      <c r="BH111" s="73">
        <v>30.45</v>
      </c>
      <c r="BI111" s="73">
        <v>16.597999999999999</v>
      </c>
      <c r="BJ111" s="73">
        <v>127.54</v>
      </c>
      <c r="BK111" s="73">
        <v>7.5359999999999996</v>
      </c>
      <c r="BL111" s="73">
        <v>2.12</v>
      </c>
      <c r="BM111" s="73">
        <v>1.002</v>
      </c>
      <c r="BN111" s="73">
        <v>0.73899999999999999</v>
      </c>
      <c r="BO111" s="73">
        <v>1.1499999999999999</v>
      </c>
      <c r="BP111" s="73">
        <v>2.77</v>
      </c>
      <c r="BQ111" s="73">
        <v>3.7109999999999999</v>
      </c>
      <c r="BR111" s="73">
        <v>618</v>
      </c>
      <c r="BS111" s="73">
        <v>29.808</v>
      </c>
      <c r="BT111" s="73">
        <v>73.927999999999997</v>
      </c>
      <c r="BU111" s="73">
        <v>6.569</v>
      </c>
      <c r="BV111" s="73">
        <v>25.2</v>
      </c>
      <c r="BW111" s="73">
        <v>4.5229999999999997</v>
      </c>
      <c r="BX111" s="73">
        <v>1.149</v>
      </c>
      <c r="BY111" s="73">
        <v>3.4940000000000002</v>
      </c>
      <c r="BZ111" s="73">
        <v>0.52500000000000002</v>
      </c>
      <c r="CA111" s="73">
        <v>2.9780000000000002</v>
      </c>
      <c r="CB111" s="73">
        <v>0.61899999999999999</v>
      </c>
      <c r="CC111" s="73">
        <v>1.7989999999999999</v>
      </c>
      <c r="CD111" s="73">
        <v>0.27500000000000002</v>
      </c>
      <c r="CE111" s="73">
        <v>1.784</v>
      </c>
      <c r="CF111" s="73">
        <v>0.28100000000000003</v>
      </c>
      <c r="CG111" s="73">
        <v>3.5630000000000002</v>
      </c>
      <c r="CH111" s="73">
        <v>0.46200000000000002</v>
      </c>
      <c r="CI111" s="73">
        <v>6.9480000000000004</v>
      </c>
      <c r="CJ111" s="73">
        <v>0.50900000000000001</v>
      </c>
      <c r="CK111" s="73">
        <v>197.6</v>
      </c>
      <c r="CL111" s="73">
        <v>0.5</v>
      </c>
      <c r="CM111" s="73">
        <v>5.6269999999999998</v>
      </c>
      <c r="CN111" s="73">
        <v>2.254</v>
      </c>
      <c r="CP111" s="136">
        <f t="shared" si="25"/>
        <v>32.74536150024241</v>
      </c>
      <c r="CQ111" s="136">
        <f t="shared" si="26"/>
        <v>5.7653269691276572</v>
      </c>
      <c r="CR111" s="136" t="s">
        <v>288</v>
      </c>
      <c r="CS111" s="136">
        <f t="shared" si="28"/>
        <v>0.68186078577182874</v>
      </c>
      <c r="CT111" s="136">
        <f t="shared" si="29"/>
        <v>4.5808647335034678</v>
      </c>
      <c r="CU111" s="136">
        <f t="shared" si="30"/>
        <v>0.79620905944629061</v>
      </c>
      <c r="CV111" s="136">
        <f t="shared" si="31"/>
        <v>11.17563271267454</v>
      </c>
      <c r="CW111" s="136">
        <f t="shared" si="32"/>
        <v>11.588062464984262</v>
      </c>
      <c r="CX111" s="136" t="s">
        <v>288</v>
      </c>
      <c r="CY111" s="136">
        <f t="shared" si="34"/>
        <v>12.759888183221836</v>
      </c>
      <c r="CZ111" s="136">
        <f t="shared" si="35"/>
        <v>-4.2057408023745202</v>
      </c>
      <c r="DA111" s="136">
        <f t="shared" si="36"/>
        <v>10.304839325269729</v>
      </c>
      <c r="DB111" s="22"/>
      <c r="DC111" s="141">
        <f t="shared" si="20"/>
        <v>34.016666666666666</v>
      </c>
      <c r="DD111" s="141">
        <f t="shared" si="21"/>
        <v>0.49399999999999999</v>
      </c>
      <c r="DE111" s="141" t="s">
        <v>288</v>
      </c>
      <c r="DF111" s="141">
        <f t="shared" si="23"/>
        <v>1.59375</v>
      </c>
      <c r="DG111" s="141">
        <f t="shared" si="37"/>
        <v>7.3899999999999993E-2</v>
      </c>
      <c r="DH111" s="141">
        <f t="shared" si="24"/>
        <v>0.94140000000000001</v>
      </c>
    </row>
    <row r="112" spans="1:112" s="28" customFormat="1">
      <c r="A112" s="38"/>
      <c r="F112" s="38"/>
      <c r="V112" s="21" t="s">
        <v>293</v>
      </c>
      <c r="W112" s="20" t="s">
        <v>206</v>
      </c>
      <c r="X112" s="15" t="s">
        <v>341</v>
      </c>
      <c r="Y112" s="17">
        <v>0.21768199999999999</v>
      </c>
      <c r="Z112" s="17">
        <v>34.802346</v>
      </c>
      <c r="AA112" s="17" t="s">
        <v>356</v>
      </c>
      <c r="AB112" s="17" t="s">
        <v>330</v>
      </c>
      <c r="AC112" s="6" t="s">
        <v>347</v>
      </c>
      <c r="AD112" s="14" t="s">
        <v>371</v>
      </c>
      <c r="AE112" s="65" t="s">
        <v>687</v>
      </c>
      <c r="AF112" s="21" t="s">
        <v>361</v>
      </c>
      <c r="AG112" s="17" t="s">
        <v>685</v>
      </c>
      <c r="AH112" s="35" t="s">
        <v>690</v>
      </c>
      <c r="AI112" s="24" t="s">
        <v>288</v>
      </c>
      <c r="AJ112" s="24" t="s">
        <v>288</v>
      </c>
      <c r="AK112" s="24" t="s">
        <v>288</v>
      </c>
      <c r="AL112" s="73">
        <v>6.4</v>
      </c>
      <c r="AM112" s="73">
        <v>0.98</v>
      </c>
      <c r="AN112" s="73">
        <v>1897</v>
      </c>
      <c r="AO112" s="73">
        <v>1837</v>
      </c>
      <c r="AP112" s="73">
        <v>42976</v>
      </c>
      <c r="AQ112" s="73">
        <v>352</v>
      </c>
      <c r="AR112" s="73">
        <v>145</v>
      </c>
      <c r="AS112" s="73">
        <v>12160</v>
      </c>
      <c r="AT112" s="73">
        <v>1703</v>
      </c>
      <c r="AU112" s="73">
        <v>1928</v>
      </c>
      <c r="AV112" s="73">
        <v>65.400000000000006</v>
      </c>
      <c r="AW112" s="73">
        <v>112.1</v>
      </c>
      <c r="AX112" s="73">
        <v>1018.4</v>
      </c>
      <c r="AY112" s="73">
        <v>24201</v>
      </c>
      <c r="AZ112" s="73">
        <v>16.353000000000002</v>
      </c>
      <c r="BA112" s="73">
        <v>17.72</v>
      </c>
      <c r="BB112" s="73">
        <v>58.09</v>
      </c>
      <c r="BC112" s="73">
        <v>42</v>
      </c>
      <c r="BD112" s="73">
        <v>9.51</v>
      </c>
      <c r="BE112" s="73">
        <v>44.8</v>
      </c>
      <c r="BF112" s="73">
        <v>0.56999999999999995</v>
      </c>
      <c r="BG112" s="73">
        <v>54.52</v>
      </c>
      <c r="BH112" s="73">
        <v>50.88</v>
      </c>
      <c r="BI112" s="73">
        <v>10.367000000000001</v>
      </c>
      <c r="BJ112" s="73">
        <v>93.92</v>
      </c>
      <c r="BK112" s="73">
        <v>13.766999999999999</v>
      </c>
      <c r="BL112" s="73">
        <v>1.86</v>
      </c>
      <c r="BM112" s="73">
        <v>1.7769999999999999</v>
      </c>
      <c r="BN112" s="73">
        <v>0.121</v>
      </c>
      <c r="BO112" s="73">
        <v>1.37</v>
      </c>
      <c r="BP112" s="73">
        <v>1.101</v>
      </c>
      <c r="BQ112" s="73">
        <v>2.4089999999999998</v>
      </c>
      <c r="BR112" s="73">
        <v>442.65</v>
      </c>
      <c r="BS112" s="73">
        <v>24.533000000000001</v>
      </c>
      <c r="BT112" s="73">
        <v>84.293999999999997</v>
      </c>
      <c r="BU112" s="73">
        <v>4.7699999999999996</v>
      </c>
      <c r="BV112" s="73">
        <v>17.11</v>
      </c>
      <c r="BW112" s="73">
        <v>3.0289999999999999</v>
      </c>
      <c r="BX112" s="73">
        <v>0.64300000000000002</v>
      </c>
      <c r="BY112" s="73">
        <v>2.2839999999999998</v>
      </c>
      <c r="BZ112" s="73">
        <v>0.33400000000000002</v>
      </c>
      <c r="CA112" s="73">
        <v>1.835</v>
      </c>
      <c r="CB112" s="73">
        <v>0.37</v>
      </c>
      <c r="CC112" s="73">
        <v>1.0660000000000001</v>
      </c>
      <c r="CD112" s="73">
        <v>0.16500000000000001</v>
      </c>
      <c r="CE112" s="73">
        <v>1.0449999999999999</v>
      </c>
      <c r="CF112" s="73">
        <v>0.17499999999999999</v>
      </c>
      <c r="CG112" s="73">
        <v>2.7469999999999999</v>
      </c>
      <c r="CH112" s="73">
        <v>0.79900000000000004</v>
      </c>
      <c r="CI112" s="73">
        <v>2.306</v>
      </c>
      <c r="CJ112" s="73">
        <v>0.33400000000000002</v>
      </c>
      <c r="CK112" s="73">
        <v>36.5</v>
      </c>
      <c r="CL112" s="73">
        <v>11.93</v>
      </c>
      <c r="CM112" s="73">
        <v>7.0709999999999997</v>
      </c>
      <c r="CN112" s="73">
        <v>1.8</v>
      </c>
      <c r="CP112" s="136">
        <f t="shared" si="25"/>
        <v>9.5852684745647352</v>
      </c>
      <c r="CQ112" s="136">
        <f t="shared" si="26"/>
        <v>2.8403989625681096</v>
      </c>
      <c r="CR112" s="136" t="s">
        <v>288</v>
      </c>
      <c r="CS112" s="136">
        <f t="shared" si="28"/>
        <v>1.9987139062475949</v>
      </c>
      <c r="CT112" s="136">
        <f t="shared" si="29"/>
        <v>2.0004968802942025</v>
      </c>
      <c r="CU112" s="136">
        <f t="shared" si="30"/>
        <v>0.79945884663885036</v>
      </c>
      <c r="CV112" s="136">
        <f t="shared" si="31"/>
        <v>7.9879271676994259</v>
      </c>
      <c r="CW112" s="136">
        <f t="shared" si="32"/>
        <v>9.1514478871669631</v>
      </c>
      <c r="CX112" s="136" t="s">
        <v>288</v>
      </c>
      <c r="CY112" s="136">
        <f t="shared" si="34"/>
        <v>12.896105309168403</v>
      </c>
      <c r="CZ112" s="136">
        <f t="shared" si="35"/>
        <v>-6.8163081192460764</v>
      </c>
      <c r="DA112" s="136">
        <f t="shared" si="36"/>
        <v>8.8954100761354926</v>
      </c>
      <c r="DB112" s="22"/>
      <c r="DC112" s="141">
        <f t="shared" si="20"/>
        <v>3.7333333333333329</v>
      </c>
      <c r="DD112" s="141">
        <f t="shared" si="21"/>
        <v>9.1249999999999998E-2</v>
      </c>
      <c r="DE112" s="141" t="s">
        <v>288</v>
      </c>
      <c r="DF112" s="141">
        <f t="shared" si="23"/>
        <v>1.7515624999999999</v>
      </c>
      <c r="DG112" s="141">
        <f t="shared" si="37"/>
        <v>1.21E-2</v>
      </c>
      <c r="DH112" s="141">
        <f t="shared" si="24"/>
        <v>0.35439999999999999</v>
      </c>
    </row>
    <row r="113" spans="1:112" s="28" customFormat="1">
      <c r="A113" s="38"/>
      <c r="F113" s="38"/>
      <c r="V113" s="21" t="s">
        <v>294</v>
      </c>
      <c r="W113" s="20" t="s">
        <v>240</v>
      </c>
      <c r="X113" s="15" t="s">
        <v>341</v>
      </c>
      <c r="Y113" s="17">
        <v>0.10542700000000001</v>
      </c>
      <c r="Z113" s="17">
        <v>34.698397999999997</v>
      </c>
      <c r="AA113" s="17" t="s">
        <v>359</v>
      </c>
      <c r="AB113" s="17" t="s">
        <v>334</v>
      </c>
      <c r="AC113" s="6" t="s">
        <v>347</v>
      </c>
      <c r="AD113" s="14" t="s">
        <v>371</v>
      </c>
      <c r="AE113" s="65" t="s">
        <v>687</v>
      </c>
      <c r="AF113" s="21" t="s">
        <v>365</v>
      </c>
      <c r="AG113" s="17" t="s">
        <v>685</v>
      </c>
      <c r="AH113" s="35" t="s">
        <v>691</v>
      </c>
      <c r="AI113" s="24" t="s">
        <v>288</v>
      </c>
      <c r="AJ113" s="24" t="s">
        <v>288</v>
      </c>
      <c r="AK113" s="24" t="s">
        <v>288</v>
      </c>
      <c r="AL113" s="73">
        <v>25.4</v>
      </c>
      <c r="AM113" s="73">
        <v>1.6</v>
      </c>
      <c r="AN113" s="73">
        <v>7790</v>
      </c>
      <c r="AO113" s="73">
        <v>7212</v>
      </c>
      <c r="AP113" s="73">
        <v>68769</v>
      </c>
      <c r="AQ113" s="73">
        <v>405</v>
      </c>
      <c r="AR113" s="73">
        <v>3802</v>
      </c>
      <c r="AS113" s="73">
        <v>16870</v>
      </c>
      <c r="AT113" s="73">
        <v>10832</v>
      </c>
      <c r="AU113" s="73">
        <v>1932.2</v>
      </c>
      <c r="AV113" s="73">
        <v>111.9</v>
      </c>
      <c r="AW113" s="73">
        <v>183</v>
      </c>
      <c r="AX113" s="73">
        <v>884.1</v>
      </c>
      <c r="AY113" s="73">
        <v>38304</v>
      </c>
      <c r="AZ113" s="73">
        <v>25.526</v>
      </c>
      <c r="BA113" s="73">
        <v>57.05</v>
      </c>
      <c r="BB113" s="73">
        <v>72.13</v>
      </c>
      <c r="BC113" s="73">
        <v>204</v>
      </c>
      <c r="BD113" s="73">
        <v>14.67</v>
      </c>
      <c r="BE113" s="73">
        <v>4062.8</v>
      </c>
      <c r="BF113" s="73">
        <v>0.84</v>
      </c>
      <c r="BG113" s="73">
        <v>64.2</v>
      </c>
      <c r="BH113" s="73">
        <v>121.77</v>
      </c>
      <c r="BI113" s="73">
        <v>14.326000000000001</v>
      </c>
      <c r="BJ113" s="73">
        <v>86.26</v>
      </c>
      <c r="BK113" s="73">
        <v>8.9979999999999993</v>
      </c>
      <c r="BL113" s="73">
        <v>5.78</v>
      </c>
      <c r="BM113" s="73">
        <v>1.3879999999999999</v>
      </c>
      <c r="BN113" s="73">
        <v>2.093</v>
      </c>
      <c r="BO113" s="73">
        <v>1.45</v>
      </c>
      <c r="BP113" s="73">
        <v>5.6180000000000003</v>
      </c>
      <c r="BQ113" s="73">
        <v>3.992</v>
      </c>
      <c r="BR113" s="73">
        <v>382.44</v>
      </c>
      <c r="BS113" s="73">
        <v>26.038</v>
      </c>
      <c r="BT113" s="73">
        <v>53.506</v>
      </c>
      <c r="BU113" s="73">
        <v>5.6710000000000003</v>
      </c>
      <c r="BV113" s="73">
        <v>21.71</v>
      </c>
      <c r="BW113" s="73">
        <v>3.9729999999999999</v>
      </c>
      <c r="BX113" s="73">
        <v>0.97399999999999998</v>
      </c>
      <c r="BY113" s="73">
        <v>3.2240000000000002</v>
      </c>
      <c r="BZ113" s="73">
        <v>0.48499999999999999</v>
      </c>
      <c r="CA113" s="73">
        <v>2.64</v>
      </c>
      <c r="CB113" s="73">
        <v>0.53400000000000003</v>
      </c>
      <c r="CC113" s="73">
        <v>1.5049999999999999</v>
      </c>
      <c r="CD113" s="73">
        <v>0.22700000000000001</v>
      </c>
      <c r="CE113" s="73">
        <v>1.4079999999999999</v>
      </c>
      <c r="CF113" s="73">
        <v>0.218</v>
      </c>
      <c r="CG113" s="73">
        <v>2.569</v>
      </c>
      <c r="CH113" s="73">
        <v>0.51200000000000001</v>
      </c>
      <c r="CI113" s="73">
        <v>20.61</v>
      </c>
      <c r="CJ113" s="73">
        <v>0.57799999999999996</v>
      </c>
      <c r="CK113" s="73">
        <v>230.1</v>
      </c>
      <c r="CL113" s="73">
        <v>8.23</v>
      </c>
      <c r="CM113" s="73">
        <v>5.883</v>
      </c>
      <c r="CN113" s="73">
        <v>2.637</v>
      </c>
      <c r="CP113" s="136">
        <f t="shared" si="25"/>
        <v>549.21310844513243</v>
      </c>
      <c r="CQ113" s="136">
        <f t="shared" si="26"/>
        <v>11.313377598494524</v>
      </c>
      <c r="CR113" s="136" t="s">
        <v>288</v>
      </c>
      <c r="CS113" s="136">
        <f t="shared" si="28"/>
        <v>2.0615092802471868</v>
      </c>
      <c r="CT113" s="136">
        <f t="shared" si="29"/>
        <v>21.863058629053697</v>
      </c>
      <c r="CU113" s="136">
        <f t="shared" si="30"/>
        <v>1.6262122448139491</v>
      </c>
      <c r="CV113" s="136">
        <f t="shared" si="31"/>
        <v>14.490758971766169</v>
      </c>
      <c r="CW113" s="136">
        <f t="shared" si="32"/>
        <v>11.807740501623671</v>
      </c>
      <c r="CX113" s="136" t="s">
        <v>288</v>
      </c>
      <c r="CY113" s="136">
        <f t="shared" si="34"/>
        <v>13.603162679534382</v>
      </c>
      <c r="CZ113" s="136">
        <f t="shared" si="35"/>
        <v>-2.7038147602649616</v>
      </c>
      <c r="DA113" s="136">
        <f t="shared" si="36"/>
        <v>10.582258358756519</v>
      </c>
      <c r="DB113" s="22"/>
      <c r="DC113" s="141">
        <f t="shared" si="20"/>
        <v>338.56666666666666</v>
      </c>
      <c r="DD113" s="141">
        <f t="shared" si="21"/>
        <v>0.57525000000000004</v>
      </c>
      <c r="DE113" s="141" t="s">
        <v>288</v>
      </c>
      <c r="DF113" s="141">
        <f t="shared" si="23"/>
        <v>2.859375</v>
      </c>
      <c r="DG113" s="141">
        <f t="shared" si="37"/>
        <v>0.20929999999999999</v>
      </c>
      <c r="DH113" s="141">
        <f t="shared" si="24"/>
        <v>1.141</v>
      </c>
    </row>
    <row r="114" spans="1:112" s="28" customFormat="1">
      <c r="A114" s="38"/>
      <c r="F114" s="38"/>
      <c r="V114" s="21" t="s">
        <v>295</v>
      </c>
      <c r="W114" s="20" t="s">
        <v>260</v>
      </c>
      <c r="X114" s="15" t="s">
        <v>342</v>
      </c>
      <c r="Y114" s="17">
        <v>0.10333000000000001</v>
      </c>
      <c r="Z114" s="17">
        <v>34.713628999999997</v>
      </c>
      <c r="AA114" s="17" t="s">
        <v>335</v>
      </c>
      <c r="AB114" s="17" t="s">
        <v>334</v>
      </c>
      <c r="AC114" s="6" t="s">
        <v>347</v>
      </c>
      <c r="AD114" s="14" t="s">
        <v>371</v>
      </c>
      <c r="AE114" s="65" t="s">
        <v>687</v>
      </c>
      <c r="AF114" s="21" t="s">
        <v>365</v>
      </c>
      <c r="AG114" s="17" t="s">
        <v>685</v>
      </c>
      <c r="AH114" s="35" t="s">
        <v>691</v>
      </c>
      <c r="AI114" s="24" t="s">
        <v>288</v>
      </c>
      <c r="AJ114" s="24" t="s">
        <v>288</v>
      </c>
      <c r="AK114" s="24" t="s">
        <v>288</v>
      </c>
      <c r="AL114" s="73">
        <v>21.8</v>
      </c>
      <c r="AM114" s="73">
        <v>1.1100000000000001</v>
      </c>
      <c r="AN114" s="73">
        <v>17783</v>
      </c>
      <c r="AO114" s="73">
        <v>12129</v>
      </c>
      <c r="AP114" s="73">
        <v>75051</v>
      </c>
      <c r="AQ114" s="73">
        <v>1182</v>
      </c>
      <c r="AR114" s="73">
        <v>5627</v>
      </c>
      <c r="AS114" s="73">
        <v>17317</v>
      </c>
      <c r="AT114" s="73">
        <v>41506</v>
      </c>
      <c r="AU114" s="73">
        <v>2805.3</v>
      </c>
      <c r="AV114" s="73">
        <v>63.2</v>
      </c>
      <c r="AW114" s="73">
        <v>76.099999999999994</v>
      </c>
      <c r="AX114" s="73">
        <v>789.6</v>
      </c>
      <c r="AY114" s="73">
        <v>29725</v>
      </c>
      <c r="AZ114" s="73">
        <v>20.581</v>
      </c>
      <c r="BA114" s="73">
        <v>50.85</v>
      </c>
      <c r="BB114" s="73">
        <v>18.510000000000002</v>
      </c>
      <c r="BC114" s="73">
        <v>95</v>
      </c>
      <c r="BD114" s="73">
        <v>14.79</v>
      </c>
      <c r="BE114" s="73">
        <v>7890.2</v>
      </c>
      <c r="BF114" s="73">
        <v>0.22</v>
      </c>
      <c r="BG114" s="73">
        <v>47.76</v>
      </c>
      <c r="BH114" s="73">
        <v>506.08</v>
      </c>
      <c r="BI114" s="73">
        <v>8.9740000000000002</v>
      </c>
      <c r="BJ114" s="73">
        <v>68.89</v>
      </c>
      <c r="BK114" s="73">
        <v>5.4039999999999999</v>
      </c>
      <c r="BL114" s="73">
        <v>0.99</v>
      </c>
      <c r="BM114" s="73">
        <v>2.83</v>
      </c>
      <c r="BN114" s="73">
        <v>0.83499999999999996</v>
      </c>
      <c r="BO114" s="73">
        <v>0.75</v>
      </c>
      <c r="BP114" s="73">
        <v>2.9630000000000001</v>
      </c>
      <c r="BQ114" s="73">
        <v>2.5299999999999998</v>
      </c>
      <c r="BR114" s="73">
        <v>349.23</v>
      </c>
      <c r="BS114" s="73">
        <v>26.486999999999998</v>
      </c>
      <c r="BT114" s="73">
        <v>66.816999999999993</v>
      </c>
      <c r="BU114" s="73">
        <v>7.3739999999999997</v>
      </c>
      <c r="BV114" s="73">
        <v>30.39</v>
      </c>
      <c r="BW114" s="73">
        <v>5.1959999999999997</v>
      </c>
      <c r="BX114" s="73">
        <v>1.409</v>
      </c>
      <c r="BY114" s="73">
        <v>3.5369999999999999</v>
      </c>
      <c r="BZ114" s="73">
        <v>0.42</v>
      </c>
      <c r="CA114" s="73">
        <v>1.925</v>
      </c>
      <c r="CB114" s="73">
        <v>0.34799999999999998</v>
      </c>
      <c r="CC114" s="73">
        <v>0.88</v>
      </c>
      <c r="CD114" s="73">
        <v>0.11700000000000001</v>
      </c>
      <c r="CE114" s="73">
        <v>0.68899999999999995</v>
      </c>
      <c r="CF114" s="73">
        <v>9.6000000000000002E-2</v>
      </c>
      <c r="CG114" s="73">
        <v>2.0430000000000001</v>
      </c>
      <c r="CH114" s="73">
        <v>0.33700000000000002</v>
      </c>
      <c r="CI114" s="73">
        <v>1.5589999999999999</v>
      </c>
      <c r="CJ114" s="73">
        <v>0.27100000000000002</v>
      </c>
      <c r="CK114" s="73">
        <v>69.099999999999994</v>
      </c>
      <c r="CL114" s="73">
        <v>3.9</v>
      </c>
      <c r="CM114" s="73">
        <v>2.4750000000000001</v>
      </c>
      <c r="CN114" s="73">
        <v>0.57699999999999996</v>
      </c>
      <c r="CP114" s="136">
        <f t="shared" si="25"/>
        <v>1374.4398161579181</v>
      </c>
      <c r="CQ114" s="136">
        <f t="shared" si="26"/>
        <v>4.3780022118312454</v>
      </c>
      <c r="CR114" s="136" t="s">
        <v>288</v>
      </c>
      <c r="CS114" s="136">
        <f t="shared" si="28"/>
        <v>1.1046917907617211</v>
      </c>
      <c r="CT114" s="136">
        <f t="shared" si="29"/>
        <v>11.23958903585901</v>
      </c>
      <c r="CU114" s="136">
        <f t="shared" si="30"/>
        <v>1.8678190512176551</v>
      </c>
      <c r="CV114" s="136">
        <f t="shared" si="31"/>
        <v>15.44834649518301</v>
      </c>
      <c r="CW114" s="136">
        <f t="shared" si="32"/>
        <v>10.072237133787841</v>
      </c>
      <c r="CX114" s="136" t="s">
        <v>288</v>
      </c>
      <c r="CY114" s="136">
        <f t="shared" si="34"/>
        <v>12.337287389866523</v>
      </c>
      <c r="CZ114" s="136">
        <f t="shared" si="35"/>
        <v>-4.0295389691592556</v>
      </c>
      <c r="DA114" s="136">
        <f t="shared" si="36"/>
        <v>10.416279246325336</v>
      </c>
      <c r="DB114" s="22"/>
      <c r="DC114" s="141">
        <f t="shared" si="20"/>
        <v>657.51666666666665</v>
      </c>
      <c r="DD114" s="141">
        <f t="shared" si="21"/>
        <v>0.17274999999999999</v>
      </c>
      <c r="DE114" s="141" t="s">
        <v>288</v>
      </c>
      <c r="DF114" s="141">
        <f t="shared" si="23"/>
        <v>1.1890624999999999</v>
      </c>
      <c r="DG114" s="141">
        <f t="shared" si="37"/>
        <v>8.3499999999999991E-2</v>
      </c>
      <c r="DH114" s="141">
        <f t="shared" si="24"/>
        <v>1.0170000000000001</v>
      </c>
    </row>
    <row r="115" spans="1:112" s="28" customFormat="1">
      <c r="A115" s="38"/>
      <c r="F115" s="38"/>
      <c r="V115" s="21" t="s">
        <v>296</v>
      </c>
      <c r="W115" s="20" t="s">
        <v>282</v>
      </c>
      <c r="X115" s="15" t="s">
        <v>342</v>
      </c>
      <c r="Y115" s="17">
        <v>0.156392</v>
      </c>
      <c r="Z115" s="17">
        <v>34.817486000000002</v>
      </c>
      <c r="AA115" s="17" t="s">
        <v>360</v>
      </c>
      <c r="AB115" s="17" t="s">
        <v>330</v>
      </c>
      <c r="AC115" s="6" t="s">
        <v>347</v>
      </c>
      <c r="AD115" s="14" t="s">
        <v>371</v>
      </c>
      <c r="AE115" s="65" t="s">
        <v>687</v>
      </c>
      <c r="AF115" s="21" t="s">
        <v>365</v>
      </c>
      <c r="AG115" s="17" t="s">
        <v>685</v>
      </c>
      <c r="AH115" s="35" t="s">
        <v>691</v>
      </c>
      <c r="AI115" s="24" t="s">
        <v>288</v>
      </c>
      <c r="AJ115" s="24" t="s">
        <v>288</v>
      </c>
      <c r="AK115" s="24" t="s">
        <v>288</v>
      </c>
      <c r="AL115" s="73">
        <v>12.7</v>
      </c>
      <c r="AM115" s="73">
        <v>0.72</v>
      </c>
      <c r="AN115" s="73">
        <v>9032</v>
      </c>
      <c r="AO115" s="73">
        <v>2867</v>
      </c>
      <c r="AP115" s="73">
        <v>29537</v>
      </c>
      <c r="AQ115" s="73">
        <v>113</v>
      </c>
      <c r="AR115" s="73">
        <v>1526</v>
      </c>
      <c r="AS115" s="73">
        <v>9948</v>
      </c>
      <c r="AT115" s="73">
        <v>3523</v>
      </c>
      <c r="AU115" s="73">
        <v>715</v>
      </c>
      <c r="AV115" s="73">
        <v>17.2</v>
      </c>
      <c r="AW115" s="73">
        <v>78.400000000000006</v>
      </c>
      <c r="AX115" s="73">
        <v>110.3</v>
      </c>
      <c r="AY115" s="73">
        <v>7512</v>
      </c>
      <c r="AZ115" s="73">
        <v>3.1419999999999999</v>
      </c>
      <c r="BA115" s="73">
        <v>7.08</v>
      </c>
      <c r="BB115" s="73">
        <v>9.48</v>
      </c>
      <c r="BC115" s="73">
        <v>34</v>
      </c>
      <c r="BD115" s="73">
        <v>5.9</v>
      </c>
      <c r="BE115" s="73">
        <v>514.4</v>
      </c>
      <c r="BF115" s="73">
        <v>0.11</v>
      </c>
      <c r="BG115" s="73">
        <v>39.619999999999997</v>
      </c>
      <c r="BH115" s="73">
        <v>68.63</v>
      </c>
      <c r="BI115" s="73">
        <v>5.3410000000000002</v>
      </c>
      <c r="BJ115" s="73">
        <v>33.880000000000003</v>
      </c>
      <c r="BK115" s="73">
        <v>2.0299999999999998</v>
      </c>
      <c r="BL115" s="73">
        <v>1.1599999999999999</v>
      </c>
      <c r="BM115" s="73">
        <v>1.0429999999999999</v>
      </c>
      <c r="BN115" s="73">
        <v>0.13500000000000001</v>
      </c>
      <c r="BO115" s="73">
        <v>0.49</v>
      </c>
      <c r="BP115" s="73">
        <v>1.2849999999999999</v>
      </c>
      <c r="BQ115" s="73">
        <v>1.679</v>
      </c>
      <c r="BR115" s="73">
        <v>261.37</v>
      </c>
      <c r="BS115" s="73">
        <v>21.48</v>
      </c>
      <c r="BT115" s="73">
        <v>38.661999999999999</v>
      </c>
      <c r="BU115" s="73">
        <v>4.0739999999999998</v>
      </c>
      <c r="BV115" s="73">
        <v>14.05</v>
      </c>
      <c r="BW115" s="73">
        <v>2.0779999999999998</v>
      </c>
      <c r="BX115" s="73">
        <v>0.443</v>
      </c>
      <c r="BY115" s="73">
        <v>1.381</v>
      </c>
      <c r="BZ115" s="73">
        <v>0.192</v>
      </c>
      <c r="CA115" s="73">
        <v>1.0289999999999999</v>
      </c>
      <c r="CB115" s="73">
        <v>0.20399999999999999</v>
      </c>
      <c r="CC115" s="73">
        <v>0.57499999999999996</v>
      </c>
      <c r="CD115" s="73">
        <v>8.5999999999999993E-2</v>
      </c>
      <c r="CE115" s="73">
        <v>0.53600000000000003</v>
      </c>
      <c r="CF115" s="73">
        <v>0.08</v>
      </c>
      <c r="CG115" s="73">
        <v>1.1379999999999999</v>
      </c>
      <c r="CH115" s="73">
        <v>0.16300000000000001</v>
      </c>
      <c r="CI115" s="73">
        <v>2.9049999999999998</v>
      </c>
      <c r="CJ115" s="73">
        <v>0.27900000000000003</v>
      </c>
      <c r="CK115" s="73">
        <v>30.4</v>
      </c>
      <c r="CL115" s="73">
        <v>0.69</v>
      </c>
      <c r="CM115" s="73">
        <v>7.7450000000000001</v>
      </c>
      <c r="CN115" s="73">
        <v>1.871</v>
      </c>
      <c r="CP115" s="136">
        <f t="shared" si="25"/>
        <v>354.57242686211862</v>
      </c>
      <c r="CQ115" s="136">
        <f t="shared" si="26"/>
        <v>7.6214533710832315</v>
      </c>
      <c r="CR115" s="136" t="s">
        <v>288</v>
      </c>
      <c r="CS115" s="136">
        <f t="shared" si="28"/>
        <v>4.5033823007371216</v>
      </c>
      <c r="CT115" s="136">
        <f t="shared" si="29"/>
        <v>7.1905814333430156</v>
      </c>
      <c r="CU115" s="136">
        <f t="shared" si="30"/>
        <v>1.0290663690266251</v>
      </c>
      <c r="CV115" s="136">
        <f t="shared" si="31"/>
        <v>11.509247172969769</v>
      </c>
      <c r="CW115" s="136">
        <f t="shared" si="32"/>
        <v>8.887622746843169</v>
      </c>
      <c r="CX115" s="136" t="s">
        <v>288</v>
      </c>
      <c r="CY115" s="136">
        <f t="shared" si="34"/>
        <v>12.380244590478187</v>
      </c>
      <c r="CZ115" s="136">
        <f t="shared" si="35"/>
        <v>-6.6583557594698402</v>
      </c>
      <c r="DA115" s="136">
        <f t="shared" si="36"/>
        <v>7.5718527376634714</v>
      </c>
      <c r="DB115" s="22"/>
      <c r="DC115" s="141">
        <f t="shared" si="20"/>
        <v>42.866666666666667</v>
      </c>
      <c r="DD115" s="141">
        <f t="shared" si="21"/>
        <v>7.5999999999999998E-2</v>
      </c>
      <c r="DE115" s="141" t="s">
        <v>288</v>
      </c>
      <c r="DF115" s="141">
        <f t="shared" si="23"/>
        <v>1.2250000000000001</v>
      </c>
      <c r="DG115" s="141">
        <f t="shared" si="37"/>
        <v>1.3500000000000002E-2</v>
      </c>
      <c r="DH115" s="141">
        <f t="shared" si="24"/>
        <v>0.1416</v>
      </c>
    </row>
    <row r="116" spans="1:112" s="28" customFormat="1">
      <c r="A116" s="38"/>
      <c r="F116" s="38"/>
      <c r="V116" s="17" t="s">
        <v>305</v>
      </c>
      <c r="W116" s="17" t="s">
        <v>90</v>
      </c>
      <c r="X116" s="23">
        <v>43887</v>
      </c>
      <c r="Y116" s="45">
        <v>0.258245</v>
      </c>
      <c r="Z116" s="45">
        <v>34.717759999999998</v>
      </c>
      <c r="AA116" s="45" t="s">
        <v>332</v>
      </c>
      <c r="AB116" s="23" t="s">
        <v>330</v>
      </c>
      <c r="AC116" s="6" t="s">
        <v>347</v>
      </c>
      <c r="AD116" s="14" t="s">
        <v>371</v>
      </c>
      <c r="AE116" s="65" t="s">
        <v>687</v>
      </c>
      <c r="AF116" s="23" t="s">
        <v>364</v>
      </c>
      <c r="AG116" s="17" t="s">
        <v>685</v>
      </c>
      <c r="AH116" s="35" t="s">
        <v>690</v>
      </c>
      <c r="AI116" s="24">
        <v>2.4612637888158471</v>
      </c>
      <c r="AJ116" s="73">
        <v>6.57</v>
      </c>
      <c r="AK116" s="73">
        <v>1.65222</v>
      </c>
      <c r="AL116" s="73">
        <v>16</v>
      </c>
      <c r="AM116" s="73">
        <v>0.5</v>
      </c>
      <c r="AN116" s="73">
        <v>18391</v>
      </c>
      <c r="AO116" s="73">
        <v>14702</v>
      </c>
      <c r="AP116" s="73">
        <v>85580</v>
      </c>
      <c r="AQ116" s="73">
        <v>455</v>
      </c>
      <c r="AR116" s="73" t="s">
        <v>306</v>
      </c>
      <c r="AS116" s="73">
        <v>18301</v>
      </c>
      <c r="AT116" s="73">
        <v>12540</v>
      </c>
      <c r="AU116" s="73">
        <v>4106</v>
      </c>
      <c r="AV116" s="73">
        <v>173.6</v>
      </c>
      <c r="AW116" s="73">
        <v>173.5</v>
      </c>
      <c r="AX116" s="73">
        <v>782</v>
      </c>
      <c r="AY116" s="73">
        <v>59736</v>
      </c>
      <c r="AZ116" s="73">
        <v>38.090000000000003</v>
      </c>
      <c r="BA116" s="73">
        <v>50</v>
      </c>
      <c r="BB116" s="73">
        <v>209.6</v>
      </c>
      <c r="BC116" s="73">
        <v>85.5</v>
      </c>
      <c r="BD116" s="73">
        <v>16.760000000000002</v>
      </c>
      <c r="BE116" s="73">
        <v>10.6</v>
      </c>
      <c r="BF116" s="73">
        <v>0.05</v>
      </c>
      <c r="BG116" s="73">
        <v>62.7</v>
      </c>
      <c r="BH116" s="73">
        <v>289.3</v>
      </c>
      <c r="BI116" s="73">
        <v>11.079000000000001</v>
      </c>
      <c r="BJ116" s="73">
        <v>82.9</v>
      </c>
      <c r="BK116" s="73">
        <v>4.51</v>
      </c>
      <c r="BL116" s="73">
        <v>0.56999999999999995</v>
      </c>
      <c r="BM116" s="73">
        <v>0.33100000000000002</v>
      </c>
      <c r="BN116" s="73">
        <v>3.2000000000000001E-2</v>
      </c>
      <c r="BO116" s="73">
        <v>0.92</v>
      </c>
      <c r="BP116" s="73">
        <v>0.33600000000000002</v>
      </c>
      <c r="BQ116" s="73">
        <v>2.1110000000000002</v>
      </c>
      <c r="BR116" s="73">
        <v>853</v>
      </c>
      <c r="BS116" s="73">
        <v>30.49</v>
      </c>
      <c r="BT116" s="73">
        <v>54.05</v>
      </c>
      <c r="BU116" s="73">
        <v>7.53</v>
      </c>
      <c r="BV116" s="73">
        <v>30.62</v>
      </c>
      <c r="BW116" s="73">
        <v>5.4509999999999996</v>
      </c>
      <c r="BX116" s="73">
        <v>1.3180000000000001</v>
      </c>
      <c r="BY116" s="73">
        <v>3.9780000000000002</v>
      </c>
      <c r="BZ116" s="73">
        <v>0.45600000000000002</v>
      </c>
      <c r="CA116" s="73">
        <v>2.593</v>
      </c>
      <c r="CB116" s="73">
        <v>0.45700000000000002</v>
      </c>
      <c r="CC116" s="73">
        <v>1.3160000000000001</v>
      </c>
      <c r="CD116" s="73">
        <v>0.18099999999999999</v>
      </c>
      <c r="CE116" s="73">
        <v>1.256</v>
      </c>
      <c r="CF116" s="73">
        <v>0.192</v>
      </c>
      <c r="CG116" s="73">
        <v>2.2440000000000002</v>
      </c>
      <c r="CH116" s="73">
        <v>0.26500000000000001</v>
      </c>
      <c r="CI116" s="73">
        <v>139.328</v>
      </c>
      <c r="CJ116" s="73">
        <v>0.27100000000000002</v>
      </c>
      <c r="CK116" s="73">
        <v>5.76</v>
      </c>
      <c r="CL116" s="73">
        <v>66.900000000000006</v>
      </c>
      <c r="CM116" s="73">
        <v>4.3819999999999997</v>
      </c>
      <c r="CN116" s="73">
        <v>2.141</v>
      </c>
      <c r="CP116" s="136">
        <f t="shared" si="25"/>
        <v>0.91881760136758606</v>
      </c>
      <c r="CQ116" s="136">
        <f t="shared" si="26"/>
        <v>0.18159594126866813</v>
      </c>
      <c r="CR116" s="136">
        <f t="shared" si="27"/>
        <v>15.409308511246955</v>
      </c>
      <c r="CS116" s="136">
        <f t="shared" si="28"/>
        <v>1.2532614295383346</v>
      </c>
      <c r="CT116" s="136">
        <f t="shared" si="29"/>
        <v>0.21433823977014013</v>
      </c>
      <c r="CU116" s="136">
        <f t="shared" si="30"/>
        <v>0.91390188440815767</v>
      </c>
      <c r="CV116" s="136">
        <f t="shared" si="31"/>
        <v>5.9084927002050209</v>
      </c>
      <c r="CW116" s="136">
        <f t="shared" si="32"/>
        <v>6.4876921399545324</v>
      </c>
      <c r="CX116" s="136">
        <f t="shared" si="33"/>
        <v>15.565077196120072</v>
      </c>
      <c r="CY116" s="136">
        <f t="shared" si="34"/>
        <v>13.526254693828601</v>
      </c>
      <c r="CZ116" s="136">
        <f t="shared" si="35"/>
        <v>-8.7351713565206701</v>
      </c>
      <c r="DA116" s="136">
        <f t="shared" si="36"/>
        <v>10.391959567129923</v>
      </c>
      <c r="DB116" s="22"/>
      <c r="DC116" s="141">
        <f t="shared" si="20"/>
        <v>0.8833333333333333</v>
      </c>
      <c r="DD116" s="141">
        <f t="shared" si="21"/>
        <v>1.44E-2</v>
      </c>
      <c r="DE116" s="141">
        <f t="shared" si="22"/>
        <v>1.65222</v>
      </c>
      <c r="DF116" s="141">
        <f t="shared" si="23"/>
        <v>2.7109375</v>
      </c>
      <c r="DG116" s="141">
        <f>BN116/1.4</f>
        <v>2.2857142857142861E-2</v>
      </c>
      <c r="DH116" s="141">
        <f t="shared" si="24"/>
        <v>1</v>
      </c>
    </row>
    <row r="117" spans="1:112" s="28" customFormat="1">
      <c r="A117" s="38"/>
      <c r="F117" s="38"/>
      <c r="V117" s="17" t="s">
        <v>307</v>
      </c>
      <c r="W117" s="17" t="s">
        <v>137</v>
      </c>
      <c r="X117" s="23">
        <v>43888</v>
      </c>
      <c r="Y117" s="45">
        <v>0.25163200000000002</v>
      </c>
      <c r="Z117" s="45">
        <v>34.723950000000002</v>
      </c>
      <c r="AA117" s="45" t="s">
        <v>333</v>
      </c>
      <c r="AB117" s="23" t="s">
        <v>330</v>
      </c>
      <c r="AC117" s="6" t="s">
        <v>347</v>
      </c>
      <c r="AD117" s="14" t="s">
        <v>371</v>
      </c>
      <c r="AE117" s="66" t="s">
        <v>689</v>
      </c>
      <c r="AF117" s="23" t="s">
        <v>369</v>
      </c>
      <c r="AG117" s="17" t="s">
        <v>685</v>
      </c>
      <c r="AH117" s="35" t="s">
        <v>691</v>
      </c>
      <c r="AI117" s="24">
        <v>1.9269935766880419</v>
      </c>
      <c r="AJ117" s="73">
        <v>7.85</v>
      </c>
      <c r="AK117" s="73">
        <v>2.9848599999999998</v>
      </c>
      <c r="AL117" s="73">
        <v>23</v>
      </c>
      <c r="AM117" s="73">
        <v>1.17</v>
      </c>
      <c r="AN117" s="73">
        <v>11347</v>
      </c>
      <c r="AO117" s="73">
        <v>7173</v>
      </c>
      <c r="AP117" s="73">
        <v>63485</v>
      </c>
      <c r="AQ117" s="73">
        <v>569</v>
      </c>
      <c r="AR117" s="73">
        <v>4278</v>
      </c>
      <c r="AS117" s="73">
        <v>15563</v>
      </c>
      <c r="AT117" s="73">
        <v>23825</v>
      </c>
      <c r="AU117" s="73">
        <v>2823</v>
      </c>
      <c r="AV117" s="73">
        <v>100.1</v>
      </c>
      <c r="AW117" s="73">
        <v>200.5</v>
      </c>
      <c r="AX117" s="73">
        <v>894</v>
      </c>
      <c r="AY117" s="73">
        <v>39754</v>
      </c>
      <c r="AZ117" s="73">
        <v>30.95</v>
      </c>
      <c r="BA117" s="73">
        <v>57.3</v>
      </c>
      <c r="BB117" s="73">
        <v>87.3</v>
      </c>
      <c r="BC117" s="73">
        <v>637.20000000000005</v>
      </c>
      <c r="BD117" s="73">
        <v>14.53</v>
      </c>
      <c r="BE117" s="73">
        <v>2456.5</v>
      </c>
      <c r="BF117" s="73">
        <v>0.52</v>
      </c>
      <c r="BG117" s="73">
        <v>55</v>
      </c>
      <c r="BH117" s="73">
        <v>212.6</v>
      </c>
      <c r="BI117" s="73">
        <v>13.541</v>
      </c>
      <c r="BJ117" s="73">
        <v>75.400000000000006</v>
      </c>
      <c r="BK117" s="73">
        <v>8.4700000000000006</v>
      </c>
      <c r="BL117" s="73">
        <v>2.5099999999999998</v>
      </c>
      <c r="BM117" s="73">
        <v>0.73199999999999998</v>
      </c>
      <c r="BN117" s="73">
        <v>5.0279999999999996</v>
      </c>
      <c r="BO117" s="73">
        <v>1.3</v>
      </c>
      <c r="BP117" s="73">
        <v>3.2029999999999998</v>
      </c>
      <c r="BQ117" s="73">
        <v>2.9849999999999999</v>
      </c>
      <c r="BR117" s="73">
        <v>449.7</v>
      </c>
      <c r="BS117" s="73">
        <v>25.87</v>
      </c>
      <c r="BT117" s="73">
        <v>55.67</v>
      </c>
      <c r="BU117" s="73">
        <v>6.3079999999999998</v>
      </c>
      <c r="BV117" s="73">
        <v>24.97</v>
      </c>
      <c r="BW117" s="73">
        <v>4.718</v>
      </c>
      <c r="BX117" s="73">
        <v>1.121</v>
      </c>
      <c r="BY117" s="73">
        <v>3.6640000000000001</v>
      </c>
      <c r="BZ117" s="73">
        <v>0.47399999999999998</v>
      </c>
      <c r="CA117" s="73">
        <v>2.86</v>
      </c>
      <c r="CB117" s="73">
        <v>0.51600000000000001</v>
      </c>
      <c r="CC117" s="73">
        <v>1.37</v>
      </c>
      <c r="CD117" s="73">
        <v>0.193</v>
      </c>
      <c r="CE117" s="73">
        <v>1.2949999999999999</v>
      </c>
      <c r="CF117" s="73">
        <v>0.192</v>
      </c>
      <c r="CG117" s="73">
        <v>2.036</v>
      </c>
      <c r="CH117" s="73">
        <v>0.49299999999999999</v>
      </c>
      <c r="CI117" s="73">
        <v>9.8800000000000008</v>
      </c>
      <c r="CJ117" s="73">
        <v>0.39900000000000002</v>
      </c>
      <c r="CK117" s="73">
        <v>93.53</v>
      </c>
      <c r="CL117" s="73">
        <v>12.36</v>
      </c>
      <c r="CM117" s="73">
        <v>4.2370000000000001</v>
      </c>
      <c r="CN117" s="73">
        <v>1.752</v>
      </c>
      <c r="CP117" s="136">
        <f t="shared" si="25"/>
        <v>319.95987196256982</v>
      </c>
      <c r="CQ117" s="136">
        <f t="shared" si="26"/>
        <v>4.4308790326016343</v>
      </c>
      <c r="CR117" s="136">
        <f t="shared" si="27"/>
        <v>41.83064357348325</v>
      </c>
      <c r="CS117" s="136">
        <f t="shared" si="28"/>
        <v>2.1762654972689885</v>
      </c>
      <c r="CT117" s="136">
        <f t="shared" si="29"/>
        <v>50.605795414526611</v>
      </c>
      <c r="CU117" s="136">
        <f t="shared" si="30"/>
        <v>1.5737635971270445</v>
      </c>
      <c r="CV117" s="136">
        <f t="shared" si="31"/>
        <v>13.764888864280204</v>
      </c>
      <c r="CW117" s="136">
        <f t="shared" si="32"/>
        <v>10.508980610733506</v>
      </c>
      <c r="CX117" s="136">
        <f t="shared" si="33"/>
        <v>16.418334661510521</v>
      </c>
      <c r="CY117" s="136">
        <f t="shared" si="34"/>
        <v>13.734921267705259</v>
      </c>
      <c r="CZ117" s="136">
        <f t="shared" si="35"/>
        <v>-1.4394024221001629</v>
      </c>
      <c r="DA117" s="136">
        <f t="shared" si="36"/>
        <v>10.58856661122474</v>
      </c>
      <c r="DB117" s="22"/>
      <c r="DC117" s="141">
        <f t="shared" si="20"/>
        <v>204.70833333333334</v>
      </c>
      <c r="DD117" s="141">
        <f t="shared" si="21"/>
        <v>0.23382500000000001</v>
      </c>
      <c r="DE117" s="141">
        <f t="shared" si="22"/>
        <v>2.9848599999999998</v>
      </c>
      <c r="DF117" s="141">
        <f t="shared" si="23"/>
        <v>3.1328125</v>
      </c>
      <c r="DG117" s="141">
        <f t="shared" si="37"/>
        <v>0.50279999999999991</v>
      </c>
      <c r="DH117" s="141">
        <f t="shared" si="24"/>
        <v>1.1459999999999999</v>
      </c>
    </row>
    <row r="118" spans="1:112" s="28" customFormat="1">
      <c r="A118" s="38"/>
      <c r="F118" s="38"/>
      <c r="V118" s="17" t="s">
        <v>308</v>
      </c>
      <c r="W118" s="17" t="s">
        <v>309</v>
      </c>
      <c r="X118" s="23">
        <v>43888</v>
      </c>
      <c r="Y118" s="45">
        <v>0.25193900000000002</v>
      </c>
      <c r="Z118" s="45">
        <v>34.723799999999997</v>
      </c>
      <c r="AA118" s="45" t="s">
        <v>333</v>
      </c>
      <c r="AB118" s="23" t="s">
        <v>330</v>
      </c>
      <c r="AC118" s="6" t="s">
        <v>347</v>
      </c>
      <c r="AD118" s="14" t="s">
        <v>371</v>
      </c>
      <c r="AE118" s="65" t="s">
        <v>687</v>
      </c>
      <c r="AF118" s="23" t="s">
        <v>367</v>
      </c>
      <c r="AG118" s="17" t="s">
        <v>684</v>
      </c>
      <c r="AH118" s="35" t="s">
        <v>683</v>
      </c>
      <c r="AI118" s="24">
        <v>8.0456490727532035</v>
      </c>
      <c r="AJ118" s="73">
        <v>4.88</v>
      </c>
      <c r="AK118" s="73">
        <v>4.1962899999999994</v>
      </c>
      <c r="AL118" s="73">
        <v>17</v>
      </c>
      <c r="AM118" s="73">
        <v>1.83</v>
      </c>
      <c r="AN118" s="73">
        <v>1926</v>
      </c>
      <c r="AO118" s="73">
        <v>3048</v>
      </c>
      <c r="AP118" s="73">
        <v>73291</v>
      </c>
      <c r="AQ118" s="73">
        <v>724</v>
      </c>
      <c r="AR118" s="73">
        <v>299</v>
      </c>
      <c r="AS118" s="73">
        <v>5961</v>
      </c>
      <c r="AT118" s="73">
        <v>2434</v>
      </c>
      <c r="AU118" s="73">
        <v>6555</v>
      </c>
      <c r="AV118" s="73">
        <v>183.7</v>
      </c>
      <c r="AW118" s="73">
        <v>299.60000000000002</v>
      </c>
      <c r="AX118" s="73">
        <v>3575</v>
      </c>
      <c r="AY118" s="73">
        <v>90213</v>
      </c>
      <c r="AZ118" s="73">
        <v>57.66</v>
      </c>
      <c r="BA118" s="73">
        <v>110.8</v>
      </c>
      <c r="BB118" s="73">
        <v>118.1</v>
      </c>
      <c r="BC118" s="73">
        <v>106.1</v>
      </c>
      <c r="BD118" s="73">
        <v>19.25</v>
      </c>
      <c r="BE118" s="73">
        <v>8</v>
      </c>
      <c r="BF118" s="73">
        <v>0.97</v>
      </c>
      <c r="BG118" s="73">
        <v>55.6</v>
      </c>
      <c r="BH118" s="73">
        <v>45</v>
      </c>
      <c r="BI118" s="73">
        <v>27.567</v>
      </c>
      <c r="BJ118" s="73">
        <v>205.7</v>
      </c>
      <c r="BK118" s="73">
        <v>44.3</v>
      </c>
      <c r="BL118" s="73">
        <v>3.37</v>
      </c>
      <c r="BM118" s="73">
        <v>0.153</v>
      </c>
      <c r="BN118" s="73">
        <v>0.28499999999999998</v>
      </c>
      <c r="BO118" s="73">
        <v>3.26</v>
      </c>
      <c r="BP118" s="73">
        <v>0.64400000000000002</v>
      </c>
      <c r="BQ118" s="73">
        <v>2.8580000000000001</v>
      </c>
      <c r="BR118" s="73">
        <v>323.8</v>
      </c>
      <c r="BS118" s="73">
        <v>45.46</v>
      </c>
      <c r="BT118" s="73">
        <v>98.92</v>
      </c>
      <c r="BU118" s="73">
        <v>9.3160000000000007</v>
      </c>
      <c r="BV118" s="73">
        <v>34.950000000000003</v>
      </c>
      <c r="BW118" s="73">
        <v>6.3959999999999999</v>
      </c>
      <c r="BX118" s="73">
        <v>1.306</v>
      </c>
      <c r="BY118" s="73">
        <v>6.0209999999999999</v>
      </c>
      <c r="BZ118" s="73">
        <v>0.85399999999999998</v>
      </c>
      <c r="CA118" s="73">
        <v>5.3860000000000001</v>
      </c>
      <c r="CB118" s="73">
        <v>1.052</v>
      </c>
      <c r="CC118" s="73">
        <v>3.0150000000000001</v>
      </c>
      <c r="CD118" s="73">
        <v>0.44400000000000001</v>
      </c>
      <c r="CE118" s="73">
        <v>2.8519999999999999</v>
      </c>
      <c r="CF118" s="73">
        <v>0.4</v>
      </c>
      <c r="CG118" s="73">
        <v>4.9420000000000002</v>
      </c>
      <c r="CH118" s="73">
        <v>2.383</v>
      </c>
      <c r="CI118" s="73">
        <v>3.3450000000000002</v>
      </c>
      <c r="CJ118" s="73">
        <v>0.57799999999999996</v>
      </c>
      <c r="CK118" s="73">
        <v>16.100000000000001</v>
      </c>
      <c r="CL118" s="73">
        <v>20.49</v>
      </c>
      <c r="CM118" s="73">
        <v>8.4209999999999994</v>
      </c>
      <c r="CN118" s="73">
        <v>2.3719999999999999</v>
      </c>
      <c r="CP118" s="136">
        <f t="shared" si="25"/>
        <v>0.45917733260042731</v>
      </c>
      <c r="CQ118" s="136">
        <f t="shared" si="26"/>
        <v>0.33610621505331884</v>
      </c>
      <c r="CR118" s="136">
        <f t="shared" si="27"/>
        <v>25.91479527951218</v>
      </c>
      <c r="CS118" s="136">
        <f t="shared" si="28"/>
        <v>1.4330159254905006</v>
      </c>
      <c r="CT118" s="136">
        <f t="shared" si="29"/>
        <v>1.2640421457096991</v>
      </c>
      <c r="CU118" s="136">
        <f t="shared" si="30"/>
        <v>1.3410233560006277</v>
      </c>
      <c r="CV118" s="136">
        <f t="shared" si="31"/>
        <v>5.502500340529183</v>
      </c>
      <c r="CW118" s="136">
        <f t="shared" si="32"/>
        <v>7.9706121115141997</v>
      </c>
      <c r="CX118" s="136">
        <f t="shared" si="33"/>
        <v>16.9097857797851</v>
      </c>
      <c r="CY118" s="136">
        <f t="shared" si="34"/>
        <v>14.314356654821729</v>
      </c>
      <c r="CZ118" s="136">
        <f t="shared" si="35"/>
        <v>-5.5803532474685671</v>
      </c>
      <c r="DA118" s="136">
        <f t="shared" si="36"/>
        <v>11.539917448517025</v>
      </c>
      <c r="DB118" s="22"/>
      <c r="DC118" s="141">
        <f t="shared" si="20"/>
        <v>0.66666666666666663</v>
      </c>
      <c r="DD118" s="141">
        <f t="shared" si="21"/>
        <v>4.0250000000000001E-2</v>
      </c>
      <c r="DE118" s="141">
        <f t="shared" si="22"/>
        <v>4.1962899999999994</v>
      </c>
      <c r="DF118" s="141">
        <f t="shared" si="23"/>
        <v>4.6812500000000004</v>
      </c>
      <c r="DG118" s="141">
        <f>BN118/1.4</f>
        <v>0.20357142857142857</v>
      </c>
      <c r="DH118" s="141">
        <f t="shared" si="24"/>
        <v>2.2159999999999997</v>
      </c>
    </row>
    <row r="119" spans="1:112" s="28" customFormat="1">
      <c r="A119" s="38"/>
      <c r="F119" s="38"/>
      <c r="V119" s="17" t="s">
        <v>310</v>
      </c>
      <c r="W119" s="17" t="s">
        <v>260</v>
      </c>
      <c r="X119" s="23">
        <v>43891</v>
      </c>
      <c r="Y119" s="45">
        <v>0.10333000000000001</v>
      </c>
      <c r="Z119" s="45">
        <v>34.713630000000002</v>
      </c>
      <c r="AA119" s="45" t="s">
        <v>344</v>
      </c>
      <c r="AB119" s="45" t="s">
        <v>334</v>
      </c>
      <c r="AC119" s="6" t="s">
        <v>347</v>
      </c>
      <c r="AD119" s="14" t="s">
        <v>371</v>
      </c>
      <c r="AE119" s="65" t="s">
        <v>687</v>
      </c>
      <c r="AF119" s="23" t="s">
        <v>365</v>
      </c>
      <c r="AG119" s="17" t="s">
        <v>685</v>
      </c>
      <c r="AH119" s="35" t="s">
        <v>691</v>
      </c>
      <c r="AI119" s="24">
        <v>0.63233965673003201</v>
      </c>
      <c r="AJ119" s="73">
        <v>7.99</v>
      </c>
      <c r="AK119" s="73">
        <v>16.282150000000001</v>
      </c>
      <c r="AL119" s="73">
        <v>24</v>
      </c>
      <c r="AM119" s="73">
        <v>1.1499999999999999</v>
      </c>
      <c r="AN119" s="73">
        <v>18514</v>
      </c>
      <c r="AO119" s="73">
        <v>12716</v>
      </c>
      <c r="AP119" s="73">
        <v>75836</v>
      </c>
      <c r="AQ119" s="73">
        <v>1210</v>
      </c>
      <c r="AR119" s="73">
        <v>5990</v>
      </c>
      <c r="AS119" s="73">
        <v>18250</v>
      </c>
      <c r="AT119" s="73">
        <v>41800</v>
      </c>
      <c r="AU119" s="73">
        <v>3181</v>
      </c>
      <c r="AV119" s="73">
        <v>62.1</v>
      </c>
      <c r="AW119" s="73">
        <v>81.3</v>
      </c>
      <c r="AX119" s="73">
        <v>805</v>
      </c>
      <c r="AY119" s="73">
        <v>32569</v>
      </c>
      <c r="AZ119" s="73">
        <v>20.149999999999999</v>
      </c>
      <c r="BA119" s="73">
        <v>49.9</v>
      </c>
      <c r="BB119" s="73">
        <v>19.600000000000001</v>
      </c>
      <c r="BC119" s="73">
        <v>110.7</v>
      </c>
      <c r="BD119" s="73">
        <v>15.97</v>
      </c>
      <c r="BE119" s="73">
        <v>8705.7000000000007</v>
      </c>
      <c r="BF119" s="73">
        <v>0.18</v>
      </c>
      <c r="BG119" s="73">
        <v>50.1</v>
      </c>
      <c r="BH119" s="73">
        <v>511.1</v>
      </c>
      <c r="BI119" s="73">
        <v>8.7720000000000002</v>
      </c>
      <c r="BJ119" s="73">
        <v>87.1</v>
      </c>
      <c r="BK119" s="73">
        <v>5.26</v>
      </c>
      <c r="BL119" s="73">
        <v>0.98</v>
      </c>
      <c r="BM119" s="73">
        <v>2.2690000000000001</v>
      </c>
      <c r="BN119" s="73">
        <v>0.78600000000000003</v>
      </c>
      <c r="BO119" s="73">
        <v>0.85</v>
      </c>
      <c r="BP119" s="73">
        <v>3.22</v>
      </c>
      <c r="BQ119" s="73">
        <v>2.746</v>
      </c>
      <c r="BR119" s="73">
        <v>402.9</v>
      </c>
      <c r="BS119" s="73">
        <v>26.57</v>
      </c>
      <c r="BT119" s="73">
        <v>61.65</v>
      </c>
      <c r="BU119" s="73">
        <v>7.6210000000000004</v>
      </c>
      <c r="BV119" s="73">
        <v>31.18</v>
      </c>
      <c r="BW119" s="73">
        <v>5.133</v>
      </c>
      <c r="BX119" s="73">
        <v>1.3680000000000001</v>
      </c>
      <c r="BY119" s="73">
        <v>3.6419999999999999</v>
      </c>
      <c r="BZ119" s="73">
        <v>0.41</v>
      </c>
      <c r="CA119" s="73">
        <v>2.117</v>
      </c>
      <c r="CB119" s="73">
        <v>0.35099999999999998</v>
      </c>
      <c r="CC119" s="73">
        <v>0.86099999999999999</v>
      </c>
      <c r="CD119" s="73">
        <v>0.122</v>
      </c>
      <c r="CE119" s="73">
        <v>0.73799999999999999</v>
      </c>
      <c r="CF119" s="73">
        <v>0.105</v>
      </c>
      <c r="CG119" s="73">
        <v>2.3180000000000001</v>
      </c>
      <c r="CH119" s="73">
        <v>0.32900000000000001</v>
      </c>
      <c r="CI119" s="73">
        <v>1.857</v>
      </c>
      <c r="CJ119" s="73">
        <v>0.27</v>
      </c>
      <c r="CK119" s="73">
        <v>69.150000000000006</v>
      </c>
      <c r="CL119" s="73">
        <v>4.18</v>
      </c>
      <c r="CM119" s="73">
        <v>2.4969999999999999</v>
      </c>
      <c r="CN119" s="73">
        <v>0.59899999999999998</v>
      </c>
      <c r="CP119" s="136">
        <f t="shared" si="25"/>
        <v>1384.0725398384968</v>
      </c>
      <c r="CQ119" s="136">
        <f t="shared" si="26"/>
        <v>3.9985962359522604</v>
      </c>
      <c r="CR119" s="136">
        <f t="shared" si="27"/>
        <v>278.52150989758456</v>
      </c>
      <c r="CS119" s="136">
        <f t="shared" si="28"/>
        <v>1.0771209043966385</v>
      </c>
      <c r="CT119" s="136">
        <f t="shared" si="29"/>
        <v>9.6561486243192789</v>
      </c>
      <c r="CU119" s="136">
        <f t="shared" si="30"/>
        <v>1.6728685953229048</v>
      </c>
      <c r="CV119" s="136">
        <f t="shared" si="31"/>
        <v>15.590244930641054</v>
      </c>
      <c r="CW119" s="136">
        <f t="shared" si="32"/>
        <v>10.073280674550077</v>
      </c>
      <c r="CX119" s="136">
        <f t="shared" si="33"/>
        <v>18.86589070551571</v>
      </c>
      <c r="CY119" s="136">
        <f t="shared" si="34"/>
        <v>12.432646288438004</v>
      </c>
      <c r="CZ119" s="136">
        <f t="shared" si="35"/>
        <v>-4.1167858542620639</v>
      </c>
      <c r="DA119" s="136">
        <f t="shared" si="36"/>
        <v>10.389071287805098</v>
      </c>
      <c r="DB119" s="22"/>
      <c r="DC119" s="141">
        <f t="shared" si="20"/>
        <v>725.47500000000002</v>
      </c>
      <c r="DD119" s="141">
        <f t="shared" si="21"/>
        <v>0.172875</v>
      </c>
      <c r="DE119" s="141">
        <f t="shared" si="22"/>
        <v>16.282150000000001</v>
      </c>
      <c r="DF119" s="141">
        <f t="shared" si="23"/>
        <v>1.2703125</v>
      </c>
      <c r="DG119" s="141">
        <f t="shared" si="37"/>
        <v>7.8600000000000003E-2</v>
      </c>
      <c r="DH119" s="141">
        <f t="shared" si="24"/>
        <v>0.998</v>
      </c>
    </row>
    <row r="120" spans="1:112" s="28" customFormat="1">
      <c r="A120" s="38"/>
      <c r="F120" s="38"/>
      <c r="V120" s="17" t="s">
        <v>311</v>
      </c>
      <c r="W120" s="17" t="s">
        <v>312</v>
      </c>
      <c r="X120" s="23">
        <v>43891</v>
      </c>
      <c r="Y120" s="45">
        <v>0.1033</v>
      </c>
      <c r="Z120" s="45">
        <v>34.713630000000002</v>
      </c>
      <c r="AA120" s="45" t="s">
        <v>344</v>
      </c>
      <c r="AB120" s="45" t="s">
        <v>334</v>
      </c>
      <c r="AC120" s="6" t="s">
        <v>347</v>
      </c>
      <c r="AD120" s="14" t="s">
        <v>371</v>
      </c>
      <c r="AE120" s="65" t="s">
        <v>687</v>
      </c>
      <c r="AF120" s="23" t="s">
        <v>367</v>
      </c>
      <c r="AG120" s="17" t="s">
        <v>684</v>
      </c>
      <c r="AH120" s="35" t="s">
        <v>683</v>
      </c>
      <c r="AI120" s="24">
        <v>6.1630792313462832</v>
      </c>
      <c r="AJ120" s="73">
        <v>4.5</v>
      </c>
      <c r="AK120" s="73">
        <v>0.90408999999999995</v>
      </c>
      <c r="AL120" s="73">
        <v>22</v>
      </c>
      <c r="AM120" s="73">
        <v>3.04</v>
      </c>
      <c r="AN120" s="73">
        <v>886</v>
      </c>
      <c r="AO120" s="73">
        <v>1592</v>
      </c>
      <c r="AP120" s="73">
        <v>98107</v>
      </c>
      <c r="AQ120" s="73">
        <v>839</v>
      </c>
      <c r="AR120" s="73">
        <v>280</v>
      </c>
      <c r="AS120" s="73">
        <v>6034</v>
      </c>
      <c r="AT120" s="73">
        <v>577</v>
      </c>
      <c r="AU120" s="73">
        <v>7680</v>
      </c>
      <c r="AV120" s="73">
        <v>179.1</v>
      </c>
      <c r="AW120" s="73">
        <v>146.69999999999999</v>
      </c>
      <c r="AX120" s="73">
        <v>5680</v>
      </c>
      <c r="AY120" s="73">
        <v>96955</v>
      </c>
      <c r="AZ120" s="73">
        <v>57.35</v>
      </c>
      <c r="BA120" s="73">
        <v>71.900000000000006</v>
      </c>
      <c r="BB120" s="73">
        <v>72.099999999999994</v>
      </c>
      <c r="BC120" s="73">
        <v>144.69999999999999</v>
      </c>
      <c r="BD120" s="73">
        <v>28.02</v>
      </c>
      <c r="BE120" s="73">
        <v>55.7</v>
      </c>
      <c r="BF120" s="73">
        <v>1.04</v>
      </c>
      <c r="BG120" s="73">
        <v>69.900000000000006</v>
      </c>
      <c r="BH120" s="73">
        <v>22</v>
      </c>
      <c r="BI120" s="73">
        <v>61.015000000000001</v>
      </c>
      <c r="BJ120" s="73">
        <v>481.9</v>
      </c>
      <c r="BK120" s="73">
        <v>110.87</v>
      </c>
      <c r="BL120" s="73">
        <v>6.11</v>
      </c>
      <c r="BM120" s="73">
        <v>0.13400000000000001</v>
      </c>
      <c r="BN120" s="73">
        <v>0.27200000000000002</v>
      </c>
      <c r="BO120" s="73">
        <v>4.49</v>
      </c>
      <c r="BP120" s="73">
        <v>0.76500000000000001</v>
      </c>
      <c r="BQ120" s="73">
        <v>3.089</v>
      </c>
      <c r="BR120" s="73">
        <v>407.8</v>
      </c>
      <c r="BS120" s="73">
        <v>115.48</v>
      </c>
      <c r="BT120" s="73">
        <v>243.87</v>
      </c>
      <c r="BU120" s="73">
        <v>22.515999999999998</v>
      </c>
      <c r="BV120" s="73">
        <v>82.46</v>
      </c>
      <c r="BW120" s="73">
        <v>14.621</v>
      </c>
      <c r="BX120" s="73">
        <v>2.36</v>
      </c>
      <c r="BY120" s="73">
        <v>13.17</v>
      </c>
      <c r="BZ120" s="73">
        <v>1.9279999999999999</v>
      </c>
      <c r="CA120" s="73">
        <v>12.260999999999999</v>
      </c>
      <c r="CB120" s="73">
        <v>2.3889999999999998</v>
      </c>
      <c r="CC120" s="73">
        <v>6.7590000000000003</v>
      </c>
      <c r="CD120" s="73">
        <v>0.96099999999999997</v>
      </c>
      <c r="CE120" s="73">
        <v>6.44</v>
      </c>
      <c r="CF120" s="73">
        <v>0.91100000000000003</v>
      </c>
      <c r="CG120" s="73">
        <v>10.996</v>
      </c>
      <c r="CH120" s="73">
        <v>6.032</v>
      </c>
      <c r="CI120" s="73">
        <v>2.859</v>
      </c>
      <c r="CJ120" s="73">
        <v>0.85599999999999998</v>
      </c>
      <c r="CK120" s="73">
        <v>28.79</v>
      </c>
      <c r="CL120" s="73">
        <v>0.28999999999999998</v>
      </c>
      <c r="CM120" s="73">
        <v>15.56</v>
      </c>
      <c r="CN120" s="73">
        <v>3.8879999999999999</v>
      </c>
      <c r="CP120" s="136">
        <f t="shared" si="25"/>
        <v>2.9747095226105502</v>
      </c>
      <c r="CQ120" s="136">
        <f t="shared" si="26"/>
        <v>0.55923101155914323</v>
      </c>
      <c r="CR120" s="136">
        <f t="shared" si="27"/>
        <v>5.1950875223335373</v>
      </c>
      <c r="CS120" s="136">
        <f t="shared" si="28"/>
        <v>0.65288732340958666</v>
      </c>
      <c r="CT120" s="136">
        <f t="shared" si="29"/>
        <v>1.1224952531868111</v>
      </c>
      <c r="CU120" s="136">
        <f t="shared" si="30"/>
        <v>0.80970046089994541</v>
      </c>
      <c r="CV120" s="136">
        <f t="shared" si="31"/>
        <v>8.3021057629818529</v>
      </c>
      <c r="CW120" s="136">
        <f t="shared" si="32"/>
        <v>8.8091192120756556</v>
      </c>
      <c r="CX120" s="136">
        <f t="shared" si="33"/>
        <v>14.695209697443516</v>
      </c>
      <c r="CY120" s="136">
        <f t="shared" si="34"/>
        <v>13.284187902036367</v>
      </c>
      <c r="CZ120" s="136">
        <f t="shared" si="35"/>
        <v>-5.647708515270331</v>
      </c>
      <c r="DA120" s="136">
        <f t="shared" si="36"/>
        <v>10.916023242907135</v>
      </c>
      <c r="DB120" s="22"/>
      <c r="DC120" s="141">
        <f t="shared" si="20"/>
        <v>4.6416666666666666</v>
      </c>
      <c r="DD120" s="141">
        <f t="shared" si="21"/>
        <v>7.1974999999999997E-2</v>
      </c>
      <c r="DE120" s="141">
        <f t="shared" si="22"/>
        <v>0.90408999999999995</v>
      </c>
      <c r="DF120" s="141">
        <f t="shared" si="23"/>
        <v>2.2921874999999998</v>
      </c>
      <c r="DG120" s="141">
        <f>BN120/1.4</f>
        <v>0.19428571428571431</v>
      </c>
      <c r="DH120" s="141">
        <f t="shared" si="24"/>
        <v>1.4380000000000002</v>
      </c>
    </row>
    <row r="121" spans="1:112" s="28" customFormat="1">
      <c r="A121" s="38"/>
      <c r="F121" s="38"/>
      <c r="V121" s="17" t="s">
        <v>313</v>
      </c>
      <c r="W121" s="17" t="s">
        <v>314</v>
      </c>
      <c r="X121" s="23">
        <v>44065</v>
      </c>
      <c r="Y121" s="45">
        <v>0.46544799999999997</v>
      </c>
      <c r="Z121" s="45">
        <v>34.870607999999997</v>
      </c>
      <c r="AA121" s="45" t="s">
        <v>331</v>
      </c>
      <c r="AB121" s="23" t="s">
        <v>330</v>
      </c>
      <c r="AC121" s="6" t="s">
        <v>347</v>
      </c>
      <c r="AD121" s="14" t="s">
        <v>362</v>
      </c>
      <c r="AE121" s="67" t="s">
        <v>362</v>
      </c>
      <c r="AF121" s="23" t="s">
        <v>366</v>
      </c>
      <c r="AG121" s="17" t="s">
        <v>684</v>
      </c>
      <c r="AH121" s="35" t="s">
        <v>683</v>
      </c>
      <c r="AI121" s="24">
        <v>10.388658029821652</v>
      </c>
      <c r="AJ121" s="73">
        <v>4.45</v>
      </c>
      <c r="AK121" s="73">
        <v>4.7700000000000006E-2</v>
      </c>
      <c r="AL121" s="73">
        <v>23</v>
      </c>
      <c r="AM121" s="73">
        <v>2.08</v>
      </c>
      <c r="AN121" s="73">
        <v>709</v>
      </c>
      <c r="AO121" s="73">
        <v>1654</v>
      </c>
      <c r="AP121" s="73">
        <v>93489</v>
      </c>
      <c r="AQ121" s="73">
        <v>656</v>
      </c>
      <c r="AR121" s="73">
        <v>302</v>
      </c>
      <c r="AS121" s="73">
        <v>2499</v>
      </c>
      <c r="AT121" s="73">
        <v>1526</v>
      </c>
      <c r="AU121" s="73">
        <v>9340</v>
      </c>
      <c r="AV121" s="73">
        <v>219.3</v>
      </c>
      <c r="AW121" s="73">
        <v>221</v>
      </c>
      <c r="AX121" s="73">
        <v>1793</v>
      </c>
      <c r="AY121" s="73">
        <v>96420</v>
      </c>
      <c r="AZ121" s="73">
        <v>26.35</v>
      </c>
      <c r="BA121" s="73">
        <v>91.2</v>
      </c>
      <c r="BB121" s="73">
        <v>92.6</v>
      </c>
      <c r="BC121" s="73">
        <v>121.9</v>
      </c>
      <c r="BD121" s="73">
        <v>26.17</v>
      </c>
      <c r="BE121" s="73">
        <v>3.6</v>
      </c>
      <c r="BF121" s="73">
        <v>0.93</v>
      </c>
      <c r="BG121" s="73">
        <v>32</v>
      </c>
      <c r="BH121" s="73">
        <v>17</v>
      </c>
      <c r="BI121" s="73">
        <v>66.81</v>
      </c>
      <c r="BJ121" s="73">
        <v>378.6</v>
      </c>
      <c r="BK121" s="73">
        <v>86.78</v>
      </c>
      <c r="BL121" s="73">
        <v>3.25</v>
      </c>
      <c r="BM121" s="73">
        <v>0.1</v>
      </c>
      <c r="BN121" s="73">
        <v>0.152</v>
      </c>
      <c r="BO121" s="73">
        <v>3.72</v>
      </c>
      <c r="BP121" s="73">
        <v>0.36</v>
      </c>
      <c r="BQ121" s="73">
        <v>2.9590000000000001</v>
      </c>
      <c r="BR121" s="73">
        <v>130.9</v>
      </c>
      <c r="BS121" s="73">
        <v>77.959999999999994</v>
      </c>
      <c r="BT121" s="73">
        <v>78.239999999999995</v>
      </c>
      <c r="BU121" s="73">
        <v>16.074999999999999</v>
      </c>
      <c r="BV121" s="73">
        <v>59.91</v>
      </c>
      <c r="BW121" s="73">
        <v>11.824999999999999</v>
      </c>
      <c r="BX121" s="73">
        <v>2.3149999999999999</v>
      </c>
      <c r="BY121" s="73">
        <v>12.308999999999999</v>
      </c>
      <c r="BZ121" s="73">
        <v>1.8580000000000001</v>
      </c>
      <c r="CA121" s="73">
        <v>12.254</v>
      </c>
      <c r="CB121" s="73">
        <v>2.4729999999999999</v>
      </c>
      <c r="CC121" s="73">
        <v>6.9020000000000001</v>
      </c>
      <c r="CD121" s="73">
        <v>0.99399999999999999</v>
      </c>
      <c r="CE121" s="73">
        <v>6.532</v>
      </c>
      <c r="CF121" s="73">
        <v>0.93600000000000005</v>
      </c>
      <c r="CG121" s="73">
        <v>8.5429999999999993</v>
      </c>
      <c r="CH121" s="73">
        <v>4.7770000000000001</v>
      </c>
      <c r="CI121" s="73">
        <v>1.6779999999999999</v>
      </c>
      <c r="CJ121" s="73">
        <v>0.24299999999999999</v>
      </c>
      <c r="CK121" s="73">
        <v>11.14</v>
      </c>
      <c r="CL121" s="73">
        <v>0.23</v>
      </c>
      <c r="CM121" s="73">
        <v>11.439</v>
      </c>
      <c r="CN121" s="73">
        <v>2.496</v>
      </c>
      <c r="CP121" s="136">
        <f t="shared" si="25"/>
        <v>0.1933280866796003</v>
      </c>
      <c r="CQ121" s="136">
        <f t="shared" si="26"/>
        <v>0.21758946093866011</v>
      </c>
      <c r="CR121" s="136">
        <f t="shared" si="27"/>
        <v>0.27561488306696186</v>
      </c>
      <c r="CS121" s="136">
        <f t="shared" si="28"/>
        <v>0.98901636935628867</v>
      </c>
      <c r="CT121" s="136">
        <f t="shared" si="29"/>
        <v>0.63075729290415039</v>
      </c>
      <c r="CU121" s="136">
        <f t="shared" si="30"/>
        <v>1.0327457537006679</v>
      </c>
      <c r="CV121" s="136">
        <f t="shared" si="31"/>
        <v>4.3504972470841334</v>
      </c>
      <c r="CW121" s="136">
        <f t="shared" si="32"/>
        <v>7.4393006558522528</v>
      </c>
      <c r="CX121" s="136">
        <f t="shared" si="33"/>
        <v>10.450804472152333</v>
      </c>
      <c r="CY121" s="136">
        <f t="shared" si="34"/>
        <v>13.875365400641771</v>
      </c>
      <c r="CZ121" s="136">
        <f t="shared" si="35"/>
        <v>-6.4872438430770858</v>
      </c>
      <c r="DA121" s="136">
        <f t="shared" si="36"/>
        <v>11.259065296632578</v>
      </c>
      <c r="DB121" s="22"/>
      <c r="DC121" s="141">
        <f t="shared" si="20"/>
        <v>0.3</v>
      </c>
      <c r="DD121" s="141">
        <f t="shared" si="21"/>
        <v>2.785E-2</v>
      </c>
      <c r="DE121" s="141">
        <f t="shared" si="22"/>
        <v>4.7700000000000006E-2</v>
      </c>
      <c r="DF121" s="141">
        <f t="shared" si="23"/>
        <v>3.453125</v>
      </c>
      <c r="DG121" s="141">
        <f t="shared" si="37"/>
        <v>1.52E-2</v>
      </c>
      <c r="DH121" s="141">
        <f t="shared" si="24"/>
        <v>1.8240000000000001</v>
      </c>
    </row>
    <row r="122" spans="1:112" s="28" customFormat="1">
      <c r="A122" s="38"/>
      <c r="F122" s="38"/>
      <c r="V122" s="17" t="s">
        <v>315</v>
      </c>
      <c r="W122" s="17" t="s">
        <v>316</v>
      </c>
      <c r="X122" s="23">
        <v>44065</v>
      </c>
      <c r="Y122" s="45">
        <v>0.46544799999999997</v>
      </c>
      <c r="Z122" s="45">
        <v>34.870607999999997</v>
      </c>
      <c r="AA122" s="45" t="s">
        <v>331</v>
      </c>
      <c r="AB122" s="23" t="s">
        <v>330</v>
      </c>
      <c r="AC122" s="6" t="s">
        <v>347</v>
      </c>
      <c r="AD122" s="14" t="s">
        <v>362</v>
      </c>
      <c r="AE122" s="67" t="s">
        <v>362</v>
      </c>
      <c r="AF122" s="23" t="s">
        <v>367</v>
      </c>
      <c r="AG122" s="17" t="s">
        <v>684</v>
      </c>
      <c r="AH122" s="35" t="s">
        <v>683</v>
      </c>
      <c r="AI122" s="24">
        <v>10.975967174677779</v>
      </c>
      <c r="AJ122" s="73">
        <v>4.8499999999999996</v>
      </c>
      <c r="AK122" s="73">
        <v>3.8360000000000005E-2</v>
      </c>
      <c r="AL122" s="73">
        <v>24</v>
      </c>
      <c r="AM122" s="73">
        <v>2.0699999999999998</v>
      </c>
      <c r="AN122" s="73">
        <v>768</v>
      </c>
      <c r="AO122" s="73">
        <v>1747</v>
      </c>
      <c r="AP122" s="73">
        <v>94249</v>
      </c>
      <c r="AQ122" s="73">
        <v>722</v>
      </c>
      <c r="AR122" s="73">
        <v>271</v>
      </c>
      <c r="AS122" s="73">
        <v>2714</v>
      </c>
      <c r="AT122" s="73">
        <v>1928</v>
      </c>
      <c r="AU122" s="73">
        <v>10421</v>
      </c>
      <c r="AV122" s="73">
        <v>217.1</v>
      </c>
      <c r="AW122" s="73">
        <v>214.7</v>
      </c>
      <c r="AX122" s="73">
        <v>2018</v>
      </c>
      <c r="AY122" s="73">
        <v>94275</v>
      </c>
      <c r="AZ122" s="73">
        <v>31.56</v>
      </c>
      <c r="BA122" s="73">
        <v>91.1</v>
      </c>
      <c r="BB122" s="73">
        <v>95.8</v>
      </c>
      <c r="BC122" s="73">
        <v>123.9</v>
      </c>
      <c r="BD122" s="73">
        <v>26.12</v>
      </c>
      <c r="BE122" s="73">
        <v>3.3</v>
      </c>
      <c r="BF122" s="73">
        <v>0.79</v>
      </c>
      <c r="BG122" s="73">
        <v>30.8</v>
      </c>
      <c r="BH122" s="73">
        <v>18.899999999999999</v>
      </c>
      <c r="BI122" s="73">
        <v>63.286999999999999</v>
      </c>
      <c r="BJ122" s="73">
        <v>360.5</v>
      </c>
      <c r="BK122" s="73">
        <v>83.64</v>
      </c>
      <c r="BL122" s="73">
        <v>3.03</v>
      </c>
      <c r="BM122" s="73">
        <v>8.5000000000000006E-2</v>
      </c>
      <c r="BN122" s="73">
        <v>0.18</v>
      </c>
      <c r="BO122" s="73">
        <v>3.6</v>
      </c>
      <c r="BP122" s="73">
        <v>0.41099999999999998</v>
      </c>
      <c r="BQ122" s="73">
        <v>3.07</v>
      </c>
      <c r="BR122" s="73">
        <v>143.69999999999999</v>
      </c>
      <c r="BS122" s="73">
        <v>74.22</v>
      </c>
      <c r="BT122" s="73">
        <v>76.75</v>
      </c>
      <c r="BU122" s="73">
        <v>14.943</v>
      </c>
      <c r="BV122" s="73">
        <v>55.84</v>
      </c>
      <c r="BW122" s="73">
        <v>10.901</v>
      </c>
      <c r="BX122" s="73">
        <v>2.16</v>
      </c>
      <c r="BY122" s="73">
        <v>11.629</v>
      </c>
      <c r="BZ122" s="73">
        <v>1.748</v>
      </c>
      <c r="CA122" s="73">
        <v>11.688000000000001</v>
      </c>
      <c r="CB122" s="73">
        <v>2.343</v>
      </c>
      <c r="CC122" s="73">
        <v>6.5439999999999996</v>
      </c>
      <c r="CD122" s="73">
        <v>0.91400000000000003</v>
      </c>
      <c r="CE122" s="73">
        <v>6.0979999999999999</v>
      </c>
      <c r="CF122" s="73">
        <v>0.86099999999999999</v>
      </c>
      <c r="CG122" s="73">
        <v>8.1359999999999992</v>
      </c>
      <c r="CH122" s="73">
        <v>4.556</v>
      </c>
      <c r="CI122" s="73">
        <v>1.591</v>
      </c>
      <c r="CJ122" s="73">
        <v>0.249</v>
      </c>
      <c r="CK122" s="73">
        <v>11.27</v>
      </c>
      <c r="CL122" s="73">
        <v>0.2</v>
      </c>
      <c r="CM122" s="73">
        <v>11.13</v>
      </c>
      <c r="CN122" s="73">
        <v>2.5209999999999999</v>
      </c>
      <c r="CP122" s="136">
        <f t="shared" si="25"/>
        <v>0.18124956712995458</v>
      </c>
      <c r="CQ122" s="136">
        <f t="shared" si="26"/>
        <v>0.22513715179022578</v>
      </c>
      <c r="CR122" s="136">
        <f t="shared" si="27"/>
        <v>0.22669057866663986</v>
      </c>
      <c r="CS122" s="136">
        <f t="shared" si="28"/>
        <v>0.98268389047477911</v>
      </c>
      <c r="CT122" s="136">
        <f t="shared" si="29"/>
        <v>0.76394445649815579</v>
      </c>
      <c r="CU122" s="136">
        <f t="shared" si="30"/>
        <v>1.0550852281716721</v>
      </c>
      <c r="CV122" s="136">
        <f t="shared" si="31"/>
        <v>4.2249663650002747</v>
      </c>
      <c r="CW122" s="136">
        <f t="shared" si="32"/>
        <v>7.4560389386844417</v>
      </c>
      <c r="CX122" s="136">
        <f t="shared" si="33"/>
        <v>10.13641792627759</v>
      </c>
      <c r="CY122" s="136">
        <f t="shared" si="34"/>
        <v>13.83364122222175</v>
      </c>
      <c r="CZ122" s="136">
        <f t="shared" si="35"/>
        <v>-6.2433182601909962</v>
      </c>
      <c r="DA122" s="136">
        <f t="shared" si="36"/>
        <v>11.257482526269888</v>
      </c>
      <c r="DB122" s="22"/>
      <c r="DC122" s="141">
        <f t="shared" si="20"/>
        <v>0.27499999999999997</v>
      </c>
      <c r="DD122" s="141">
        <f t="shared" si="21"/>
        <v>2.8174999999999999E-2</v>
      </c>
      <c r="DE122" s="141">
        <f t="shared" si="22"/>
        <v>3.8360000000000005E-2</v>
      </c>
      <c r="DF122" s="141">
        <f t="shared" si="23"/>
        <v>3.3546874999999998</v>
      </c>
      <c r="DG122" s="141">
        <f t="shared" si="37"/>
        <v>1.7999999999999999E-2</v>
      </c>
      <c r="DH122" s="141">
        <f t="shared" si="24"/>
        <v>1.8219999999999998</v>
      </c>
    </row>
    <row r="123" spans="1:112" s="28" customFormat="1">
      <c r="A123" s="38"/>
      <c r="F123" s="38"/>
      <c r="V123" s="17" t="s">
        <v>317</v>
      </c>
      <c r="W123" s="17" t="s">
        <v>318</v>
      </c>
      <c r="X123" s="23">
        <v>44065</v>
      </c>
      <c r="Y123" s="45">
        <v>0.46636899999999998</v>
      </c>
      <c r="Z123" s="45">
        <v>34.869613000000001</v>
      </c>
      <c r="AA123" s="45" t="s">
        <v>331</v>
      </c>
      <c r="AB123" s="23" t="s">
        <v>330</v>
      </c>
      <c r="AC123" s="6" t="s">
        <v>347</v>
      </c>
      <c r="AD123" s="14" t="s">
        <v>362</v>
      </c>
      <c r="AE123" s="67" t="s">
        <v>362</v>
      </c>
      <c r="AF123" s="23" t="s">
        <v>708</v>
      </c>
      <c r="AG123" s="17" t="s">
        <v>684</v>
      </c>
      <c r="AH123" s="35" t="s">
        <v>683</v>
      </c>
      <c r="AI123" s="24">
        <v>21.625089094796625</v>
      </c>
      <c r="AJ123" s="73">
        <v>6.05</v>
      </c>
      <c r="AK123" s="73">
        <v>7.8829999999999997E-2</v>
      </c>
      <c r="AL123" s="73">
        <v>20</v>
      </c>
      <c r="AM123" s="73">
        <v>1.68</v>
      </c>
      <c r="AN123" s="73">
        <v>1389</v>
      </c>
      <c r="AO123" s="73">
        <v>2190</v>
      </c>
      <c r="AP123" s="73">
        <v>73194</v>
      </c>
      <c r="AQ123" s="73">
        <v>999</v>
      </c>
      <c r="AR123" s="73">
        <v>726</v>
      </c>
      <c r="AS123" s="73">
        <v>3793</v>
      </c>
      <c r="AT123" s="73">
        <v>9795</v>
      </c>
      <c r="AU123" s="73">
        <v>10730</v>
      </c>
      <c r="AV123" s="73">
        <v>255.8</v>
      </c>
      <c r="AW123" s="73">
        <v>175</v>
      </c>
      <c r="AX123" s="73">
        <v>2561</v>
      </c>
      <c r="AY123" s="73">
        <v>90852</v>
      </c>
      <c r="AZ123" s="73">
        <v>40.78</v>
      </c>
      <c r="BA123" s="73">
        <v>91.4</v>
      </c>
      <c r="BB123" s="73">
        <v>93.2</v>
      </c>
      <c r="BC123" s="73">
        <v>151.80000000000001</v>
      </c>
      <c r="BD123" s="73">
        <v>20.18</v>
      </c>
      <c r="BE123" s="73">
        <v>2</v>
      </c>
      <c r="BF123" s="73">
        <v>1.18</v>
      </c>
      <c r="BG123" s="73">
        <v>40.799999999999997</v>
      </c>
      <c r="BH123" s="73">
        <v>49.1</v>
      </c>
      <c r="BI123" s="73">
        <v>51.558999999999997</v>
      </c>
      <c r="BJ123" s="73">
        <v>206.4</v>
      </c>
      <c r="BK123" s="73">
        <v>44.98</v>
      </c>
      <c r="BL123" s="73">
        <v>1.65</v>
      </c>
      <c r="BM123" s="73">
        <v>7.0999999999999994E-2</v>
      </c>
      <c r="BN123" s="73">
        <v>0.33400000000000002</v>
      </c>
      <c r="BO123" s="73">
        <v>2.2400000000000002</v>
      </c>
      <c r="BP123" s="73">
        <v>0.29599999999999999</v>
      </c>
      <c r="BQ123" s="73">
        <v>2.3319999999999999</v>
      </c>
      <c r="BR123" s="73">
        <v>251.6</v>
      </c>
      <c r="BS123" s="73">
        <v>52.01</v>
      </c>
      <c r="BT123" s="73">
        <v>55.24</v>
      </c>
      <c r="BU123" s="73">
        <v>9.7349999999999994</v>
      </c>
      <c r="BV123" s="73">
        <v>37.29</v>
      </c>
      <c r="BW123" s="73">
        <v>7.625</v>
      </c>
      <c r="BX123" s="73">
        <v>1.794</v>
      </c>
      <c r="BY123" s="73">
        <v>8.8699999999999992</v>
      </c>
      <c r="BZ123" s="73">
        <v>1.3360000000000001</v>
      </c>
      <c r="CA123" s="73">
        <v>8.9369999999999994</v>
      </c>
      <c r="CB123" s="73">
        <v>1.718</v>
      </c>
      <c r="CC123" s="73">
        <v>4.7910000000000004</v>
      </c>
      <c r="CD123" s="73">
        <v>0.70799999999999996</v>
      </c>
      <c r="CE123" s="73">
        <v>4.1079999999999997</v>
      </c>
      <c r="CF123" s="73">
        <v>0.61799999999999999</v>
      </c>
      <c r="CG123" s="73">
        <v>5.21</v>
      </c>
      <c r="CH123" s="73">
        <v>2.4660000000000002</v>
      </c>
      <c r="CI123" s="73">
        <v>0.95899999999999996</v>
      </c>
      <c r="CJ123" s="73">
        <v>0.21099999999999999</v>
      </c>
      <c r="CK123" s="73">
        <v>8.51</v>
      </c>
      <c r="CL123" s="73">
        <v>0.16</v>
      </c>
      <c r="CM123" s="73">
        <v>6.06</v>
      </c>
      <c r="CN123" s="73">
        <v>1.2150000000000001</v>
      </c>
      <c r="CP123" s="136">
        <f t="shared" si="25"/>
        <v>0.11398693673744759</v>
      </c>
      <c r="CQ123" s="136">
        <f t="shared" si="26"/>
        <v>0.17640661251397671</v>
      </c>
      <c r="CR123" s="136">
        <f t="shared" si="27"/>
        <v>0.48340200566842051</v>
      </c>
      <c r="CS123" s="136">
        <f t="shared" si="28"/>
        <v>0.83115474704388881</v>
      </c>
      <c r="CT123" s="136">
        <f t="shared" si="29"/>
        <v>1.4709496063527896</v>
      </c>
      <c r="CU123" s="136">
        <f t="shared" si="30"/>
        <v>1.0984427084014268</v>
      </c>
      <c r="CV123" s="136">
        <f t="shared" si="31"/>
        <v>3.502500340529183</v>
      </c>
      <c r="CW123" s="136">
        <f t="shared" si="32"/>
        <v>7.0507824601981834</v>
      </c>
      <c r="CX123" s="136">
        <f t="shared" si="33"/>
        <v>11.175559980458228</v>
      </c>
      <c r="CY123" s="136">
        <f t="shared" si="34"/>
        <v>13.538673953082668</v>
      </c>
      <c r="CZ123" s="136">
        <f t="shared" si="35"/>
        <v>-5.3514670640466182</v>
      </c>
      <c r="DA123" s="136">
        <f t="shared" si="36"/>
        <v>11.262225637525907</v>
      </c>
      <c r="DB123" s="22"/>
      <c r="DC123" s="141">
        <f t="shared" si="20"/>
        <v>0.16666666666666666</v>
      </c>
      <c r="DD123" s="141">
        <f t="shared" si="21"/>
        <v>2.1274999999999999E-2</v>
      </c>
      <c r="DE123" s="141">
        <f t="shared" si="22"/>
        <v>7.8829999999999997E-2</v>
      </c>
      <c r="DF123" s="141">
        <f t="shared" si="23"/>
        <v>2.734375</v>
      </c>
      <c r="DG123" s="141">
        <f t="shared" si="37"/>
        <v>3.3399999999999999E-2</v>
      </c>
      <c r="DH123" s="141">
        <f t="shared" si="24"/>
        <v>1.8280000000000001</v>
      </c>
    </row>
    <row r="124" spans="1:112" s="28" customFormat="1">
      <c r="A124" s="38"/>
      <c r="F124" s="38"/>
      <c r="V124" s="17" t="s">
        <v>319</v>
      </c>
      <c r="W124" s="17" t="s">
        <v>320</v>
      </c>
      <c r="X124" s="23">
        <v>44065</v>
      </c>
      <c r="Y124" s="45">
        <v>0.46534199999999998</v>
      </c>
      <c r="Z124" s="45">
        <v>34.885432999999999</v>
      </c>
      <c r="AA124" s="45" t="s">
        <v>336</v>
      </c>
      <c r="AB124" s="23" t="s">
        <v>330</v>
      </c>
      <c r="AC124" s="6" t="s">
        <v>347</v>
      </c>
      <c r="AD124" s="14" t="s">
        <v>362</v>
      </c>
      <c r="AE124" s="67" t="s">
        <v>362</v>
      </c>
      <c r="AF124" s="23" t="s">
        <v>370</v>
      </c>
      <c r="AG124" s="17" t="s">
        <v>684</v>
      </c>
      <c r="AH124" s="35" t="s">
        <v>683</v>
      </c>
      <c r="AI124" s="24">
        <v>4.1774231401082087</v>
      </c>
      <c r="AJ124" s="73">
        <v>5.07</v>
      </c>
      <c r="AK124" s="73" t="s">
        <v>304</v>
      </c>
      <c r="AL124" s="73">
        <v>15</v>
      </c>
      <c r="AM124" s="73">
        <v>1.35</v>
      </c>
      <c r="AN124" s="73">
        <v>1966</v>
      </c>
      <c r="AO124" s="73">
        <v>1616</v>
      </c>
      <c r="AP124" s="73">
        <v>63304</v>
      </c>
      <c r="AQ124" s="73">
        <v>351</v>
      </c>
      <c r="AR124" s="73">
        <v>138</v>
      </c>
      <c r="AS124" s="73">
        <v>7632</v>
      </c>
      <c r="AT124" s="73">
        <v>1942</v>
      </c>
      <c r="AU124" s="73">
        <v>3923</v>
      </c>
      <c r="AV124" s="73">
        <v>83.7</v>
      </c>
      <c r="AW124" s="73">
        <v>101.8</v>
      </c>
      <c r="AX124" s="73">
        <v>447</v>
      </c>
      <c r="AY124" s="73">
        <v>44021</v>
      </c>
      <c r="AZ124" s="73">
        <v>13.5</v>
      </c>
      <c r="BA124" s="73">
        <v>35</v>
      </c>
      <c r="BB124" s="73">
        <v>18.2</v>
      </c>
      <c r="BC124" s="73">
        <v>42.1</v>
      </c>
      <c r="BD124" s="73">
        <v>16.559999999999999</v>
      </c>
      <c r="BE124" s="73">
        <v>2.9</v>
      </c>
      <c r="BF124" s="73">
        <v>0.28999999999999998</v>
      </c>
      <c r="BG124" s="73">
        <v>36.4</v>
      </c>
      <c r="BH124" s="73">
        <v>65.5</v>
      </c>
      <c r="BI124" s="73">
        <v>24.52</v>
      </c>
      <c r="BJ124" s="73">
        <v>182.6</v>
      </c>
      <c r="BK124" s="73">
        <v>37.32</v>
      </c>
      <c r="BL124" s="73">
        <v>2.33</v>
      </c>
      <c r="BM124" s="73">
        <v>5.7000000000000002E-2</v>
      </c>
      <c r="BN124" s="73">
        <v>4.9000000000000002E-2</v>
      </c>
      <c r="BO124" s="73">
        <v>2.73</v>
      </c>
      <c r="BP124" s="73">
        <v>0.83599999999999997</v>
      </c>
      <c r="BQ124" s="73">
        <v>1.7669999999999999</v>
      </c>
      <c r="BR124" s="73">
        <v>392.3</v>
      </c>
      <c r="BS124" s="73">
        <v>52.54</v>
      </c>
      <c r="BT124" s="73">
        <v>102.43</v>
      </c>
      <c r="BU124" s="73">
        <v>11.196999999999999</v>
      </c>
      <c r="BV124" s="73">
        <v>40.86</v>
      </c>
      <c r="BW124" s="73">
        <v>7.1630000000000003</v>
      </c>
      <c r="BX124" s="73">
        <v>1.36</v>
      </c>
      <c r="BY124" s="73">
        <v>5.7549999999999999</v>
      </c>
      <c r="BZ124" s="73">
        <v>0.81699999999999995</v>
      </c>
      <c r="CA124" s="73">
        <v>5.0780000000000003</v>
      </c>
      <c r="CB124" s="73">
        <v>0.98399999999999999</v>
      </c>
      <c r="CC124" s="73">
        <v>2.827</v>
      </c>
      <c r="CD124" s="73">
        <v>0.40899999999999997</v>
      </c>
      <c r="CE124" s="73">
        <v>2.7989999999999999</v>
      </c>
      <c r="CF124" s="73">
        <v>0.39400000000000002</v>
      </c>
      <c r="CG124" s="73">
        <v>4.3929999999999998</v>
      </c>
      <c r="CH124" s="73">
        <v>2.2240000000000002</v>
      </c>
      <c r="CI124" s="73">
        <v>1.111</v>
      </c>
      <c r="CJ124" s="73">
        <v>0.246</v>
      </c>
      <c r="CK124" s="73">
        <v>16.62</v>
      </c>
      <c r="CL124" s="73">
        <v>0.14000000000000001</v>
      </c>
      <c r="CM124" s="73">
        <v>9.5969999999999995</v>
      </c>
      <c r="CN124" s="73">
        <v>2.754</v>
      </c>
      <c r="CP124" s="136">
        <f t="shared" si="25"/>
        <v>0.34111253051685225</v>
      </c>
      <c r="CQ124" s="136">
        <f t="shared" si="26"/>
        <v>0.71103488389352287</v>
      </c>
      <c r="CR124" s="136" t="s">
        <v>288</v>
      </c>
      <c r="CS124" s="136">
        <f t="shared" si="28"/>
        <v>0.99785217260389536</v>
      </c>
      <c r="CT124" s="136">
        <f t="shared" si="29"/>
        <v>0.4453710625713761</v>
      </c>
      <c r="CU124" s="136">
        <f t="shared" si="30"/>
        <v>0.86810817739042712</v>
      </c>
      <c r="CV124" s="136">
        <f t="shared" si="31"/>
        <v>4.0385532407693931</v>
      </c>
      <c r="CW124" s="136">
        <f t="shared" si="32"/>
        <v>8.0164718052825634</v>
      </c>
      <c r="CX124" s="136" t="s">
        <v>288</v>
      </c>
      <c r="CY124" s="136">
        <f t="shared" si="34"/>
        <v>12.757056592438673</v>
      </c>
      <c r="CZ124" s="136">
        <f t="shared" si="35"/>
        <v>-8.1204615124054627</v>
      </c>
      <c r="DA124" s="136">
        <f t="shared" si="36"/>
        <v>9.8773863943001654</v>
      </c>
      <c r="DB124" s="22"/>
      <c r="DC124" s="141">
        <f t="shared" si="20"/>
        <v>0.24166666666666667</v>
      </c>
      <c r="DD124" s="141">
        <f t="shared" si="21"/>
        <v>4.1550000000000004E-2</v>
      </c>
      <c r="DE124" s="141" t="s">
        <v>288</v>
      </c>
      <c r="DF124" s="141">
        <f t="shared" si="23"/>
        <v>1.590625</v>
      </c>
      <c r="DG124" s="141">
        <f t="shared" si="37"/>
        <v>4.8999999999999998E-3</v>
      </c>
      <c r="DH124" s="141">
        <f t="shared" si="24"/>
        <v>0.7</v>
      </c>
    </row>
    <row r="125" spans="1:112" s="28" customFormat="1">
      <c r="A125" s="38"/>
      <c r="F125" s="38"/>
      <c r="V125" s="17" t="s">
        <v>321</v>
      </c>
      <c r="W125" s="17" t="s">
        <v>322</v>
      </c>
      <c r="X125" s="23">
        <v>44065</v>
      </c>
      <c r="Y125" s="45">
        <v>0.195803</v>
      </c>
      <c r="Z125" s="45">
        <v>34.487564999999996</v>
      </c>
      <c r="AA125" s="45" t="s">
        <v>337</v>
      </c>
      <c r="AB125" s="23" t="s">
        <v>330</v>
      </c>
      <c r="AC125" s="6" t="s">
        <v>347</v>
      </c>
      <c r="AD125" s="14" t="s">
        <v>362</v>
      </c>
      <c r="AE125" s="67" t="s">
        <v>362</v>
      </c>
      <c r="AF125" s="23" t="s">
        <v>366</v>
      </c>
      <c r="AG125" s="17" t="s">
        <v>684</v>
      </c>
      <c r="AH125" s="35" t="s">
        <v>683</v>
      </c>
      <c r="AI125" s="24">
        <v>4.9907377138498248</v>
      </c>
      <c r="AJ125" s="73">
        <v>5.82</v>
      </c>
      <c r="AK125" s="73">
        <v>4.9710000000000004E-2</v>
      </c>
      <c r="AL125" s="73">
        <v>12</v>
      </c>
      <c r="AM125" s="73">
        <v>1.4</v>
      </c>
      <c r="AN125" s="73">
        <v>1597</v>
      </c>
      <c r="AO125" s="73">
        <v>1619</v>
      </c>
      <c r="AP125" s="73">
        <v>90581</v>
      </c>
      <c r="AQ125" s="73">
        <v>572</v>
      </c>
      <c r="AR125" s="73">
        <v>307</v>
      </c>
      <c r="AS125" s="73">
        <v>14613</v>
      </c>
      <c r="AT125" s="73">
        <v>1410</v>
      </c>
      <c r="AU125" s="73">
        <v>3059</v>
      </c>
      <c r="AV125" s="73">
        <v>101</v>
      </c>
      <c r="AW125" s="73">
        <v>108.1</v>
      </c>
      <c r="AX125" s="73">
        <v>1874</v>
      </c>
      <c r="AY125" s="73">
        <v>50888</v>
      </c>
      <c r="AZ125" s="73">
        <v>36.01</v>
      </c>
      <c r="BA125" s="73">
        <v>37.700000000000003</v>
      </c>
      <c r="BB125" s="73">
        <v>35.9</v>
      </c>
      <c r="BC125" s="73">
        <v>109.9</v>
      </c>
      <c r="BD125" s="73">
        <v>23.72</v>
      </c>
      <c r="BE125" s="73">
        <v>13.8</v>
      </c>
      <c r="BF125" s="73">
        <v>0.56999999999999995</v>
      </c>
      <c r="BG125" s="73">
        <v>79.5</v>
      </c>
      <c r="BH125" s="73">
        <v>71.7</v>
      </c>
      <c r="BI125" s="73">
        <v>17.68</v>
      </c>
      <c r="BJ125" s="73">
        <v>239.5</v>
      </c>
      <c r="BK125" s="73">
        <v>42.68</v>
      </c>
      <c r="BL125" s="73">
        <v>2.9</v>
      </c>
      <c r="BM125" s="73">
        <v>7.3999999999999996E-2</v>
      </c>
      <c r="BN125" s="73">
        <v>8.2000000000000003E-2</v>
      </c>
      <c r="BO125" s="73">
        <v>2.36</v>
      </c>
      <c r="BP125" s="73">
        <v>0.53900000000000003</v>
      </c>
      <c r="BQ125" s="73">
        <v>2.8119999999999998</v>
      </c>
      <c r="BR125" s="73">
        <v>413</v>
      </c>
      <c r="BS125" s="73">
        <v>32.17</v>
      </c>
      <c r="BT125" s="73">
        <v>112.31</v>
      </c>
      <c r="BU125" s="73">
        <v>6.97</v>
      </c>
      <c r="BV125" s="73">
        <v>25.96</v>
      </c>
      <c r="BW125" s="73">
        <v>4.8140000000000001</v>
      </c>
      <c r="BX125" s="73">
        <v>0.99099999999999999</v>
      </c>
      <c r="BY125" s="73">
        <v>4.0350000000000001</v>
      </c>
      <c r="BZ125" s="73">
        <v>0.57899999999999996</v>
      </c>
      <c r="CA125" s="73">
        <v>3.6640000000000001</v>
      </c>
      <c r="CB125" s="73">
        <v>0.7</v>
      </c>
      <c r="CC125" s="73">
        <v>2.3839999999999999</v>
      </c>
      <c r="CD125" s="73">
        <v>0.29799999999999999</v>
      </c>
      <c r="CE125" s="73">
        <v>2.0190000000000001</v>
      </c>
      <c r="CF125" s="73">
        <v>0.27500000000000002</v>
      </c>
      <c r="CG125" s="73">
        <v>6.06</v>
      </c>
      <c r="CH125" s="73">
        <v>2.2770000000000001</v>
      </c>
      <c r="CI125" s="73">
        <v>0.995</v>
      </c>
      <c r="CJ125" s="73">
        <v>0.47299999999999998</v>
      </c>
      <c r="CK125" s="73">
        <v>15.35</v>
      </c>
      <c r="CL125" s="73">
        <v>0.21</v>
      </c>
      <c r="CM125" s="73">
        <v>8.9909999999999997</v>
      </c>
      <c r="CN125" s="73">
        <v>2.2919999999999998</v>
      </c>
      <c r="CP125" s="136">
        <f t="shared" si="25"/>
        <v>1.4041816168379002</v>
      </c>
      <c r="CQ125" s="136">
        <f t="shared" si="26"/>
        <v>0.56808430372434937</v>
      </c>
      <c r="CR125" s="136">
        <f t="shared" si="27"/>
        <v>0.54422663682865724</v>
      </c>
      <c r="CS125" s="136">
        <f t="shared" si="28"/>
        <v>0.91661855543585136</v>
      </c>
      <c r="CT125" s="136">
        <f t="shared" si="29"/>
        <v>0.6447395170856498</v>
      </c>
      <c r="CU125" s="136">
        <f t="shared" si="30"/>
        <v>0.80889411250436849</v>
      </c>
      <c r="CV125" s="136">
        <f t="shared" si="31"/>
        <v>6.2890967024199904</v>
      </c>
      <c r="CW125" s="136">
        <f t="shared" si="32"/>
        <v>7.9017900787697615</v>
      </c>
      <c r="CX125" s="136">
        <f t="shared" si="33"/>
        <v>10.510351309202068</v>
      </c>
      <c r="CY125" s="136">
        <f t="shared" si="34"/>
        <v>12.843685554097629</v>
      </c>
      <c r="CZ125" s="136">
        <f t="shared" si="35"/>
        <v>-7.3776193519025872</v>
      </c>
      <c r="DA125" s="136">
        <f t="shared" si="36"/>
        <v>9.9845959957365018</v>
      </c>
      <c r="DB125" s="22"/>
      <c r="DC125" s="141">
        <f t="shared" si="20"/>
        <v>1.1500000000000001</v>
      </c>
      <c r="DD125" s="141">
        <f t="shared" si="21"/>
        <v>3.8374999999999999E-2</v>
      </c>
      <c r="DE125" s="141" t="s">
        <v>288</v>
      </c>
      <c r="DF125" s="141">
        <f t="shared" si="23"/>
        <v>1.6890624999999999</v>
      </c>
      <c r="DG125" s="141">
        <f t="shared" si="37"/>
        <v>8.2000000000000007E-3</v>
      </c>
      <c r="DH125" s="141">
        <f t="shared" si="24"/>
        <v>0.754</v>
      </c>
    </row>
    <row r="126" spans="1:112" s="28" customFormat="1">
      <c r="A126" s="38"/>
      <c r="F126" s="38"/>
      <c r="V126" s="17" t="s">
        <v>323</v>
      </c>
      <c r="W126" s="17" t="s">
        <v>322</v>
      </c>
      <c r="X126" s="23">
        <v>44065</v>
      </c>
      <c r="Y126" s="45">
        <v>0.195803</v>
      </c>
      <c r="Z126" s="45">
        <v>34.487564999999996</v>
      </c>
      <c r="AA126" s="45" t="s">
        <v>337</v>
      </c>
      <c r="AB126" s="23" t="s">
        <v>330</v>
      </c>
      <c r="AC126" s="6" t="s">
        <v>347</v>
      </c>
      <c r="AD126" s="14" t="s">
        <v>362</v>
      </c>
      <c r="AE126" s="67" t="s">
        <v>362</v>
      </c>
      <c r="AF126" s="23" t="s">
        <v>366</v>
      </c>
      <c r="AG126" s="17" t="s">
        <v>684</v>
      </c>
      <c r="AH126" s="35" t="s">
        <v>683</v>
      </c>
      <c r="AI126" s="24" t="s">
        <v>288</v>
      </c>
      <c r="AJ126" s="24" t="s">
        <v>288</v>
      </c>
      <c r="AK126" s="24" t="s">
        <v>288</v>
      </c>
      <c r="AL126" s="73">
        <v>15</v>
      </c>
      <c r="AM126" s="73">
        <v>1.21</v>
      </c>
      <c r="AN126" s="73">
        <v>1632</v>
      </c>
      <c r="AO126" s="73">
        <v>1669</v>
      </c>
      <c r="AP126" s="73">
        <v>95108</v>
      </c>
      <c r="AQ126" s="73">
        <v>667</v>
      </c>
      <c r="AR126" s="73">
        <v>309</v>
      </c>
      <c r="AS126" s="73">
        <v>15030</v>
      </c>
      <c r="AT126" s="73">
        <v>1362</v>
      </c>
      <c r="AU126" s="73">
        <v>2979</v>
      </c>
      <c r="AV126" s="73">
        <v>105.4</v>
      </c>
      <c r="AW126" s="73">
        <v>113.2</v>
      </c>
      <c r="AX126" s="73">
        <v>1972</v>
      </c>
      <c r="AY126" s="73">
        <v>52935</v>
      </c>
      <c r="AZ126" s="73">
        <v>37.08</v>
      </c>
      <c r="BA126" s="73">
        <v>38.6</v>
      </c>
      <c r="BB126" s="73">
        <v>36.700000000000003</v>
      </c>
      <c r="BC126" s="73">
        <v>110</v>
      </c>
      <c r="BD126" s="73">
        <v>24.31</v>
      </c>
      <c r="BE126" s="73">
        <v>14.2</v>
      </c>
      <c r="BF126" s="73">
        <v>0.55000000000000004</v>
      </c>
      <c r="BG126" s="73">
        <v>81.599999999999994</v>
      </c>
      <c r="BH126" s="73">
        <v>74.3</v>
      </c>
      <c r="BI126" s="73">
        <v>17.657</v>
      </c>
      <c r="BJ126" s="73">
        <v>243.3</v>
      </c>
      <c r="BK126" s="73">
        <v>43.65</v>
      </c>
      <c r="BL126" s="73">
        <v>2.97</v>
      </c>
      <c r="BM126" s="73">
        <v>7.5999999999999998E-2</v>
      </c>
      <c r="BN126" s="73">
        <v>0.111</v>
      </c>
      <c r="BO126" s="73">
        <v>2.4300000000000002</v>
      </c>
      <c r="BP126" s="73">
        <v>0.66900000000000004</v>
      </c>
      <c r="BQ126" s="73">
        <v>3.081</v>
      </c>
      <c r="BR126" s="73">
        <v>425.9</v>
      </c>
      <c r="BS126" s="73">
        <v>33.049999999999997</v>
      </c>
      <c r="BT126" s="73">
        <v>115.55</v>
      </c>
      <c r="BU126" s="73">
        <v>7.1929999999999996</v>
      </c>
      <c r="BV126" s="73">
        <v>27.3</v>
      </c>
      <c r="BW126" s="73">
        <v>4.8959999999999999</v>
      </c>
      <c r="BX126" s="73">
        <v>1.0609999999999999</v>
      </c>
      <c r="BY126" s="73">
        <v>4.242</v>
      </c>
      <c r="BZ126" s="73">
        <v>0.60099999999999998</v>
      </c>
      <c r="CA126" s="73">
        <v>3.7679999999999998</v>
      </c>
      <c r="CB126" s="73">
        <v>0.71</v>
      </c>
      <c r="CC126" s="73">
        <v>2.0299999999999998</v>
      </c>
      <c r="CD126" s="73">
        <v>0.30499999999999999</v>
      </c>
      <c r="CE126" s="73">
        <v>1.974</v>
      </c>
      <c r="CF126" s="73">
        <v>0.28899999999999998</v>
      </c>
      <c r="CG126" s="73">
        <v>6.0170000000000003</v>
      </c>
      <c r="CH126" s="73">
        <v>2.3199999999999998</v>
      </c>
      <c r="CI126" s="73">
        <v>0.98799999999999999</v>
      </c>
      <c r="CJ126" s="73">
        <v>0.46300000000000002</v>
      </c>
      <c r="CK126" s="73">
        <v>15.75</v>
      </c>
      <c r="CL126" s="73">
        <v>0.2</v>
      </c>
      <c r="CM126" s="73">
        <v>9.1649999999999991</v>
      </c>
      <c r="CN126" s="73">
        <v>2.2610000000000001</v>
      </c>
      <c r="CP126" s="136">
        <f t="shared" si="25"/>
        <v>1.3890088288078053</v>
      </c>
      <c r="CQ126" s="136">
        <f t="shared" si="26"/>
        <v>0.56034749304406439</v>
      </c>
      <c r="CR126" s="136" t="s">
        <v>288</v>
      </c>
      <c r="CS126" s="136">
        <f t="shared" si="28"/>
        <v>0.92274530176668779</v>
      </c>
      <c r="CT126" s="136">
        <f t="shared" si="29"/>
        <v>0.83900757361086065</v>
      </c>
      <c r="CU126" s="136">
        <f t="shared" si="30"/>
        <v>0.79617785530421092</v>
      </c>
      <c r="CV126" s="136">
        <f t="shared" si="31"/>
        <v>6.3303193651465026</v>
      </c>
      <c r="CW126" s="136">
        <f t="shared" si="32"/>
        <v>7.9389032517868614</v>
      </c>
      <c r="CX126" s="136" t="s">
        <v>288</v>
      </c>
      <c r="CY126" s="136">
        <f t="shared" si="34"/>
        <v>12.91019298919486</v>
      </c>
      <c r="CZ126" s="136">
        <f t="shared" si="35"/>
        <v>-6.9407554901705648</v>
      </c>
      <c r="DA126" s="136">
        <f t="shared" si="36"/>
        <v>10.018632319735918</v>
      </c>
      <c r="DB126" s="22"/>
      <c r="DC126" s="141">
        <f t="shared" si="20"/>
        <v>1.1833333333333333</v>
      </c>
      <c r="DD126" s="141">
        <f t="shared" si="21"/>
        <v>3.9375E-2</v>
      </c>
      <c r="DE126" s="141" t="s">
        <v>288</v>
      </c>
      <c r="DF126" s="141">
        <f t="shared" si="23"/>
        <v>1.76875</v>
      </c>
      <c r="DG126" s="141">
        <f>BN126/1.4</f>
        <v>7.9285714285714293E-2</v>
      </c>
      <c r="DH126" s="141">
        <f t="shared" si="24"/>
        <v>0.77200000000000002</v>
      </c>
    </row>
    <row r="127" spans="1:112" s="28" customFormat="1">
      <c r="A127" s="38"/>
      <c r="F127" s="38"/>
      <c r="V127" s="17" t="s">
        <v>324</v>
      </c>
      <c r="W127" s="20" t="s">
        <v>325</v>
      </c>
      <c r="X127" s="23">
        <v>44065</v>
      </c>
      <c r="Y127" s="45">
        <v>0.195803</v>
      </c>
      <c r="Z127" s="45">
        <v>34.487564999999996</v>
      </c>
      <c r="AA127" s="45" t="s">
        <v>338</v>
      </c>
      <c r="AB127" s="23" t="s">
        <v>330</v>
      </c>
      <c r="AC127" s="6" t="s">
        <v>347</v>
      </c>
      <c r="AD127" s="14" t="s">
        <v>362</v>
      </c>
      <c r="AE127" s="67" t="s">
        <v>362</v>
      </c>
      <c r="AF127" s="23" t="s">
        <v>370</v>
      </c>
      <c r="AG127" s="17" t="s">
        <v>684</v>
      </c>
      <c r="AH127" s="35" t="s">
        <v>683</v>
      </c>
      <c r="AI127" s="24">
        <v>4.6384546956411326</v>
      </c>
      <c r="AJ127" s="73">
        <v>6.11</v>
      </c>
      <c r="AK127" s="73">
        <v>4.1730000000000003E-2</v>
      </c>
      <c r="AL127" s="73">
        <v>10</v>
      </c>
      <c r="AM127" s="73">
        <v>1.05</v>
      </c>
      <c r="AN127" s="73">
        <v>2507</v>
      </c>
      <c r="AO127" s="73">
        <v>1266</v>
      </c>
      <c r="AP127" s="73">
        <v>64858</v>
      </c>
      <c r="AQ127" s="73">
        <v>352</v>
      </c>
      <c r="AR127" s="73">
        <v>144</v>
      </c>
      <c r="AS127" s="73">
        <v>12585</v>
      </c>
      <c r="AT127" s="73">
        <v>2157</v>
      </c>
      <c r="AU127" s="73">
        <v>2949</v>
      </c>
      <c r="AV127" s="73">
        <v>90.8</v>
      </c>
      <c r="AW127" s="73">
        <v>139.6</v>
      </c>
      <c r="AX127" s="73">
        <v>2182</v>
      </c>
      <c r="AY127" s="73">
        <v>45611</v>
      </c>
      <c r="AZ127" s="73">
        <v>35.26</v>
      </c>
      <c r="BA127" s="73">
        <v>27.9</v>
      </c>
      <c r="BB127" s="73">
        <v>29.5</v>
      </c>
      <c r="BC127" s="73">
        <v>117.4</v>
      </c>
      <c r="BD127" s="73">
        <v>18.18</v>
      </c>
      <c r="BE127" s="73">
        <v>11.6</v>
      </c>
      <c r="BF127" s="73">
        <v>0.76</v>
      </c>
      <c r="BG127" s="73">
        <v>56.5</v>
      </c>
      <c r="BH127" s="73">
        <v>87.1</v>
      </c>
      <c r="BI127" s="73">
        <v>15.4</v>
      </c>
      <c r="BJ127" s="73">
        <v>183.1</v>
      </c>
      <c r="BK127" s="73">
        <v>32.19</v>
      </c>
      <c r="BL127" s="73">
        <v>2.57</v>
      </c>
      <c r="BM127" s="73">
        <v>6.6000000000000003E-2</v>
      </c>
      <c r="BN127" s="73">
        <v>0.111</v>
      </c>
      <c r="BO127" s="73">
        <v>1.78</v>
      </c>
      <c r="BP127" s="73">
        <v>0.60199999999999998</v>
      </c>
      <c r="BQ127" s="73">
        <v>1.879</v>
      </c>
      <c r="BR127" s="73">
        <v>450.4</v>
      </c>
      <c r="BS127" s="73">
        <v>29.9</v>
      </c>
      <c r="BT127" s="73">
        <v>76.08</v>
      </c>
      <c r="BU127" s="73">
        <v>6.444</v>
      </c>
      <c r="BV127" s="73">
        <v>23.94</v>
      </c>
      <c r="BW127" s="73">
        <v>4.2530000000000001</v>
      </c>
      <c r="BX127" s="73">
        <v>0.88500000000000001</v>
      </c>
      <c r="BY127" s="73">
        <v>3.569</v>
      </c>
      <c r="BZ127" s="73">
        <v>0.51300000000000001</v>
      </c>
      <c r="CA127" s="73">
        <v>3.1469999999999998</v>
      </c>
      <c r="CB127" s="73">
        <v>0.61799999999999999</v>
      </c>
      <c r="CC127" s="73">
        <v>1.7769999999999999</v>
      </c>
      <c r="CD127" s="73">
        <v>0.251</v>
      </c>
      <c r="CE127" s="73">
        <v>1.7430000000000001</v>
      </c>
      <c r="CF127" s="73">
        <v>0.25</v>
      </c>
      <c r="CG127" s="73">
        <v>4.5140000000000002</v>
      </c>
      <c r="CH127" s="73">
        <v>1.6160000000000001</v>
      </c>
      <c r="CI127" s="73">
        <v>0.82199999999999995</v>
      </c>
      <c r="CJ127" s="73">
        <v>0.35399999999999998</v>
      </c>
      <c r="CK127" s="73">
        <v>18.75</v>
      </c>
      <c r="CL127" s="73">
        <v>0.17</v>
      </c>
      <c r="CM127" s="73">
        <v>7.1459999999999999</v>
      </c>
      <c r="CN127" s="73">
        <v>1.81</v>
      </c>
      <c r="CP127" s="136">
        <f t="shared" si="25"/>
        <v>1.316885374658074</v>
      </c>
      <c r="CQ127" s="136">
        <f t="shared" si="26"/>
        <v>0.77419697588320768</v>
      </c>
      <c r="CR127" s="136">
        <f t="shared" si="27"/>
        <v>0.50971827457233976</v>
      </c>
      <c r="CS127" s="136">
        <f t="shared" si="28"/>
        <v>1.3206695280335281</v>
      </c>
      <c r="CT127" s="136">
        <f t="shared" si="29"/>
        <v>0.97373146629301943</v>
      </c>
      <c r="CU127" s="136">
        <f t="shared" si="30"/>
        <v>0.66788288736465273</v>
      </c>
      <c r="CV127" s="136">
        <f t="shared" si="31"/>
        <v>6.038553240769394</v>
      </c>
      <c r="CW127" s="136">
        <f t="shared" si="32"/>
        <v>8.1904420187828251</v>
      </c>
      <c r="CX127" s="136">
        <f t="shared" si="33"/>
        <v>10.257900126522856</v>
      </c>
      <c r="CY127" s="136">
        <f t="shared" si="34"/>
        <v>13.21261797257263</v>
      </c>
      <c r="CZ127" s="136">
        <f t="shared" si="35"/>
        <v>-6.9407554901705648</v>
      </c>
      <c r="DA127" s="136">
        <f t="shared" si="36"/>
        <v>9.5502965942970235</v>
      </c>
      <c r="DB127" s="22"/>
      <c r="DC127" s="141">
        <f t="shared" si="20"/>
        <v>0.96666666666666667</v>
      </c>
      <c r="DD127" s="141">
        <f t="shared" si="21"/>
        <v>4.6875E-2</v>
      </c>
      <c r="DE127" s="141">
        <f t="shared" si="22"/>
        <v>4.1730000000000003E-2</v>
      </c>
      <c r="DF127" s="141">
        <f t="shared" si="23"/>
        <v>2.1812499999999999</v>
      </c>
      <c r="DG127" s="141">
        <f t="shared" si="37"/>
        <v>1.11E-2</v>
      </c>
      <c r="DH127" s="141">
        <f t="shared" si="24"/>
        <v>0.55799999999999994</v>
      </c>
    </row>
    <row r="128" spans="1:112" s="28" customFormat="1">
      <c r="A128" s="38"/>
      <c r="F128" s="38"/>
      <c r="V128" s="17" t="s">
        <v>326</v>
      </c>
      <c r="W128" s="20" t="s">
        <v>327</v>
      </c>
      <c r="X128" s="23">
        <v>44065</v>
      </c>
      <c r="Y128" s="45">
        <v>0.195803</v>
      </c>
      <c r="Z128" s="45">
        <v>34.487564999999996</v>
      </c>
      <c r="AA128" s="45" t="s">
        <v>337</v>
      </c>
      <c r="AB128" s="23" t="s">
        <v>330</v>
      </c>
      <c r="AC128" s="6" t="s">
        <v>347</v>
      </c>
      <c r="AD128" s="14" t="s">
        <v>362</v>
      </c>
      <c r="AE128" s="67" t="s">
        <v>362</v>
      </c>
      <c r="AF128" s="23" t="s">
        <v>367</v>
      </c>
      <c r="AG128" s="17" t="s">
        <v>684</v>
      </c>
      <c r="AH128" s="35" t="s">
        <v>683</v>
      </c>
      <c r="AI128" s="24">
        <v>4.0511557709112651</v>
      </c>
      <c r="AJ128" s="73">
        <v>5.43</v>
      </c>
      <c r="AK128" s="73">
        <v>4.2450000000000002E-2</v>
      </c>
      <c r="AL128" s="73">
        <v>8</v>
      </c>
      <c r="AM128" s="73">
        <v>0.74</v>
      </c>
      <c r="AN128" s="73">
        <v>1570</v>
      </c>
      <c r="AO128" s="73">
        <v>1070</v>
      </c>
      <c r="AP128" s="73">
        <v>57588</v>
      </c>
      <c r="AQ128" s="73">
        <v>472</v>
      </c>
      <c r="AR128" s="73">
        <v>136</v>
      </c>
      <c r="AS128" s="73">
        <v>9672</v>
      </c>
      <c r="AT128" s="73">
        <v>1522</v>
      </c>
      <c r="AU128" s="73">
        <v>2649</v>
      </c>
      <c r="AV128" s="73">
        <v>85.9</v>
      </c>
      <c r="AW128" s="73">
        <v>130.80000000000001</v>
      </c>
      <c r="AX128" s="73">
        <v>2842</v>
      </c>
      <c r="AY128" s="73">
        <v>43224</v>
      </c>
      <c r="AZ128" s="73">
        <v>43.5</v>
      </c>
      <c r="BA128" s="73">
        <v>26.9</v>
      </c>
      <c r="BB128" s="73">
        <v>30.5</v>
      </c>
      <c r="BC128" s="73">
        <v>110.8</v>
      </c>
      <c r="BD128" s="73">
        <v>16.73</v>
      </c>
      <c r="BE128" s="73">
        <v>11.1</v>
      </c>
      <c r="BF128" s="73">
        <v>0.83</v>
      </c>
      <c r="BG128" s="73">
        <v>52.6</v>
      </c>
      <c r="BH128" s="73">
        <v>61.9</v>
      </c>
      <c r="BI128" s="73">
        <v>15.491</v>
      </c>
      <c r="BJ128" s="73">
        <v>179.1</v>
      </c>
      <c r="BK128" s="73">
        <v>29.72</v>
      </c>
      <c r="BL128" s="73">
        <v>2.5</v>
      </c>
      <c r="BM128" s="73">
        <v>7.1999999999999995E-2</v>
      </c>
      <c r="BN128" s="73">
        <v>0.188</v>
      </c>
      <c r="BO128" s="73">
        <v>1.62</v>
      </c>
      <c r="BP128" s="73">
        <v>0.61699999999999999</v>
      </c>
      <c r="BQ128" s="73">
        <v>1.792</v>
      </c>
      <c r="BR128" s="73">
        <v>362.6</v>
      </c>
      <c r="BS128" s="73">
        <v>31.58</v>
      </c>
      <c r="BT128" s="73">
        <v>77.48</v>
      </c>
      <c r="BU128" s="73">
        <v>6.702</v>
      </c>
      <c r="BV128" s="73">
        <v>25.03</v>
      </c>
      <c r="BW128" s="73">
        <v>4.3529999999999998</v>
      </c>
      <c r="BX128" s="73">
        <v>0.90900000000000003</v>
      </c>
      <c r="BY128" s="73">
        <v>3.7770000000000001</v>
      </c>
      <c r="BZ128" s="73">
        <v>0.53100000000000003</v>
      </c>
      <c r="CA128" s="73">
        <v>3.355</v>
      </c>
      <c r="CB128" s="73">
        <v>0.628</v>
      </c>
      <c r="CC128" s="73">
        <v>1.7629999999999999</v>
      </c>
      <c r="CD128" s="73">
        <v>0.26400000000000001</v>
      </c>
      <c r="CE128" s="73">
        <v>1.7290000000000001</v>
      </c>
      <c r="CF128" s="73">
        <v>0.251</v>
      </c>
      <c r="CG128" s="73">
        <v>4.3449999999999998</v>
      </c>
      <c r="CH128" s="73">
        <v>1.456</v>
      </c>
      <c r="CI128" s="73">
        <v>0.78</v>
      </c>
      <c r="CJ128" s="73">
        <v>0.33700000000000002</v>
      </c>
      <c r="CK128" s="73">
        <v>24.11</v>
      </c>
      <c r="CL128" s="73">
        <v>0.17</v>
      </c>
      <c r="CM128" s="73">
        <v>6.7249999999999996</v>
      </c>
      <c r="CN128" s="73">
        <v>1.6950000000000001</v>
      </c>
      <c r="CP128" s="136">
        <f t="shared" si="25"/>
        <v>1.3297120472286639</v>
      </c>
      <c r="CQ128" s="136">
        <f t="shared" si="26"/>
        <v>1.0504903044204907</v>
      </c>
      <c r="CR128" s="136">
        <f t="shared" si="27"/>
        <v>0.54714716551634468</v>
      </c>
      <c r="CS128" s="136">
        <f t="shared" si="28"/>
        <v>1.3057532716029223</v>
      </c>
      <c r="CT128" s="136">
        <f t="shared" si="29"/>
        <v>1.7402783386334193</v>
      </c>
      <c r="CU128" s="136">
        <f t="shared" si="30"/>
        <v>0.67950558754971924</v>
      </c>
      <c r="CV128" s="136">
        <f t="shared" si="31"/>
        <v>5.9749881119919275</v>
      </c>
      <c r="CW128" s="136">
        <f t="shared" si="32"/>
        <v>8.5531830741147452</v>
      </c>
      <c r="CX128" s="136">
        <f t="shared" si="33"/>
        <v>10.28257975969986</v>
      </c>
      <c r="CY128" s="136">
        <f t="shared" si="34"/>
        <v>13.118681571861059</v>
      </c>
      <c r="CZ128" s="136">
        <f t="shared" si="35"/>
        <v>-6.1805825048430343</v>
      </c>
      <c r="DA128" s="136">
        <f t="shared" si="36"/>
        <v>9.4976376450244615</v>
      </c>
      <c r="DB128" s="22"/>
      <c r="DC128" s="141">
        <f t="shared" si="20"/>
        <v>0.92499999999999993</v>
      </c>
      <c r="DD128" s="141">
        <f t="shared" si="21"/>
        <v>6.0274999999999995E-2</v>
      </c>
      <c r="DE128" s="141">
        <f t="shared" si="22"/>
        <v>4.2450000000000002E-2</v>
      </c>
      <c r="DF128" s="141">
        <f t="shared" si="23"/>
        <v>2.0437500000000002</v>
      </c>
      <c r="DG128" s="141">
        <f>BN128/1.4</f>
        <v>0.13428571428571429</v>
      </c>
      <c r="DH128" s="141">
        <f t="shared" si="24"/>
        <v>0.53799999999999992</v>
      </c>
    </row>
    <row r="129" spans="1:233" s="28" customFormat="1">
      <c r="A129" s="38"/>
      <c r="F129" s="38"/>
      <c r="V129" s="17" t="s">
        <v>328</v>
      </c>
      <c r="W129" s="20" t="s">
        <v>329</v>
      </c>
      <c r="X129" s="23">
        <v>44065</v>
      </c>
      <c r="Y129" s="45">
        <v>0.49734299999999998</v>
      </c>
      <c r="Z129" s="45">
        <v>35.278543999999997</v>
      </c>
      <c r="AA129" s="45" t="s">
        <v>346</v>
      </c>
      <c r="AB129" s="23" t="s">
        <v>345</v>
      </c>
      <c r="AC129" s="6" t="s">
        <v>347</v>
      </c>
      <c r="AD129" s="14" t="s">
        <v>362</v>
      </c>
      <c r="AE129" s="67" t="s">
        <v>362</v>
      </c>
      <c r="AF129" s="23" t="s">
        <v>368</v>
      </c>
      <c r="AG129" s="17" t="s">
        <v>684</v>
      </c>
      <c r="AH129" s="35" t="s">
        <v>683</v>
      </c>
      <c r="AI129" s="24">
        <v>11.635575654795559</v>
      </c>
      <c r="AJ129" s="73">
        <v>7</v>
      </c>
      <c r="AK129" s="73">
        <v>2.2689999999999998E-2</v>
      </c>
      <c r="AL129" s="73">
        <v>26</v>
      </c>
      <c r="AM129" s="73">
        <v>5.46</v>
      </c>
      <c r="AN129" s="73">
        <v>6001</v>
      </c>
      <c r="AO129" s="73">
        <v>2341</v>
      </c>
      <c r="AP129" s="73">
        <v>104512</v>
      </c>
      <c r="AQ129" s="73">
        <v>1317</v>
      </c>
      <c r="AR129" s="73">
        <v>368</v>
      </c>
      <c r="AS129" s="73">
        <v>13429</v>
      </c>
      <c r="AT129" s="73">
        <v>8543</v>
      </c>
      <c r="AU129" s="73">
        <v>5097</v>
      </c>
      <c r="AV129" s="73">
        <v>68</v>
      </c>
      <c r="AW129" s="73">
        <v>69.400000000000006</v>
      </c>
      <c r="AX129" s="73">
        <v>3951</v>
      </c>
      <c r="AY129" s="73">
        <v>78334</v>
      </c>
      <c r="AZ129" s="73">
        <v>15.2</v>
      </c>
      <c r="BA129" s="73">
        <v>28.5</v>
      </c>
      <c r="BB129" s="73">
        <v>23.5</v>
      </c>
      <c r="BC129" s="73">
        <v>181.8</v>
      </c>
      <c r="BD129" s="73">
        <v>30.41</v>
      </c>
      <c r="BE129" s="73">
        <v>10.8</v>
      </c>
      <c r="BF129" s="73">
        <v>0.45</v>
      </c>
      <c r="BG129" s="73">
        <v>82.3</v>
      </c>
      <c r="BH129" s="73">
        <v>71.900000000000006</v>
      </c>
      <c r="BI129" s="73">
        <v>47.054000000000002</v>
      </c>
      <c r="BJ129" s="73">
        <v>726.6</v>
      </c>
      <c r="BK129" s="73">
        <v>226.95</v>
      </c>
      <c r="BL129" s="73">
        <v>7.39</v>
      </c>
      <c r="BM129" s="73">
        <v>0.126</v>
      </c>
      <c r="BN129" s="73">
        <v>0.16900000000000001</v>
      </c>
      <c r="BO129" s="73">
        <v>5</v>
      </c>
      <c r="BP129" s="73">
        <v>0.56100000000000005</v>
      </c>
      <c r="BQ129" s="73">
        <v>1.9970000000000001</v>
      </c>
      <c r="BR129" s="73">
        <v>673.3</v>
      </c>
      <c r="BS129" s="73">
        <v>102.91</v>
      </c>
      <c r="BT129" s="73">
        <v>295.14999999999998</v>
      </c>
      <c r="BU129" s="73">
        <v>19.213000000000001</v>
      </c>
      <c r="BV129" s="73">
        <v>64.45</v>
      </c>
      <c r="BW129" s="73">
        <v>11.03</v>
      </c>
      <c r="BX129" s="73">
        <v>1.7749999999999999</v>
      </c>
      <c r="BY129" s="73">
        <v>9.4130000000000003</v>
      </c>
      <c r="BZ129" s="73">
        <v>1.4590000000000001</v>
      </c>
      <c r="CA129" s="73">
        <v>10.036</v>
      </c>
      <c r="CB129" s="73">
        <v>1.966</v>
      </c>
      <c r="CC129" s="73">
        <v>5.8579999999999997</v>
      </c>
      <c r="CD129" s="73">
        <v>0.90200000000000002</v>
      </c>
      <c r="CE129" s="73">
        <v>6.2469999999999999</v>
      </c>
      <c r="CF129" s="73">
        <v>0.88200000000000001</v>
      </c>
      <c r="CG129" s="73">
        <v>14.627000000000001</v>
      </c>
      <c r="CH129" s="73">
        <v>12.201000000000001</v>
      </c>
      <c r="CI129" s="73">
        <v>2.7330000000000001</v>
      </c>
      <c r="CJ129" s="73">
        <v>0.59499999999999997</v>
      </c>
      <c r="CK129" s="73">
        <v>36.299999999999997</v>
      </c>
      <c r="CL129" s="73">
        <v>0.12</v>
      </c>
      <c r="CM129" s="73">
        <v>22.681000000000001</v>
      </c>
      <c r="CN129" s="73">
        <v>4.117</v>
      </c>
      <c r="CP129" s="136">
        <f t="shared" si="25"/>
        <v>0.71389284797075581</v>
      </c>
      <c r="CQ129" s="136">
        <f t="shared" si="26"/>
        <v>0.8727223816596803</v>
      </c>
      <c r="CR129" s="136">
        <f t="shared" si="27"/>
        <v>0.16137475870121867</v>
      </c>
      <c r="CS129" s="136">
        <f t="shared" si="28"/>
        <v>0.38228521334236459</v>
      </c>
      <c r="CT129" s="136">
        <f t="shared" si="29"/>
        <v>0.8632214445370292</v>
      </c>
      <c r="CU129" s="136">
        <f t="shared" si="30"/>
        <v>0.3972466680010372</v>
      </c>
      <c r="CV129" s="136">
        <f t="shared" si="31"/>
        <v>5.9354597478052895</v>
      </c>
      <c r="CW129" s="136">
        <f t="shared" si="32"/>
        <v>9.1435209713953327</v>
      </c>
      <c r="CX129" s="136">
        <f t="shared" si="33"/>
        <v>9.3788718149317969</v>
      </c>
      <c r="CY129" s="136">
        <f t="shared" si="34"/>
        <v>12.204326598941238</v>
      </c>
      <c r="CZ129" s="136">
        <f t="shared" si="35"/>
        <v>-6.3342919202384866</v>
      </c>
      <c r="DA129" s="136">
        <f t="shared" si="36"/>
        <v>9.5809933915199412</v>
      </c>
      <c r="DB129" s="22"/>
      <c r="DC129" s="141">
        <f t="shared" si="20"/>
        <v>0.9</v>
      </c>
      <c r="DD129" s="141">
        <f t="shared" si="21"/>
        <v>9.0749999999999997E-2</v>
      </c>
      <c r="DE129" s="141">
        <f t="shared" si="22"/>
        <v>2.2689999999999998E-2</v>
      </c>
      <c r="DF129" s="141">
        <f t="shared" si="23"/>
        <v>1.0843750000000001</v>
      </c>
      <c r="DG129" s="141">
        <f t="shared" si="37"/>
        <v>1.6900000000000002E-2</v>
      </c>
      <c r="DH129" s="141">
        <f t="shared" si="24"/>
        <v>0.56999999999999995</v>
      </c>
    </row>
    <row r="130" spans="1:233" s="28" customFormat="1">
      <c r="A130" s="38"/>
      <c r="F130" s="38"/>
      <c r="V130" s="17"/>
      <c r="W130" s="20"/>
      <c r="X130" s="23"/>
      <c r="Y130" s="45"/>
      <c r="Z130" s="45"/>
      <c r="AA130" s="45"/>
      <c r="AB130" s="23"/>
      <c r="AC130" s="6"/>
      <c r="AD130" s="14"/>
      <c r="AE130" s="67"/>
      <c r="AF130" s="23"/>
      <c r="AG130" s="17"/>
      <c r="AH130" s="35"/>
      <c r="AI130" s="24"/>
      <c r="AJ130" s="73"/>
      <c r="AK130" s="73"/>
      <c r="AL130" s="73"/>
      <c r="AM130" s="73"/>
      <c r="AN130" s="73"/>
      <c r="AO130" s="73"/>
      <c r="AP130" s="73"/>
      <c r="AQ130" s="73"/>
      <c r="AR130" s="73"/>
      <c r="AS130" s="73"/>
      <c r="AT130" s="73"/>
      <c r="AU130" s="73"/>
      <c r="AV130" s="73"/>
      <c r="AW130" s="73"/>
      <c r="AX130" s="73"/>
      <c r="AY130" s="73"/>
      <c r="AZ130" s="73"/>
      <c r="BA130" s="73"/>
      <c r="BB130" s="73"/>
      <c r="BC130" s="73"/>
      <c r="BD130" s="73"/>
      <c r="BE130" s="73"/>
      <c r="BF130" s="73"/>
      <c r="BG130" s="73"/>
      <c r="BH130" s="73"/>
      <c r="BI130" s="73"/>
      <c r="BJ130" s="73"/>
      <c r="BK130" s="73"/>
      <c r="BL130" s="73"/>
      <c r="BM130" s="73"/>
      <c r="BN130" s="73"/>
      <c r="BO130" s="73"/>
      <c r="BP130" s="73"/>
      <c r="BQ130" s="73"/>
      <c r="BR130" s="73"/>
      <c r="BS130" s="73"/>
      <c r="BT130" s="73"/>
      <c r="BU130" s="73"/>
      <c r="BV130" s="73"/>
      <c r="BW130" s="73"/>
      <c r="BX130" s="73"/>
      <c r="BY130" s="73"/>
      <c r="BZ130" s="73"/>
      <c r="CA130" s="73"/>
      <c r="CB130" s="73"/>
      <c r="CC130" s="73"/>
      <c r="CD130" s="73"/>
      <c r="CE130" s="73"/>
      <c r="CF130" s="73"/>
      <c r="CG130" s="73"/>
      <c r="CH130" s="73"/>
      <c r="CI130" s="73"/>
      <c r="CJ130" s="73"/>
      <c r="CK130" s="73"/>
      <c r="CL130" s="73"/>
      <c r="CM130" s="73"/>
      <c r="CN130" s="73"/>
      <c r="CP130" s="136"/>
      <c r="CQ130" s="136"/>
      <c r="CR130" s="136"/>
      <c r="CS130" s="136"/>
      <c r="CT130" s="136"/>
      <c r="CU130" s="136"/>
      <c r="CV130" s="136"/>
      <c r="CW130" s="136"/>
      <c r="CX130" s="136"/>
      <c r="CY130" s="136"/>
      <c r="CZ130" s="136"/>
      <c r="DA130" s="136"/>
      <c r="DB130" s="22"/>
      <c r="DC130" s="141"/>
      <c r="DD130" s="141"/>
      <c r="DE130" s="141"/>
      <c r="DF130" s="141"/>
      <c r="DG130" s="141"/>
      <c r="DH130" s="141"/>
    </row>
    <row r="131" spans="1:233" s="28" customFormat="1">
      <c r="A131" s="38"/>
      <c r="F131" s="38"/>
      <c r="V131" s="25" t="s">
        <v>918</v>
      </c>
      <c r="W131" s="20"/>
      <c r="X131" s="23"/>
      <c r="Y131" s="45"/>
      <c r="Z131" s="45"/>
      <c r="AA131" s="45"/>
      <c r="AB131" s="23"/>
      <c r="AC131" s="6"/>
      <c r="AD131" s="14"/>
      <c r="AE131" s="67"/>
      <c r="AF131" s="23"/>
      <c r="AG131" s="17"/>
      <c r="AH131" s="35"/>
      <c r="AI131" s="24"/>
      <c r="AJ131" s="73"/>
      <c r="AK131" s="73"/>
      <c r="AL131" s="73"/>
      <c r="AM131" s="73"/>
      <c r="AN131" s="73"/>
      <c r="AO131" s="73"/>
      <c r="AP131" s="73"/>
      <c r="AQ131" s="73"/>
      <c r="AR131" s="73"/>
      <c r="AS131" s="73"/>
      <c r="AT131" s="73"/>
      <c r="AU131" s="73"/>
      <c r="AV131" s="73"/>
      <c r="AW131" s="73"/>
      <c r="AX131" s="73"/>
      <c r="AY131" s="73"/>
      <c r="AZ131" s="73"/>
      <c r="BA131" s="73"/>
      <c r="BB131" s="73"/>
      <c r="BC131" s="73"/>
      <c r="BD131" s="73"/>
      <c r="BE131" s="73"/>
      <c r="BF131" s="73"/>
      <c r="BG131" s="73"/>
      <c r="BH131" s="73"/>
      <c r="BI131" s="73"/>
      <c r="BJ131" s="73"/>
      <c r="BK131" s="73"/>
      <c r="BL131" s="73"/>
      <c r="BM131" s="73"/>
      <c r="BN131" s="73"/>
      <c r="BO131" s="73"/>
      <c r="BP131" s="73"/>
      <c r="BQ131" s="73"/>
      <c r="BR131" s="73"/>
      <c r="BS131" s="73"/>
      <c r="BT131" s="73"/>
      <c r="BU131" s="73"/>
      <c r="BV131" s="73"/>
      <c r="BW131" s="73"/>
      <c r="BX131" s="73"/>
      <c r="BY131" s="73"/>
      <c r="BZ131" s="73"/>
      <c r="CA131" s="73"/>
      <c r="CB131" s="73"/>
      <c r="CC131" s="73"/>
      <c r="CD131" s="73"/>
      <c r="CE131" s="73"/>
      <c r="CF131" s="73"/>
      <c r="CG131" s="73"/>
      <c r="CH131" s="73"/>
      <c r="CI131" s="73"/>
      <c r="CJ131" s="73"/>
      <c r="CK131" s="73"/>
      <c r="CL131" s="73"/>
      <c r="CM131" s="73"/>
      <c r="CN131" s="73"/>
      <c r="CP131" s="136"/>
      <c r="CQ131" s="136"/>
      <c r="CR131" s="136"/>
      <c r="CS131" s="136"/>
      <c r="CT131" s="136"/>
      <c r="CU131" s="136"/>
      <c r="CV131" s="136"/>
      <c r="CW131" s="136"/>
      <c r="CX131" s="136"/>
      <c r="CY131" s="136"/>
      <c r="CZ131" s="136"/>
      <c r="DA131" s="136"/>
      <c r="DB131" s="22"/>
      <c r="DC131" s="141"/>
      <c r="DD131" s="141"/>
      <c r="DE131" s="141"/>
      <c r="DF131" s="141"/>
      <c r="DG131" s="141"/>
      <c r="DH131" s="141"/>
    </row>
    <row r="132" spans="1:233" s="28" customFormat="1">
      <c r="A132" s="38"/>
      <c r="F132" s="38"/>
      <c r="V132" s="80" t="s">
        <v>0</v>
      </c>
      <c r="W132" s="80" t="s">
        <v>692</v>
      </c>
      <c r="X132" s="80" t="s">
        <v>1</v>
      </c>
      <c r="Y132" s="80" t="s">
        <v>301</v>
      </c>
      <c r="Z132" s="80" t="s">
        <v>300</v>
      </c>
      <c r="AA132" s="80" t="s">
        <v>348</v>
      </c>
      <c r="AB132" s="80" t="s">
        <v>302</v>
      </c>
      <c r="AC132" s="80" t="s">
        <v>303</v>
      </c>
      <c r="AD132" s="80" t="s">
        <v>363</v>
      </c>
      <c r="AE132" s="80" t="s">
        <v>681</v>
      </c>
      <c r="AF132" s="80" t="s">
        <v>680</v>
      </c>
      <c r="AG132" s="80" t="s">
        <v>686</v>
      </c>
      <c r="AH132" s="80" t="s">
        <v>693</v>
      </c>
      <c r="AI132" s="80" t="s">
        <v>299</v>
      </c>
      <c r="AJ132" s="80" t="s">
        <v>2</v>
      </c>
      <c r="AK132" s="80" t="s">
        <v>3</v>
      </c>
      <c r="AL132" s="80" t="s">
        <v>4</v>
      </c>
      <c r="AM132" s="80" t="s">
        <v>5</v>
      </c>
      <c r="AN132" s="80" t="s">
        <v>6</v>
      </c>
      <c r="AO132" s="80" t="s">
        <v>7</v>
      </c>
      <c r="AP132" s="80" t="s">
        <v>8</v>
      </c>
      <c r="AQ132" s="80" t="s">
        <v>9</v>
      </c>
      <c r="AR132" s="80" t="s">
        <v>10</v>
      </c>
      <c r="AS132" s="80" t="s">
        <v>11</v>
      </c>
      <c r="AT132" s="80" t="s">
        <v>12</v>
      </c>
      <c r="AU132" s="80" t="s">
        <v>13</v>
      </c>
      <c r="AV132" s="80" t="s">
        <v>14</v>
      </c>
      <c r="AW132" s="80" t="s">
        <v>15</v>
      </c>
      <c r="AX132" s="80" t="s">
        <v>16</v>
      </c>
      <c r="AY132" s="80" t="s">
        <v>17</v>
      </c>
      <c r="AZ132" s="80" t="s">
        <v>18</v>
      </c>
      <c r="BA132" s="80" t="s">
        <v>19</v>
      </c>
      <c r="BB132" s="80" t="s">
        <v>20</v>
      </c>
      <c r="BC132" s="80" t="s">
        <v>21</v>
      </c>
      <c r="BD132" s="80" t="s">
        <v>22</v>
      </c>
      <c r="BE132" s="80" t="s">
        <v>23</v>
      </c>
      <c r="BF132" s="80" t="s">
        <v>24</v>
      </c>
      <c r="BG132" s="80" t="s">
        <v>25</v>
      </c>
      <c r="BH132" s="80" t="s">
        <v>26</v>
      </c>
      <c r="BI132" s="80" t="s">
        <v>27</v>
      </c>
      <c r="BJ132" s="80" t="s">
        <v>28</v>
      </c>
      <c r="BK132" s="80" t="s">
        <v>29</v>
      </c>
      <c r="BL132" s="80" t="s">
        <v>30</v>
      </c>
      <c r="BM132" s="80" t="s">
        <v>31</v>
      </c>
      <c r="BN132" s="80" t="s">
        <v>32</v>
      </c>
      <c r="BO132" s="80" t="s">
        <v>33</v>
      </c>
      <c r="BP132" s="80" t="s">
        <v>34</v>
      </c>
      <c r="BQ132" s="80" t="s">
        <v>35</v>
      </c>
      <c r="BR132" s="80" t="s">
        <v>36</v>
      </c>
      <c r="BS132" s="80" t="s">
        <v>37</v>
      </c>
      <c r="BT132" s="80" t="s">
        <v>38</v>
      </c>
      <c r="BU132" s="80" t="s">
        <v>39</v>
      </c>
      <c r="BV132" s="80" t="s">
        <v>40</v>
      </c>
      <c r="BW132" s="80" t="s">
        <v>41</v>
      </c>
      <c r="BX132" s="80" t="s">
        <v>42</v>
      </c>
      <c r="BY132" s="80" t="s">
        <v>43</v>
      </c>
      <c r="BZ132" s="80" t="s">
        <v>44</v>
      </c>
      <c r="CA132" s="80" t="s">
        <v>45</v>
      </c>
      <c r="CB132" s="80" t="s">
        <v>46</v>
      </c>
      <c r="CC132" s="80" t="s">
        <v>47</v>
      </c>
      <c r="CD132" s="80" t="s">
        <v>48</v>
      </c>
      <c r="CE132" s="80" t="s">
        <v>49</v>
      </c>
      <c r="CF132" s="80" t="s">
        <v>50</v>
      </c>
      <c r="CG132" s="80" t="s">
        <v>51</v>
      </c>
      <c r="CH132" s="80" t="s">
        <v>52</v>
      </c>
      <c r="CI132" s="80" t="s">
        <v>53</v>
      </c>
      <c r="CJ132" s="80" t="s">
        <v>54</v>
      </c>
      <c r="CK132" s="80" t="s">
        <v>55</v>
      </c>
      <c r="CL132" s="80" t="s">
        <v>56</v>
      </c>
      <c r="CM132" s="80" t="s">
        <v>57</v>
      </c>
      <c r="CN132" s="80" t="s">
        <v>58</v>
      </c>
      <c r="CO132" s="80"/>
      <c r="CP132" s="80" t="s">
        <v>863</v>
      </c>
      <c r="CQ132" s="80" t="s">
        <v>864</v>
      </c>
      <c r="CR132" s="80" t="s">
        <v>875</v>
      </c>
      <c r="CS132" s="80" t="s">
        <v>865</v>
      </c>
      <c r="CT132" s="80" t="s">
        <v>866</v>
      </c>
      <c r="CU132" s="80" t="s">
        <v>867</v>
      </c>
      <c r="CV132" s="80" t="s">
        <v>868</v>
      </c>
      <c r="CW132" s="80" t="s">
        <v>869</v>
      </c>
      <c r="CX132" s="80" t="s">
        <v>876</v>
      </c>
      <c r="CY132" s="80" t="s">
        <v>870</v>
      </c>
      <c r="CZ132" s="80" t="s">
        <v>871</v>
      </c>
      <c r="DA132" s="80" t="s">
        <v>872</v>
      </c>
      <c r="DB132" s="80"/>
      <c r="DC132" s="80" t="s">
        <v>1155</v>
      </c>
      <c r="DD132" s="80" t="s">
        <v>1156</v>
      </c>
      <c r="DE132" s="80" t="s">
        <v>1157</v>
      </c>
      <c r="DF132" s="80" t="s">
        <v>1158</v>
      </c>
      <c r="DG132" s="80" t="s">
        <v>1159</v>
      </c>
      <c r="DH132" s="80" t="s">
        <v>1160</v>
      </c>
      <c r="DI132" s="80"/>
    </row>
    <row r="133" spans="1:233" s="28" customFormat="1">
      <c r="A133" s="38"/>
      <c r="F133" s="38"/>
      <c r="V133" s="17" t="s">
        <v>408</v>
      </c>
      <c r="W133" s="17" t="s">
        <v>409</v>
      </c>
      <c r="X133" s="15" t="s">
        <v>339</v>
      </c>
      <c r="Y133" s="17">
        <v>0.258158</v>
      </c>
      <c r="Z133" s="17">
        <v>34.720027000000002</v>
      </c>
      <c r="AA133" s="17" t="s">
        <v>372</v>
      </c>
      <c r="AB133" s="17" t="s">
        <v>330</v>
      </c>
      <c r="AC133" s="17" t="s">
        <v>347</v>
      </c>
      <c r="AD133" s="14" t="s">
        <v>371</v>
      </c>
      <c r="AE133" s="14" t="s">
        <v>687</v>
      </c>
      <c r="AF133" s="17" t="s">
        <v>673</v>
      </c>
      <c r="AG133" s="17" t="s">
        <v>685</v>
      </c>
      <c r="AH133" s="17" t="s">
        <v>691</v>
      </c>
      <c r="AI133" s="24">
        <v>8.4208175117264314</v>
      </c>
      <c r="AJ133" s="73">
        <v>6.22</v>
      </c>
      <c r="AK133" s="73">
        <v>4.3631900000000003</v>
      </c>
      <c r="AL133" s="73">
        <v>14.3</v>
      </c>
      <c r="AM133" s="73">
        <v>1.92</v>
      </c>
      <c r="AN133" s="73">
        <v>6612</v>
      </c>
      <c r="AO133" s="73">
        <v>16748</v>
      </c>
      <c r="AP133" s="73">
        <v>78567</v>
      </c>
      <c r="AQ133" s="73">
        <v>742</v>
      </c>
      <c r="AR133" s="73">
        <v>323</v>
      </c>
      <c r="AS133" s="73">
        <v>13357</v>
      </c>
      <c r="AT133" s="73">
        <v>12426</v>
      </c>
      <c r="AU133" s="73">
        <v>4594.7</v>
      </c>
      <c r="AV133" s="73">
        <v>168.1</v>
      </c>
      <c r="AW133" s="73">
        <v>637.9</v>
      </c>
      <c r="AX133" s="73">
        <v>1810.4</v>
      </c>
      <c r="AY133" s="73">
        <v>69147</v>
      </c>
      <c r="AZ133" s="73">
        <v>61.822000000000003</v>
      </c>
      <c r="BA133" s="73">
        <v>210.4</v>
      </c>
      <c r="BB133" s="73">
        <v>94.15</v>
      </c>
      <c r="BC133" s="73">
        <v>111</v>
      </c>
      <c r="BD133" s="73">
        <v>15.22</v>
      </c>
      <c r="BE133" s="73">
        <v>21.1</v>
      </c>
      <c r="BF133" s="73">
        <v>0.6</v>
      </c>
      <c r="BG133" s="73">
        <v>66</v>
      </c>
      <c r="BH133" s="73">
        <v>159.66999999999999</v>
      </c>
      <c r="BI133" s="73">
        <v>19.614999999999998</v>
      </c>
      <c r="BJ133" s="73">
        <v>172.12</v>
      </c>
      <c r="BK133" s="73">
        <v>29.495000000000001</v>
      </c>
      <c r="BL133" s="73">
        <v>2.16</v>
      </c>
      <c r="BM133" s="73">
        <v>0.157</v>
      </c>
      <c r="BN133" s="73">
        <v>0.17899999999999999</v>
      </c>
      <c r="BO133" s="73">
        <v>5.08</v>
      </c>
      <c r="BP133" s="73">
        <v>1.21</v>
      </c>
      <c r="BQ133" s="73">
        <v>2.7090000000000001</v>
      </c>
      <c r="BR133" s="73">
        <v>540.44000000000005</v>
      </c>
      <c r="BS133" s="73">
        <v>35.826000000000001</v>
      </c>
      <c r="BT133" s="73">
        <v>105.483</v>
      </c>
      <c r="BU133" s="73">
        <v>7.4039999999999999</v>
      </c>
      <c r="BV133" s="73">
        <v>28.33</v>
      </c>
      <c r="BW133" s="73">
        <v>5.2050000000000001</v>
      </c>
      <c r="BX133" s="73">
        <v>1.2030000000000001</v>
      </c>
      <c r="BY133" s="73">
        <v>4.2039999999999997</v>
      </c>
      <c r="BZ133" s="73">
        <v>0.64200000000000002</v>
      </c>
      <c r="CA133" s="73">
        <v>3.625</v>
      </c>
      <c r="CB133" s="73">
        <v>0.748</v>
      </c>
      <c r="CC133" s="73">
        <v>2.1469999999999998</v>
      </c>
      <c r="CD133" s="73">
        <v>0.318</v>
      </c>
      <c r="CE133" s="73">
        <v>1.962</v>
      </c>
      <c r="CF133" s="73">
        <v>0.315</v>
      </c>
      <c r="CG133" s="73">
        <v>4.5659999999999998</v>
      </c>
      <c r="CH133" s="73">
        <v>1.5940000000000001</v>
      </c>
      <c r="CI133" s="73">
        <v>7.7679999999999998</v>
      </c>
      <c r="CJ133" s="73">
        <v>0.42299999999999999</v>
      </c>
      <c r="CK133" s="73">
        <v>44.6</v>
      </c>
      <c r="CL133" s="73">
        <v>9.2200000000000006</v>
      </c>
      <c r="CM133" s="73">
        <v>6.6379999999999999</v>
      </c>
      <c r="CN133" s="73">
        <v>1.879</v>
      </c>
      <c r="CO133" s="35"/>
      <c r="CP133" s="136">
        <f t="shared" si="25"/>
        <v>1.5800422203676907</v>
      </c>
      <c r="CQ133" s="136">
        <f t="shared" si="26"/>
        <v>1.2147343390813587</v>
      </c>
      <c r="CR133" s="136">
        <f t="shared" si="27"/>
        <v>35.154602874576696</v>
      </c>
      <c r="CS133" s="136">
        <f t="shared" si="28"/>
        <v>3.9806829872533567</v>
      </c>
      <c r="CT133" s="136">
        <f t="shared" si="29"/>
        <v>1.0357751996076869</v>
      </c>
      <c r="CU133" s="136">
        <f t="shared" si="30"/>
        <v>3.3222942890531768</v>
      </c>
      <c r="CV133" s="136">
        <f t="shared" si="31"/>
        <v>6.901671434349006</v>
      </c>
      <c r="CW133" s="136">
        <f t="shared" si="32"/>
        <v>9.4405951333198885</v>
      </c>
      <c r="CX133" s="136">
        <f t="shared" si="33"/>
        <v>16.966054694551509</v>
      </c>
      <c r="CY133" s="136">
        <f t="shared" si="34"/>
        <v>15.404649309542389</v>
      </c>
      <c r="CZ133" s="136">
        <f t="shared" si="35"/>
        <v>-6.2513555792564146</v>
      </c>
      <c r="DA133" s="136">
        <f t="shared" si="36"/>
        <v>12.46509427176014</v>
      </c>
      <c r="DB133" s="22"/>
      <c r="DC133" s="28">
        <f>BE133/20</f>
        <v>1.0550000000000002</v>
      </c>
      <c r="DD133" s="28">
        <f>CK133/120</f>
        <v>0.3716666666666667</v>
      </c>
      <c r="DE133" s="28">
        <f>AK133/0.15</f>
        <v>29.087933333333336</v>
      </c>
      <c r="DF133" s="28">
        <f>AW133/81</f>
        <v>7.875308641975308</v>
      </c>
      <c r="DG133" s="28">
        <f>BN133/2.3</f>
        <v>7.7826086956521739E-2</v>
      </c>
    </row>
    <row r="134" spans="1:233" s="349" customFormat="1">
      <c r="A134" s="359"/>
      <c r="B134" s="359"/>
      <c r="C134" s="359"/>
      <c r="D134" s="359"/>
      <c r="E134" s="359"/>
      <c r="F134" s="361"/>
      <c r="G134" s="359"/>
      <c r="H134" s="359"/>
      <c r="I134" s="359"/>
      <c r="J134" s="359"/>
      <c r="K134" s="359"/>
      <c r="L134" s="359"/>
      <c r="M134" s="359"/>
      <c r="N134" s="359"/>
      <c r="O134" s="359"/>
      <c r="P134" s="359"/>
      <c r="Q134" s="359"/>
      <c r="R134" s="359"/>
      <c r="S134" s="359"/>
      <c r="T134" s="359"/>
      <c r="U134" s="359"/>
      <c r="V134" s="17" t="s">
        <v>410</v>
      </c>
      <c r="W134" s="17" t="s">
        <v>411</v>
      </c>
      <c r="X134" s="15" t="s">
        <v>339</v>
      </c>
      <c r="Y134" s="17">
        <v>0.25792300000000001</v>
      </c>
      <c r="Z134" s="17">
        <v>34.719996000000002</v>
      </c>
      <c r="AA134" s="17" t="s">
        <v>372</v>
      </c>
      <c r="AB134" s="17" t="s">
        <v>330</v>
      </c>
      <c r="AC134" s="17" t="s">
        <v>347</v>
      </c>
      <c r="AD134" s="14" t="s">
        <v>371</v>
      </c>
      <c r="AE134" s="14" t="s">
        <v>687</v>
      </c>
      <c r="AF134" s="17" t="s">
        <v>673</v>
      </c>
      <c r="AG134" s="17" t="s">
        <v>685</v>
      </c>
      <c r="AH134" s="17" t="s">
        <v>691</v>
      </c>
      <c r="AI134" s="24">
        <v>1.5643682742130782</v>
      </c>
      <c r="AJ134" s="73">
        <v>7.4</v>
      </c>
      <c r="AK134" s="73">
        <v>6.5400200000000002</v>
      </c>
      <c r="AL134" s="73">
        <v>15.8</v>
      </c>
      <c r="AM134" s="73">
        <v>1.1100000000000001</v>
      </c>
      <c r="AN134" s="73">
        <v>17100</v>
      </c>
      <c r="AO134" s="73">
        <v>20719</v>
      </c>
      <c r="AP134" s="73">
        <v>76270</v>
      </c>
      <c r="AQ134" s="73">
        <v>845</v>
      </c>
      <c r="AR134" s="73">
        <v>1616</v>
      </c>
      <c r="AS134" s="73">
        <v>11643</v>
      </c>
      <c r="AT134" s="73">
        <v>28382</v>
      </c>
      <c r="AU134" s="73">
        <v>3727.5</v>
      </c>
      <c r="AV134" s="73">
        <v>158.5</v>
      </c>
      <c r="AW134" s="73">
        <v>356</v>
      </c>
      <c r="AX134" s="73">
        <v>1096.8</v>
      </c>
      <c r="AY134" s="73">
        <v>59330</v>
      </c>
      <c r="AZ134" s="73">
        <v>33.938000000000002</v>
      </c>
      <c r="BA134" s="73">
        <v>90.11</v>
      </c>
      <c r="BB134" s="73">
        <v>250.26</v>
      </c>
      <c r="BC134" s="73">
        <v>86</v>
      </c>
      <c r="BD134" s="73">
        <v>15.46</v>
      </c>
      <c r="BE134" s="73">
        <v>484.1</v>
      </c>
      <c r="BF134" s="73">
        <v>0.39</v>
      </c>
      <c r="BG134" s="73">
        <v>47.45</v>
      </c>
      <c r="BH134" s="73">
        <v>230.69</v>
      </c>
      <c r="BI134" s="73">
        <v>14.266999999999999</v>
      </c>
      <c r="BJ134" s="73">
        <v>106.23</v>
      </c>
      <c r="BK134" s="73">
        <v>10.169</v>
      </c>
      <c r="BL134" s="73">
        <v>2.56</v>
      </c>
      <c r="BM134" s="73">
        <v>0.32</v>
      </c>
      <c r="BN134" s="73">
        <v>0.14799999999999999</v>
      </c>
      <c r="BO134" s="73">
        <v>1.26</v>
      </c>
      <c r="BP134" s="73">
        <v>0.61799999999999999</v>
      </c>
      <c r="BQ134" s="73">
        <v>1.66</v>
      </c>
      <c r="BR134" s="73">
        <v>450.83</v>
      </c>
      <c r="BS134" s="73">
        <v>24.04</v>
      </c>
      <c r="BT134" s="73">
        <v>53.375999999999998</v>
      </c>
      <c r="BU134" s="73">
        <v>5.8849999999999998</v>
      </c>
      <c r="BV134" s="73">
        <v>23.41</v>
      </c>
      <c r="BW134" s="73">
        <v>4.5019999999999998</v>
      </c>
      <c r="BX134" s="73">
        <v>1.0780000000000001</v>
      </c>
      <c r="BY134" s="73">
        <v>3.415</v>
      </c>
      <c r="BZ134" s="73">
        <v>0.499</v>
      </c>
      <c r="CA134" s="73">
        <v>2.69</v>
      </c>
      <c r="CB134" s="73">
        <v>0.54800000000000004</v>
      </c>
      <c r="CC134" s="73">
        <v>1.4970000000000001</v>
      </c>
      <c r="CD134" s="73">
        <v>0.22600000000000001</v>
      </c>
      <c r="CE134" s="73">
        <v>1.3819999999999999</v>
      </c>
      <c r="CF134" s="73">
        <v>0.21099999999999999</v>
      </c>
      <c r="CG134" s="73">
        <v>2.996</v>
      </c>
      <c r="CH134" s="73">
        <v>0.57499999999999996</v>
      </c>
      <c r="CI134" s="73">
        <v>22.603000000000002</v>
      </c>
      <c r="CJ134" s="73">
        <v>0.22800000000000001</v>
      </c>
      <c r="CK134" s="73">
        <v>26.1</v>
      </c>
      <c r="CL134" s="73">
        <v>11.76</v>
      </c>
      <c r="CM134" s="73">
        <v>4.9630000000000001</v>
      </c>
      <c r="CN134" s="73">
        <v>1.1619999999999999</v>
      </c>
      <c r="CO134" s="35"/>
      <c r="CP134" s="136">
        <f t="shared" si="25"/>
        <v>42.249377410495633</v>
      </c>
      <c r="CQ134" s="136">
        <f t="shared" si="26"/>
        <v>0.82848748335878164</v>
      </c>
      <c r="CR134" s="136">
        <f t="shared" si="27"/>
        <v>61.412410152824684</v>
      </c>
      <c r="CS134" s="136">
        <f t="shared" si="28"/>
        <v>2.5891307509014054</v>
      </c>
      <c r="CT134" s="136">
        <f t="shared" si="29"/>
        <v>0.99809800346291166</v>
      </c>
      <c r="CU134" s="136">
        <f t="shared" si="30"/>
        <v>1.6583047631069892</v>
      </c>
      <c r="CV134" s="136">
        <f t="shared" si="31"/>
        <v>11.421661624502677</v>
      </c>
      <c r="CW134" s="136">
        <f t="shared" si="32"/>
        <v>8.6676012299694669</v>
      </c>
      <c r="CX134" s="136">
        <f t="shared" si="33"/>
        <v>17.549966443324323</v>
      </c>
      <c r="CY134" s="136">
        <f t="shared" si="34"/>
        <v>14.563196272216736</v>
      </c>
      <c r="CZ134" s="136">
        <f t="shared" si="35"/>
        <v>-6.5257179908917209</v>
      </c>
      <c r="DA134" s="136">
        <f t="shared" si="36"/>
        <v>11.241718690932435</v>
      </c>
      <c r="DB134" s="22"/>
      <c r="DC134" s="28">
        <f t="shared" ref="DC134:DC168" si="38">BE134/20</f>
        <v>24.205000000000002</v>
      </c>
      <c r="DD134" s="28">
        <f t="shared" ref="DD134:DD168" si="39">CK134/120</f>
        <v>0.2175</v>
      </c>
      <c r="DE134" s="28">
        <f t="shared" ref="DE134:DE167" si="40">AK134/0.15</f>
        <v>43.600133333333339</v>
      </c>
      <c r="DF134" s="28">
        <f t="shared" ref="DF134:DF168" si="41">AW134/81</f>
        <v>4.3950617283950617</v>
      </c>
      <c r="DG134" s="28">
        <f t="shared" ref="DG134:DG168" si="42">BN134/2.3</f>
        <v>6.4347826086956522E-2</v>
      </c>
      <c r="DH134" s="28"/>
      <c r="DI134" s="28"/>
      <c r="DJ134"/>
      <c r="DK134"/>
      <c r="DL134"/>
      <c r="DM134"/>
      <c r="DN134"/>
      <c r="DO134"/>
      <c r="DP134"/>
      <c r="DQ134"/>
      <c r="DR134"/>
      <c r="DS134"/>
      <c r="DT134"/>
      <c r="DU134"/>
      <c r="DV134"/>
      <c r="DW134"/>
      <c r="DX134"/>
      <c r="DY134"/>
      <c r="DZ134"/>
      <c r="EA134"/>
      <c r="EB134"/>
      <c r="EC134"/>
      <c r="ED134"/>
      <c r="EE134"/>
      <c r="EF134"/>
      <c r="EG134"/>
      <c r="EH134"/>
      <c r="EI134"/>
      <c r="EJ134"/>
      <c r="EK134"/>
      <c r="EL134"/>
      <c r="EM134"/>
      <c r="EN134"/>
      <c r="EO134"/>
      <c r="EP134"/>
      <c r="EQ134"/>
      <c r="ER134"/>
      <c r="ES134"/>
      <c r="ET134"/>
      <c r="EU134"/>
      <c r="EV134"/>
      <c r="EW134"/>
      <c r="EX134"/>
      <c r="EY134"/>
      <c r="EZ134"/>
      <c r="FA134"/>
      <c r="FB134"/>
      <c r="FC134"/>
      <c r="FD134"/>
      <c r="FE134"/>
      <c r="FF134"/>
      <c r="FG134"/>
      <c r="FH134"/>
      <c r="FI134"/>
      <c r="FJ134"/>
      <c r="FK134"/>
      <c r="FL134"/>
      <c r="FM134"/>
      <c r="FN134"/>
      <c r="FO134"/>
      <c r="FP134"/>
      <c r="FQ134"/>
      <c r="FR134"/>
      <c r="FS134"/>
      <c r="FT134"/>
      <c r="FU134"/>
      <c r="FV134"/>
      <c r="FW134"/>
      <c r="FX134"/>
      <c r="FY134"/>
      <c r="FZ134"/>
      <c r="GA134"/>
      <c r="GB134"/>
      <c r="GC134"/>
      <c r="GD134"/>
      <c r="GE134"/>
      <c r="GF134"/>
      <c r="GG134"/>
      <c r="GH134"/>
      <c r="GI134"/>
      <c r="GJ134"/>
      <c r="GK134"/>
      <c r="GL134"/>
      <c r="GM134"/>
      <c r="GN134"/>
      <c r="GO134"/>
      <c r="GP134"/>
      <c r="GQ134"/>
      <c r="GR134"/>
      <c r="GS134"/>
      <c r="GT134"/>
      <c r="GU134"/>
      <c r="GV134"/>
      <c r="GW134"/>
      <c r="GX134"/>
      <c r="GY134"/>
      <c r="GZ134"/>
      <c r="HA134"/>
      <c r="HB134"/>
      <c r="HC134"/>
      <c r="HD134"/>
      <c r="HE134"/>
      <c r="HF134"/>
      <c r="HG134"/>
      <c r="HH134"/>
      <c r="HI134"/>
      <c r="HJ134"/>
      <c r="HK134"/>
      <c r="HL134"/>
      <c r="HM134"/>
      <c r="HN134"/>
      <c r="HO134"/>
      <c r="HP134"/>
      <c r="HQ134"/>
      <c r="HR134"/>
      <c r="HS134"/>
      <c r="HT134"/>
      <c r="HU134"/>
      <c r="HV134"/>
      <c r="HW134"/>
      <c r="HX134"/>
      <c r="HY134"/>
    </row>
    <row r="135" spans="1:233" s="28" customFormat="1">
      <c r="A135" s="38"/>
      <c r="F135" s="38"/>
      <c r="V135" s="17" t="s">
        <v>412</v>
      </c>
      <c r="W135" s="17" t="s">
        <v>413</v>
      </c>
      <c r="X135" s="15" t="s">
        <v>339</v>
      </c>
      <c r="Y135" s="17">
        <v>0.25812800000000002</v>
      </c>
      <c r="Z135" s="17">
        <v>34.720103999999999</v>
      </c>
      <c r="AA135" s="17" t="s">
        <v>372</v>
      </c>
      <c r="AB135" s="17" t="s">
        <v>330</v>
      </c>
      <c r="AC135" s="17" t="s">
        <v>347</v>
      </c>
      <c r="AD135" s="14" t="s">
        <v>371</v>
      </c>
      <c r="AE135" s="14" t="s">
        <v>687</v>
      </c>
      <c r="AF135" s="17" t="s">
        <v>673</v>
      </c>
      <c r="AG135" s="17" t="s">
        <v>685</v>
      </c>
      <c r="AH135" s="17" t="s">
        <v>691</v>
      </c>
      <c r="AI135" s="24">
        <v>2.3134256122351293</v>
      </c>
      <c r="AJ135" s="73">
        <v>5.46</v>
      </c>
      <c r="AK135" s="73">
        <v>1.2013199999999999</v>
      </c>
      <c r="AL135" s="73">
        <v>6.6</v>
      </c>
      <c r="AM135" s="73">
        <v>1.36</v>
      </c>
      <c r="AN135" s="73">
        <v>6648</v>
      </c>
      <c r="AO135" s="73">
        <v>20416</v>
      </c>
      <c r="AP135" s="73">
        <v>50009</v>
      </c>
      <c r="AQ135" s="73">
        <v>407</v>
      </c>
      <c r="AR135" s="73">
        <v>184</v>
      </c>
      <c r="AS135" s="73">
        <v>14121</v>
      </c>
      <c r="AT135" s="73">
        <v>18193</v>
      </c>
      <c r="AU135" s="73">
        <v>3950</v>
      </c>
      <c r="AV135" s="73">
        <v>156.69999999999999</v>
      </c>
      <c r="AW135" s="73">
        <v>1807.1</v>
      </c>
      <c r="AX135" s="73">
        <v>1377.7</v>
      </c>
      <c r="AY135" s="73">
        <v>61718</v>
      </c>
      <c r="AZ135" s="73">
        <v>50.640999999999998</v>
      </c>
      <c r="BA135" s="73">
        <v>159.6</v>
      </c>
      <c r="BB135" s="73">
        <v>48.6</v>
      </c>
      <c r="BC135" s="73">
        <v>108</v>
      </c>
      <c r="BD135" s="73">
        <v>10.71</v>
      </c>
      <c r="BE135" s="73">
        <v>9.6</v>
      </c>
      <c r="BF135" s="73">
        <v>0.33</v>
      </c>
      <c r="BG135" s="73">
        <v>48.18</v>
      </c>
      <c r="BH135" s="73">
        <v>186.9</v>
      </c>
      <c r="BI135" s="73">
        <v>10.808999999999999</v>
      </c>
      <c r="BJ135" s="73">
        <v>114.87</v>
      </c>
      <c r="BK135" s="73">
        <v>18.030999999999999</v>
      </c>
      <c r="BL135" s="73">
        <v>2.13</v>
      </c>
      <c r="BM135" s="73">
        <v>3.8090000000000002</v>
      </c>
      <c r="BN135" s="73">
        <v>6.2E-2</v>
      </c>
      <c r="BO135" s="73">
        <v>15.62</v>
      </c>
      <c r="BP135" s="73">
        <v>3.3679999999999999</v>
      </c>
      <c r="BQ135" s="73">
        <v>1.494</v>
      </c>
      <c r="BR135" s="73">
        <v>499.6</v>
      </c>
      <c r="BS135" s="73">
        <v>16.693999999999999</v>
      </c>
      <c r="BT135" s="73">
        <v>60.960999999999999</v>
      </c>
      <c r="BU135" s="73">
        <v>3.6970000000000001</v>
      </c>
      <c r="BV135" s="73">
        <v>14.4</v>
      </c>
      <c r="BW135" s="73">
        <v>2.8889999999999998</v>
      </c>
      <c r="BX135" s="73">
        <v>0.70699999999999996</v>
      </c>
      <c r="BY135" s="73">
        <v>2.36</v>
      </c>
      <c r="BZ135" s="73">
        <v>0.376</v>
      </c>
      <c r="CA135" s="73">
        <v>2.0579999999999998</v>
      </c>
      <c r="CB135" s="73">
        <v>0.41499999999999998</v>
      </c>
      <c r="CC135" s="73">
        <v>1.204</v>
      </c>
      <c r="CD135" s="73">
        <v>0.19</v>
      </c>
      <c r="CE135" s="73">
        <v>1.208</v>
      </c>
      <c r="CF135" s="73">
        <v>0.17599999999999999</v>
      </c>
      <c r="CG135" s="73">
        <v>3.2879999999999998</v>
      </c>
      <c r="CH135" s="73">
        <v>0.93200000000000005</v>
      </c>
      <c r="CI135" s="73">
        <v>13.664999999999999</v>
      </c>
      <c r="CJ135" s="73">
        <v>0.28799999999999998</v>
      </c>
      <c r="CK135" s="73">
        <v>16.7</v>
      </c>
      <c r="CL135" s="73">
        <v>8.07</v>
      </c>
      <c r="CM135" s="73">
        <v>11.377000000000001</v>
      </c>
      <c r="CN135" s="73">
        <v>1.5660000000000001</v>
      </c>
      <c r="CO135" s="35"/>
      <c r="CP135" s="136">
        <f t="shared" si="25"/>
        <v>0.80541361753554597</v>
      </c>
      <c r="CQ135" s="136">
        <f t="shared" si="26"/>
        <v>0.50959413336707826</v>
      </c>
      <c r="CR135" s="136">
        <f t="shared" si="27"/>
        <v>10.844218934139395</v>
      </c>
      <c r="CS135" s="136">
        <f t="shared" si="28"/>
        <v>12.634226981323655</v>
      </c>
      <c r="CT135" s="136">
        <f t="shared" si="29"/>
        <v>0.40194410647844003</v>
      </c>
      <c r="CU135" s="136">
        <f t="shared" si="30"/>
        <v>2.8234932232198418</v>
      </c>
      <c r="CV135" s="136">
        <f t="shared" si="31"/>
        <v>5.7655347463629774</v>
      </c>
      <c r="CW135" s="136">
        <f t="shared" si="32"/>
        <v>8.0233995258736339</v>
      </c>
      <c r="CX135" s="136">
        <f t="shared" si="33"/>
        <v>15.105291893884093</v>
      </c>
      <c r="CY135" s="136">
        <f t="shared" si="34"/>
        <v>16.906923469144424</v>
      </c>
      <c r="CZ135" s="136">
        <f t="shared" si="35"/>
        <v>-7.7809750461337961</v>
      </c>
      <c r="DA135" s="136">
        <f t="shared" si="36"/>
        <v>12.066420218690183</v>
      </c>
      <c r="DB135" s="22"/>
      <c r="DC135" s="28">
        <f t="shared" si="38"/>
        <v>0.48</v>
      </c>
      <c r="DD135" s="28">
        <f t="shared" si="39"/>
        <v>0.13916666666666666</v>
      </c>
      <c r="DE135" s="28">
        <f t="shared" si="40"/>
        <v>8.0088000000000008</v>
      </c>
      <c r="DF135" s="28">
        <f t="shared" si="41"/>
        <v>22.309876543209874</v>
      </c>
      <c r="DG135" s="28">
        <f t="shared" si="42"/>
        <v>2.6956521739130438E-2</v>
      </c>
    </row>
    <row r="136" spans="1:233" s="28" customFormat="1">
      <c r="A136" s="38"/>
      <c r="F136" s="38"/>
      <c r="V136" s="17" t="s">
        <v>414</v>
      </c>
      <c r="W136" s="17" t="s">
        <v>415</v>
      </c>
      <c r="X136" s="15" t="s">
        <v>339</v>
      </c>
      <c r="Y136" s="17">
        <v>0.26020300000000002</v>
      </c>
      <c r="Z136" s="17">
        <v>34.719721</v>
      </c>
      <c r="AA136" s="17" t="s">
        <v>372</v>
      </c>
      <c r="AB136" s="17" t="s">
        <v>330</v>
      </c>
      <c r="AC136" s="17" t="s">
        <v>347</v>
      </c>
      <c r="AD136" s="14" t="s">
        <v>371</v>
      </c>
      <c r="AE136" s="14" t="s">
        <v>687</v>
      </c>
      <c r="AF136" s="17" t="s">
        <v>674</v>
      </c>
      <c r="AG136" s="17" t="s">
        <v>684</v>
      </c>
      <c r="AH136" s="17" t="s">
        <v>683</v>
      </c>
      <c r="AI136" s="24">
        <v>6.8126520681266012</v>
      </c>
      <c r="AJ136" s="73">
        <v>5.49</v>
      </c>
      <c r="AK136" s="73">
        <v>2.4613400000000003</v>
      </c>
      <c r="AL136" s="73">
        <v>17</v>
      </c>
      <c r="AM136" s="73">
        <v>2.2799999999999998</v>
      </c>
      <c r="AN136" s="73">
        <v>5530</v>
      </c>
      <c r="AO136" s="73">
        <v>27611</v>
      </c>
      <c r="AP136" s="73">
        <v>76687</v>
      </c>
      <c r="AQ136" s="73">
        <v>648</v>
      </c>
      <c r="AR136" s="73">
        <v>191</v>
      </c>
      <c r="AS136" s="73">
        <v>10271</v>
      </c>
      <c r="AT136" s="73">
        <v>15566</v>
      </c>
      <c r="AU136" s="73">
        <v>4840.8999999999996</v>
      </c>
      <c r="AV136" s="73">
        <v>162.80000000000001</v>
      </c>
      <c r="AW136" s="73">
        <v>1092.7</v>
      </c>
      <c r="AX136" s="73">
        <v>1078.2</v>
      </c>
      <c r="AY136" s="73">
        <v>78004</v>
      </c>
      <c r="AZ136" s="73">
        <v>70.893000000000001</v>
      </c>
      <c r="BA136" s="73">
        <v>382.75</v>
      </c>
      <c r="BB136" s="73">
        <v>52.57</v>
      </c>
      <c r="BC136" s="73">
        <v>89</v>
      </c>
      <c r="BD136" s="73">
        <v>15.2</v>
      </c>
      <c r="BE136" s="73">
        <v>5.9</v>
      </c>
      <c r="BF136" s="73">
        <v>0.52</v>
      </c>
      <c r="BG136" s="73">
        <v>57.02</v>
      </c>
      <c r="BH136" s="73">
        <v>165.2</v>
      </c>
      <c r="BI136" s="73">
        <v>21.606999999999999</v>
      </c>
      <c r="BJ136" s="73">
        <v>199.46</v>
      </c>
      <c r="BK136" s="73">
        <v>34.723999999999997</v>
      </c>
      <c r="BL136" s="73">
        <v>1.47</v>
      </c>
      <c r="BM136" s="73">
        <v>6.3E-2</v>
      </c>
      <c r="BN136" s="73">
        <v>0.115</v>
      </c>
      <c r="BO136" s="73">
        <v>1.92</v>
      </c>
      <c r="BP136" s="73">
        <v>0.26200000000000001</v>
      </c>
      <c r="BQ136" s="73">
        <v>3.4950000000000001</v>
      </c>
      <c r="BR136" s="73">
        <v>474.41</v>
      </c>
      <c r="BS136" s="73">
        <v>35.569000000000003</v>
      </c>
      <c r="BT136" s="73">
        <v>103.152</v>
      </c>
      <c r="BU136" s="73">
        <v>7.306</v>
      </c>
      <c r="BV136" s="73">
        <v>27.93</v>
      </c>
      <c r="BW136" s="73">
        <v>5.4210000000000003</v>
      </c>
      <c r="BX136" s="73">
        <v>1.1910000000000001</v>
      </c>
      <c r="BY136" s="73">
        <v>4.2910000000000004</v>
      </c>
      <c r="BZ136" s="73">
        <v>0.67800000000000005</v>
      </c>
      <c r="CA136" s="73">
        <v>3.9689999999999999</v>
      </c>
      <c r="CB136" s="73">
        <v>0.79</v>
      </c>
      <c r="CC136" s="73">
        <v>2.286</v>
      </c>
      <c r="CD136" s="73">
        <v>0.33800000000000002</v>
      </c>
      <c r="CE136" s="73">
        <v>2.2069999999999999</v>
      </c>
      <c r="CF136" s="73">
        <v>0.318</v>
      </c>
      <c r="CG136" s="73">
        <v>5.1959999999999997</v>
      </c>
      <c r="CH136" s="73">
        <v>1.9239999999999999</v>
      </c>
      <c r="CI136" s="73">
        <v>1.5149999999999999</v>
      </c>
      <c r="CJ136" s="73">
        <v>0.44700000000000001</v>
      </c>
      <c r="CK136" s="73">
        <v>13.8</v>
      </c>
      <c r="CL136" s="73">
        <v>0.28999999999999998</v>
      </c>
      <c r="CM136" s="73">
        <v>6.851</v>
      </c>
      <c r="CN136" s="73">
        <v>1.8779999999999999</v>
      </c>
      <c r="CO136" s="35"/>
      <c r="CP136" s="136">
        <f t="shared" si="25"/>
        <v>0.39164692157566583</v>
      </c>
      <c r="CQ136" s="136">
        <f t="shared" si="26"/>
        <v>0.33318236403926232</v>
      </c>
      <c r="CR136" s="136">
        <f t="shared" si="27"/>
        <v>17.579485064543917</v>
      </c>
      <c r="CS136" s="136">
        <f t="shared" si="28"/>
        <v>6.0445281243747182</v>
      </c>
      <c r="CT136" s="136">
        <f t="shared" si="29"/>
        <v>0.58988423087860298</v>
      </c>
      <c r="CU136" s="136">
        <f t="shared" si="30"/>
        <v>5.3575228566795117</v>
      </c>
      <c r="CV136" s="136">
        <f t="shared" si="31"/>
        <v>5.0632152950036629</v>
      </c>
      <c r="CW136" s="136">
        <f t="shared" si="32"/>
        <v>7.748219690177752</v>
      </c>
      <c r="CX136" s="136">
        <f t="shared" si="33"/>
        <v>16.140115355578214</v>
      </c>
      <c r="CY136" s="136">
        <f t="shared" si="34"/>
        <v>16.181144490398491</v>
      </c>
      <c r="CZ136" s="136">
        <f t="shared" si="35"/>
        <v>-6.8896813055762962</v>
      </c>
      <c r="DA136" s="136">
        <f t="shared" si="36"/>
        <v>13.328361944854986</v>
      </c>
      <c r="DB136" s="22"/>
      <c r="DC136" s="28">
        <f>BE136/10</f>
        <v>0.59000000000000008</v>
      </c>
      <c r="DD136" s="28">
        <f t="shared" si="39"/>
        <v>0.115</v>
      </c>
      <c r="DE136" s="28">
        <f t="shared" si="40"/>
        <v>16.408933333333337</v>
      </c>
      <c r="DF136" s="28">
        <f t="shared" si="41"/>
        <v>13.490123456790124</v>
      </c>
      <c r="DG136" s="28">
        <f t="shared" si="42"/>
        <v>0.05</v>
      </c>
    </row>
    <row r="137" spans="1:233" s="28" customFormat="1">
      <c r="A137" s="38"/>
      <c r="F137" s="38"/>
      <c r="V137" s="17" t="s">
        <v>416</v>
      </c>
      <c r="W137" s="17" t="s">
        <v>417</v>
      </c>
      <c r="X137" s="15" t="s">
        <v>339</v>
      </c>
      <c r="Y137" s="17">
        <v>0.26020300000000002</v>
      </c>
      <c r="Z137" s="17">
        <v>34.719721</v>
      </c>
      <c r="AA137" s="17" t="s">
        <v>372</v>
      </c>
      <c r="AB137" s="17" t="s">
        <v>330</v>
      </c>
      <c r="AC137" s="17" t="s">
        <v>347</v>
      </c>
      <c r="AD137" s="14" t="s">
        <v>371</v>
      </c>
      <c r="AE137" s="14" t="s">
        <v>687</v>
      </c>
      <c r="AF137" s="17" t="s">
        <v>673</v>
      </c>
      <c r="AG137" s="17" t="s">
        <v>685</v>
      </c>
      <c r="AH137" s="17" t="s">
        <v>691</v>
      </c>
      <c r="AI137" s="24">
        <v>2.7571372702387342</v>
      </c>
      <c r="AJ137" s="73">
        <v>6.98</v>
      </c>
      <c r="AK137" s="73">
        <v>6.2166800000000002</v>
      </c>
      <c r="AL137" s="73">
        <v>9.8000000000000007</v>
      </c>
      <c r="AM137" s="73">
        <v>1.01</v>
      </c>
      <c r="AN137" s="73">
        <v>9248</v>
      </c>
      <c r="AO137" s="73">
        <v>14593</v>
      </c>
      <c r="AP137" s="73">
        <v>79220</v>
      </c>
      <c r="AQ137" s="73">
        <v>591</v>
      </c>
      <c r="AR137" s="73">
        <v>423</v>
      </c>
      <c r="AS137" s="73">
        <v>11951</v>
      </c>
      <c r="AT137" s="73">
        <v>18355</v>
      </c>
      <c r="AU137" s="73">
        <v>4442.7</v>
      </c>
      <c r="AV137" s="73">
        <v>201.4</v>
      </c>
      <c r="AW137" s="73">
        <v>457.7</v>
      </c>
      <c r="AX137" s="73">
        <v>1237.3</v>
      </c>
      <c r="AY137" s="73">
        <v>77548</v>
      </c>
      <c r="AZ137" s="73">
        <v>45.478999999999999</v>
      </c>
      <c r="BA137" s="73">
        <v>64.05</v>
      </c>
      <c r="BB137" s="73">
        <v>98</v>
      </c>
      <c r="BC137" s="73">
        <v>83</v>
      </c>
      <c r="BD137" s="73">
        <v>14.55</v>
      </c>
      <c r="BE137" s="73">
        <v>193.6</v>
      </c>
      <c r="BF137" s="73">
        <v>0.46</v>
      </c>
      <c r="BG137" s="73">
        <v>49.27</v>
      </c>
      <c r="BH137" s="73">
        <v>191.3</v>
      </c>
      <c r="BI137" s="73">
        <v>12.523999999999999</v>
      </c>
      <c r="BJ137" s="73">
        <v>88.45</v>
      </c>
      <c r="BK137" s="73">
        <v>11.567</v>
      </c>
      <c r="BL137" s="73">
        <v>1.88</v>
      </c>
      <c r="BM137" s="73">
        <v>0.23100000000000001</v>
      </c>
      <c r="BN137" s="73">
        <v>0.13400000000000001</v>
      </c>
      <c r="BO137" s="73">
        <v>1.76</v>
      </c>
      <c r="BP137" s="73">
        <v>1.133</v>
      </c>
      <c r="BQ137" s="73">
        <v>1.8280000000000001</v>
      </c>
      <c r="BR137" s="73">
        <v>470.79</v>
      </c>
      <c r="BS137" s="73">
        <v>21.957999999999998</v>
      </c>
      <c r="BT137" s="73">
        <v>69.617999999999995</v>
      </c>
      <c r="BU137" s="73">
        <v>5.0129999999999999</v>
      </c>
      <c r="BV137" s="73">
        <v>20.45</v>
      </c>
      <c r="BW137" s="73">
        <v>3.98</v>
      </c>
      <c r="BX137" s="73">
        <v>0.96899999999999997</v>
      </c>
      <c r="BY137" s="73">
        <v>2.907</v>
      </c>
      <c r="BZ137" s="73">
        <v>0.42199999999999999</v>
      </c>
      <c r="CA137" s="73">
        <v>2.4380000000000002</v>
      </c>
      <c r="CB137" s="73">
        <v>0.495</v>
      </c>
      <c r="CC137" s="73">
        <v>1.3879999999999999</v>
      </c>
      <c r="CD137" s="73">
        <v>0.20699999999999999</v>
      </c>
      <c r="CE137" s="73">
        <v>1.337</v>
      </c>
      <c r="CF137" s="73">
        <v>0.20300000000000001</v>
      </c>
      <c r="CG137" s="73">
        <v>2.5249999999999999</v>
      </c>
      <c r="CH137" s="73">
        <v>0.65</v>
      </c>
      <c r="CI137" s="73">
        <v>14.475</v>
      </c>
      <c r="CJ137" s="73">
        <v>0.26900000000000002</v>
      </c>
      <c r="CK137" s="73">
        <v>17.2</v>
      </c>
      <c r="CL137" s="73">
        <v>19.079999999999998</v>
      </c>
      <c r="CM137" s="73">
        <v>4.8360000000000003</v>
      </c>
      <c r="CN137" s="73">
        <v>1.3069999999999999</v>
      </c>
      <c r="CO137" s="35"/>
      <c r="CP137" s="136">
        <f t="shared" si="25"/>
        <v>12.92689825504659</v>
      </c>
      <c r="CQ137" s="136">
        <f t="shared" si="26"/>
        <v>0.41771265981847255</v>
      </c>
      <c r="CR137" s="136">
        <f t="shared" si="27"/>
        <v>44.662119055049935</v>
      </c>
      <c r="CS137" s="136">
        <f t="shared" si="28"/>
        <v>2.5467636584602378</v>
      </c>
      <c r="CT137" s="136">
        <f t="shared" si="29"/>
        <v>0.69138510107522855</v>
      </c>
      <c r="CU137" s="136">
        <f t="shared" si="30"/>
        <v>0.9018083231125793</v>
      </c>
      <c r="CV137" s="136">
        <f t="shared" si="31"/>
        <v>10.099435482916416</v>
      </c>
      <c r="CW137" s="136">
        <f t="shared" si="32"/>
        <v>8.0659599881016799</v>
      </c>
      <c r="CX137" s="136">
        <f t="shared" si="33"/>
        <v>17.476815714591773</v>
      </c>
      <c r="CY137" s="136">
        <f t="shared" si="34"/>
        <v>14.925721322963639</v>
      </c>
      <c r="CZ137" s="136">
        <f t="shared" si="35"/>
        <v>-6.6690821660628981</v>
      </c>
      <c r="DA137" s="136">
        <f t="shared" si="36"/>
        <v>10.749230042809483</v>
      </c>
      <c r="DB137" s="22"/>
      <c r="DC137" s="28">
        <f t="shared" si="38"/>
        <v>9.68</v>
      </c>
      <c r="DD137" s="28">
        <f t="shared" si="39"/>
        <v>0.14333333333333334</v>
      </c>
      <c r="DE137" s="28">
        <f t="shared" si="40"/>
        <v>41.444533333333339</v>
      </c>
      <c r="DF137" s="28">
        <f t="shared" si="41"/>
        <v>5.6506172839506172</v>
      </c>
      <c r="DG137" s="28">
        <f t="shared" si="42"/>
        <v>5.8260869565217401E-2</v>
      </c>
    </row>
    <row r="138" spans="1:233" s="28" customFormat="1">
      <c r="A138" s="38"/>
      <c r="F138" s="38"/>
      <c r="V138" s="17" t="s">
        <v>418</v>
      </c>
      <c r="W138" s="17" t="s">
        <v>419</v>
      </c>
      <c r="X138" s="15" t="s">
        <v>339</v>
      </c>
      <c r="Y138" s="17">
        <v>0.26067699999999999</v>
      </c>
      <c r="Z138" s="17">
        <v>34.720677999999999</v>
      </c>
      <c r="AA138" s="17" t="s">
        <v>372</v>
      </c>
      <c r="AB138" s="17" t="s">
        <v>330</v>
      </c>
      <c r="AC138" s="17" t="s">
        <v>347</v>
      </c>
      <c r="AD138" s="14" t="s">
        <v>371</v>
      </c>
      <c r="AE138" s="14" t="s">
        <v>687</v>
      </c>
      <c r="AF138" s="17" t="s">
        <v>675</v>
      </c>
      <c r="AG138" s="17" t="s">
        <v>684</v>
      </c>
      <c r="AH138" s="17" t="s">
        <v>683</v>
      </c>
      <c r="AI138" s="24">
        <v>4.8529095984540733</v>
      </c>
      <c r="AJ138" s="73">
        <v>5.8</v>
      </c>
      <c r="AK138" s="73">
        <v>5.9437899999999999</v>
      </c>
      <c r="AL138" s="73">
        <v>13.2</v>
      </c>
      <c r="AM138" s="73">
        <v>2.2000000000000002</v>
      </c>
      <c r="AN138" s="73">
        <v>5234</v>
      </c>
      <c r="AO138" s="73">
        <v>14500</v>
      </c>
      <c r="AP138" s="73">
        <v>71069</v>
      </c>
      <c r="AQ138" s="73">
        <v>528</v>
      </c>
      <c r="AR138" s="73">
        <v>142</v>
      </c>
      <c r="AS138" s="73">
        <v>14932</v>
      </c>
      <c r="AT138" s="73">
        <v>10825</v>
      </c>
      <c r="AU138" s="73">
        <v>4056.9</v>
      </c>
      <c r="AV138" s="73">
        <v>184.9</v>
      </c>
      <c r="AW138" s="73">
        <v>1150</v>
      </c>
      <c r="AX138" s="73">
        <v>1945.2</v>
      </c>
      <c r="AY138" s="73">
        <v>77997</v>
      </c>
      <c r="AZ138" s="73">
        <v>72.795000000000002</v>
      </c>
      <c r="BA138" s="73">
        <v>204.55</v>
      </c>
      <c r="BB138" s="73">
        <v>56.35</v>
      </c>
      <c r="BC138" s="73">
        <v>86</v>
      </c>
      <c r="BD138" s="73">
        <v>15.03</v>
      </c>
      <c r="BE138" s="73">
        <v>10.199999999999999</v>
      </c>
      <c r="BF138" s="73">
        <v>0.55000000000000004</v>
      </c>
      <c r="BG138" s="73">
        <v>65.209999999999994</v>
      </c>
      <c r="BH138" s="73">
        <v>144.1</v>
      </c>
      <c r="BI138" s="73">
        <v>18.420000000000002</v>
      </c>
      <c r="BJ138" s="73">
        <v>172.59</v>
      </c>
      <c r="BK138" s="73">
        <v>31.7</v>
      </c>
      <c r="BL138" s="73">
        <v>2.71</v>
      </c>
      <c r="BM138" s="73">
        <v>0.58199999999999996</v>
      </c>
      <c r="BN138" s="73">
        <v>9.5000000000000001E-2</v>
      </c>
      <c r="BO138" s="73">
        <v>4.08</v>
      </c>
      <c r="BP138" s="73">
        <v>1.1339999999999999</v>
      </c>
      <c r="BQ138" s="73">
        <v>2.3879999999999999</v>
      </c>
      <c r="BR138" s="73">
        <v>556.79</v>
      </c>
      <c r="BS138" s="73">
        <v>31.481000000000002</v>
      </c>
      <c r="BT138" s="73">
        <v>104.923</v>
      </c>
      <c r="BU138" s="73">
        <v>6.5609999999999999</v>
      </c>
      <c r="BV138" s="73">
        <v>25.03</v>
      </c>
      <c r="BW138" s="73">
        <v>4.63</v>
      </c>
      <c r="BX138" s="73">
        <v>1.0229999999999999</v>
      </c>
      <c r="BY138" s="73">
        <v>3.7850000000000001</v>
      </c>
      <c r="BZ138" s="73">
        <v>0.58099999999999996</v>
      </c>
      <c r="CA138" s="73">
        <v>3.3610000000000002</v>
      </c>
      <c r="CB138" s="73">
        <v>0.70599999999999996</v>
      </c>
      <c r="CC138" s="73">
        <v>1.9410000000000001</v>
      </c>
      <c r="CD138" s="73">
        <v>0.29699999999999999</v>
      </c>
      <c r="CE138" s="73">
        <v>1.8839999999999999</v>
      </c>
      <c r="CF138" s="73">
        <v>0.28199999999999997</v>
      </c>
      <c r="CG138" s="73">
        <v>4.4649999999999999</v>
      </c>
      <c r="CH138" s="73">
        <v>1.696</v>
      </c>
      <c r="CI138" s="73">
        <v>10.016</v>
      </c>
      <c r="CJ138" s="73">
        <v>0.442</v>
      </c>
      <c r="CK138" s="73">
        <v>20.5</v>
      </c>
      <c r="CL138" s="73">
        <v>3.81</v>
      </c>
      <c r="CM138" s="73">
        <v>6.8090000000000002</v>
      </c>
      <c r="CN138" s="73">
        <v>1.7170000000000001</v>
      </c>
      <c r="CO138" s="35"/>
      <c r="CP138" s="136">
        <f t="shared" si="25"/>
        <v>0.67714527481826214</v>
      </c>
      <c r="CQ138" s="136">
        <f t="shared" si="26"/>
        <v>0.49498923597826189</v>
      </c>
      <c r="CR138" s="136">
        <f t="shared" si="27"/>
        <v>42.455794441055261</v>
      </c>
      <c r="CS138" s="136">
        <f t="shared" si="28"/>
        <v>6.3620675330147192</v>
      </c>
      <c r="CT138" s="136">
        <f t="shared" si="29"/>
        <v>0.48733940233132506</v>
      </c>
      <c r="CU138" s="136">
        <f t="shared" si="30"/>
        <v>2.8634347549010903</v>
      </c>
      <c r="CV138" s="136">
        <f t="shared" si="31"/>
        <v>5.8529975876133165</v>
      </c>
      <c r="CW138" s="136">
        <f t="shared" si="32"/>
        <v>8.3191753329050275</v>
      </c>
      <c r="CX138" s="136">
        <f t="shared" si="33"/>
        <v>17.412054540625512</v>
      </c>
      <c r="CY138" s="136">
        <f t="shared" si="34"/>
        <v>16.254880987082078</v>
      </c>
      <c r="CZ138" s="136">
        <f t="shared" si="35"/>
        <v>-7.1653157481897232</v>
      </c>
      <c r="DA138" s="136">
        <f t="shared" si="36"/>
        <v>12.424413104355883</v>
      </c>
      <c r="DB138" s="22"/>
      <c r="DC138" s="28">
        <f t="shared" si="38"/>
        <v>0.51</v>
      </c>
      <c r="DD138" s="28">
        <f t="shared" si="39"/>
        <v>0.17083333333333334</v>
      </c>
      <c r="DE138" s="28">
        <f t="shared" si="40"/>
        <v>39.625266666666668</v>
      </c>
      <c r="DF138" s="28">
        <f t="shared" si="41"/>
        <v>14.197530864197532</v>
      </c>
      <c r="DG138" s="28">
        <f t="shared" si="42"/>
        <v>4.1304347826086961E-2</v>
      </c>
    </row>
    <row r="139" spans="1:233" s="28" customFormat="1">
      <c r="A139" s="38"/>
      <c r="F139" s="38"/>
      <c r="V139" s="17" t="s">
        <v>420</v>
      </c>
      <c r="W139" s="17" t="s">
        <v>421</v>
      </c>
      <c r="X139" s="15" t="s">
        <v>339</v>
      </c>
      <c r="Y139" s="17">
        <v>0.26067699999999999</v>
      </c>
      <c r="Z139" s="17">
        <v>34.720677999999999</v>
      </c>
      <c r="AA139" s="17" t="s">
        <v>372</v>
      </c>
      <c r="AB139" s="17" t="s">
        <v>330</v>
      </c>
      <c r="AC139" s="17" t="s">
        <v>347</v>
      </c>
      <c r="AD139" s="14" t="s">
        <v>371</v>
      </c>
      <c r="AE139" s="14" t="s">
        <v>687</v>
      </c>
      <c r="AF139" s="17" t="s">
        <v>673</v>
      </c>
      <c r="AG139" s="17" t="s">
        <v>685</v>
      </c>
      <c r="AH139" s="17" t="s">
        <v>691</v>
      </c>
      <c r="AI139" s="24">
        <v>5.5532786885243937</v>
      </c>
      <c r="AJ139" s="73">
        <v>6.6</v>
      </c>
      <c r="AK139" s="73">
        <v>8.6901899999999994</v>
      </c>
      <c r="AL139" s="73">
        <v>14.5</v>
      </c>
      <c r="AM139" s="73">
        <v>2.16</v>
      </c>
      <c r="AN139" s="73">
        <v>5635</v>
      </c>
      <c r="AO139" s="73">
        <v>11222</v>
      </c>
      <c r="AP139" s="73">
        <v>80172</v>
      </c>
      <c r="AQ139" s="73">
        <v>627</v>
      </c>
      <c r="AR139" s="73">
        <v>490</v>
      </c>
      <c r="AS139" s="73">
        <v>13039</v>
      </c>
      <c r="AT139" s="73">
        <v>10727</v>
      </c>
      <c r="AU139" s="73">
        <v>4570.1000000000004</v>
      </c>
      <c r="AV139" s="73">
        <v>157.30000000000001</v>
      </c>
      <c r="AW139" s="73">
        <v>519</v>
      </c>
      <c r="AX139" s="73">
        <v>1215.7</v>
      </c>
      <c r="AY139" s="73">
        <v>64351</v>
      </c>
      <c r="AZ139" s="73">
        <v>37.145000000000003</v>
      </c>
      <c r="BA139" s="73">
        <v>171.29</v>
      </c>
      <c r="BB139" s="73">
        <v>94.79</v>
      </c>
      <c r="BC139" s="73">
        <v>97</v>
      </c>
      <c r="BD139" s="73">
        <v>16.36</v>
      </c>
      <c r="BE139" s="73">
        <v>345</v>
      </c>
      <c r="BF139" s="73">
        <v>0.83</v>
      </c>
      <c r="BG139" s="73">
        <v>66.88</v>
      </c>
      <c r="BH139" s="73">
        <v>131.1</v>
      </c>
      <c r="BI139" s="73">
        <v>14.516</v>
      </c>
      <c r="BJ139" s="73">
        <v>166.36</v>
      </c>
      <c r="BK139" s="73">
        <v>28.114999999999998</v>
      </c>
      <c r="BL139" s="73">
        <v>1.92</v>
      </c>
      <c r="BM139" s="73">
        <v>0.215</v>
      </c>
      <c r="BN139" s="73">
        <v>0.17399999999999999</v>
      </c>
      <c r="BO139" s="73">
        <v>1.88</v>
      </c>
      <c r="BP139" s="73">
        <v>0.73199999999999998</v>
      </c>
      <c r="BQ139" s="73">
        <v>2.4449999999999998</v>
      </c>
      <c r="BR139" s="73">
        <v>480.97</v>
      </c>
      <c r="BS139" s="73">
        <v>23.606000000000002</v>
      </c>
      <c r="BT139" s="73">
        <v>59.997</v>
      </c>
      <c r="BU139" s="73">
        <v>5.1459999999999999</v>
      </c>
      <c r="BV139" s="73">
        <v>20.13</v>
      </c>
      <c r="BW139" s="73">
        <v>3.8460000000000001</v>
      </c>
      <c r="BX139" s="73">
        <v>0.92100000000000004</v>
      </c>
      <c r="BY139" s="73">
        <v>3.129</v>
      </c>
      <c r="BZ139" s="73">
        <v>0.46700000000000003</v>
      </c>
      <c r="CA139" s="73">
        <v>2.754</v>
      </c>
      <c r="CB139" s="73">
        <v>0.55100000000000005</v>
      </c>
      <c r="CC139" s="73">
        <v>1.5680000000000001</v>
      </c>
      <c r="CD139" s="73">
        <v>0.24199999999999999</v>
      </c>
      <c r="CE139" s="73">
        <v>1.5549999999999999</v>
      </c>
      <c r="CF139" s="73">
        <v>0.247</v>
      </c>
      <c r="CG139" s="73">
        <v>4.415</v>
      </c>
      <c r="CH139" s="73">
        <v>1.5669999999999999</v>
      </c>
      <c r="CI139" s="73">
        <v>11.98</v>
      </c>
      <c r="CJ139" s="73">
        <v>0.35599999999999998</v>
      </c>
      <c r="CK139" s="73">
        <v>19.8</v>
      </c>
      <c r="CL139" s="73">
        <v>20.58</v>
      </c>
      <c r="CM139" s="73">
        <v>6.4580000000000002</v>
      </c>
      <c r="CN139" s="73">
        <v>1.571</v>
      </c>
      <c r="CO139" s="35"/>
      <c r="CP139" s="136">
        <f t="shared" si="25"/>
        <v>27.76025008066971</v>
      </c>
      <c r="CQ139" s="136">
        <f t="shared" si="26"/>
        <v>0.57946829994812032</v>
      </c>
      <c r="CR139" s="136">
        <f t="shared" si="27"/>
        <v>75.23594588195003</v>
      </c>
      <c r="CS139" s="136">
        <f t="shared" si="28"/>
        <v>3.4800893217071449</v>
      </c>
      <c r="CT139" s="136">
        <f t="shared" si="29"/>
        <v>1.0818816829857838</v>
      </c>
      <c r="CU139" s="136">
        <f t="shared" si="30"/>
        <v>2.906313210927074</v>
      </c>
      <c r="CV139" s="136">
        <f t="shared" si="31"/>
        <v>10.932952892194715</v>
      </c>
      <c r="CW139" s="136">
        <f t="shared" si="32"/>
        <v>8.2690518534791924</v>
      </c>
      <c r="CX139" s="136">
        <f t="shared" si="33"/>
        <v>17.960059115780961</v>
      </c>
      <c r="CY139" s="136">
        <f t="shared" si="34"/>
        <v>15.107053569608221</v>
      </c>
      <c r="CZ139" s="136">
        <f t="shared" si="35"/>
        <v>-6.2922278606719431</v>
      </c>
      <c r="DA139" s="136">
        <f t="shared" si="36"/>
        <v>12.168400495717469</v>
      </c>
      <c r="DB139" s="22"/>
      <c r="DC139" s="28">
        <f t="shared" si="38"/>
        <v>17.25</v>
      </c>
      <c r="DD139" s="28">
        <f t="shared" si="39"/>
        <v>0.16500000000000001</v>
      </c>
      <c r="DE139" s="28">
        <f t="shared" si="40"/>
        <v>57.934599999999996</v>
      </c>
      <c r="DF139" s="28">
        <f t="shared" si="41"/>
        <v>6.4074074074074074</v>
      </c>
      <c r="DG139" s="28">
        <f t="shared" si="42"/>
        <v>7.5652173913043477E-2</v>
      </c>
    </row>
    <row r="140" spans="1:233" s="28" customFormat="1">
      <c r="A140" s="38"/>
      <c r="F140" s="38"/>
      <c r="V140" s="17" t="s">
        <v>422</v>
      </c>
      <c r="W140" s="17" t="s">
        <v>421</v>
      </c>
      <c r="X140" s="15" t="s">
        <v>339</v>
      </c>
      <c r="Y140" s="17">
        <v>0.26067699999999999</v>
      </c>
      <c r="Z140" s="17">
        <v>34.720677999999999</v>
      </c>
      <c r="AA140" s="17" t="s">
        <v>372</v>
      </c>
      <c r="AB140" s="17" t="s">
        <v>330</v>
      </c>
      <c r="AC140" s="17" t="s">
        <v>347</v>
      </c>
      <c r="AD140" s="14" t="s">
        <v>371</v>
      </c>
      <c r="AE140" s="14" t="s">
        <v>687</v>
      </c>
      <c r="AF140" s="17" t="s">
        <v>673</v>
      </c>
      <c r="AG140" s="17" t="s">
        <v>685</v>
      </c>
      <c r="AH140" s="17" t="s">
        <v>691</v>
      </c>
      <c r="AI140" s="24" t="s">
        <v>288</v>
      </c>
      <c r="AJ140" s="73" t="s">
        <v>288</v>
      </c>
      <c r="AK140" s="24" t="s">
        <v>288</v>
      </c>
      <c r="AL140" s="73">
        <v>16.100000000000001</v>
      </c>
      <c r="AM140" s="73">
        <v>1.58</v>
      </c>
      <c r="AN140" s="73">
        <v>5727</v>
      </c>
      <c r="AO140" s="73">
        <v>11280</v>
      </c>
      <c r="AP140" s="73">
        <v>83903</v>
      </c>
      <c r="AQ140" s="73">
        <v>625</v>
      </c>
      <c r="AR140" s="73">
        <v>500</v>
      </c>
      <c r="AS140" s="73">
        <v>13541</v>
      </c>
      <c r="AT140" s="73">
        <v>11125</v>
      </c>
      <c r="AU140" s="73">
        <v>4755.6000000000004</v>
      </c>
      <c r="AV140" s="73">
        <v>159.19999999999999</v>
      </c>
      <c r="AW140" s="73">
        <v>526.1</v>
      </c>
      <c r="AX140" s="73">
        <v>1205.8</v>
      </c>
      <c r="AY140" s="73">
        <v>65554</v>
      </c>
      <c r="AZ140" s="73">
        <v>37.064</v>
      </c>
      <c r="BA140" s="73">
        <v>172.62</v>
      </c>
      <c r="BB140" s="73">
        <v>95.3</v>
      </c>
      <c r="BC140" s="73">
        <v>97</v>
      </c>
      <c r="BD140" s="73">
        <v>16.28</v>
      </c>
      <c r="BE140" s="73">
        <v>349.5</v>
      </c>
      <c r="BF140" s="73">
        <v>0.64</v>
      </c>
      <c r="BG140" s="73">
        <v>67.72</v>
      </c>
      <c r="BH140" s="73">
        <v>130.99</v>
      </c>
      <c r="BI140" s="73">
        <v>14.706</v>
      </c>
      <c r="BJ140" s="73">
        <v>170.85</v>
      </c>
      <c r="BK140" s="73">
        <v>28.547000000000001</v>
      </c>
      <c r="BL140" s="73">
        <v>1.91</v>
      </c>
      <c r="BM140" s="73">
        <v>0.22</v>
      </c>
      <c r="BN140" s="73">
        <v>0.218</v>
      </c>
      <c r="BO140" s="73">
        <v>1.96</v>
      </c>
      <c r="BP140" s="73">
        <v>0.748</v>
      </c>
      <c r="BQ140" s="73">
        <v>2.496</v>
      </c>
      <c r="BR140" s="73">
        <v>488.26</v>
      </c>
      <c r="BS140" s="73">
        <v>24.042999999999999</v>
      </c>
      <c r="BT140" s="73">
        <v>66.462000000000003</v>
      </c>
      <c r="BU140" s="73">
        <v>5.2439999999999998</v>
      </c>
      <c r="BV140" s="73">
        <v>20.36</v>
      </c>
      <c r="BW140" s="73">
        <v>3.9609999999999999</v>
      </c>
      <c r="BX140" s="73">
        <v>0.93300000000000005</v>
      </c>
      <c r="BY140" s="73">
        <v>3.1120000000000001</v>
      </c>
      <c r="BZ140" s="73">
        <v>0.48599999999999999</v>
      </c>
      <c r="CA140" s="73">
        <v>2.7269999999999999</v>
      </c>
      <c r="CB140" s="73">
        <v>0.56599999999999995</v>
      </c>
      <c r="CC140" s="73">
        <v>1.6659999999999999</v>
      </c>
      <c r="CD140" s="73">
        <v>0.24399999999999999</v>
      </c>
      <c r="CE140" s="73">
        <v>1.5449999999999999</v>
      </c>
      <c r="CF140" s="73">
        <v>0.25900000000000001</v>
      </c>
      <c r="CG140" s="73">
        <v>4.7850000000000001</v>
      </c>
      <c r="CH140" s="73">
        <v>1.6040000000000001</v>
      </c>
      <c r="CI140" s="73">
        <v>12.108000000000001</v>
      </c>
      <c r="CJ140" s="73">
        <v>0.35699999999999998</v>
      </c>
      <c r="CK140" s="73">
        <v>20.100000000000001</v>
      </c>
      <c r="CL140" s="73">
        <v>20.25</v>
      </c>
      <c r="CM140" s="73">
        <v>6.56</v>
      </c>
      <c r="CN140" s="73">
        <v>1.6080000000000001</v>
      </c>
      <c r="CO140" s="35"/>
      <c r="CP140" s="136">
        <f t="shared" ref="CP140:CP168" si="43">(BE140/AY140)/(8.5/44012.75)</f>
        <v>27.606259276142346</v>
      </c>
      <c r="CQ140" s="136">
        <f t="shared" ref="CQ140:CQ168" si="44">(CK140/AY140)/(23.37/44012.75)</f>
        <v>0.57745301495307133</v>
      </c>
      <c r="CR140" s="136" t="s">
        <v>288</v>
      </c>
      <c r="CS140" s="136">
        <f t="shared" ref="CS140:CS168" si="45">(AW140/AY140)/(102/44012.75)</f>
        <v>3.4629597055742698</v>
      </c>
      <c r="CT140" s="136">
        <f t="shared" ref="CT140:CT168" si="46">(BN140/AY140)/(0.11/44012.75)</f>
        <v>1.3305865116059765</v>
      </c>
      <c r="CU140" s="136">
        <f t="shared" ref="CU140:CU168" si="47">(BA140/AY140)/(40.31/44012.75)</f>
        <v>2.8751309006207171</v>
      </c>
      <c r="CV140" s="136">
        <f t="shared" ref="CV140:CV168" si="48">LOG(BE140/1.5*8.5,2)</f>
        <v>10.951648985904619</v>
      </c>
      <c r="CW140" s="136">
        <f t="shared" ref="CW140:CW168" si="49">LOG(CK140/1.5*23.37,2)</f>
        <v>8.2907469245785119</v>
      </c>
      <c r="CX140" s="136" t="s">
        <v>288</v>
      </c>
      <c r="CY140" s="136">
        <f t="shared" ref="CY140:CY168" si="50">LOG(AW140/1.5*102,2)</f>
        <v>15.126656081097765</v>
      </c>
      <c r="CZ140" s="136">
        <f t="shared" ref="CZ140:CZ168" si="51">LOG(BN140/1.5*0.11,2)</f>
        <v>-5.966987031743745</v>
      </c>
      <c r="DA140" s="136">
        <f t="shared" ref="DA140:DA168" si="52">LOG(BA140/1.5*40.31,2)</f>
        <v>12.179559194040918</v>
      </c>
      <c r="DB140" s="22"/>
      <c r="DC140" s="28">
        <f t="shared" si="38"/>
        <v>17.475000000000001</v>
      </c>
      <c r="DD140" s="28">
        <f t="shared" si="39"/>
        <v>0.16750000000000001</v>
      </c>
      <c r="DE140" s="28" t="s">
        <v>288</v>
      </c>
      <c r="DF140" s="28">
        <f t="shared" si="41"/>
        <v>6.4950617283950622</v>
      </c>
      <c r="DG140" s="28">
        <f t="shared" si="42"/>
        <v>9.4782608695652179E-2</v>
      </c>
    </row>
    <row r="141" spans="1:233" s="28" customFormat="1">
      <c r="A141" s="38"/>
      <c r="F141" s="38"/>
      <c r="V141" s="17" t="s">
        <v>423</v>
      </c>
      <c r="W141" s="17" t="s">
        <v>424</v>
      </c>
      <c r="X141" s="48">
        <v>43887</v>
      </c>
      <c r="Y141" s="17">
        <v>0.31646400000000002</v>
      </c>
      <c r="Z141" s="17">
        <v>34.649081000000002</v>
      </c>
      <c r="AA141" s="17" t="s">
        <v>661</v>
      </c>
      <c r="AB141" s="17"/>
      <c r="AC141" s="17" t="s">
        <v>347</v>
      </c>
      <c r="AD141" s="14" t="s">
        <v>371</v>
      </c>
      <c r="AE141" s="14" t="s">
        <v>688</v>
      </c>
      <c r="AF141" s="17" t="s">
        <v>676</v>
      </c>
      <c r="AG141" s="17" t="s">
        <v>684</v>
      </c>
      <c r="AH141" s="17" t="s">
        <v>683</v>
      </c>
      <c r="AI141" s="24">
        <v>2.7385159010599684</v>
      </c>
      <c r="AJ141" s="73">
        <v>5.7</v>
      </c>
      <c r="AK141" s="73">
        <v>1.6597500000000001</v>
      </c>
      <c r="AL141" s="73">
        <v>23.9</v>
      </c>
      <c r="AM141" s="73">
        <v>2.23</v>
      </c>
      <c r="AN141" s="73">
        <v>18021</v>
      </c>
      <c r="AO141" s="73">
        <v>2613</v>
      </c>
      <c r="AP141" s="73">
        <v>95403</v>
      </c>
      <c r="AQ141" s="73">
        <v>383</v>
      </c>
      <c r="AR141" s="73">
        <v>80</v>
      </c>
      <c r="AS141" s="73">
        <v>21594</v>
      </c>
      <c r="AT141" s="73">
        <v>5471</v>
      </c>
      <c r="AU141" s="73">
        <v>3163.5</v>
      </c>
      <c r="AV141" s="73">
        <v>78.599999999999994</v>
      </c>
      <c r="AW141" s="73">
        <v>55.5</v>
      </c>
      <c r="AX141" s="73">
        <v>425.9</v>
      </c>
      <c r="AY141" s="73">
        <v>32867</v>
      </c>
      <c r="AZ141" s="73">
        <v>13.196999999999999</v>
      </c>
      <c r="BA141" s="73">
        <v>23.42</v>
      </c>
      <c r="BB141" s="73">
        <v>10.84</v>
      </c>
      <c r="BC141" s="73">
        <v>51</v>
      </c>
      <c r="BD141" s="73">
        <v>19.45</v>
      </c>
      <c r="BE141" s="73">
        <v>1.7</v>
      </c>
      <c r="BF141" s="73">
        <v>0.21</v>
      </c>
      <c r="BG141" s="73">
        <v>67.180000000000007</v>
      </c>
      <c r="BH141" s="73">
        <v>317.63</v>
      </c>
      <c r="BI141" s="73">
        <v>9.673</v>
      </c>
      <c r="BJ141" s="73">
        <v>92.3</v>
      </c>
      <c r="BK141" s="73">
        <v>20.667999999999999</v>
      </c>
      <c r="BL141" s="73">
        <v>1</v>
      </c>
      <c r="BM141" s="73">
        <v>4.9000000000000002E-2</v>
      </c>
      <c r="BN141" s="73">
        <v>2.7E-2</v>
      </c>
      <c r="BO141" s="73">
        <v>1.9</v>
      </c>
      <c r="BP141" s="73">
        <v>0.13600000000000001</v>
      </c>
      <c r="BQ141" s="73">
        <v>2.157</v>
      </c>
      <c r="BR141" s="73">
        <v>1015.34</v>
      </c>
      <c r="BS141" s="73">
        <v>25.256</v>
      </c>
      <c r="BT141" s="73">
        <v>69.552999999999997</v>
      </c>
      <c r="BU141" s="73">
        <v>6.056</v>
      </c>
      <c r="BV141" s="73">
        <v>23.07</v>
      </c>
      <c r="BW141" s="73">
        <v>4.016</v>
      </c>
      <c r="BX141" s="73">
        <v>0.98299999999999998</v>
      </c>
      <c r="BY141" s="73">
        <v>2.7429999999999999</v>
      </c>
      <c r="BZ141" s="73">
        <v>0.38400000000000001</v>
      </c>
      <c r="CA141" s="73">
        <v>2.0049999999999999</v>
      </c>
      <c r="CB141" s="73">
        <v>0.40500000000000003</v>
      </c>
      <c r="CC141" s="73">
        <v>1.091</v>
      </c>
      <c r="CD141" s="73">
        <v>0.16300000000000001</v>
      </c>
      <c r="CE141" s="73">
        <v>1.024</v>
      </c>
      <c r="CF141" s="73">
        <v>0.161</v>
      </c>
      <c r="CG141" s="73">
        <v>2.766</v>
      </c>
      <c r="CH141" s="73">
        <v>1.286</v>
      </c>
      <c r="CI141" s="73">
        <v>0.89100000000000001</v>
      </c>
      <c r="CJ141" s="73">
        <v>0.33200000000000002</v>
      </c>
      <c r="CK141" s="73">
        <v>17.600000000000001</v>
      </c>
      <c r="CL141" s="73">
        <v>0.28000000000000003</v>
      </c>
      <c r="CM141" s="73">
        <v>6.5709999999999997</v>
      </c>
      <c r="CN141" s="73">
        <v>2.3239999999999998</v>
      </c>
      <c r="CO141" s="35"/>
      <c r="CP141" s="136">
        <f t="shared" si="43"/>
        <v>0.26782334864757962</v>
      </c>
      <c r="CQ141" s="136">
        <f t="shared" si="44"/>
        <v>1.0084918562681648</v>
      </c>
      <c r="CR141" s="136">
        <f t="shared" ref="CR141:CR167" si="53">(AK141/AY141)/(0.079/44012.75)</f>
        <v>28.134164741634198</v>
      </c>
      <c r="CS141" s="136">
        <f t="shared" si="45"/>
        <v>0.72863705146767999</v>
      </c>
      <c r="CT141" s="136">
        <f t="shared" si="46"/>
        <v>0.32869229152202956</v>
      </c>
      <c r="CU141" s="136">
        <f t="shared" si="47"/>
        <v>0.77802317357061712</v>
      </c>
      <c r="CV141" s="136">
        <f t="shared" si="48"/>
        <v>3.2680350868921604</v>
      </c>
      <c r="CW141" s="136">
        <f t="shared" si="49"/>
        <v>8.0991268520368802</v>
      </c>
      <c r="CX141" s="136">
        <f t="shared" ref="CX141:CX167" si="54">LOG((AK141/1.5*44012.75),2)</f>
        <v>15.571637347556353</v>
      </c>
      <c r="CY141" s="136">
        <f t="shared" si="50"/>
        <v>11.881878707600446</v>
      </c>
      <c r="CZ141" s="136">
        <f t="shared" si="51"/>
        <v>-8.9802838543572019</v>
      </c>
      <c r="DA141" s="136">
        <f t="shared" si="52"/>
        <v>9.2977725480816886</v>
      </c>
      <c r="DB141" s="22"/>
      <c r="DC141" s="28">
        <f t="shared" si="38"/>
        <v>8.4999999999999992E-2</v>
      </c>
      <c r="DD141" s="28">
        <f t="shared" si="39"/>
        <v>0.14666666666666667</v>
      </c>
      <c r="DE141" s="28">
        <f t="shared" si="40"/>
        <v>11.065000000000001</v>
      </c>
      <c r="DF141" s="28">
        <f t="shared" si="41"/>
        <v>0.68518518518518523</v>
      </c>
      <c r="DG141" s="28">
        <f t="shared" si="42"/>
        <v>1.173913043478261E-2</v>
      </c>
    </row>
    <row r="142" spans="1:233" s="28" customFormat="1">
      <c r="A142" s="38"/>
      <c r="F142" s="38"/>
      <c r="V142" s="17" t="s">
        <v>425</v>
      </c>
      <c r="W142" s="17" t="s">
        <v>426</v>
      </c>
      <c r="X142" s="15" t="s">
        <v>339</v>
      </c>
      <c r="Y142" s="17">
        <v>0.31646400000000002</v>
      </c>
      <c r="Z142" s="17">
        <v>34.649081000000002</v>
      </c>
      <c r="AA142" s="17" t="s">
        <v>350</v>
      </c>
      <c r="AB142" s="17"/>
      <c r="AC142" s="17" t="s">
        <v>347</v>
      </c>
      <c r="AD142" s="14" t="s">
        <v>371</v>
      </c>
      <c r="AE142" s="14" t="s">
        <v>688</v>
      </c>
      <c r="AF142" s="17" t="s">
        <v>676</v>
      </c>
      <c r="AG142" s="17" t="s">
        <v>684</v>
      </c>
      <c r="AH142" s="17" t="s">
        <v>683</v>
      </c>
      <c r="AI142" s="24">
        <v>2.9005398481105975</v>
      </c>
      <c r="AJ142" s="73">
        <v>5.32</v>
      </c>
      <c r="AK142" s="73">
        <v>6.0182399999999996</v>
      </c>
      <c r="AL142" s="73">
        <v>14.2</v>
      </c>
      <c r="AM142" s="73">
        <v>1.55</v>
      </c>
      <c r="AN142" s="73">
        <v>20925</v>
      </c>
      <c r="AO142" s="73">
        <v>5678</v>
      </c>
      <c r="AP142" s="73">
        <v>82422</v>
      </c>
      <c r="AQ142" s="73">
        <v>634</v>
      </c>
      <c r="AR142" s="73">
        <v>1038</v>
      </c>
      <c r="AS142" s="73">
        <v>21716</v>
      </c>
      <c r="AT142" s="73">
        <v>11477</v>
      </c>
      <c r="AU142" s="73">
        <v>2887.3</v>
      </c>
      <c r="AV142" s="73">
        <v>72.900000000000006</v>
      </c>
      <c r="AW142" s="73">
        <v>60.9</v>
      </c>
      <c r="AX142" s="73">
        <v>621.4</v>
      </c>
      <c r="AY142" s="73">
        <v>35093</v>
      </c>
      <c r="AZ142" s="73">
        <v>20.04</v>
      </c>
      <c r="BA142" s="73">
        <v>25.26</v>
      </c>
      <c r="BB142" s="73">
        <v>72.650000000000006</v>
      </c>
      <c r="BC142" s="73">
        <v>68</v>
      </c>
      <c r="BD142" s="73">
        <v>16.32</v>
      </c>
      <c r="BE142" s="73">
        <v>3.1</v>
      </c>
      <c r="BF142" s="73">
        <v>0.32</v>
      </c>
      <c r="BG142" s="73">
        <v>59.19</v>
      </c>
      <c r="BH142" s="73">
        <v>413.78</v>
      </c>
      <c r="BI142" s="73">
        <v>10.26</v>
      </c>
      <c r="BJ142" s="73">
        <v>68.94</v>
      </c>
      <c r="BK142" s="73">
        <v>13.757999999999999</v>
      </c>
      <c r="BL142" s="73">
        <v>1.19</v>
      </c>
      <c r="BM142" s="73">
        <v>6.8000000000000005E-2</v>
      </c>
      <c r="BN142" s="73">
        <v>6.4000000000000001E-2</v>
      </c>
      <c r="BO142" s="73">
        <v>1.54</v>
      </c>
      <c r="BP142" s="73">
        <v>0.15</v>
      </c>
      <c r="BQ142" s="73">
        <v>1.869</v>
      </c>
      <c r="BR142" s="73">
        <v>997.13</v>
      </c>
      <c r="BS142" s="73">
        <v>26.692</v>
      </c>
      <c r="BT142" s="73">
        <v>60.634999999999998</v>
      </c>
      <c r="BU142" s="73">
        <v>6.0659999999999998</v>
      </c>
      <c r="BV142" s="73">
        <v>23.5</v>
      </c>
      <c r="BW142" s="73">
        <v>4.1689999999999996</v>
      </c>
      <c r="BX142" s="73">
        <v>1.006</v>
      </c>
      <c r="BY142" s="73">
        <v>2.8849999999999998</v>
      </c>
      <c r="BZ142" s="73">
        <v>0.38100000000000001</v>
      </c>
      <c r="CA142" s="73">
        <v>1.954</v>
      </c>
      <c r="CB142" s="73">
        <v>0.38</v>
      </c>
      <c r="CC142" s="73">
        <v>1.014</v>
      </c>
      <c r="CD142" s="73">
        <v>0.159</v>
      </c>
      <c r="CE142" s="73">
        <v>0.94199999999999995</v>
      </c>
      <c r="CF142" s="73">
        <v>0.14699999999999999</v>
      </c>
      <c r="CG142" s="73">
        <v>2.0350000000000001</v>
      </c>
      <c r="CH142" s="73">
        <v>0.84399999999999997</v>
      </c>
      <c r="CI142" s="73">
        <v>3.714</v>
      </c>
      <c r="CJ142" s="73">
        <v>0.29699999999999999</v>
      </c>
      <c r="CK142" s="73">
        <v>28.6</v>
      </c>
      <c r="CL142" s="73">
        <v>7.08</v>
      </c>
      <c r="CM142" s="73">
        <v>5.4379999999999997</v>
      </c>
      <c r="CN142" s="73">
        <v>2.0219999999999998</v>
      </c>
      <c r="CO142" s="35"/>
      <c r="CP142" s="136">
        <f t="shared" si="43"/>
        <v>0.45740486203885139</v>
      </c>
      <c r="CQ142" s="136">
        <f t="shared" si="44"/>
        <v>1.534847846862462</v>
      </c>
      <c r="CR142" s="136">
        <f t="shared" si="53"/>
        <v>95.54334019514873</v>
      </c>
      <c r="CS142" s="136">
        <f t="shared" si="45"/>
        <v>0.74881602414424875</v>
      </c>
      <c r="CT142" s="136">
        <f t="shared" si="46"/>
        <v>0.72970159809130553</v>
      </c>
      <c r="CU142" s="136">
        <f t="shared" si="47"/>
        <v>0.78592039058875796</v>
      </c>
      <c r="CV142" s="136">
        <f t="shared" si="48"/>
        <v>4.1347685560286962</v>
      </c>
      <c r="CW142" s="136">
        <f t="shared" si="49"/>
        <v>8.7995665701779711</v>
      </c>
      <c r="CX142" s="136">
        <f t="shared" si="54"/>
        <v>17.430013036416337</v>
      </c>
      <c r="CY142" s="136">
        <f t="shared" si="50"/>
        <v>12.01583316426931</v>
      </c>
      <c r="CZ142" s="136">
        <f t="shared" si="51"/>
        <v>-7.735171356520671</v>
      </c>
      <c r="DA142" s="136">
        <f t="shared" si="52"/>
        <v>9.406886111368026</v>
      </c>
      <c r="DB142" s="22"/>
      <c r="DC142" s="28">
        <f t="shared" si="38"/>
        <v>0.155</v>
      </c>
      <c r="DD142" s="28">
        <f t="shared" si="39"/>
        <v>0.23833333333333334</v>
      </c>
      <c r="DE142" s="28">
        <f t="shared" si="40"/>
        <v>40.121600000000001</v>
      </c>
      <c r="DF142" s="28">
        <f t="shared" si="41"/>
        <v>0.75185185185185188</v>
      </c>
      <c r="DG142" s="28">
        <f t="shared" si="42"/>
        <v>2.782608695652174E-2</v>
      </c>
    </row>
    <row r="143" spans="1:233" s="28" customFormat="1">
      <c r="A143" s="38"/>
      <c r="F143" s="38"/>
      <c r="V143" s="17" t="s">
        <v>427</v>
      </c>
      <c r="W143" s="17" t="s">
        <v>428</v>
      </c>
      <c r="X143" s="48">
        <v>43888</v>
      </c>
      <c r="Y143" s="17">
        <v>0.25118800000000002</v>
      </c>
      <c r="Z143" s="17">
        <v>34.723633</v>
      </c>
      <c r="AA143" s="17" t="s">
        <v>661</v>
      </c>
      <c r="AB143" s="17"/>
      <c r="AC143" s="17" t="s">
        <v>347</v>
      </c>
      <c r="AD143" s="14" t="s">
        <v>371</v>
      </c>
      <c r="AE143" s="14" t="s">
        <v>687</v>
      </c>
      <c r="AF143" s="17" t="s">
        <v>675</v>
      </c>
      <c r="AG143" s="17" t="s">
        <v>684</v>
      </c>
      <c r="AH143" s="17" t="s">
        <v>683</v>
      </c>
      <c r="AI143" s="24">
        <v>0.78825767871681507</v>
      </c>
      <c r="AJ143" s="73">
        <v>6.11</v>
      </c>
      <c r="AK143" s="73">
        <v>7.2234099999999994</v>
      </c>
      <c r="AL143" s="73">
        <v>6.6</v>
      </c>
      <c r="AM143" s="73">
        <v>0.83</v>
      </c>
      <c r="AN143" s="73">
        <v>8682</v>
      </c>
      <c r="AO143" s="73">
        <v>4069</v>
      </c>
      <c r="AP143" s="73">
        <v>41724</v>
      </c>
      <c r="AQ143" s="73">
        <v>222</v>
      </c>
      <c r="AR143" s="73">
        <v>41</v>
      </c>
      <c r="AS143" s="73">
        <v>17467</v>
      </c>
      <c r="AT143" s="73">
        <v>6985</v>
      </c>
      <c r="AU143" s="73">
        <v>1689.7</v>
      </c>
      <c r="AV143" s="73">
        <v>60.6</v>
      </c>
      <c r="AW143" s="73">
        <v>211.5</v>
      </c>
      <c r="AX143" s="73">
        <v>802</v>
      </c>
      <c r="AY143" s="73">
        <v>26415</v>
      </c>
      <c r="AZ143" s="73">
        <v>18.722999999999999</v>
      </c>
      <c r="BA143" s="73">
        <v>33.979999999999997</v>
      </c>
      <c r="BB143" s="73">
        <v>15.23</v>
      </c>
      <c r="BC143" s="73">
        <v>26</v>
      </c>
      <c r="BD143" s="73">
        <v>7.69</v>
      </c>
      <c r="BE143" s="73">
        <v>16</v>
      </c>
      <c r="BF143" s="73">
        <v>0.13</v>
      </c>
      <c r="BG143" s="73">
        <v>66.819999999999993</v>
      </c>
      <c r="BH143" s="73">
        <v>169.28</v>
      </c>
      <c r="BI143" s="73">
        <v>8.3729999999999993</v>
      </c>
      <c r="BJ143" s="73">
        <v>61.92</v>
      </c>
      <c r="BK143" s="73">
        <v>11.702</v>
      </c>
      <c r="BL143" s="73">
        <v>1.05</v>
      </c>
      <c r="BM143" s="73">
        <v>4.8000000000000001E-2</v>
      </c>
      <c r="BN143" s="73">
        <v>3.9E-2</v>
      </c>
      <c r="BO143" s="73">
        <v>0.71</v>
      </c>
      <c r="BP143" s="73">
        <v>0.27800000000000002</v>
      </c>
      <c r="BQ143" s="73">
        <v>1.639</v>
      </c>
      <c r="BR143" s="73">
        <v>484.56</v>
      </c>
      <c r="BS143" s="73">
        <v>17.88</v>
      </c>
      <c r="BT143" s="73">
        <v>69.662000000000006</v>
      </c>
      <c r="BU143" s="73">
        <v>3.8580000000000001</v>
      </c>
      <c r="BV143" s="73">
        <v>14.28</v>
      </c>
      <c r="BW143" s="73">
        <v>2.6160000000000001</v>
      </c>
      <c r="BX143" s="73">
        <v>0.57099999999999995</v>
      </c>
      <c r="BY143" s="73">
        <v>1.8740000000000001</v>
      </c>
      <c r="BZ143" s="73">
        <v>0.28999999999999998</v>
      </c>
      <c r="CA143" s="73">
        <v>1.599</v>
      </c>
      <c r="CB143" s="73">
        <v>0.32500000000000001</v>
      </c>
      <c r="CC143" s="73">
        <v>0.92800000000000005</v>
      </c>
      <c r="CD143" s="73">
        <v>0.14899999999999999</v>
      </c>
      <c r="CE143" s="73">
        <v>0.95899999999999996</v>
      </c>
      <c r="CF143" s="73">
        <v>0.158</v>
      </c>
      <c r="CG143" s="73">
        <v>1.897</v>
      </c>
      <c r="CH143" s="73">
        <v>0.80100000000000005</v>
      </c>
      <c r="CI143" s="73">
        <v>0.94399999999999995</v>
      </c>
      <c r="CJ143" s="73">
        <v>0.35899999999999999</v>
      </c>
      <c r="CK143" s="73">
        <v>13.6</v>
      </c>
      <c r="CL143" s="73">
        <v>0.37</v>
      </c>
      <c r="CM143" s="73">
        <v>4.8280000000000003</v>
      </c>
      <c r="CN143" s="73">
        <v>1.4119999999999999</v>
      </c>
      <c r="CO143" s="35"/>
      <c r="CP143" s="136">
        <f t="shared" si="43"/>
        <v>3.1363819576666554</v>
      </c>
      <c r="CQ143" s="136">
        <f t="shared" si="44"/>
        <v>0.96963455901333273</v>
      </c>
      <c r="CR143" s="136">
        <f t="shared" si="53"/>
        <v>152.35021263690317</v>
      </c>
      <c r="CS143" s="136">
        <f t="shared" si="45"/>
        <v>3.4549207502421755</v>
      </c>
      <c r="CT143" s="136">
        <f t="shared" si="46"/>
        <v>0.59074466986732743</v>
      </c>
      <c r="CU143" s="136">
        <f t="shared" si="47"/>
        <v>1.4045540821645681</v>
      </c>
      <c r="CV143" s="136">
        <f t="shared" si="48"/>
        <v>6.5025003405291839</v>
      </c>
      <c r="CW143" s="136">
        <f t="shared" si="49"/>
        <v>7.7271580746499211</v>
      </c>
      <c r="CX143" s="136">
        <f t="shared" si="54"/>
        <v>17.693351455619791</v>
      </c>
      <c r="CY143" s="136">
        <f t="shared" si="50"/>
        <v>13.811976694370291</v>
      </c>
      <c r="CZ143" s="136">
        <f t="shared" si="51"/>
        <v>-8.4497691376584232</v>
      </c>
      <c r="DA143" s="136">
        <f t="shared" si="52"/>
        <v>9.8347173247646946</v>
      </c>
      <c r="DB143" s="22"/>
      <c r="DC143" s="28">
        <f t="shared" si="38"/>
        <v>0.8</v>
      </c>
      <c r="DD143" s="28">
        <f t="shared" si="39"/>
        <v>0.11333333333333333</v>
      </c>
      <c r="DE143" s="28">
        <f t="shared" si="40"/>
        <v>48.156066666666668</v>
      </c>
      <c r="DF143" s="28">
        <f t="shared" si="41"/>
        <v>2.6111111111111112</v>
      </c>
      <c r="DG143" s="28">
        <f t="shared" si="42"/>
        <v>1.6956521739130436E-2</v>
      </c>
    </row>
    <row r="144" spans="1:233" s="28" customFormat="1">
      <c r="A144" s="38"/>
      <c r="F144" s="38"/>
      <c r="V144" s="17" t="s">
        <v>429</v>
      </c>
      <c r="W144" s="17" t="s">
        <v>430</v>
      </c>
      <c r="X144" s="48">
        <v>43889</v>
      </c>
      <c r="Y144" s="17">
        <v>0.18990299999999999</v>
      </c>
      <c r="Z144" s="17">
        <v>34.745731999999997</v>
      </c>
      <c r="AA144" s="17" t="s">
        <v>663</v>
      </c>
      <c r="AB144" s="17"/>
      <c r="AC144" s="17" t="s">
        <v>347</v>
      </c>
      <c r="AD144" s="14" t="s">
        <v>371</v>
      </c>
      <c r="AE144" s="14" t="s">
        <v>687</v>
      </c>
      <c r="AF144" s="17" t="s">
        <v>673</v>
      </c>
      <c r="AG144" s="17" t="s">
        <v>685</v>
      </c>
      <c r="AH144" s="17" t="s">
        <v>691</v>
      </c>
      <c r="AI144" s="24">
        <v>4.26757708311135</v>
      </c>
      <c r="AJ144" s="73">
        <v>4.76</v>
      </c>
      <c r="AK144" s="73">
        <v>6.2552899999999996</v>
      </c>
      <c r="AL144" s="73">
        <v>18.399999999999999</v>
      </c>
      <c r="AM144" s="73">
        <v>1.88</v>
      </c>
      <c r="AN144" s="73">
        <v>6687</v>
      </c>
      <c r="AO144" s="73">
        <v>12991</v>
      </c>
      <c r="AP144" s="73">
        <v>80456</v>
      </c>
      <c r="AQ144" s="73">
        <v>426</v>
      </c>
      <c r="AR144" s="73">
        <v>95</v>
      </c>
      <c r="AS144" s="73">
        <v>14393</v>
      </c>
      <c r="AT144" s="73">
        <v>3195</v>
      </c>
      <c r="AU144" s="73">
        <v>3472.8</v>
      </c>
      <c r="AV144" s="73">
        <v>136.19999999999999</v>
      </c>
      <c r="AW144" s="73">
        <v>412.9</v>
      </c>
      <c r="AX144" s="73">
        <v>1077.3</v>
      </c>
      <c r="AY144" s="73">
        <v>61692</v>
      </c>
      <c r="AZ144" s="73">
        <v>45.054000000000002</v>
      </c>
      <c r="BA144" s="73">
        <v>157.13</v>
      </c>
      <c r="BB144" s="73">
        <v>41.39</v>
      </c>
      <c r="BC144" s="73">
        <v>97</v>
      </c>
      <c r="BD144" s="73">
        <v>16.14</v>
      </c>
      <c r="BE144" s="73">
        <v>39.799999999999997</v>
      </c>
      <c r="BF144" s="73">
        <v>0.42</v>
      </c>
      <c r="BG144" s="73">
        <v>57.13</v>
      </c>
      <c r="BH144" s="73">
        <v>99.29</v>
      </c>
      <c r="BI144" s="73">
        <v>18.809000000000001</v>
      </c>
      <c r="BJ144" s="73">
        <v>167.57</v>
      </c>
      <c r="BK144" s="73">
        <v>22.242000000000001</v>
      </c>
      <c r="BL144" s="73">
        <v>1.6</v>
      </c>
      <c r="BM144" s="73">
        <v>7.4999999999999997E-2</v>
      </c>
      <c r="BN144" s="73">
        <v>0.13</v>
      </c>
      <c r="BO144" s="73">
        <v>1.69</v>
      </c>
      <c r="BP144" s="73">
        <v>0.495</v>
      </c>
      <c r="BQ144" s="73">
        <v>1.732</v>
      </c>
      <c r="BR144" s="73">
        <v>607.33000000000004</v>
      </c>
      <c r="BS144" s="73">
        <v>34.683</v>
      </c>
      <c r="BT144" s="73">
        <v>88.537000000000006</v>
      </c>
      <c r="BU144" s="73">
        <v>7.5220000000000002</v>
      </c>
      <c r="BV144" s="73">
        <v>28.73</v>
      </c>
      <c r="BW144" s="73">
        <v>5.1989999999999998</v>
      </c>
      <c r="BX144" s="73">
        <v>1.2270000000000001</v>
      </c>
      <c r="BY144" s="73">
        <v>4.1070000000000002</v>
      </c>
      <c r="BZ144" s="73">
        <v>0.61599999999999999</v>
      </c>
      <c r="CA144" s="73">
        <v>3.3940000000000001</v>
      </c>
      <c r="CB144" s="73">
        <v>0.70299999999999996</v>
      </c>
      <c r="CC144" s="73">
        <v>1.988</v>
      </c>
      <c r="CD144" s="73">
        <v>0.28799999999999998</v>
      </c>
      <c r="CE144" s="73">
        <v>1.825</v>
      </c>
      <c r="CF144" s="73">
        <v>0.27500000000000002</v>
      </c>
      <c r="CG144" s="73">
        <v>4.6630000000000003</v>
      </c>
      <c r="CH144" s="73">
        <v>1.2749999999999999</v>
      </c>
      <c r="CI144" s="73">
        <v>2.2839999999999998</v>
      </c>
      <c r="CJ144" s="73">
        <v>0.38200000000000001</v>
      </c>
      <c r="CK144" s="73">
        <v>18.100000000000001</v>
      </c>
      <c r="CL144" s="73">
        <v>0.17</v>
      </c>
      <c r="CM144" s="73">
        <v>7.9909999999999997</v>
      </c>
      <c r="CN144" s="73">
        <v>2.2160000000000002</v>
      </c>
      <c r="CO144" s="35"/>
      <c r="CP144" s="136">
        <f t="shared" si="43"/>
        <v>3.3405178858160651</v>
      </c>
      <c r="CQ144" s="136">
        <f t="shared" si="44"/>
        <v>0.55254737178920033</v>
      </c>
      <c r="CR144" s="136">
        <f t="shared" si="53"/>
        <v>56.489796791143746</v>
      </c>
      <c r="CS144" s="136">
        <f t="shared" si="45"/>
        <v>2.8879812291738975</v>
      </c>
      <c r="CT144" s="136">
        <f t="shared" si="46"/>
        <v>0.84314122060912577</v>
      </c>
      <c r="CU144" s="136">
        <f t="shared" si="47"/>
        <v>2.7809678452329654</v>
      </c>
      <c r="CV144" s="136">
        <f t="shared" si="48"/>
        <v>7.8171968661854692</v>
      </c>
      <c r="CW144" s="136">
        <f t="shared" si="49"/>
        <v>8.1395411204827894</v>
      </c>
      <c r="CX144" s="136">
        <f t="shared" si="54"/>
        <v>17.485748166076728</v>
      </c>
      <c r="CY144" s="136">
        <f t="shared" si="50"/>
        <v>14.777111449539154</v>
      </c>
      <c r="CZ144" s="136">
        <f t="shared" si="51"/>
        <v>-6.7128035434922158</v>
      </c>
      <c r="DA144" s="136">
        <f t="shared" si="52"/>
        <v>12.043918220195334</v>
      </c>
      <c r="DB144" s="22"/>
      <c r="DC144" s="28">
        <f t="shared" si="38"/>
        <v>1.9899999999999998</v>
      </c>
      <c r="DD144" s="28">
        <f t="shared" si="39"/>
        <v>0.15083333333333335</v>
      </c>
      <c r="DE144" s="28">
        <f t="shared" si="40"/>
        <v>41.701933333333329</v>
      </c>
      <c r="DF144" s="28">
        <f t="shared" si="41"/>
        <v>5.0975308641975303</v>
      </c>
      <c r="DG144" s="28">
        <f t="shared" si="42"/>
        <v>5.6521739130434789E-2</v>
      </c>
    </row>
    <row r="145" spans="1:111" s="28" customFormat="1">
      <c r="A145" s="38"/>
      <c r="F145" s="38"/>
      <c r="V145" s="17" t="s">
        <v>431</v>
      </c>
      <c r="W145" s="17" t="s">
        <v>432</v>
      </c>
      <c r="X145" s="48">
        <v>43889</v>
      </c>
      <c r="Y145" s="17">
        <v>0.187274</v>
      </c>
      <c r="Z145" s="17">
        <v>34.735595000000004</v>
      </c>
      <c r="AA145" s="17" t="s">
        <v>663</v>
      </c>
      <c r="AB145" s="17"/>
      <c r="AC145" s="17" t="s">
        <v>347</v>
      </c>
      <c r="AD145" s="14" t="s">
        <v>371</v>
      </c>
      <c r="AE145" s="14" t="s">
        <v>687</v>
      </c>
      <c r="AF145" s="17" t="s">
        <v>673</v>
      </c>
      <c r="AG145" s="17" t="s">
        <v>685</v>
      </c>
      <c r="AH145" s="17" t="s">
        <v>691</v>
      </c>
      <c r="AI145" s="24">
        <v>0.98088279451491245</v>
      </c>
      <c r="AJ145" s="73">
        <v>7.45</v>
      </c>
      <c r="AK145" s="73">
        <v>11.98624</v>
      </c>
      <c r="AL145" s="73">
        <v>16.100000000000001</v>
      </c>
      <c r="AM145" s="73">
        <v>1.02</v>
      </c>
      <c r="AN145" s="73">
        <v>24843</v>
      </c>
      <c r="AO145" s="73">
        <v>22133</v>
      </c>
      <c r="AP145" s="73">
        <v>71817</v>
      </c>
      <c r="AQ145" s="73">
        <v>923</v>
      </c>
      <c r="AR145" s="73">
        <v>1358</v>
      </c>
      <c r="AS145" s="73">
        <v>13377</v>
      </c>
      <c r="AT145" s="73">
        <v>26714</v>
      </c>
      <c r="AU145" s="73">
        <v>3597.8</v>
      </c>
      <c r="AV145" s="73">
        <v>137.80000000000001</v>
      </c>
      <c r="AW145" s="73">
        <v>218.1</v>
      </c>
      <c r="AX145" s="73">
        <v>843.7</v>
      </c>
      <c r="AY145" s="73">
        <v>43817</v>
      </c>
      <c r="AZ145" s="73">
        <v>25.606999999999999</v>
      </c>
      <c r="BA145" s="73">
        <v>67.67</v>
      </c>
      <c r="BB145" s="73">
        <v>50.1</v>
      </c>
      <c r="BC145" s="73">
        <v>81</v>
      </c>
      <c r="BD145" s="73">
        <v>12.94</v>
      </c>
      <c r="BE145" s="73">
        <v>318.10000000000002</v>
      </c>
      <c r="BF145" s="73">
        <v>0.15</v>
      </c>
      <c r="BG145" s="73">
        <v>44.23</v>
      </c>
      <c r="BH145" s="73">
        <v>270.77</v>
      </c>
      <c r="BI145" s="73">
        <v>14.217000000000001</v>
      </c>
      <c r="BJ145" s="73">
        <v>122.54</v>
      </c>
      <c r="BK145" s="73">
        <v>5.3789999999999996</v>
      </c>
      <c r="BL145" s="73">
        <v>2.36</v>
      </c>
      <c r="BM145" s="73">
        <v>0.157</v>
      </c>
      <c r="BN145" s="73">
        <v>0.11799999999999999</v>
      </c>
      <c r="BO145" s="73">
        <v>1.1299999999999999</v>
      </c>
      <c r="BP145" s="73">
        <v>0.58899999999999997</v>
      </c>
      <c r="BQ145" s="73">
        <v>1.081</v>
      </c>
      <c r="BR145" s="73">
        <v>482.64</v>
      </c>
      <c r="BS145" s="73">
        <v>25.384</v>
      </c>
      <c r="BT145" s="73">
        <v>53.139000000000003</v>
      </c>
      <c r="BU145" s="73">
        <v>6.5019999999999998</v>
      </c>
      <c r="BV145" s="73">
        <v>25.99</v>
      </c>
      <c r="BW145" s="73">
        <v>5.0990000000000002</v>
      </c>
      <c r="BX145" s="73">
        <v>1.2789999999999999</v>
      </c>
      <c r="BY145" s="73">
        <v>3.7730000000000001</v>
      </c>
      <c r="BZ145" s="73">
        <v>0.52100000000000002</v>
      </c>
      <c r="CA145" s="73">
        <v>2.7519999999999998</v>
      </c>
      <c r="CB145" s="73">
        <v>0.55100000000000005</v>
      </c>
      <c r="CC145" s="73">
        <v>1.482</v>
      </c>
      <c r="CD145" s="73">
        <v>0.224</v>
      </c>
      <c r="CE145" s="73">
        <v>1.391</v>
      </c>
      <c r="CF145" s="73">
        <v>0.23200000000000001</v>
      </c>
      <c r="CG145" s="73">
        <v>3.6850000000000001</v>
      </c>
      <c r="CH145" s="73">
        <v>0.309</v>
      </c>
      <c r="CI145" s="73">
        <v>4.2889999999999997</v>
      </c>
      <c r="CJ145" s="73">
        <v>0.23100000000000001</v>
      </c>
      <c r="CK145" s="73">
        <v>19</v>
      </c>
      <c r="CL145" s="73">
        <v>0.15</v>
      </c>
      <c r="CM145" s="73">
        <v>4.2119999999999997</v>
      </c>
      <c r="CN145" s="73">
        <v>1.1519999999999999</v>
      </c>
      <c r="CO145" s="35"/>
      <c r="CP145" s="136">
        <f t="shared" si="43"/>
        <v>37.590716939033868</v>
      </c>
      <c r="CQ145" s="136">
        <f t="shared" si="44"/>
        <v>0.81664019848998726</v>
      </c>
      <c r="CR145" s="136">
        <f t="shared" si="53"/>
        <v>152.40237794532669</v>
      </c>
      <c r="CS145" s="136">
        <f t="shared" si="45"/>
        <v>2.1477877408580341</v>
      </c>
      <c r="CT145" s="136">
        <f t="shared" si="46"/>
        <v>1.0775196218985159</v>
      </c>
      <c r="CU145" s="136">
        <f t="shared" si="47"/>
        <v>1.6862394429455581</v>
      </c>
      <c r="CV145" s="136">
        <f t="shared" si="48"/>
        <v>10.815836902181335</v>
      </c>
      <c r="CW145" s="136">
        <f t="shared" si="49"/>
        <v>8.2095508417305307</v>
      </c>
      <c r="CX145" s="136">
        <f t="shared" si="54"/>
        <v>18.423978656918425</v>
      </c>
      <c r="CY145" s="136">
        <f t="shared" si="50"/>
        <v>13.856308801003728</v>
      </c>
      <c r="CZ145" s="136">
        <f t="shared" si="51"/>
        <v>-6.8525283071588294</v>
      </c>
      <c r="DA145" s="136">
        <f t="shared" si="52"/>
        <v>10.828547860790042</v>
      </c>
      <c r="DB145" s="22"/>
      <c r="DC145" s="28">
        <f t="shared" si="38"/>
        <v>15.905000000000001</v>
      </c>
      <c r="DD145" s="28">
        <f t="shared" si="39"/>
        <v>0.15833333333333333</v>
      </c>
      <c r="DE145" s="28">
        <f t="shared" si="40"/>
        <v>79.908266666666677</v>
      </c>
      <c r="DF145" s="28">
        <f t="shared" si="41"/>
        <v>2.6925925925925926</v>
      </c>
      <c r="DG145" s="28">
        <f t="shared" si="42"/>
        <v>5.1304347826086956E-2</v>
      </c>
    </row>
    <row r="146" spans="1:111" s="28" customFormat="1">
      <c r="A146" s="38"/>
      <c r="F146" s="38"/>
      <c r="V146" s="17" t="s">
        <v>433</v>
      </c>
      <c r="W146" s="17" t="s">
        <v>432</v>
      </c>
      <c r="X146" s="48">
        <v>43889</v>
      </c>
      <c r="Y146" s="17">
        <v>0.187274</v>
      </c>
      <c r="Z146" s="17">
        <v>34.735595000000004</v>
      </c>
      <c r="AA146" s="17" t="s">
        <v>663</v>
      </c>
      <c r="AB146" s="17"/>
      <c r="AC146" s="17" t="s">
        <v>347</v>
      </c>
      <c r="AD146" s="14" t="s">
        <v>371</v>
      </c>
      <c r="AE146" s="14" t="s">
        <v>687</v>
      </c>
      <c r="AF146" s="17" t="s">
        <v>673</v>
      </c>
      <c r="AG146" s="17" t="s">
        <v>685</v>
      </c>
      <c r="AH146" s="17" t="s">
        <v>691</v>
      </c>
      <c r="AI146" s="24" t="s">
        <v>288</v>
      </c>
      <c r="AJ146" s="73" t="s">
        <v>288</v>
      </c>
      <c r="AK146" s="24" t="s">
        <v>288</v>
      </c>
      <c r="AL146" s="73">
        <v>17.2</v>
      </c>
      <c r="AM146" s="73">
        <v>1.21</v>
      </c>
      <c r="AN146" s="73">
        <v>24357</v>
      </c>
      <c r="AO146" s="73">
        <v>21430</v>
      </c>
      <c r="AP146" s="73">
        <v>68399</v>
      </c>
      <c r="AQ146" s="73">
        <v>936</v>
      </c>
      <c r="AR146" s="73">
        <v>1453</v>
      </c>
      <c r="AS146" s="73">
        <v>13788</v>
      </c>
      <c r="AT146" s="73">
        <v>26920</v>
      </c>
      <c r="AU146" s="73">
        <v>3567.6</v>
      </c>
      <c r="AV146" s="73">
        <v>138.9</v>
      </c>
      <c r="AW146" s="73">
        <v>227.5</v>
      </c>
      <c r="AX146" s="73">
        <v>901.3</v>
      </c>
      <c r="AY146" s="73">
        <v>44496</v>
      </c>
      <c r="AZ146" s="73">
        <v>26.706</v>
      </c>
      <c r="BA146" s="73">
        <v>69.3</v>
      </c>
      <c r="BB146" s="73">
        <v>50.51</v>
      </c>
      <c r="BC146" s="73">
        <v>83</v>
      </c>
      <c r="BD146" s="73">
        <v>13.01</v>
      </c>
      <c r="BE146" s="73">
        <v>332</v>
      </c>
      <c r="BF146" s="73">
        <v>0.18</v>
      </c>
      <c r="BG146" s="73">
        <v>43.9</v>
      </c>
      <c r="BH146" s="73">
        <v>271.66000000000003</v>
      </c>
      <c r="BI146" s="73">
        <v>13.808</v>
      </c>
      <c r="BJ146" s="73">
        <v>94.48</v>
      </c>
      <c r="BK146" s="73">
        <v>5.4610000000000003</v>
      </c>
      <c r="BL146" s="73">
        <v>2.2799999999999998</v>
      </c>
      <c r="BM146" s="73">
        <v>0.189</v>
      </c>
      <c r="BN146" s="73">
        <v>0.11899999999999999</v>
      </c>
      <c r="BO146" s="73">
        <v>1.1499999999999999</v>
      </c>
      <c r="BP146" s="73">
        <v>0.56599999999999995</v>
      </c>
      <c r="BQ146" s="73">
        <v>1.1180000000000001</v>
      </c>
      <c r="BR146" s="73">
        <v>484.27</v>
      </c>
      <c r="BS146" s="73">
        <v>25.774999999999999</v>
      </c>
      <c r="BT146" s="73">
        <v>53.454999999999998</v>
      </c>
      <c r="BU146" s="73">
        <v>6.5439999999999996</v>
      </c>
      <c r="BV146" s="73">
        <v>26.66</v>
      </c>
      <c r="BW146" s="73">
        <v>4.984</v>
      </c>
      <c r="BX146" s="73">
        <v>1.3</v>
      </c>
      <c r="BY146" s="73">
        <v>3.7709999999999999</v>
      </c>
      <c r="BZ146" s="73">
        <v>0.52900000000000003</v>
      </c>
      <c r="CA146" s="73">
        <v>2.6539999999999999</v>
      </c>
      <c r="CB146" s="73">
        <v>0.51300000000000001</v>
      </c>
      <c r="CC146" s="73">
        <v>1.419</v>
      </c>
      <c r="CD146" s="73">
        <v>0.20599999999999999</v>
      </c>
      <c r="CE146" s="73">
        <v>1.2130000000000001</v>
      </c>
      <c r="CF146" s="73">
        <v>0.189</v>
      </c>
      <c r="CG146" s="73">
        <v>2.7010000000000001</v>
      </c>
      <c r="CH146" s="73">
        <v>0.316</v>
      </c>
      <c r="CI146" s="73">
        <v>3.903</v>
      </c>
      <c r="CJ146" s="73">
        <v>0.252</v>
      </c>
      <c r="CK146" s="73">
        <v>19.5</v>
      </c>
      <c r="CL146" s="73">
        <v>0.14000000000000001</v>
      </c>
      <c r="CM146" s="73">
        <v>4.149</v>
      </c>
      <c r="CN146" s="73">
        <v>1.0660000000000001</v>
      </c>
      <c r="CO146" s="35"/>
      <c r="CP146" s="136">
        <f t="shared" si="43"/>
        <v>38.634624130126703</v>
      </c>
      <c r="CQ146" s="136">
        <f t="shared" si="44"/>
        <v>0.82534102386033237</v>
      </c>
      <c r="CR146" s="136" t="s">
        <v>288</v>
      </c>
      <c r="CS146" s="136">
        <f t="shared" si="45"/>
        <v>2.2061689230933297</v>
      </c>
      <c r="CT146" s="136">
        <f t="shared" si="46"/>
        <v>1.0700690664737995</v>
      </c>
      <c r="CU146" s="136">
        <f t="shared" si="47"/>
        <v>1.7005052218687051</v>
      </c>
      <c r="CV146" s="136">
        <f t="shared" si="48"/>
        <v>10.877539771876108</v>
      </c>
      <c r="CW146" s="136">
        <f t="shared" si="49"/>
        <v>8.2470255471491942</v>
      </c>
      <c r="CX146" s="136" t="s">
        <v>288</v>
      </c>
      <c r="CY146" s="136">
        <f t="shared" si="50"/>
        <v>13.917185576336399</v>
      </c>
      <c r="CZ146" s="136">
        <f t="shared" si="51"/>
        <v>-6.8403535932127273</v>
      </c>
      <c r="DA146" s="136">
        <f t="shared" si="52"/>
        <v>10.862886824605051</v>
      </c>
      <c r="DB146" s="22"/>
      <c r="DC146" s="28">
        <f t="shared" si="38"/>
        <v>16.600000000000001</v>
      </c>
      <c r="DD146" s="28">
        <f t="shared" si="39"/>
        <v>0.16250000000000001</v>
      </c>
      <c r="DE146" s="28" t="s">
        <v>288</v>
      </c>
      <c r="DF146" s="28">
        <f t="shared" si="41"/>
        <v>2.808641975308642</v>
      </c>
      <c r="DG146" s="28">
        <f t="shared" si="42"/>
        <v>5.1739130434782607E-2</v>
      </c>
    </row>
    <row r="147" spans="1:111" s="28" customFormat="1">
      <c r="A147" s="38"/>
      <c r="F147" s="38"/>
      <c r="V147" s="17" t="s">
        <v>434</v>
      </c>
      <c r="W147" s="17" t="s">
        <v>435</v>
      </c>
      <c r="X147" s="48">
        <v>43889</v>
      </c>
      <c r="Y147" s="81">
        <v>0.18878500000000001</v>
      </c>
      <c r="Z147" s="81">
        <v>34.739865000000002</v>
      </c>
      <c r="AA147" s="17" t="s">
        <v>665</v>
      </c>
      <c r="AB147" s="17"/>
      <c r="AC147" s="17" t="s">
        <v>347</v>
      </c>
      <c r="AD147" s="14" t="s">
        <v>371</v>
      </c>
      <c r="AE147" s="14" t="s">
        <v>687</v>
      </c>
      <c r="AF147" s="17" t="s">
        <v>675</v>
      </c>
      <c r="AG147" s="17" t="s">
        <v>684</v>
      </c>
      <c r="AH147" s="17" t="s">
        <v>683</v>
      </c>
      <c r="AI147" s="24">
        <v>1.8889347646573029</v>
      </c>
      <c r="AJ147" s="73">
        <v>6.64</v>
      </c>
      <c r="AK147" s="73">
        <v>4.0749399999999998</v>
      </c>
      <c r="AL147" s="73">
        <v>16.399999999999999</v>
      </c>
      <c r="AM147" s="73">
        <v>1.98</v>
      </c>
      <c r="AN147" s="73">
        <v>23183</v>
      </c>
      <c r="AO147" s="73">
        <v>15629</v>
      </c>
      <c r="AP147" s="73">
        <v>84086</v>
      </c>
      <c r="AQ147" s="73">
        <v>709</v>
      </c>
      <c r="AR147" s="73">
        <v>28</v>
      </c>
      <c r="AS147" s="73">
        <v>16375</v>
      </c>
      <c r="AT147" s="73">
        <v>9929</v>
      </c>
      <c r="AU147" s="73">
        <v>3859.8</v>
      </c>
      <c r="AV147" s="73">
        <v>138.80000000000001</v>
      </c>
      <c r="AW147" s="73">
        <v>214</v>
      </c>
      <c r="AX147" s="73">
        <v>1565.7</v>
      </c>
      <c r="AY147" s="73">
        <v>45016</v>
      </c>
      <c r="AZ147" s="73">
        <v>47.960999999999999</v>
      </c>
      <c r="BA147" s="73">
        <v>122.55</v>
      </c>
      <c r="BB147" s="73">
        <v>55.99</v>
      </c>
      <c r="BC147" s="73">
        <v>85</v>
      </c>
      <c r="BD147" s="73">
        <v>14.29</v>
      </c>
      <c r="BE147" s="73">
        <v>104.7</v>
      </c>
      <c r="BF147" s="73">
        <v>0.06</v>
      </c>
      <c r="BG147" s="73">
        <v>55.39</v>
      </c>
      <c r="BH147" s="73">
        <v>276.41000000000003</v>
      </c>
      <c r="BI147" s="73">
        <v>14.346</v>
      </c>
      <c r="BJ147" s="73">
        <v>123.45</v>
      </c>
      <c r="BK147" s="73">
        <v>6.7249999999999996</v>
      </c>
      <c r="BL147" s="73">
        <v>0.8</v>
      </c>
      <c r="BM147" s="73">
        <v>0.14199999999999999</v>
      </c>
      <c r="BN147" s="73">
        <v>0.115</v>
      </c>
      <c r="BO147" s="73">
        <v>1.1100000000000001</v>
      </c>
      <c r="BP147" s="73">
        <v>0.39400000000000002</v>
      </c>
      <c r="BQ147" s="73">
        <v>1.76</v>
      </c>
      <c r="BR147" s="73">
        <v>750.63</v>
      </c>
      <c r="BS147" s="73">
        <v>38.485999999999997</v>
      </c>
      <c r="BT147" s="73">
        <v>97.988</v>
      </c>
      <c r="BU147" s="73">
        <v>9.1440000000000001</v>
      </c>
      <c r="BV147" s="73">
        <v>35.04</v>
      </c>
      <c r="BW147" s="73">
        <v>6.1820000000000004</v>
      </c>
      <c r="BX147" s="73">
        <v>1.452</v>
      </c>
      <c r="BY147" s="73">
        <v>4.1689999999999996</v>
      </c>
      <c r="BZ147" s="73">
        <v>0.54500000000000004</v>
      </c>
      <c r="CA147" s="73">
        <v>2.7759999999999998</v>
      </c>
      <c r="CB147" s="73">
        <v>0.52700000000000002</v>
      </c>
      <c r="CC147" s="73">
        <v>1.4350000000000001</v>
      </c>
      <c r="CD147" s="73">
        <v>0.21299999999999999</v>
      </c>
      <c r="CE147" s="73">
        <v>1.266</v>
      </c>
      <c r="CF147" s="73">
        <v>0.191</v>
      </c>
      <c r="CG147" s="73">
        <v>3.6360000000000001</v>
      </c>
      <c r="CH147" s="73">
        <v>0.42699999999999999</v>
      </c>
      <c r="CI147" s="73">
        <v>6.5019999999999998</v>
      </c>
      <c r="CJ147" s="73">
        <v>0.28100000000000003</v>
      </c>
      <c r="CK147" s="73">
        <v>41.8</v>
      </c>
      <c r="CL147" s="73">
        <v>0.2</v>
      </c>
      <c r="CM147" s="73">
        <v>6.94</v>
      </c>
      <c r="CN147" s="73">
        <v>2.125</v>
      </c>
      <c r="CO147" s="35"/>
      <c r="CP147" s="136">
        <f t="shared" si="43"/>
        <v>12.043129567003628</v>
      </c>
      <c r="CQ147" s="136">
        <f t="shared" si="44"/>
        <v>1.7487558172631665</v>
      </c>
      <c r="CR147" s="136">
        <f t="shared" si="53"/>
        <v>50.431946414833092</v>
      </c>
      <c r="CS147" s="136">
        <f t="shared" si="45"/>
        <v>2.0512812220143077</v>
      </c>
      <c r="CT147" s="136">
        <f t="shared" si="46"/>
        <v>1.0221550014540286</v>
      </c>
      <c r="CU147" s="136">
        <f t="shared" si="47"/>
        <v>2.9724333150908784</v>
      </c>
      <c r="CV147" s="136">
        <f t="shared" si="48"/>
        <v>9.2126179725726285</v>
      </c>
      <c r="CW147" s="136">
        <f t="shared" si="49"/>
        <v>9.3470543654804654</v>
      </c>
      <c r="CX147" s="136">
        <f t="shared" si="54"/>
        <v>16.867450212748029</v>
      </c>
      <c r="CY147" s="136">
        <f t="shared" si="50"/>
        <v>13.828929827651487</v>
      </c>
      <c r="CZ147" s="136">
        <f t="shared" si="51"/>
        <v>-6.8896813055762962</v>
      </c>
      <c r="DA147" s="136">
        <f t="shared" si="52"/>
        <v>11.685330051334676</v>
      </c>
      <c r="DB147" s="22"/>
      <c r="DC147" s="28">
        <f t="shared" si="38"/>
        <v>5.2350000000000003</v>
      </c>
      <c r="DD147" s="28">
        <f t="shared" si="39"/>
        <v>0.34833333333333333</v>
      </c>
      <c r="DE147" s="28">
        <f t="shared" si="40"/>
        <v>27.166266666666665</v>
      </c>
      <c r="DF147" s="28">
        <f t="shared" si="41"/>
        <v>2.6419753086419755</v>
      </c>
      <c r="DG147" s="28">
        <f t="shared" si="42"/>
        <v>0.05</v>
      </c>
    </row>
    <row r="148" spans="1:111" s="28" customFormat="1">
      <c r="A148" s="38"/>
      <c r="F148" s="38"/>
      <c r="V148" s="17" t="s">
        <v>436</v>
      </c>
      <c r="W148" s="17" t="s">
        <v>437</v>
      </c>
      <c r="X148" s="48">
        <v>43889</v>
      </c>
      <c r="Y148" s="81">
        <v>0.18942800000000001</v>
      </c>
      <c r="Z148" s="81">
        <v>34.740335999999999</v>
      </c>
      <c r="AA148" s="17" t="s">
        <v>665</v>
      </c>
      <c r="AB148" s="17"/>
      <c r="AC148" s="17" t="s">
        <v>347</v>
      </c>
      <c r="AD148" s="14" t="s">
        <v>371</v>
      </c>
      <c r="AE148" s="14" t="s">
        <v>687</v>
      </c>
      <c r="AF148" s="17" t="s">
        <v>675</v>
      </c>
      <c r="AG148" s="17" t="s">
        <v>684</v>
      </c>
      <c r="AH148" s="17" t="s">
        <v>683</v>
      </c>
      <c r="AI148" s="24">
        <v>3.1661708457290203</v>
      </c>
      <c r="AJ148" s="73">
        <v>6.5</v>
      </c>
      <c r="AK148" s="73">
        <v>3.0255999999999998</v>
      </c>
      <c r="AL148" s="73">
        <v>14.3</v>
      </c>
      <c r="AM148" s="73">
        <v>1.85</v>
      </c>
      <c r="AN148" s="73">
        <v>13504</v>
      </c>
      <c r="AO148" s="73">
        <v>11677</v>
      </c>
      <c r="AP148" s="73">
        <v>69761</v>
      </c>
      <c r="AQ148" s="73">
        <v>528</v>
      </c>
      <c r="AR148" s="73">
        <v>105</v>
      </c>
      <c r="AS148" s="73">
        <v>16270</v>
      </c>
      <c r="AT148" s="73">
        <v>8159</v>
      </c>
      <c r="AU148" s="73">
        <v>3486.3</v>
      </c>
      <c r="AV148" s="73">
        <v>137.1</v>
      </c>
      <c r="AW148" s="73">
        <v>261.2</v>
      </c>
      <c r="AX148" s="73">
        <v>1371.7</v>
      </c>
      <c r="AY148" s="73">
        <v>50231</v>
      </c>
      <c r="AZ148" s="73">
        <v>36.762999999999998</v>
      </c>
      <c r="BA148" s="73">
        <v>95.64</v>
      </c>
      <c r="BB148" s="73">
        <v>57.04</v>
      </c>
      <c r="BC148" s="73">
        <v>82</v>
      </c>
      <c r="BD148" s="73">
        <v>14.03</v>
      </c>
      <c r="BE148" s="73">
        <v>112.8</v>
      </c>
      <c r="BF148" s="73">
        <v>0.24</v>
      </c>
      <c r="BG148" s="73">
        <v>60.85</v>
      </c>
      <c r="BH148" s="73">
        <v>215.49</v>
      </c>
      <c r="BI148" s="73">
        <v>14.025</v>
      </c>
      <c r="BJ148" s="73">
        <v>121.76</v>
      </c>
      <c r="BK148" s="73">
        <v>11.750999999999999</v>
      </c>
      <c r="BL148" s="73">
        <v>1.08</v>
      </c>
      <c r="BM148" s="73">
        <v>0.22600000000000001</v>
      </c>
      <c r="BN148" s="73">
        <v>0.158</v>
      </c>
      <c r="BO148" s="73">
        <v>1.19</v>
      </c>
      <c r="BP148" s="73">
        <v>0.82299999999999995</v>
      </c>
      <c r="BQ148" s="73">
        <v>1.5569999999999999</v>
      </c>
      <c r="BR148" s="73">
        <v>656.35</v>
      </c>
      <c r="BS148" s="73">
        <v>29.928000000000001</v>
      </c>
      <c r="BT148" s="73">
        <v>75.212000000000003</v>
      </c>
      <c r="BU148" s="73">
        <v>6.6829999999999998</v>
      </c>
      <c r="BV148" s="73">
        <v>25.75</v>
      </c>
      <c r="BW148" s="73">
        <v>4.5819999999999999</v>
      </c>
      <c r="BX148" s="73">
        <v>1.1200000000000001</v>
      </c>
      <c r="BY148" s="73">
        <v>3.371</v>
      </c>
      <c r="BZ148" s="73">
        <v>0.5</v>
      </c>
      <c r="CA148" s="73">
        <v>2.5409999999999999</v>
      </c>
      <c r="CB148" s="73">
        <v>0.53400000000000003</v>
      </c>
      <c r="CC148" s="73">
        <v>1.506</v>
      </c>
      <c r="CD148" s="73">
        <v>0.22</v>
      </c>
      <c r="CE148" s="73">
        <v>1.391</v>
      </c>
      <c r="CF148" s="73">
        <v>0.20100000000000001</v>
      </c>
      <c r="CG148" s="73">
        <v>3.3290000000000002</v>
      </c>
      <c r="CH148" s="73">
        <v>0.67</v>
      </c>
      <c r="CI148" s="73">
        <v>3.9780000000000002</v>
      </c>
      <c r="CJ148" s="73">
        <v>0.32900000000000001</v>
      </c>
      <c r="CK148" s="73">
        <v>36.5</v>
      </c>
      <c r="CL148" s="73">
        <v>0.54</v>
      </c>
      <c r="CM148" s="73">
        <v>6.274</v>
      </c>
      <c r="CN148" s="73">
        <v>1.9890000000000001</v>
      </c>
      <c r="CO148" s="35"/>
      <c r="CP148" s="136">
        <f t="shared" si="43"/>
        <v>11.627781297464537</v>
      </c>
      <c r="CQ148" s="136">
        <f t="shared" si="44"/>
        <v>1.3684874936415925</v>
      </c>
      <c r="CR148" s="136">
        <f t="shared" si="53"/>
        <v>33.557616066935317</v>
      </c>
      <c r="CS148" s="136">
        <f t="shared" si="45"/>
        <v>2.243776946585208</v>
      </c>
      <c r="CT148" s="136">
        <f t="shared" si="46"/>
        <v>1.2585517635795354</v>
      </c>
      <c r="CU148" s="136">
        <f t="shared" si="47"/>
        <v>2.0788992858451656</v>
      </c>
      <c r="CV148" s="136">
        <f t="shared" si="48"/>
        <v>9.320123598040615</v>
      </c>
      <c r="CW148" s="136">
        <f t="shared" si="49"/>
        <v>9.1514478871669631</v>
      </c>
      <c r="CX148" s="136">
        <f t="shared" si="54"/>
        <v>16.437892664096584</v>
      </c>
      <c r="CY148" s="136">
        <f t="shared" si="50"/>
        <v>14.116473927909409</v>
      </c>
      <c r="CZ148" s="136">
        <f t="shared" si="51"/>
        <v>-6.4313906083435679</v>
      </c>
      <c r="DA148" s="136">
        <f t="shared" si="52"/>
        <v>11.327645602292103</v>
      </c>
      <c r="DB148" s="22"/>
      <c r="DC148" s="28">
        <f t="shared" si="38"/>
        <v>5.64</v>
      </c>
      <c r="DD148" s="28">
        <f t="shared" si="39"/>
        <v>0.30416666666666664</v>
      </c>
      <c r="DE148" s="28">
        <f t="shared" si="40"/>
        <v>20.170666666666666</v>
      </c>
      <c r="DF148" s="28">
        <f t="shared" si="41"/>
        <v>3.2246913580246912</v>
      </c>
      <c r="DG148" s="28">
        <f t="shared" si="42"/>
        <v>6.8695652173913047E-2</v>
      </c>
    </row>
    <row r="149" spans="1:111" s="52" customFormat="1">
      <c r="A149" s="350"/>
      <c r="F149" s="350"/>
      <c r="V149" s="351" t="s">
        <v>438</v>
      </c>
      <c r="W149" s="351" t="s">
        <v>439</v>
      </c>
      <c r="X149" s="352">
        <v>43889</v>
      </c>
      <c r="Y149" s="351">
        <v>0.19486300000000001</v>
      </c>
      <c r="Z149" s="351">
        <v>34.750653</v>
      </c>
      <c r="AA149" s="351" t="s">
        <v>666</v>
      </c>
      <c r="AB149" s="351"/>
      <c r="AC149" s="351" t="s">
        <v>347</v>
      </c>
      <c r="AD149" s="353" t="s">
        <v>371</v>
      </c>
      <c r="AE149" s="353" t="s">
        <v>688</v>
      </c>
      <c r="AF149" s="351" t="s">
        <v>677</v>
      </c>
      <c r="AG149" s="351" t="s">
        <v>685</v>
      </c>
      <c r="AH149" s="351" t="s">
        <v>691</v>
      </c>
      <c r="AI149" s="354">
        <v>2.0172055769801656</v>
      </c>
      <c r="AJ149" s="355">
        <v>6.89</v>
      </c>
      <c r="AK149" s="355">
        <v>3.57619</v>
      </c>
      <c r="AL149" s="355">
        <v>8.1</v>
      </c>
      <c r="AM149" s="355">
        <v>1.42</v>
      </c>
      <c r="AN149" s="355">
        <v>1858</v>
      </c>
      <c r="AO149" s="355">
        <v>4515</v>
      </c>
      <c r="AP149" s="355">
        <v>39179</v>
      </c>
      <c r="AQ149" s="355">
        <v>505</v>
      </c>
      <c r="AR149" s="355">
        <v>181</v>
      </c>
      <c r="AS149" s="355">
        <v>12672</v>
      </c>
      <c r="AT149" s="355">
        <v>2613</v>
      </c>
      <c r="AU149" s="355">
        <v>1070.7</v>
      </c>
      <c r="AV149" s="355">
        <v>92.4</v>
      </c>
      <c r="AW149" s="355">
        <v>235</v>
      </c>
      <c r="AX149" s="355">
        <v>1800.7</v>
      </c>
      <c r="AY149" s="355">
        <v>37501</v>
      </c>
      <c r="AZ149" s="355">
        <v>35.146999999999998</v>
      </c>
      <c r="BA149" s="355">
        <v>43.46</v>
      </c>
      <c r="BB149" s="355">
        <v>70.69</v>
      </c>
      <c r="BC149" s="355">
        <v>305</v>
      </c>
      <c r="BD149" s="355">
        <v>8.7200000000000006</v>
      </c>
      <c r="BE149" s="355">
        <v>982.4</v>
      </c>
      <c r="BF149" s="355">
        <v>0.21</v>
      </c>
      <c r="BG149" s="355">
        <v>50.44</v>
      </c>
      <c r="BH149" s="355">
        <v>37.28</v>
      </c>
      <c r="BI149" s="355">
        <v>11.1</v>
      </c>
      <c r="BJ149" s="355">
        <v>88.31</v>
      </c>
      <c r="BK149" s="355">
        <v>6.8319999999999999</v>
      </c>
      <c r="BL149" s="355">
        <v>2.64</v>
      </c>
      <c r="BM149" s="355">
        <v>4.7480000000000002</v>
      </c>
      <c r="BN149" s="355">
        <v>1.4179999999999999</v>
      </c>
      <c r="BO149" s="355">
        <v>0.78</v>
      </c>
      <c r="BP149" s="355">
        <v>3.4740000000000002</v>
      </c>
      <c r="BQ149" s="355">
        <v>2.419</v>
      </c>
      <c r="BR149" s="355">
        <v>362.95</v>
      </c>
      <c r="BS149" s="355">
        <v>33.061999999999998</v>
      </c>
      <c r="BT149" s="355">
        <v>67.991</v>
      </c>
      <c r="BU149" s="355">
        <v>6.6929999999999996</v>
      </c>
      <c r="BV149" s="355">
        <v>25.41</v>
      </c>
      <c r="BW149" s="355">
        <v>4.21</v>
      </c>
      <c r="BX149" s="355">
        <v>1.17</v>
      </c>
      <c r="BY149" s="355">
        <v>3.0070000000000001</v>
      </c>
      <c r="BZ149" s="355">
        <v>0.42</v>
      </c>
      <c r="CA149" s="355">
        <v>2.1269999999999998</v>
      </c>
      <c r="CB149" s="355">
        <v>0.42899999999999999</v>
      </c>
      <c r="CC149" s="355">
        <v>1.179</v>
      </c>
      <c r="CD149" s="355">
        <v>0.17599999999999999</v>
      </c>
      <c r="CE149" s="355">
        <v>1.081</v>
      </c>
      <c r="CF149" s="355">
        <v>0.16500000000000001</v>
      </c>
      <c r="CG149" s="355">
        <v>2.3170000000000002</v>
      </c>
      <c r="CH149" s="355">
        <v>0.371</v>
      </c>
      <c r="CI149" s="355">
        <v>34.186</v>
      </c>
      <c r="CJ149" s="355">
        <v>0.24199999999999999</v>
      </c>
      <c r="CK149" s="355">
        <v>699.8</v>
      </c>
      <c r="CL149" s="355">
        <v>0.8</v>
      </c>
      <c r="CM149" s="355">
        <v>4.2140000000000004</v>
      </c>
      <c r="CN149" s="355">
        <v>1.7929999999999999</v>
      </c>
      <c r="CO149" s="356"/>
      <c r="CP149" s="357">
        <f t="shared" si="43"/>
        <v>135.64540427941529</v>
      </c>
      <c r="CQ149" s="357">
        <f t="shared" si="44"/>
        <v>35.143975050980522</v>
      </c>
      <c r="CR149" s="357">
        <f t="shared" si="53"/>
        <v>53.128695107370973</v>
      </c>
      <c r="CS149" s="357">
        <f t="shared" si="45"/>
        <v>2.7039792010775141</v>
      </c>
      <c r="CT149" s="357">
        <f t="shared" si="46"/>
        <v>15.129312794083067</v>
      </c>
      <c r="CU149" s="357">
        <f t="shared" si="47"/>
        <v>1.2653555667027907</v>
      </c>
      <c r="CV149" s="357">
        <f t="shared" si="48"/>
        <v>12.442667091012002</v>
      </c>
      <c r="CW149" s="357">
        <f t="shared" si="49"/>
        <v>13.412422182639432</v>
      </c>
      <c r="CX149" s="357">
        <f t="shared" si="54"/>
        <v>16.679094783441208</v>
      </c>
      <c r="CY149" s="357">
        <f t="shared" si="50"/>
        <v>13.963979787815338</v>
      </c>
      <c r="CZ149" s="357">
        <f t="shared" si="51"/>
        <v>-3.2655295392811552</v>
      </c>
      <c r="DA149" s="357">
        <f t="shared" si="52"/>
        <v>10.189719646761757</v>
      </c>
      <c r="DB149" s="358"/>
      <c r="DC149" s="52">
        <f t="shared" si="38"/>
        <v>49.12</v>
      </c>
      <c r="DD149" s="52">
        <f t="shared" si="39"/>
        <v>5.8316666666666661</v>
      </c>
      <c r="DE149" s="52">
        <f t="shared" si="40"/>
        <v>23.841266666666666</v>
      </c>
      <c r="DF149" s="52">
        <f t="shared" si="41"/>
        <v>2.9012345679012346</v>
      </c>
      <c r="DG149" s="52">
        <f t="shared" si="42"/>
        <v>0.61652173913043484</v>
      </c>
    </row>
    <row r="150" spans="1:111" s="52" customFormat="1">
      <c r="A150" s="350"/>
      <c r="F150" s="350"/>
      <c r="V150" s="351" t="s">
        <v>440</v>
      </c>
      <c r="W150" s="351" t="s">
        <v>441</v>
      </c>
      <c r="X150" s="352">
        <v>43889</v>
      </c>
      <c r="Y150" s="351">
        <v>0.19486300000000001</v>
      </c>
      <c r="Z150" s="351">
        <v>34.750653</v>
      </c>
      <c r="AA150" s="351" t="s">
        <v>666</v>
      </c>
      <c r="AB150" s="351"/>
      <c r="AC150" s="351" t="s">
        <v>347</v>
      </c>
      <c r="AD150" s="353" t="s">
        <v>371</v>
      </c>
      <c r="AE150" s="353" t="s">
        <v>688</v>
      </c>
      <c r="AF150" s="351" t="s">
        <v>677</v>
      </c>
      <c r="AG150" s="351" t="s">
        <v>685</v>
      </c>
      <c r="AH150" s="351" t="s">
        <v>691</v>
      </c>
      <c r="AI150" s="354">
        <v>1.2065011466746696</v>
      </c>
      <c r="AJ150" s="355">
        <v>6.64</v>
      </c>
      <c r="AK150" s="355">
        <v>1.20129</v>
      </c>
      <c r="AL150" s="355">
        <v>2.7</v>
      </c>
      <c r="AM150" s="355">
        <v>0.96</v>
      </c>
      <c r="AN150" s="355">
        <v>1583</v>
      </c>
      <c r="AO150" s="355">
        <v>2186</v>
      </c>
      <c r="AP150" s="355">
        <v>26908</v>
      </c>
      <c r="AQ150" s="355">
        <v>264</v>
      </c>
      <c r="AR150" s="355">
        <v>430</v>
      </c>
      <c r="AS150" s="355">
        <v>10358</v>
      </c>
      <c r="AT150" s="355">
        <v>2152</v>
      </c>
      <c r="AU150" s="355">
        <v>1214.4000000000001</v>
      </c>
      <c r="AV150" s="355">
        <v>71.900000000000006</v>
      </c>
      <c r="AW150" s="355">
        <v>155.80000000000001</v>
      </c>
      <c r="AX150" s="355">
        <v>774.6</v>
      </c>
      <c r="AY150" s="355">
        <v>35672</v>
      </c>
      <c r="AZ150" s="355">
        <v>20.312999999999999</v>
      </c>
      <c r="BA150" s="355">
        <v>23.01</v>
      </c>
      <c r="BB150" s="355">
        <v>37.380000000000003</v>
      </c>
      <c r="BC150" s="355">
        <v>86</v>
      </c>
      <c r="BD150" s="355">
        <v>6.3</v>
      </c>
      <c r="BE150" s="355">
        <v>831.4</v>
      </c>
      <c r="BF150" s="355">
        <v>0.39</v>
      </c>
      <c r="BG150" s="355">
        <v>38.93</v>
      </c>
      <c r="BH150" s="355">
        <v>34.56</v>
      </c>
      <c r="BI150" s="355">
        <v>6.2590000000000003</v>
      </c>
      <c r="BJ150" s="355">
        <v>58.93</v>
      </c>
      <c r="BK150" s="355">
        <v>7.1740000000000004</v>
      </c>
      <c r="BL150" s="355">
        <v>1.7</v>
      </c>
      <c r="BM150" s="355">
        <v>1.7210000000000001</v>
      </c>
      <c r="BN150" s="355">
        <v>0.56599999999999995</v>
      </c>
      <c r="BO150" s="355">
        <v>3.4</v>
      </c>
      <c r="BP150" s="355">
        <v>2.3839999999999999</v>
      </c>
      <c r="BQ150" s="355">
        <v>1.171</v>
      </c>
      <c r="BR150" s="355">
        <v>333.3</v>
      </c>
      <c r="BS150" s="355">
        <v>15.85</v>
      </c>
      <c r="BT150" s="355">
        <v>50.033999999999999</v>
      </c>
      <c r="BU150" s="355">
        <v>3.4660000000000002</v>
      </c>
      <c r="BV150" s="355">
        <v>12.77</v>
      </c>
      <c r="BW150" s="355">
        <v>2.0819999999999999</v>
      </c>
      <c r="BX150" s="355">
        <v>0.51600000000000001</v>
      </c>
      <c r="BY150" s="355">
        <v>1.4930000000000001</v>
      </c>
      <c r="BZ150" s="355">
        <v>0.218</v>
      </c>
      <c r="CA150" s="355">
        <v>1.1890000000000001</v>
      </c>
      <c r="CB150" s="355">
        <v>0.24099999999999999</v>
      </c>
      <c r="CC150" s="355">
        <v>0.70399999999999996</v>
      </c>
      <c r="CD150" s="355">
        <v>0.10199999999999999</v>
      </c>
      <c r="CE150" s="355">
        <v>0.67300000000000004</v>
      </c>
      <c r="CF150" s="355">
        <v>0.10199999999999999</v>
      </c>
      <c r="CG150" s="355">
        <v>1.5660000000000001</v>
      </c>
      <c r="CH150" s="355">
        <v>0.52100000000000002</v>
      </c>
      <c r="CI150" s="355">
        <v>12.932</v>
      </c>
      <c r="CJ150" s="355">
        <v>0.22</v>
      </c>
      <c r="CK150" s="355">
        <v>74</v>
      </c>
      <c r="CL150" s="355">
        <v>0.45</v>
      </c>
      <c r="CM150" s="355">
        <v>3.63</v>
      </c>
      <c r="CN150" s="355">
        <v>1.153</v>
      </c>
      <c r="CO150" s="356"/>
      <c r="CP150" s="357">
        <f t="shared" si="43"/>
        <v>120.68190028758757</v>
      </c>
      <c r="CQ150" s="357">
        <f t="shared" si="44"/>
        <v>3.9068258529695226</v>
      </c>
      <c r="CR150" s="357">
        <f t="shared" si="53"/>
        <v>18.761683967108194</v>
      </c>
      <c r="CS150" s="357">
        <f t="shared" si="45"/>
        <v>1.8845962698266121</v>
      </c>
      <c r="CT150" s="357">
        <f t="shared" si="46"/>
        <v>6.3485536147525936</v>
      </c>
      <c r="CU150" s="357">
        <f t="shared" si="47"/>
        <v>0.70429542311661875</v>
      </c>
      <c r="CV150" s="357">
        <f t="shared" si="48"/>
        <v>12.201899278266195</v>
      </c>
      <c r="CW150" s="357">
        <f t="shared" si="49"/>
        <v>10.171076693915895</v>
      </c>
      <c r="CX150" s="357">
        <f t="shared" si="54"/>
        <v>15.105255865688731</v>
      </c>
      <c r="CY150" s="357">
        <f t="shared" si="50"/>
        <v>13.371014264424648</v>
      </c>
      <c r="CZ150" s="357">
        <f t="shared" si="51"/>
        <v>-4.5905131136887887</v>
      </c>
      <c r="DA150" s="357">
        <f t="shared" si="52"/>
        <v>9.2722924558045641</v>
      </c>
      <c r="DB150" s="358"/>
      <c r="DC150" s="52">
        <f t="shared" si="38"/>
        <v>41.57</v>
      </c>
      <c r="DD150" s="52">
        <f t="shared" si="39"/>
        <v>0.6166666666666667</v>
      </c>
      <c r="DE150" s="52">
        <f t="shared" si="40"/>
        <v>8.0085999999999995</v>
      </c>
      <c r="DF150" s="52">
        <f t="shared" si="41"/>
        <v>1.9234567901234569</v>
      </c>
      <c r="DG150" s="52">
        <f t="shared" si="42"/>
        <v>0.24608695652173912</v>
      </c>
    </row>
    <row r="151" spans="1:111" s="28" customFormat="1">
      <c r="A151" s="38"/>
      <c r="F151" s="38"/>
      <c r="V151" s="17" t="s">
        <v>442</v>
      </c>
      <c r="W151" s="17" t="s">
        <v>443</v>
      </c>
      <c r="X151" s="48">
        <v>43890</v>
      </c>
      <c r="Y151" s="81">
        <v>0.224908</v>
      </c>
      <c r="Z151" s="81">
        <v>34.799022000000001</v>
      </c>
      <c r="AA151" s="17" t="s">
        <v>667</v>
      </c>
      <c r="AB151" s="17"/>
      <c r="AC151" s="17" t="s">
        <v>347</v>
      </c>
      <c r="AD151" s="14" t="s">
        <v>371</v>
      </c>
      <c r="AE151" s="14" t="s">
        <v>687</v>
      </c>
      <c r="AF151" s="17" t="s">
        <v>676</v>
      </c>
      <c r="AG151" s="17" t="s">
        <v>684</v>
      </c>
      <c r="AH151" s="17" t="s">
        <v>683</v>
      </c>
      <c r="AI151" s="24">
        <v>2.5825571549534252</v>
      </c>
      <c r="AJ151" s="73">
        <v>5.96</v>
      </c>
      <c r="AK151" s="73">
        <v>6.3005499999999994</v>
      </c>
      <c r="AL151" s="73">
        <v>8</v>
      </c>
      <c r="AM151" s="73">
        <v>1.74</v>
      </c>
      <c r="AN151" s="73">
        <v>17467</v>
      </c>
      <c r="AO151" s="73">
        <v>5974</v>
      </c>
      <c r="AP151" s="73">
        <v>75154</v>
      </c>
      <c r="AQ151" s="73">
        <v>325</v>
      </c>
      <c r="AR151" s="73">
        <v>93</v>
      </c>
      <c r="AS151" s="73">
        <v>15643</v>
      </c>
      <c r="AT151" s="73">
        <v>9276</v>
      </c>
      <c r="AU151" s="73">
        <v>3257.7</v>
      </c>
      <c r="AV151" s="73">
        <v>119</v>
      </c>
      <c r="AW151" s="73">
        <v>203.1</v>
      </c>
      <c r="AX151" s="73">
        <v>616.20000000000005</v>
      </c>
      <c r="AY151" s="73">
        <v>40661</v>
      </c>
      <c r="AZ151" s="73">
        <v>31.831</v>
      </c>
      <c r="BA151" s="73">
        <v>54.91</v>
      </c>
      <c r="BB151" s="73">
        <v>48.08</v>
      </c>
      <c r="BC151" s="73">
        <v>47</v>
      </c>
      <c r="BD151" s="73">
        <v>13.56</v>
      </c>
      <c r="BE151" s="73">
        <v>52.3</v>
      </c>
      <c r="BF151" s="73">
        <v>0.32</v>
      </c>
      <c r="BG151" s="73">
        <v>51.65</v>
      </c>
      <c r="BH151" s="73">
        <v>210.41</v>
      </c>
      <c r="BI151" s="73">
        <v>12.548</v>
      </c>
      <c r="BJ151" s="73">
        <v>124.01</v>
      </c>
      <c r="BK151" s="73">
        <v>13.048999999999999</v>
      </c>
      <c r="BL151" s="73">
        <v>1.2</v>
      </c>
      <c r="BM151" s="73">
        <v>0.16600000000000001</v>
      </c>
      <c r="BN151" s="73">
        <v>5.6000000000000001E-2</v>
      </c>
      <c r="BO151" s="73">
        <v>1.19</v>
      </c>
      <c r="BP151" s="73">
        <v>2.2010000000000001</v>
      </c>
      <c r="BQ151" s="73">
        <v>1.972</v>
      </c>
      <c r="BR151" s="73">
        <v>602.4</v>
      </c>
      <c r="BS151" s="73">
        <v>24.565000000000001</v>
      </c>
      <c r="BT151" s="73">
        <v>56.034999999999997</v>
      </c>
      <c r="BU151" s="73">
        <v>5.0439999999999996</v>
      </c>
      <c r="BV151" s="73">
        <v>19.14</v>
      </c>
      <c r="BW151" s="73">
        <v>3.371</v>
      </c>
      <c r="BX151" s="73">
        <v>0.84899999999999998</v>
      </c>
      <c r="BY151" s="73">
        <v>2.5590000000000002</v>
      </c>
      <c r="BZ151" s="73">
        <v>0.39100000000000001</v>
      </c>
      <c r="CA151" s="73">
        <v>2.1920000000000002</v>
      </c>
      <c r="CB151" s="73">
        <v>0.46899999999999997</v>
      </c>
      <c r="CC151" s="73">
        <v>1.3280000000000001</v>
      </c>
      <c r="CD151" s="73">
        <v>0.20699999999999999</v>
      </c>
      <c r="CE151" s="73">
        <v>1.2969999999999999</v>
      </c>
      <c r="CF151" s="73">
        <v>0.20599999999999999</v>
      </c>
      <c r="CG151" s="73">
        <v>3.4550000000000001</v>
      </c>
      <c r="CH151" s="73">
        <v>0.73299999999999998</v>
      </c>
      <c r="CI151" s="73">
        <v>2.1989999999999998</v>
      </c>
      <c r="CJ151" s="73">
        <v>0.29499999999999998</v>
      </c>
      <c r="CK151" s="73">
        <v>11.2</v>
      </c>
      <c r="CL151" s="73">
        <v>1.06</v>
      </c>
      <c r="CM151" s="73">
        <v>5.25</v>
      </c>
      <c r="CN151" s="73">
        <v>1.5880000000000001</v>
      </c>
      <c r="CO151" s="35"/>
      <c r="CP151" s="136">
        <f t="shared" si="43"/>
        <v>6.6601377675095517</v>
      </c>
      <c r="CQ151" s="136">
        <f t="shared" si="44"/>
        <v>0.51875197113106009</v>
      </c>
      <c r="CR151" s="136">
        <f t="shared" si="53"/>
        <v>86.328028074206642</v>
      </c>
      <c r="CS151" s="136">
        <f t="shared" si="45"/>
        <v>2.1553122698871734</v>
      </c>
      <c r="CT151" s="136">
        <f t="shared" si="46"/>
        <v>0.55105607115149435</v>
      </c>
      <c r="CU151" s="136">
        <f t="shared" si="47"/>
        <v>1.4744807099275881</v>
      </c>
      <c r="CV151" s="136">
        <f t="shared" si="48"/>
        <v>8.2112393818887615</v>
      </c>
      <c r="CW151" s="136">
        <f t="shared" si="49"/>
        <v>7.4470501554571866</v>
      </c>
      <c r="CX151" s="136">
        <f t="shared" si="54"/>
        <v>17.496149168378409</v>
      </c>
      <c r="CY151" s="136">
        <f t="shared" si="50"/>
        <v>13.753509270659132</v>
      </c>
      <c r="CZ151" s="136">
        <f t="shared" si="51"/>
        <v>-7.9278164344630664</v>
      </c>
      <c r="DA151" s="136">
        <f t="shared" si="52"/>
        <v>10.527100383524738</v>
      </c>
      <c r="DB151" s="22"/>
      <c r="DC151" s="28">
        <f t="shared" si="38"/>
        <v>2.6149999999999998</v>
      </c>
      <c r="DD151" s="28">
        <f t="shared" si="39"/>
        <v>9.3333333333333324E-2</v>
      </c>
      <c r="DE151" s="28">
        <f t="shared" si="40"/>
        <v>42.003666666666668</v>
      </c>
      <c r="DF151" s="28">
        <f t="shared" si="41"/>
        <v>2.5074074074074075</v>
      </c>
      <c r="DG151" s="28">
        <f t="shared" si="42"/>
        <v>2.4347826086956525E-2</v>
      </c>
    </row>
    <row r="152" spans="1:111" s="28" customFormat="1">
      <c r="A152" s="38"/>
      <c r="F152" s="38"/>
      <c r="V152" s="17" t="s">
        <v>444</v>
      </c>
      <c r="W152" s="17" t="s">
        <v>445</v>
      </c>
      <c r="X152" s="48">
        <v>43890</v>
      </c>
      <c r="Y152" s="81">
        <v>0.22484799999999999</v>
      </c>
      <c r="Z152" s="81">
        <v>34.799002999999999</v>
      </c>
      <c r="AA152" s="17" t="s">
        <v>667</v>
      </c>
      <c r="AB152" s="17"/>
      <c r="AC152" s="17" t="s">
        <v>347</v>
      </c>
      <c r="AD152" s="14" t="s">
        <v>371</v>
      </c>
      <c r="AE152" s="14" t="s">
        <v>687</v>
      </c>
      <c r="AF152" s="17" t="s">
        <v>676</v>
      </c>
      <c r="AG152" s="17" t="s">
        <v>684</v>
      </c>
      <c r="AH152" s="17" t="s">
        <v>683</v>
      </c>
      <c r="AI152" s="24">
        <v>1.9555095706154773</v>
      </c>
      <c r="AJ152" s="73">
        <v>6.05</v>
      </c>
      <c r="AK152" s="73">
        <v>8.8212900000000012</v>
      </c>
      <c r="AL152" s="73">
        <v>7.2</v>
      </c>
      <c r="AM152" s="73">
        <v>0.96</v>
      </c>
      <c r="AN152" s="73">
        <v>17706</v>
      </c>
      <c r="AO152" s="73">
        <v>7942</v>
      </c>
      <c r="AP152" s="73">
        <v>63377</v>
      </c>
      <c r="AQ152" s="73">
        <v>259</v>
      </c>
      <c r="AR152" s="73">
        <v>39</v>
      </c>
      <c r="AS152" s="73">
        <v>13485</v>
      </c>
      <c r="AT152" s="73">
        <v>12902</v>
      </c>
      <c r="AU152" s="73">
        <v>3428</v>
      </c>
      <c r="AV152" s="73">
        <v>131.4</v>
      </c>
      <c r="AW152" s="73">
        <v>210.9</v>
      </c>
      <c r="AX152" s="73">
        <v>608.4</v>
      </c>
      <c r="AY152" s="73">
        <v>41952</v>
      </c>
      <c r="AZ152" s="73">
        <v>35.706000000000003</v>
      </c>
      <c r="BA152" s="73">
        <v>58.79</v>
      </c>
      <c r="BB152" s="73">
        <v>100.62</v>
      </c>
      <c r="BC152" s="73">
        <v>68</v>
      </c>
      <c r="BD152" s="73">
        <v>11.97</v>
      </c>
      <c r="BE152" s="73">
        <v>74.5</v>
      </c>
      <c r="BF152" s="73">
        <v>0.26</v>
      </c>
      <c r="BG152" s="73">
        <v>41.48</v>
      </c>
      <c r="BH152" s="73">
        <v>269.19</v>
      </c>
      <c r="BI152" s="73">
        <v>12.282</v>
      </c>
      <c r="BJ152" s="73">
        <v>88.45</v>
      </c>
      <c r="BK152" s="73">
        <v>7.6559999999999997</v>
      </c>
      <c r="BL152" s="73">
        <v>1.02</v>
      </c>
      <c r="BM152" s="73">
        <v>0.42199999999999999</v>
      </c>
      <c r="BN152" s="73">
        <v>5.8000000000000003E-2</v>
      </c>
      <c r="BO152" s="73">
        <v>0.97</v>
      </c>
      <c r="BP152" s="73">
        <v>2.5640000000000001</v>
      </c>
      <c r="BQ152" s="73">
        <v>1.7509999999999999</v>
      </c>
      <c r="BR152" s="73">
        <v>517.51</v>
      </c>
      <c r="BS152" s="73">
        <v>22.606000000000002</v>
      </c>
      <c r="BT152" s="73">
        <v>53.081000000000003</v>
      </c>
      <c r="BU152" s="73">
        <v>5.032</v>
      </c>
      <c r="BV152" s="73">
        <v>19.32</v>
      </c>
      <c r="BW152" s="73">
        <v>3.3889999999999998</v>
      </c>
      <c r="BX152" s="73">
        <v>0.90400000000000003</v>
      </c>
      <c r="BY152" s="73">
        <v>2.661</v>
      </c>
      <c r="BZ152" s="73">
        <v>0.39900000000000002</v>
      </c>
      <c r="CA152" s="73">
        <v>2.2080000000000002</v>
      </c>
      <c r="CB152" s="73">
        <v>0.47399999999999998</v>
      </c>
      <c r="CC152" s="73">
        <v>1.28</v>
      </c>
      <c r="CD152" s="73">
        <v>0.19500000000000001</v>
      </c>
      <c r="CE152" s="73">
        <v>1.3120000000000001</v>
      </c>
      <c r="CF152" s="73">
        <v>0.20200000000000001</v>
      </c>
      <c r="CG152" s="73">
        <v>2.452</v>
      </c>
      <c r="CH152" s="73">
        <v>0.43099999999999999</v>
      </c>
      <c r="CI152" s="73">
        <v>2.21</v>
      </c>
      <c r="CJ152" s="73">
        <v>0.224</v>
      </c>
      <c r="CK152" s="73">
        <v>12.6</v>
      </c>
      <c r="CL152" s="73">
        <v>6.84</v>
      </c>
      <c r="CM152" s="73">
        <v>4.0410000000000004</v>
      </c>
      <c r="CN152" s="73">
        <v>1.4330000000000001</v>
      </c>
      <c r="CO152" s="35"/>
      <c r="CP152" s="136">
        <f t="shared" si="43"/>
        <v>9.1952423918652126</v>
      </c>
      <c r="CQ152" s="136">
        <f t="shared" si="44"/>
        <v>0.56563681434568169</v>
      </c>
      <c r="CR152" s="136">
        <f t="shared" si="53"/>
        <v>117.14691155398214</v>
      </c>
      <c r="CS152" s="136">
        <f t="shared" si="45"/>
        <v>2.1692132219735725</v>
      </c>
      <c r="CT152" s="136">
        <f t="shared" si="46"/>
        <v>0.55317321527633323</v>
      </c>
      <c r="CU152" s="136">
        <f t="shared" si="47"/>
        <v>1.5300883095109961</v>
      </c>
      <c r="CV152" s="136">
        <f t="shared" si="48"/>
        <v>8.7216688609913451</v>
      </c>
      <c r="CW152" s="136">
        <f t="shared" si="49"/>
        <v>7.6169751568994997</v>
      </c>
      <c r="CX152" s="136">
        <f t="shared" si="54"/>
        <v>17.981661042467376</v>
      </c>
      <c r="CY152" s="136">
        <f t="shared" si="50"/>
        <v>13.80787812615667</v>
      </c>
      <c r="CZ152" s="136">
        <f t="shared" si="51"/>
        <v>-7.8771903613930983</v>
      </c>
      <c r="DA152" s="136">
        <f t="shared" si="52"/>
        <v>10.625602250138733</v>
      </c>
      <c r="DB152" s="22"/>
      <c r="DC152" s="28">
        <f t="shared" si="38"/>
        <v>3.7250000000000001</v>
      </c>
      <c r="DD152" s="28">
        <f t="shared" si="39"/>
        <v>0.105</v>
      </c>
      <c r="DE152" s="28">
        <f t="shared" si="40"/>
        <v>58.808600000000013</v>
      </c>
      <c r="DF152" s="28">
        <f t="shared" si="41"/>
        <v>2.6037037037037036</v>
      </c>
      <c r="DG152" s="28">
        <f t="shared" si="42"/>
        <v>2.521739130434783E-2</v>
      </c>
    </row>
    <row r="153" spans="1:111" s="28" customFormat="1">
      <c r="A153" s="38"/>
      <c r="F153" s="38"/>
      <c r="V153" s="17" t="s">
        <v>446</v>
      </c>
      <c r="W153" s="17" t="s">
        <v>445</v>
      </c>
      <c r="X153" s="48">
        <v>43890</v>
      </c>
      <c r="Y153" s="17">
        <v>0.22484799999999999</v>
      </c>
      <c r="Z153" s="17">
        <v>34.799002999999999</v>
      </c>
      <c r="AA153" s="17" t="s">
        <v>667</v>
      </c>
      <c r="AB153" s="17"/>
      <c r="AC153" s="17" t="s">
        <v>347</v>
      </c>
      <c r="AD153" s="14" t="s">
        <v>371</v>
      </c>
      <c r="AE153" s="14" t="s">
        <v>687</v>
      </c>
      <c r="AF153" s="17" t="s">
        <v>676</v>
      </c>
      <c r="AG153" s="17" t="s">
        <v>684</v>
      </c>
      <c r="AH153" s="17" t="s">
        <v>683</v>
      </c>
      <c r="AI153" s="24" t="s">
        <v>288</v>
      </c>
      <c r="AJ153" s="24" t="s">
        <v>288</v>
      </c>
      <c r="AK153" s="73">
        <v>7.9939099999999996</v>
      </c>
      <c r="AL153" s="24" t="s">
        <v>288</v>
      </c>
      <c r="AM153" s="24" t="s">
        <v>288</v>
      </c>
      <c r="AN153" s="24" t="s">
        <v>288</v>
      </c>
      <c r="AO153" s="24" t="s">
        <v>288</v>
      </c>
      <c r="AP153" s="24" t="s">
        <v>288</v>
      </c>
      <c r="AQ153" s="24" t="s">
        <v>288</v>
      </c>
      <c r="AR153" s="24" t="s">
        <v>288</v>
      </c>
      <c r="AS153" s="24" t="s">
        <v>288</v>
      </c>
      <c r="AT153" s="24" t="s">
        <v>288</v>
      </c>
      <c r="AU153" s="24" t="s">
        <v>288</v>
      </c>
      <c r="AV153" s="24" t="s">
        <v>288</v>
      </c>
      <c r="AW153" s="24" t="s">
        <v>288</v>
      </c>
      <c r="AX153" s="24" t="s">
        <v>288</v>
      </c>
      <c r="AY153" s="24" t="s">
        <v>288</v>
      </c>
      <c r="AZ153" s="24" t="s">
        <v>288</v>
      </c>
      <c r="BA153" s="24" t="s">
        <v>288</v>
      </c>
      <c r="BB153" s="24" t="s">
        <v>288</v>
      </c>
      <c r="BC153" s="24" t="s">
        <v>288</v>
      </c>
      <c r="BD153" s="24" t="s">
        <v>288</v>
      </c>
      <c r="BE153" s="24" t="s">
        <v>288</v>
      </c>
      <c r="BF153" s="24" t="s">
        <v>288</v>
      </c>
      <c r="BG153" s="24" t="s">
        <v>288</v>
      </c>
      <c r="BH153" s="24" t="s">
        <v>288</v>
      </c>
      <c r="BI153" s="24" t="s">
        <v>288</v>
      </c>
      <c r="BJ153" s="24" t="s">
        <v>288</v>
      </c>
      <c r="BK153" s="24" t="s">
        <v>288</v>
      </c>
      <c r="BL153" s="24" t="s">
        <v>288</v>
      </c>
      <c r="BM153" s="24" t="s">
        <v>288</v>
      </c>
      <c r="BN153" s="24" t="s">
        <v>288</v>
      </c>
      <c r="BO153" s="24" t="s">
        <v>288</v>
      </c>
      <c r="BP153" s="24" t="s">
        <v>288</v>
      </c>
      <c r="BQ153" s="24" t="s">
        <v>288</v>
      </c>
      <c r="BR153" s="24" t="s">
        <v>288</v>
      </c>
      <c r="BS153" s="24" t="s">
        <v>288</v>
      </c>
      <c r="BT153" s="24" t="s">
        <v>288</v>
      </c>
      <c r="BU153" s="24" t="s">
        <v>288</v>
      </c>
      <c r="BV153" s="24" t="s">
        <v>288</v>
      </c>
      <c r="BW153" s="24" t="s">
        <v>288</v>
      </c>
      <c r="BX153" s="24" t="s">
        <v>288</v>
      </c>
      <c r="BY153" s="24" t="s">
        <v>288</v>
      </c>
      <c r="BZ153" s="24" t="s">
        <v>288</v>
      </c>
      <c r="CA153" s="24" t="s">
        <v>288</v>
      </c>
      <c r="CB153" s="24" t="s">
        <v>288</v>
      </c>
      <c r="CC153" s="24" t="s">
        <v>288</v>
      </c>
      <c r="CD153" s="24" t="s">
        <v>288</v>
      </c>
      <c r="CE153" s="24" t="s">
        <v>288</v>
      </c>
      <c r="CF153" s="24" t="s">
        <v>288</v>
      </c>
      <c r="CG153" s="24" t="s">
        <v>288</v>
      </c>
      <c r="CH153" s="24" t="s">
        <v>288</v>
      </c>
      <c r="CI153" s="24" t="s">
        <v>288</v>
      </c>
      <c r="CJ153" s="24" t="s">
        <v>288</v>
      </c>
      <c r="CK153" s="24" t="s">
        <v>288</v>
      </c>
      <c r="CL153" s="24" t="s">
        <v>288</v>
      </c>
      <c r="CM153" s="24" t="s">
        <v>288</v>
      </c>
      <c r="CN153" s="24" t="s">
        <v>288</v>
      </c>
      <c r="CO153" s="35"/>
      <c r="CP153" s="136" t="s">
        <v>288</v>
      </c>
      <c r="CQ153" s="136" t="s">
        <v>288</v>
      </c>
      <c r="CR153" s="136" t="s">
        <v>288</v>
      </c>
      <c r="CS153" s="136" t="s">
        <v>288</v>
      </c>
      <c r="CT153" s="136" t="s">
        <v>288</v>
      </c>
      <c r="CU153" s="136" t="s">
        <v>288</v>
      </c>
      <c r="CV153" s="136" t="s">
        <v>288</v>
      </c>
      <c r="CW153" s="136" t="s">
        <v>288</v>
      </c>
      <c r="CX153" s="136">
        <f t="shared" si="54"/>
        <v>17.839572725862112</v>
      </c>
      <c r="CY153" s="136" t="s">
        <v>288</v>
      </c>
      <c r="CZ153" s="136" t="s">
        <v>288</v>
      </c>
      <c r="DA153" s="136" t="s">
        <v>288</v>
      </c>
      <c r="DB153" s="22"/>
      <c r="DC153" s="28" t="s">
        <v>288</v>
      </c>
      <c r="DD153" s="28" t="s">
        <v>288</v>
      </c>
      <c r="DE153" s="28">
        <f t="shared" si="40"/>
        <v>53.292733333333331</v>
      </c>
      <c r="DF153" s="28" t="e">
        <f t="shared" si="41"/>
        <v>#VALUE!</v>
      </c>
      <c r="DG153" s="28" t="e">
        <f t="shared" si="42"/>
        <v>#VALUE!</v>
      </c>
    </row>
    <row r="154" spans="1:111" s="28" customFormat="1">
      <c r="A154" s="38"/>
      <c r="F154" s="38"/>
      <c r="V154" s="17" t="s">
        <v>447</v>
      </c>
      <c r="W154" s="17" t="s">
        <v>448</v>
      </c>
      <c r="X154" s="48">
        <v>43890</v>
      </c>
      <c r="Y154" s="81">
        <v>0.218167</v>
      </c>
      <c r="Z154" s="81">
        <v>34.802627999999999</v>
      </c>
      <c r="AA154" s="17" t="s">
        <v>667</v>
      </c>
      <c r="AB154" s="17"/>
      <c r="AC154" s="17" t="s">
        <v>347</v>
      </c>
      <c r="AD154" s="14" t="s">
        <v>371</v>
      </c>
      <c r="AE154" s="14" t="s">
        <v>687</v>
      </c>
      <c r="AF154" s="17" t="s">
        <v>674</v>
      </c>
      <c r="AG154" s="17" t="s">
        <v>684</v>
      </c>
      <c r="AH154" s="17" t="s">
        <v>683</v>
      </c>
      <c r="AI154" s="24">
        <v>5.1883643299953341</v>
      </c>
      <c r="AJ154" s="73">
        <v>4.45</v>
      </c>
      <c r="AK154" s="73">
        <v>2.4247799999999997</v>
      </c>
      <c r="AL154" s="73">
        <v>9.8000000000000007</v>
      </c>
      <c r="AM154" s="73">
        <v>1.83</v>
      </c>
      <c r="AN154" s="73">
        <v>9486</v>
      </c>
      <c r="AO154" s="73">
        <v>2597</v>
      </c>
      <c r="AP154" s="73">
        <v>80398</v>
      </c>
      <c r="AQ154" s="73">
        <v>417</v>
      </c>
      <c r="AR154" s="73">
        <v>204</v>
      </c>
      <c r="AS154" s="73">
        <v>18023</v>
      </c>
      <c r="AT154" s="73">
        <v>2558</v>
      </c>
      <c r="AU154" s="73">
        <v>3270.1</v>
      </c>
      <c r="AV154" s="73">
        <v>70.599999999999994</v>
      </c>
      <c r="AW154" s="73">
        <v>71.400000000000006</v>
      </c>
      <c r="AX154" s="73">
        <v>388.6</v>
      </c>
      <c r="AY154" s="73">
        <v>28861</v>
      </c>
      <c r="AZ154" s="73">
        <v>13.715</v>
      </c>
      <c r="BA154" s="73">
        <v>23.23</v>
      </c>
      <c r="BB154" s="73">
        <v>45.99</v>
      </c>
      <c r="BC154" s="73">
        <v>50</v>
      </c>
      <c r="BD154" s="73">
        <v>15.76</v>
      </c>
      <c r="BE154" s="73">
        <v>14.3</v>
      </c>
      <c r="BF154" s="73">
        <v>0.44</v>
      </c>
      <c r="BG154" s="73">
        <v>79.33</v>
      </c>
      <c r="BH154" s="73">
        <v>110.9</v>
      </c>
      <c r="BI154" s="73">
        <v>15.212</v>
      </c>
      <c r="BJ154" s="73">
        <v>132.01</v>
      </c>
      <c r="BK154" s="73">
        <v>19.445</v>
      </c>
      <c r="BL154" s="73">
        <v>1.69</v>
      </c>
      <c r="BM154" s="73">
        <v>0.111</v>
      </c>
      <c r="BN154" s="73">
        <v>7.4999999999999997E-2</v>
      </c>
      <c r="BO154" s="73">
        <v>1.86</v>
      </c>
      <c r="BP154" s="73">
        <v>1.004</v>
      </c>
      <c r="BQ154" s="73">
        <v>3.6909999999999998</v>
      </c>
      <c r="BR154" s="73">
        <v>622.69000000000005</v>
      </c>
      <c r="BS154" s="73">
        <v>35.173000000000002</v>
      </c>
      <c r="BT154" s="73">
        <v>85.415999999999997</v>
      </c>
      <c r="BU154" s="73">
        <v>6.8789999999999996</v>
      </c>
      <c r="BV154" s="73">
        <v>25.19</v>
      </c>
      <c r="BW154" s="73">
        <v>4.3150000000000004</v>
      </c>
      <c r="BX154" s="73">
        <v>0.94299999999999995</v>
      </c>
      <c r="BY154" s="73">
        <v>3.2320000000000002</v>
      </c>
      <c r="BZ154" s="73">
        <v>0.48499999999999999</v>
      </c>
      <c r="CA154" s="73">
        <v>2.5459999999999998</v>
      </c>
      <c r="CB154" s="73">
        <v>0.52900000000000003</v>
      </c>
      <c r="CC154" s="73">
        <v>1.552</v>
      </c>
      <c r="CD154" s="73">
        <v>0.223</v>
      </c>
      <c r="CE154" s="73">
        <v>1.391</v>
      </c>
      <c r="CF154" s="73">
        <v>0.22800000000000001</v>
      </c>
      <c r="CG154" s="73">
        <v>3.8820000000000001</v>
      </c>
      <c r="CH154" s="73">
        <v>1.131</v>
      </c>
      <c r="CI154" s="73">
        <v>2.2429999999999999</v>
      </c>
      <c r="CJ154" s="73">
        <v>0.40899999999999997</v>
      </c>
      <c r="CK154" s="73">
        <v>15.4</v>
      </c>
      <c r="CL154" s="73">
        <v>0.55000000000000004</v>
      </c>
      <c r="CM154" s="73">
        <v>10.606</v>
      </c>
      <c r="CN154" s="73">
        <v>2.5739999999999998</v>
      </c>
      <c r="CO154" s="35"/>
      <c r="CP154" s="136">
        <f t="shared" si="43"/>
        <v>2.5655722051129453</v>
      </c>
      <c r="CQ154" s="136">
        <f t="shared" si="44"/>
        <v>1.0049145597855254</v>
      </c>
      <c r="CR154" s="136">
        <f t="shared" si="53"/>
        <v>46.807169565253616</v>
      </c>
      <c r="CS154" s="136">
        <f t="shared" si="45"/>
        <v>1.0674933300994425</v>
      </c>
      <c r="CT154" s="136">
        <f t="shared" si="46"/>
        <v>1.0397662306163398</v>
      </c>
      <c r="CU154" s="136">
        <f t="shared" si="47"/>
        <v>0.87882730475281001</v>
      </c>
      <c r="CV154" s="136">
        <f t="shared" si="48"/>
        <v>6.3404435824202103</v>
      </c>
      <c r="CW154" s="136">
        <f t="shared" si="49"/>
        <v>7.9064817740944831</v>
      </c>
      <c r="CX154" s="136">
        <f t="shared" si="54"/>
        <v>16.118525253384874</v>
      </c>
      <c r="CY154" s="136">
        <f t="shared" si="50"/>
        <v>12.245315010392078</v>
      </c>
      <c r="CZ154" s="136">
        <f t="shared" si="51"/>
        <v>-7.5063526660247897</v>
      </c>
      <c r="DA154" s="136">
        <f t="shared" si="52"/>
        <v>9.2860206263892824</v>
      </c>
      <c r="DB154" s="22"/>
      <c r="DC154" s="28">
        <f>BE154/10</f>
        <v>1.4300000000000002</v>
      </c>
      <c r="DD154" s="28">
        <f t="shared" si="39"/>
        <v>0.12833333333333333</v>
      </c>
      <c r="DE154" s="28">
        <f t="shared" si="40"/>
        <v>16.165199999999999</v>
      </c>
      <c r="DF154" s="28">
        <f t="shared" si="41"/>
        <v>0.88148148148148153</v>
      </c>
      <c r="DG154" s="28">
        <f t="shared" si="42"/>
        <v>3.2608695652173912E-2</v>
      </c>
    </row>
    <row r="155" spans="1:111" s="28" customFormat="1">
      <c r="A155" s="38"/>
      <c r="F155" s="38"/>
      <c r="V155" s="17" t="s">
        <v>449</v>
      </c>
      <c r="W155" s="17" t="s">
        <v>450</v>
      </c>
      <c r="X155" s="48">
        <v>43890</v>
      </c>
      <c r="Y155" s="81">
        <v>0.21770700000000001</v>
      </c>
      <c r="Z155" s="81">
        <v>34.802644000000001</v>
      </c>
      <c r="AA155" s="17" t="s">
        <v>667</v>
      </c>
      <c r="AB155" s="17"/>
      <c r="AC155" s="17" t="s">
        <v>347</v>
      </c>
      <c r="AD155" s="14" t="s">
        <v>371</v>
      </c>
      <c r="AE155" s="14" t="s">
        <v>687</v>
      </c>
      <c r="AF155" s="17" t="s">
        <v>676</v>
      </c>
      <c r="AG155" s="17" t="s">
        <v>684</v>
      </c>
      <c r="AH155" s="17" t="s">
        <v>683</v>
      </c>
      <c r="AI155" s="24">
        <v>3.2616037826883493</v>
      </c>
      <c r="AJ155" s="73">
        <v>4.57</v>
      </c>
      <c r="AK155" s="73">
        <v>4.3590599999999995</v>
      </c>
      <c r="AL155" s="73">
        <v>7.4</v>
      </c>
      <c r="AM155" s="73">
        <v>1.37</v>
      </c>
      <c r="AN155" s="73">
        <v>5739</v>
      </c>
      <c r="AO155" s="73">
        <v>2350</v>
      </c>
      <c r="AP155" s="73">
        <v>65797</v>
      </c>
      <c r="AQ155" s="73">
        <v>323</v>
      </c>
      <c r="AR155" s="73">
        <v>157</v>
      </c>
      <c r="AS155" s="73">
        <v>16872</v>
      </c>
      <c r="AT155" s="73">
        <v>3109</v>
      </c>
      <c r="AU155" s="73">
        <v>2683.1</v>
      </c>
      <c r="AV155" s="73">
        <v>67.5</v>
      </c>
      <c r="AW155" s="73">
        <v>78</v>
      </c>
      <c r="AX155" s="73">
        <v>377.4</v>
      </c>
      <c r="AY155" s="73">
        <v>26093</v>
      </c>
      <c r="AZ155" s="73">
        <v>9.6280000000000001</v>
      </c>
      <c r="BA155" s="73">
        <v>17.309999999999999</v>
      </c>
      <c r="BB155" s="73">
        <v>35.75</v>
      </c>
      <c r="BC155" s="73">
        <v>33</v>
      </c>
      <c r="BD155" s="73">
        <v>13.17</v>
      </c>
      <c r="BE155" s="73">
        <v>17.899999999999999</v>
      </c>
      <c r="BF155" s="73">
        <v>0.48</v>
      </c>
      <c r="BG155" s="73">
        <v>74.67</v>
      </c>
      <c r="BH155" s="73">
        <v>102.22</v>
      </c>
      <c r="BI155" s="73">
        <v>11.55</v>
      </c>
      <c r="BJ155" s="73">
        <v>118.23</v>
      </c>
      <c r="BK155" s="73">
        <v>19.635999999999999</v>
      </c>
      <c r="BL155" s="73">
        <v>1.87</v>
      </c>
      <c r="BM155" s="73">
        <v>0.36899999999999999</v>
      </c>
      <c r="BN155" s="73">
        <v>5.5E-2</v>
      </c>
      <c r="BO155" s="73">
        <v>1.75</v>
      </c>
      <c r="BP155" s="73">
        <v>1.1319999999999999</v>
      </c>
      <c r="BQ155" s="73">
        <v>3.1280000000000001</v>
      </c>
      <c r="BR155" s="73">
        <v>584.19000000000005</v>
      </c>
      <c r="BS155" s="73">
        <v>29.448</v>
      </c>
      <c r="BT155" s="73">
        <v>76.350999999999999</v>
      </c>
      <c r="BU155" s="73">
        <v>5.5389999999999997</v>
      </c>
      <c r="BV155" s="73">
        <v>19.899999999999999</v>
      </c>
      <c r="BW155" s="73">
        <v>3.4449999999999998</v>
      </c>
      <c r="BX155" s="73">
        <v>0.77</v>
      </c>
      <c r="BY155" s="73">
        <v>2.4849999999999999</v>
      </c>
      <c r="BZ155" s="73">
        <v>0.39100000000000001</v>
      </c>
      <c r="CA155" s="73">
        <v>2.0830000000000002</v>
      </c>
      <c r="CB155" s="73">
        <v>0.44600000000000001</v>
      </c>
      <c r="CC155" s="73">
        <v>1.2310000000000001</v>
      </c>
      <c r="CD155" s="73">
        <v>0.188</v>
      </c>
      <c r="CE155" s="73">
        <v>1.242</v>
      </c>
      <c r="CF155" s="73">
        <v>0.19</v>
      </c>
      <c r="CG155" s="73">
        <v>3.6930000000000001</v>
      </c>
      <c r="CH155" s="73">
        <v>1.129</v>
      </c>
      <c r="CI155" s="73">
        <v>2.427</v>
      </c>
      <c r="CJ155" s="73">
        <v>0.40899999999999997</v>
      </c>
      <c r="CK155" s="73">
        <v>17.7</v>
      </c>
      <c r="CL155" s="73">
        <v>1.35</v>
      </c>
      <c r="CM155" s="73">
        <v>9.6639999999999997</v>
      </c>
      <c r="CN155" s="73">
        <v>2.379</v>
      </c>
      <c r="CO155" s="35"/>
      <c r="CP155" s="136">
        <f t="shared" si="43"/>
        <v>3.5521279089952005</v>
      </c>
      <c r="CQ155" s="136">
        <f t="shared" si="44"/>
        <v>1.2775239322445286</v>
      </c>
      <c r="CR155" s="136">
        <f t="shared" si="53"/>
        <v>93.072257128469872</v>
      </c>
      <c r="CS155" s="136">
        <f t="shared" si="45"/>
        <v>1.2898788496351288</v>
      </c>
      <c r="CT155" s="136">
        <f t="shared" si="46"/>
        <v>0.84338232476143038</v>
      </c>
      <c r="CU155" s="136">
        <f t="shared" si="47"/>
        <v>0.72433381501465421</v>
      </c>
      <c r="CV155" s="136">
        <f t="shared" si="48"/>
        <v>6.6643880229060768</v>
      </c>
      <c r="CW155" s="136">
        <f t="shared" si="49"/>
        <v>8.1073007834825805</v>
      </c>
      <c r="CX155" s="136">
        <f t="shared" si="54"/>
        <v>16.964688457407618</v>
      </c>
      <c r="CY155" s="136">
        <f t="shared" si="50"/>
        <v>12.372865060112588</v>
      </c>
      <c r="CZ155" s="136">
        <f t="shared" si="51"/>
        <v>-7.9538116429960111</v>
      </c>
      <c r="DA155" s="136">
        <f t="shared" si="52"/>
        <v>8.8616371969471128</v>
      </c>
      <c r="DB155" s="22"/>
      <c r="DC155" s="28">
        <f t="shared" si="38"/>
        <v>0.89499999999999991</v>
      </c>
      <c r="DD155" s="28">
        <f t="shared" si="39"/>
        <v>0.14749999999999999</v>
      </c>
      <c r="DE155" s="28">
        <f t="shared" si="40"/>
        <v>29.060399999999998</v>
      </c>
      <c r="DF155" s="28">
        <f t="shared" si="41"/>
        <v>0.96296296296296291</v>
      </c>
      <c r="DG155" s="28">
        <f t="shared" si="42"/>
        <v>2.391304347826087E-2</v>
      </c>
    </row>
    <row r="156" spans="1:111" s="28" customFormat="1">
      <c r="A156" s="38"/>
      <c r="F156" s="38"/>
      <c r="V156" s="17" t="s">
        <v>451</v>
      </c>
      <c r="W156" s="17" t="s">
        <v>452</v>
      </c>
      <c r="X156" s="48">
        <v>43890</v>
      </c>
      <c r="Y156" s="81">
        <v>0.21793199999999999</v>
      </c>
      <c r="Z156" s="81">
        <v>34.802683999999999</v>
      </c>
      <c r="AA156" s="17" t="s">
        <v>667</v>
      </c>
      <c r="AB156" s="17"/>
      <c r="AC156" s="17" t="s">
        <v>347</v>
      </c>
      <c r="AD156" s="14" t="s">
        <v>371</v>
      </c>
      <c r="AE156" s="14" t="s">
        <v>687</v>
      </c>
      <c r="AF156" s="17" t="s">
        <v>676</v>
      </c>
      <c r="AG156" s="17" t="s">
        <v>684</v>
      </c>
      <c r="AH156" s="17" t="s">
        <v>683</v>
      </c>
      <c r="AI156" s="24">
        <v>1.5968248107810872</v>
      </c>
      <c r="AJ156" s="73">
        <v>5.59</v>
      </c>
      <c r="AK156" s="73">
        <v>12.36927</v>
      </c>
      <c r="AL156" s="73">
        <v>4.5999999999999996</v>
      </c>
      <c r="AM156" s="73">
        <v>1.1399999999999999</v>
      </c>
      <c r="AN156" s="73">
        <v>5615</v>
      </c>
      <c r="AO156" s="73">
        <v>1945</v>
      </c>
      <c r="AP156" s="73">
        <v>29459</v>
      </c>
      <c r="AQ156" s="73">
        <v>169</v>
      </c>
      <c r="AR156" s="73">
        <v>97</v>
      </c>
      <c r="AS156" s="73">
        <v>11707</v>
      </c>
      <c r="AT156" s="73">
        <v>2397</v>
      </c>
      <c r="AU156" s="73">
        <v>1395.7</v>
      </c>
      <c r="AV156" s="73">
        <v>57</v>
      </c>
      <c r="AW156" s="73">
        <v>118.8</v>
      </c>
      <c r="AX156" s="73">
        <v>327.8</v>
      </c>
      <c r="AY156" s="73">
        <v>21155</v>
      </c>
      <c r="AZ156" s="73">
        <v>10.135</v>
      </c>
      <c r="BA156" s="73">
        <v>13.42</v>
      </c>
      <c r="BB156" s="73">
        <v>63.92</v>
      </c>
      <c r="BC156" s="73">
        <v>23</v>
      </c>
      <c r="BD156" s="73">
        <v>5.87</v>
      </c>
      <c r="BE156" s="73">
        <v>54.1</v>
      </c>
      <c r="BF156" s="73">
        <v>0.43</v>
      </c>
      <c r="BG156" s="73">
        <v>37.19</v>
      </c>
      <c r="BH156" s="73">
        <v>82.74</v>
      </c>
      <c r="BI156" s="73">
        <v>6.9729999999999999</v>
      </c>
      <c r="BJ156" s="73">
        <v>73.55</v>
      </c>
      <c r="BK156" s="73">
        <v>5.484</v>
      </c>
      <c r="BL156" s="73">
        <v>1.37</v>
      </c>
      <c r="BM156" s="73">
        <v>0.98499999999999999</v>
      </c>
      <c r="BN156" s="73">
        <v>0.122</v>
      </c>
      <c r="BO156" s="73">
        <v>0.74</v>
      </c>
      <c r="BP156" s="73">
        <v>1.0329999999999999</v>
      </c>
      <c r="BQ156" s="73">
        <v>1.5269999999999999</v>
      </c>
      <c r="BR156" s="73">
        <v>442.83</v>
      </c>
      <c r="BS156" s="73">
        <v>14.076000000000001</v>
      </c>
      <c r="BT156" s="73">
        <v>47.774999999999999</v>
      </c>
      <c r="BU156" s="73">
        <v>2.9940000000000002</v>
      </c>
      <c r="BV156" s="73">
        <v>11.14</v>
      </c>
      <c r="BW156" s="73">
        <v>2.081</v>
      </c>
      <c r="BX156" s="73">
        <v>0.44900000000000001</v>
      </c>
      <c r="BY156" s="73">
        <v>1.431</v>
      </c>
      <c r="BZ156" s="73">
        <v>0.23899999999999999</v>
      </c>
      <c r="CA156" s="73">
        <v>1.2609999999999999</v>
      </c>
      <c r="CB156" s="73">
        <v>0.26900000000000002</v>
      </c>
      <c r="CC156" s="73">
        <v>0.78200000000000003</v>
      </c>
      <c r="CD156" s="73">
        <v>0.124</v>
      </c>
      <c r="CE156" s="73">
        <v>0.79400000000000004</v>
      </c>
      <c r="CF156" s="73">
        <v>0.14000000000000001</v>
      </c>
      <c r="CG156" s="73">
        <v>2.1589999999999998</v>
      </c>
      <c r="CH156" s="73">
        <v>0.33300000000000002</v>
      </c>
      <c r="CI156" s="73">
        <v>2.2650000000000001</v>
      </c>
      <c r="CJ156" s="73">
        <v>0.21299999999999999</v>
      </c>
      <c r="CK156" s="73">
        <v>38.299999999999997</v>
      </c>
      <c r="CL156" s="73">
        <v>11.14</v>
      </c>
      <c r="CM156" s="73">
        <v>4.8719999999999999</v>
      </c>
      <c r="CN156" s="73">
        <v>1.6160000000000001</v>
      </c>
      <c r="CO156" s="35"/>
      <c r="CP156" s="136">
        <f t="shared" si="43"/>
        <v>13.241702142449984</v>
      </c>
      <c r="CQ156" s="136">
        <f t="shared" si="44"/>
        <v>3.4096165221812189</v>
      </c>
      <c r="CR156" s="136">
        <f t="shared" si="53"/>
        <v>325.74852172631785</v>
      </c>
      <c r="CS156" s="136">
        <f t="shared" si="45"/>
        <v>2.423158063036134</v>
      </c>
      <c r="CT156" s="136">
        <f t="shared" si="46"/>
        <v>2.3074517092456115</v>
      </c>
      <c r="CU156" s="136">
        <f t="shared" si="47"/>
        <v>0.69263621140838239</v>
      </c>
      <c r="CV156" s="136">
        <f t="shared" si="48"/>
        <v>8.2600570294686371</v>
      </c>
      <c r="CW156" s="136">
        <f t="shared" si="49"/>
        <v>9.2208958153245391</v>
      </c>
      <c r="CX156" s="136">
        <f t="shared" si="54"/>
        <v>18.469359849551374</v>
      </c>
      <c r="CY156" s="136">
        <f t="shared" si="50"/>
        <v>12.979853867163744</v>
      </c>
      <c r="CZ156" s="136">
        <f t="shared" si="51"/>
        <v>-6.8044340189577843</v>
      </c>
      <c r="DA156" s="136">
        <f t="shared" si="52"/>
        <v>8.4944161437806578</v>
      </c>
      <c r="DB156" s="22"/>
      <c r="DC156" s="28">
        <f t="shared" si="38"/>
        <v>2.7050000000000001</v>
      </c>
      <c r="DD156" s="28">
        <f t="shared" si="39"/>
        <v>0.31916666666666665</v>
      </c>
      <c r="DE156" s="28">
        <f t="shared" si="40"/>
        <v>82.461800000000011</v>
      </c>
      <c r="DF156" s="28">
        <f t="shared" si="41"/>
        <v>1.4666666666666666</v>
      </c>
      <c r="DG156" s="28">
        <f t="shared" si="42"/>
        <v>5.3043478260869567E-2</v>
      </c>
    </row>
    <row r="157" spans="1:111" s="28" customFormat="1">
      <c r="A157" s="38"/>
      <c r="F157" s="38"/>
      <c r="V157" s="17" t="s">
        <v>453</v>
      </c>
      <c r="W157" s="17" t="s">
        <v>452</v>
      </c>
      <c r="X157" s="48">
        <v>43890</v>
      </c>
      <c r="Y157" s="81">
        <v>0.21793199999999999</v>
      </c>
      <c r="Z157" s="81">
        <v>34.802683999999999</v>
      </c>
      <c r="AA157" s="17" t="s">
        <v>667</v>
      </c>
      <c r="AB157" s="17"/>
      <c r="AC157" s="17" t="s">
        <v>347</v>
      </c>
      <c r="AD157" s="14" t="s">
        <v>371</v>
      </c>
      <c r="AE157" s="14" t="s">
        <v>687</v>
      </c>
      <c r="AF157" s="17" t="s">
        <v>676</v>
      </c>
      <c r="AG157" s="17" t="s">
        <v>684</v>
      </c>
      <c r="AH157" s="17" t="s">
        <v>683</v>
      </c>
      <c r="AI157" s="24" t="s">
        <v>288</v>
      </c>
      <c r="AJ157" s="24" t="s">
        <v>288</v>
      </c>
      <c r="AK157" s="73">
        <v>12.73893</v>
      </c>
      <c r="AL157" s="24" t="s">
        <v>288</v>
      </c>
      <c r="AM157" s="24" t="s">
        <v>288</v>
      </c>
      <c r="AN157" s="24" t="s">
        <v>288</v>
      </c>
      <c r="AO157" s="24" t="s">
        <v>288</v>
      </c>
      <c r="AP157" s="24" t="s">
        <v>288</v>
      </c>
      <c r="AQ157" s="24" t="s">
        <v>288</v>
      </c>
      <c r="AR157" s="24" t="s">
        <v>288</v>
      </c>
      <c r="AS157" s="24" t="s">
        <v>288</v>
      </c>
      <c r="AT157" s="24" t="s">
        <v>288</v>
      </c>
      <c r="AU157" s="24" t="s">
        <v>288</v>
      </c>
      <c r="AV157" s="24" t="s">
        <v>288</v>
      </c>
      <c r="AW157" s="24" t="s">
        <v>288</v>
      </c>
      <c r="AX157" s="24" t="s">
        <v>288</v>
      </c>
      <c r="AY157" s="24" t="s">
        <v>288</v>
      </c>
      <c r="AZ157" s="24" t="s">
        <v>288</v>
      </c>
      <c r="BA157" s="24" t="s">
        <v>288</v>
      </c>
      <c r="BB157" s="24" t="s">
        <v>288</v>
      </c>
      <c r="BC157" s="24" t="s">
        <v>288</v>
      </c>
      <c r="BD157" s="24" t="s">
        <v>288</v>
      </c>
      <c r="BE157" s="24" t="s">
        <v>288</v>
      </c>
      <c r="BF157" s="24" t="s">
        <v>288</v>
      </c>
      <c r="BG157" s="24" t="s">
        <v>288</v>
      </c>
      <c r="BH157" s="24" t="s">
        <v>288</v>
      </c>
      <c r="BI157" s="24" t="s">
        <v>288</v>
      </c>
      <c r="BJ157" s="24" t="s">
        <v>288</v>
      </c>
      <c r="BK157" s="24" t="s">
        <v>288</v>
      </c>
      <c r="BL157" s="24" t="s">
        <v>288</v>
      </c>
      <c r="BM157" s="24" t="s">
        <v>288</v>
      </c>
      <c r="BN157" s="24" t="s">
        <v>288</v>
      </c>
      <c r="BO157" s="24" t="s">
        <v>288</v>
      </c>
      <c r="BP157" s="24" t="s">
        <v>288</v>
      </c>
      <c r="BQ157" s="24" t="s">
        <v>288</v>
      </c>
      <c r="BR157" s="24" t="s">
        <v>288</v>
      </c>
      <c r="BS157" s="24" t="s">
        <v>288</v>
      </c>
      <c r="BT157" s="24" t="s">
        <v>288</v>
      </c>
      <c r="BU157" s="24" t="s">
        <v>288</v>
      </c>
      <c r="BV157" s="24" t="s">
        <v>288</v>
      </c>
      <c r="BW157" s="24" t="s">
        <v>288</v>
      </c>
      <c r="BX157" s="24" t="s">
        <v>288</v>
      </c>
      <c r="BY157" s="24" t="s">
        <v>288</v>
      </c>
      <c r="BZ157" s="24" t="s">
        <v>288</v>
      </c>
      <c r="CA157" s="24" t="s">
        <v>288</v>
      </c>
      <c r="CB157" s="24" t="s">
        <v>288</v>
      </c>
      <c r="CC157" s="24" t="s">
        <v>288</v>
      </c>
      <c r="CD157" s="24" t="s">
        <v>288</v>
      </c>
      <c r="CE157" s="24" t="s">
        <v>288</v>
      </c>
      <c r="CF157" s="24" t="s">
        <v>288</v>
      </c>
      <c r="CG157" s="24" t="s">
        <v>288</v>
      </c>
      <c r="CH157" s="24" t="s">
        <v>288</v>
      </c>
      <c r="CI157" s="24" t="s">
        <v>288</v>
      </c>
      <c r="CJ157" s="24" t="s">
        <v>288</v>
      </c>
      <c r="CK157" s="24" t="s">
        <v>288</v>
      </c>
      <c r="CL157" s="24" t="s">
        <v>288</v>
      </c>
      <c r="CM157" s="24" t="s">
        <v>288</v>
      </c>
      <c r="CN157" s="24" t="s">
        <v>288</v>
      </c>
      <c r="CO157" s="35"/>
      <c r="CP157" s="136" t="s">
        <v>288</v>
      </c>
      <c r="CQ157" s="136" t="s">
        <v>288</v>
      </c>
      <c r="CR157" s="136" t="s">
        <v>288</v>
      </c>
      <c r="CS157" s="136" t="s">
        <v>288</v>
      </c>
      <c r="CT157" s="136" t="s">
        <v>288</v>
      </c>
      <c r="CU157" s="136" t="s">
        <v>288</v>
      </c>
      <c r="CV157" s="136" t="s">
        <v>288</v>
      </c>
      <c r="CW157" s="136" t="s">
        <v>288</v>
      </c>
      <c r="CX157" s="136">
        <f t="shared" si="54"/>
        <v>18.511843594824441</v>
      </c>
      <c r="CY157" s="136" t="s">
        <v>288</v>
      </c>
      <c r="CZ157" s="136" t="s">
        <v>288</v>
      </c>
      <c r="DA157" s="136" t="s">
        <v>288</v>
      </c>
      <c r="DB157" s="22"/>
      <c r="DC157" s="28" t="s">
        <v>288</v>
      </c>
      <c r="DD157" s="28" t="s">
        <v>288</v>
      </c>
      <c r="DE157" s="28">
        <f t="shared" si="40"/>
        <v>84.926200000000009</v>
      </c>
      <c r="DF157" s="28" t="e">
        <f t="shared" si="41"/>
        <v>#VALUE!</v>
      </c>
      <c r="DG157" s="28" t="e">
        <f t="shared" si="42"/>
        <v>#VALUE!</v>
      </c>
    </row>
    <row r="158" spans="1:111" s="28" customFormat="1">
      <c r="A158" s="38"/>
      <c r="F158" s="38"/>
      <c r="V158" s="17" t="s">
        <v>454</v>
      </c>
      <c r="W158" s="17" t="s">
        <v>455</v>
      </c>
      <c r="X158" s="48">
        <v>43890</v>
      </c>
      <c r="Y158" s="81">
        <v>0.16381399999999999</v>
      </c>
      <c r="Z158" s="81">
        <v>34.761139</v>
      </c>
      <c r="AA158" s="17" t="s">
        <v>669</v>
      </c>
      <c r="AB158" s="17"/>
      <c r="AC158" s="17" t="s">
        <v>347</v>
      </c>
      <c r="AD158" s="14" t="s">
        <v>371</v>
      </c>
      <c r="AE158" s="14" t="s">
        <v>687</v>
      </c>
      <c r="AF158" s="17" t="s">
        <v>673</v>
      </c>
      <c r="AG158" s="17" t="s">
        <v>685</v>
      </c>
      <c r="AH158" s="17" t="s">
        <v>691</v>
      </c>
      <c r="AI158" s="24">
        <v>1.5138354634570008</v>
      </c>
      <c r="AJ158" s="73">
        <v>6.86</v>
      </c>
      <c r="AK158" s="73">
        <v>2.2230799999999999</v>
      </c>
      <c r="AL158" s="73">
        <v>36.9</v>
      </c>
      <c r="AM158" s="73">
        <v>1.48</v>
      </c>
      <c r="AN158" s="73">
        <v>831</v>
      </c>
      <c r="AO158" s="73">
        <v>6035</v>
      </c>
      <c r="AP158" s="73">
        <v>51180</v>
      </c>
      <c r="AQ158" s="73">
        <v>271</v>
      </c>
      <c r="AR158" s="73">
        <v>58</v>
      </c>
      <c r="AS158" s="73">
        <v>9938</v>
      </c>
      <c r="AT158" s="73">
        <v>1416</v>
      </c>
      <c r="AU158" s="73">
        <v>950.3</v>
      </c>
      <c r="AV158" s="73">
        <v>96.8</v>
      </c>
      <c r="AW158" s="73">
        <v>762.9</v>
      </c>
      <c r="AX158" s="73">
        <v>1839.2</v>
      </c>
      <c r="AY158" s="73">
        <v>36974</v>
      </c>
      <c r="AZ158" s="73">
        <v>116.17400000000001</v>
      </c>
      <c r="BA158" s="73">
        <v>185</v>
      </c>
      <c r="BB158" s="73">
        <v>50.29</v>
      </c>
      <c r="BC158" s="73">
        <v>121</v>
      </c>
      <c r="BD158" s="73">
        <v>10.96</v>
      </c>
      <c r="BE158" s="73">
        <v>66</v>
      </c>
      <c r="BF158" s="73">
        <v>0.28000000000000003</v>
      </c>
      <c r="BG158" s="73">
        <v>42.97</v>
      </c>
      <c r="BH158" s="73">
        <v>25.12</v>
      </c>
      <c r="BI158" s="73">
        <v>8.5109999999999992</v>
      </c>
      <c r="BJ158" s="73">
        <v>59.12</v>
      </c>
      <c r="BK158" s="73">
        <v>7.1349999999999998</v>
      </c>
      <c r="BL158" s="73">
        <v>3.87</v>
      </c>
      <c r="BM158" s="73">
        <v>0.49</v>
      </c>
      <c r="BN158" s="73">
        <v>0.20100000000000001</v>
      </c>
      <c r="BO158" s="73">
        <v>1.06</v>
      </c>
      <c r="BP158" s="73">
        <v>0.49299999999999999</v>
      </c>
      <c r="BQ158" s="73">
        <v>3.2879999999999998</v>
      </c>
      <c r="BR158" s="73">
        <v>358.27</v>
      </c>
      <c r="BS158" s="73">
        <v>15.785</v>
      </c>
      <c r="BT158" s="73">
        <v>61.344000000000001</v>
      </c>
      <c r="BU158" s="73">
        <v>3.5209999999999999</v>
      </c>
      <c r="BV158" s="73">
        <v>13.36</v>
      </c>
      <c r="BW158" s="73">
        <v>2.569</v>
      </c>
      <c r="BX158" s="73">
        <v>0.65900000000000003</v>
      </c>
      <c r="BY158" s="73">
        <v>2.0409999999999999</v>
      </c>
      <c r="BZ158" s="73">
        <v>0.311</v>
      </c>
      <c r="CA158" s="73">
        <v>1.649</v>
      </c>
      <c r="CB158" s="73">
        <v>0.34</v>
      </c>
      <c r="CC158" s="73">
        <v>0.93799999999999994</v>
      </c>
      <c r="CD158" s="73">
        <v>0.14199999999999999</v>
      </c>
      <c r="CE158" s="73">
        <v>0.90400000000000003</v>
      </c>
      <c r="CF158" s="73">
        <v>0.14099999999999999</v>
      </c>
      <c r="CG158" s="73">
        <v>1.7829999999999999</v>
      </c>
      <c r="CH158" s="73">
        <v>0.39400000000000002</v>
      </c>
      <c r="CI158" s="73">
        <v>5.359</v>
      </c>
      <c r="CJ158" s="73">
        <v>0.42699999999999999</v>
      </c>
      <c r="CK158" s="73">
        <v>36.5</v>
      </c>
      <c r="CL158" s="73">
        <v>4.4400000000000004</v>
      </c>
      <c r="CM158" s="73">
        <v>4.8650000000000002</v>
      </c>
      <c r="CN158" s="73">
        <v>1.794</v>
      </c>
      <c r="CO158" s="35"/>
      <c r="CP158" s="136">
        <f t="shared" si="43"/>
        <v>9.2428749614196306</v>
      </c>
      <c r="CQ158" s="136">
        <f t="shared" si="44"/>
        <v>1.8591576592500358</v>
      </c>
      <c r="CR158" s="136">
        <f t="shared" si="53"/>
        <v>33.49732048110441</v>
      </c>
      <c r="CS158" s="136">
        <f t="shared" si="45"/>
        <v>8.90326932836747</v>
      </c>
      <c r="CT158" s="136">
        <f t="shared" si="46"/>
        <v>2.1751311117886281</v>
      </c>
      <c r="CU158" s="136">
        <f t="shared" si="47"/>
        <v>5.4631232481722583</v>
      </c>
      <c r="CV158" s="136">
        <f t="shared" si="48"/>
        <v>8.5468944598876373</v>
      </c>
      <c r="CW158" s="136">
        <f t="shared" si="49"/>
        <v>9.1514478871669631</v>
      </c>
      <c r="CX158" s="136">
        <f t="shared" si="54"/>
        <v>15.99323126197686</v>
      </c>
      <c r="CY158" s="136">
        <f t="shared" si="50"/>
        <v>15.66281299377424</v>
      </c>
      <c r="CZ158" s="136">
        <f t="shared" si="51"/>
        <v>-6.0841196653417429</v>
      </c>
      <c r="DA158" s="136">
        <f t="shared" si="52"/>
        <v>12.279484837871511</v>
      </c>
      <c r="DB158" s="22"/>
      <c r="DC158" s="28">
        <f t="shared" si="38"/>
        <v>3.3</v>
      </c>
      <c r="DD158" s="28">
        <f t="shared" si="39"/>
        <v>0.30416666666666664</v>
      </c>
      <c r="DE158" s="28">
        <f t="shared" si="40"/>
        <v>14.820533333333334</v>
      </c>
      <c r="DF158" s="28">
        <f t="shared" si="41"/>
        <v>9.4185185185185176</v>
      </c>
      <c r="DG158" s="28">
        <f t="shared" si="42"/>
        <v>8.7391304347826104E-2</v>
      </c>
    </row>
    <row r="159" spans="1:111" s="28" customFormat="1">
      <c r="A159" s="38"/>
      <c r="F159" s="38"/>
      <c r="V159" s="17" t="s">
        <v>456</v>
      </c>
      <c r="W159" s="17" t="s">
        <v>457</v>
      </c>
      <c r="X159" s="48">
        <v>43890</v>
      </c>
      <c r="Y159" s="81">
        <v>0.16252800000000001</v>
      </c>
      <c r="Z159" s="81">
        <v>34.760970999999998</v>
      </c>
      <c r="AA159" s="17" t="s">
        <v>668</v>
      </c>
      <c r="AB159" s="17"/>
      <c r="AC159" s="17" t="s">
        <v>347</v>
      </c>
      <c r="AD159" s="14" t="s">
        <v>371</v>
      </c>
      <c r="AE159" s="14" t="s">
        <v>687</v>
      </c>
      <c r="AF159" s="17" t="s">
        <v>675</v>
      </c>
      <c r="AG159" s="17" t="s">
        <v>684</v>
      </c>
      <c r="AH159" s="17" t="s">
        <v>683</v>
      </c>
      <c r="AI159" s="24">
        <v>1.0333712552142078</v>
      </c>
      <c r="AJ159" s="73">
        <v>6.93</v>
      </c>
      <c r="AK159" s="73">
        <v>3.07653</v>
      </c>
      <c r="AL159" s="73">
        <v>11.5</v>
      </c>
      <c r="AM159" s="73">
        <v>0.45</v>
      </c>
      <c r="AN159" s="73">
        <v>2899</v>
      </c>
      <c r="AO159" s="73">
        <v>1765</v>
      </c>
      <c r="AP159" s="73">
        <v>13904</v>
      </c>
      <c r="AQ159" s="73">
        <v>124</v>
      </c>
      <c r="AR159" s="73">
        <v>78</v>
      </c>
      <c r="AS159" s="73">
        <v>3927</v>
      </c>
      <c r="AT159" s="73">
        <v>2749</v>
      </c>
      <c r="AU159" s="73">
        <v>770.2</v>
      </c>
      <c r="AV159" s="73">
        <v>28.3</v>
      </c>
      <c r="AW159" s="73">
        <v>77.5</v>
      </c>
      <c r="AX159" s="73">
        <v>959</v>
      </c>
      <c r="AY159" s="73">
        <v>12113</v>
      </c>
      <c r="AZ159" s="73">
        <v>53.59</v>
      </c>
      <c r="BA159" s="73">
        <v>57.52</v>
      </c>
      <c r="BB159" s="73">
        <v>13.34</v>
      </c>
      <c r="BC159" s="73">
        <v>27</v>
      </c>
      <c r="BD159" s="73">
        <v>2.71</v>
      </c>
      <c r="BE159" s="73">
        <v>20.100000000000001</v>
      </c>
      <c r="BF159" s="73">
        <v>0.12</v>
      </c>
      <c r="BG159" s="73">
        <v>15.58</v>
      </c>
      <c r="BH159" s="73">
        <v>45.14</v>
      </c>
      <c r="BI159" s="73">
        <v>3.5030000000000001</v>
      </c>
      <c r="BJ159" s="73">
        <v>28.21</v>
      </c>
      <c r="BK159" s="73">
        <v>5.694</v>
      </c>
      <c r="BL159" s="73">
        <v>1.03</v>
      </c>
      <c r="BM159" s="73">
        <v>0.26800000000000002</v>
      </c>
      <c r="BN159" s="73">
        <v>5.7000000000000002E-2</v>
      </c>
      <c r="BO159" s="73">
        <v>0.28000000000000003</v>
      </c>
      <c r="BP159" s="73">
        <v>0.218</v>
      </c>
      <c r="BQ159" s="73">
        <v>0.53800000000000003</v>
      </c>
      <c r="BR159" s="73">
        <v>161.80000000000001</v>
      </c>
      <c r="BS159" s="73">
        <v>7.4429999999999996</v>
      </c>
      <c r="BT159" s="73">
        <v>27.907</v>
      </c>
      <c r="BU159" s="73">
        <v>1.659</v>
      </c>
      <c r="BV159" s="73">
        <v>6.21</v>
      </c>
      <c r="BW159" s="73">
        <v>1.1619999999999999</v>
      </c>
      <c r="BX159" s="73">
        <v>0.25700000000000001</v>
      </c>
      <c r="BY159" s="73">
        <v>0.91</v>
      </c>
      <c r="BZ159" s="73">
        <v>0.13400000000000001</v>
      </c>
      <c r="CA159" s="73">
        <v>0.72799999999999998</v>
      </c>
      <c r="CB159" s="73">
        <v>0.13500000000000001</v>
      </c>
      <c r="CC159" s="73">
        <v>0.38800000000000001</v>
      </c>
      <c r="CD159" s="73">
        <v>0.06</v>
      </c>
      <c r="CE159" s="73">
        <v>0.376</v>
      </c>
      <c r="CF159" s="73">
        <v>4.7E-2</v>
      </c>
      <c r="CG159" s="73">
        <v>0.77900000000000003</v>
      </c>
      <c r="CH159" s="73">
        <v>0.496</v>
      </c>
      <c r="CI159" s="73">
        <v>1.2010000000000001</v>
      </c>
      <c r="CJ159" s="73">
        <v>0.128</v>
      </c>
      <c r="CK159" s="73">
        <v>14.9</v>
      </c>
      <c r="CL159" s="73">
        <v>0.97</v>
      </c>
      <c r="CM159" s="73">
        <v>2.355</v>
      </c>
      <c r="CN159" s="73">
        <v>0.64100000000000001</v>
      </c>
      <c r="CO159" s="35"/>
      <c r="CP159" s="136">
        <f t="shared" si="43"/>
        <v>8.5921909373011989</v>
      </c>
      <c r="CQ159" s="136">
        <f t="shared" si="44"/>
        <v>2.3166175587811835</v>
      </c>
      <c r="CR159" s="136">
        <f t="shared" si="53"/>
        <v>141.50143716030587</v>
      </c>
      <c r="CS159" s="136">
        <f t="shared" si="45"/>
        <v>2.7607578674993487</v>
      </c>
      <c r="CT159" s="136">
        <f t="shared" si="46"/>
        <v>1.8828206735063004</v>
      </c>
      <c r="CU159" s="136">
        <f t="shared" si="47"/>
        <v>5.184810249256449</v>
      </c>
      <c r="CV159" s="136">
        <f t="shared" si="48"/>
        <v>6.8316239368207503</v>
      </c>
      <c r="CW159" s="136">
        <f t="shared" si="49"/>
        <v>7.8588637538617441</v>
      </c>
      <c r="CX159" s="136">
        <f t="shared" si="54"/>
        <v>16.46197545637763</v>
      </c>
      <c r="CY159" s="136">
        <f t="shared" si="50"/>
        <v>12.363587246524576</v>
      </c>
      <c r="CZ159" s="136">
        <f t="shared" si="51"/>
        <v>-7.9022813423559297</v>
      </c>
      <c r="DA159" s="136">
        <f t="shared" si="52"/>
        <v>10.594095148019772</v>
      </c>
      <c r="DB159" s="22"/>
      <c r="DC159" s="28">
        <f t="shared" si="38"/>
        <v>1.0050000000000001</v>
      </c>
      <c r="DD159" s="28">
        <f t="shared" si="39"/>
        <v>0.12416666666666668</v>
      </c>
      <c r="DE159" s="28">
        <f t="shared" si="40"/>
        <v>20.510200000000001</v>
      </c>
      <c r="DF159" s="28">
        <f t="shared" si="41"/>
        <v>0.95679012345679015</v>
      </c>
      <c r="DG159" s="28">
        <f t="shared" si="42"/>
        <v>2.4782608695652176E-2</v>
      </c>
    </row>
    <row r="160" spans="1:111" s="28" customFormat="1">
      <c r="A160" s="38"/>
      <c r="F160" s="38"/>
      <c r="V160" s="17" t="s">
        <v>458</v>
      </c>
      <c r="W160" s="17" t="s">
        <v>459</v>
      </c>
      <c r="X160" s="48">
        <v>43890</v>
      </c>
      <c r="Y160" s="17">
        <v>0.105117</v>
      </c>
      <c r="Z160" s="17">
        <v>34.698954000000001</v>
      </c>
      <c r="AA160" s="17" t="s">
        <v>359</v>
      </c>
      <c r="AB160" s="17"/>
      <c r="AC160" s="17" t="s">
        <v>347</v>
      </c>
      <c r="AD160" s="14" t="s">
        <v>371</v>
      </c>
      <c r="AE160" s="14" t="s">
        <v>687</v>
      </c>
      <c r="AF160" s="17" t="s">
        <v>673</v>
      </c>
      <c r="AG160" s="17" t="s">
        <v>685</v>
      </c>
      <c r="AH160" s="17" t="s">
        <v>691</v>
      </c>
      <c r="AI160" s="24">
        <v>1.7476122739279589</v>
      </c>
      <c r="AJ160" s="73">
        <v>6.96</v>
      </c>
      <c r="AK160" s="73">
        <v>6.1126300000000002</v>
      </c>
      <c r="AL160" s="73">
        <v>29.1</v>
      </c>
      <c r="AM160" s="73">
        <v>1.52</v>
      </c>
      <c r="AN160" s="73">
        <v>5066</v>
      </c>
      <c r="AO160" s="73">
        <v>4785</v>
      </c>
      <c r="AP160" s="73">
        <v>71879</v>
      </c>
      <c r="AQ160" s="73">
        <v>301</v>
      </c>
      <c r="AR160" s="73">
        <v>2066</v>
      </c>
      <c r="AS160" s="73">
        <v>15972</v>
      </c>
      <c r="AT160" s="73">
        <v>4221</v>
      </c>
      <c r="AU160" s="73">
        <v>1760.6</v>
      </c>
      <c r="AV160" s="73">
        <v>109.9</v>
      </c>
      <c r="AW160" s="73">
        <v>194.6</v>
      </c>
      <c r="AX160" s="73">
        <v>785.3</v>
      </c>
      <c r="AY160" s="73">
        <v>34327</v>
      </c>
      <c r="AZ160" s="73">
        <v>55.207999999999998</v>
      </c>
      <c r="BA160" s="73">
        <v>101.99</v>
      </c>
      <c r="BB160" s="73">
        <v>58.67</v>
      </c>
      <c r="BC160" s="73">
        <v>170</v>
      </c>
      <c r="BD160" s="73">
        <v>14.45</v>
      </c>
      <c r="BE160" s="73">
        <v>1734.5</v>
      </c>
      <c r="BF160" s="73">
        <v>0.34</v>
      </c>
      <c r="BG160" s="73">
        <v>63.96</v>
      </c>
      <c r="BH160" s="73">
        <v>108.81</v>
      </c>
      <c r="BI160" s="73">
        <v>29.771000000000001</v>
      </c>
      <c r="BJ160" s="73">
        <v>84.61</v>
      </c>
      <c r="BK160" s="73">
        <v>4.6970000000000001</v>
      </c>
      <c r="BL160" s="73">
        <v>3.19</v>
      </c>
      <c r="BM160" s="73">
        <v>5.5720000000000001</v>
      </c>
      <c r="BN160" s="73">
        <v>1.208</v>
      </c>
      <c r="BO160" s="73">
        <v>1.25</v>
      </c>
      <c r="BP160" s="73">
        <v>7.5519999999999996</v>
      </c>
      <c r="BQ160" s="73">
        <v>4.6749999999999998</v>
      </c>
      <c r="BR160" s="73">
        <v>278.64</v>
      </c>
      <c r="BS160" s="73">
        <v>61.997</v>
      </c>
      <c r="BT160" s="73">
        <v>77.581999999999994</v>
      </c>
      <c r="BU160" s="73">
        <v>12.598000000000001</v>
      </c>
      <c r="BV160" s="73">
        <v>46.52</v>
      </c>
      <c r="BW160" s="73">
        <v>8.34</v>
      </c>
      <c r="BX160" s="73">
        <v>1.6930000000000001</v>
      </c>
      <c r="BY160" s="73">
        <v>6.7489999999999997</v>
      </c>
      <c r="BZ160" s="73">
        <v>0.96599999999999997</v>
      </c>
      <c r="CA160" s="73">
        <v>5.1269999999999998</v>
      </c>
      <c r="CB160" s="73">
        <v>1.032</v>
      </c>
      <c r="CC160" s="73">
        <v>2.8</v>
      </c>
      <c r="CD160" s="73">
        <v>0.40300000000000002</v>
      </c>
      <c r="CE160" s="73">
        <v>2.41</v>
      </c>
      <c r="CF160" s="73">
        <v>0.38400000000000001</v>
      </c>
      <c r="CG160" s="73">
        <v>2.5779999999999998</v>
      </c>
      <c r="CH160" s="73">
        <v>0.315</v>
      </c>
      <c r="CI160" s="73">
        <v>21.361999999999998</v>
      </c>
      <c r="CJ160" s="73">
        <v>0.63600000000000001</v>
      </c>
      <c r="CK160" s="73">
        <v>326.2</v>
      </c>
      <c r="CL160" s="73">
        <v>2.71</v>
      </c>
      <c r="CM160" s="73">
        <v>7.3719999999999999</v>
      </c>
      <c r="CN160" s="73">
        <v>4.093</v>
      </c>
      <c r="CO160" s="35"/>
      <c r="CP160" s="136">
        <f t="shared" si="43"/>
        <v>261.63632083473993</v>
      </c>
      <c r="CQ160" s="136">
        <f t="shared" si="44"/>
        <v>17.896491530978853</v>
      </c>
      <c r="CR160" s="136">
        <f t="shared" si="53"/>
        <v>99.207309606638759</v>
      </c>
      <c r="CS160" s="136">
        <f t="shared" si="45"/>
        <v>2.4461625845315842</v>
      </c>
      <c r="CT160" s="136">
        <f t="shared" si="46"/>
        <v>14.080461974009326</v>
      </c>
      <c r="CU160" s="136">
        <f t="shared" si="47"/>
        <v>3.2440493222273492</v>
      </c>
      <c r="CV160" s="136">
        <f t="shared" si="48"/>
        <v>13.262804465815565</v>
      </c>
      <c r="CW160" s="136">
        <f t="shared" si="49"/>
        <v>12.311236300111467</v>
      </c>
      <c r="CX160" s="136">
        <f t="shared" si="54"/>
        <v>17.452464638519579</v>
      </c>
      <c r="CY160" s="136">
        <f t="shared" si="50"/>
        <v>13.69183074114409</v>
      </c>
      <c r="CZ160" s="136">
        <f t="shared" si="51"/>
        <v>-3.496766617195592</v>
      </c>
      <c r="DA160" s="136">
        <f t="shared" si="52"/>
        <v>11.420387271702591</v>
      </c>
      <c r="DB160" s="22"/>
      <c r="DC160" s="28">
        <f t="shared" si="38"/>
        <v>86.724999999999994</v>
      </c>
      <c r="DD160" s="28">
        <f t="shared" si="39"/>
        <v>2.7183333333333333</v>
      </c>
      <c r="DE160" s="28">
        <f t="shared" si="40"/>
        <v>40.750866666666667</v>
      </c>
      <c r="DF160" s="28">
        <f t="shared" si="41"/>
        <v>2.4024691358024692</v>
      </c>
      <c r="DG160" s="28">
        <f t="shared" si="42"/>
        <v>0.52521739130434786</v>
      </c>
    </row>
    <row r="161" spans="1:113" s="28" customFormat="1">
      <c r="A161" s="38"/>
      <c r="F161" s="38"/>
      <c r="V161" s="17" t="s">
        <v>460</v>
      </c>
      <c r="W161" s="17" t="s">
        <v>461</v>
      </c>
      <c r="X161" s="48">
        <v>43890</v>
      </c>
      <c r="Y161" s="17">
        <v>0.105629</v>
      </c>
      <c r="Z161" s="17">
        <v>34.699337</v>
      </c>
      <c r="AA161" s="17" t="s">
        <v>359</v>
      </c>
      <c r="AB161" s="17"/>
      <c r="AC161" s="17" t="s">
        <v>347</v>
      </c>
      <c r="AD161" s="14" t="s">
        <v>371</v>
      </c>
      <c r="AE161" s="14" t="s">
        <v>687</v>
      </c>
      <c r="AF161" s="17" t="s">
        <v>673</v>
      </c>
      <c r="AG161" s="17" t="s">
        <v>685</v>
      </c>
      <c r="AH161" s="17" t="s">
        <v>691</v>
      </c>
      <c r="AI161" s="24">
        <v>1.6064257028113533</v>
      </c>
      <c r="AJ161" s="73">
        <v>5.4</v>
      </c>
      <c r="AK161" s="73">
        <v>4.1019999999999994</v>
      </c>
      <c r="AL161" s="73">
        <v>50.6</v>
      </c>
      <c r="AM161" s="73">
        <v>2.2400000000000002</v>
      </c>
      <c r="AN161" s="73">
        <v>6711</v>
      </c>
      <c r="AO161" s="73">
        <v>1803</v>
      </c>
      <c r="AP161" s="73">
        <v>94109</v>
      </c>
      <c r="AQ161" s="73">
        <v>393</v>
      </c>
      <c r="AR161" s="73">
        <v>175</v>
      </c>
      <c r="AS161" s="73">
        <v>18309</v>
      </c>
      <c r="AT161" s="73">
        <v>3820</v>
      </c>
      <c r="AU161" s="73">
        <v>2283.8000000000002</v>
      </c>
      <c r="AV161" s="73">
        <v>136.6</v>
      </c>
      <c r="AW161" s="73">
        <v>213.8</v>
      </c>
      <c r="AX161" s="73">
        <v>1633.9</v>
      </c>
      <c r="AY161" s="73">
        <v>41903</v>
      </c>
      <c r="AZ161" s="73">
        <v>107.761</v>
      </c>
      <c r="BA161" s="73">
        <v>122.3</v>
      </c>
      <c r="BB161" s="73">
        <v>74.87</v>
      </c>
      <c r="BC161" s="73">
        <v>107</v>
      </c>
      <c r="BD161" s="73">
        <v>18.88</v>
      </c>
      <c r="BE161" s="73">
        <v>533</v>
      </c>
      <c r="BF161" s="73">
        <v>0.33</v>
      </c>
      <c r="BG161" s="73">
        <v>74.2</v>
      </c>
      <c r="BH161" s="73">
        <v>160.44</v>
      </c>
      <c r="BI161" s="73">
        <v>38.831000000000003</v>
      </c>
      <c r="BJ161" s="73">
        <v>118.41</v>
      </c>
      <c r="BK161" s="73">
        <v>8.7100000000000009</v>
      </c>
      <c r="BL161" s="73">
        <v>4.5999999999999996</v>
      </c>
      <c r="BM161" s="73">
        <v>0.59699999999999998</v>
      </c>
      <c r="BN161" s="73">
        <v>0.42599999999999999</v>
      </c>
      <c r="BO161" s="73">
        <v>1.65</v>
      </c>
      <c r="BP161" s="73">
        <v>5.8940000000000001</v>
      </c>
      <c r="BQ161" s="73">
        <v>5.0359999999999996</v>
      </c>
      <c r="BR161" s="73">
        <v>366.05</v>
      </c>
      <c r="BS161" s="73">
        <v>59.999000000000002</v>
      </c>
      <c r="BT161" s="73">
        <v>122.729</v>
      </c>
      <c r="BU161" s="73">
        <v>13.46</v>
      </c>
      <c r="BV161" s="73">
        <v>50.82</v>
      </c>
      <c r="BW161" s="73">
        <v>9.5190000000000001</v>
      </c>
      <c r="BX161" s="73">
        <v>2.0390000000000001</v>
      </c>
      <c r="BY161" s="73">
        <v>7.7069999999999999</v>
      </c>
      <c r="BZ161" s="73">
        <v>1.1659999999999999</v>
      </c>
      <c r="CA161" s="73">
        <v>6.5419999999999998</v>
      </c>
      <c r="CB161" s="73">
        <v>1.3660000000000001</v>
      </c>
      <c r="CC161" s="73">
        <v>3.734</v>
      </c>
      <c r="CD161" s="73">
        <v>0.53600000000000003</v>
      </c>
      <c r="CE161" s="73">
        <v>3.169</v>
      </c>
      <c r="CF161" s="73">
        <v>0.47599999999999998</v>
      </c>
      <c r="CG161" s="73">
        <v>3.5369999999999999</v>
      </c>
      <c r="CH161" s="73">
        <v>0.54</v>
      </c>
      <c r="CI161" s="73">
        <v>8.3249999999999993</v>
      </c>
      <c r="CJ161" s="73">
        <v>0.749</v>
      </c>
      <c r="CK161" s="73">
        <v>111.6</v>
      </c>
      <c r="CL161" s="73">
        <v>0.96</v>
      </c>
      <c r="CM161" s="73">
        <v>10.141999999999999</v>
      </c>
      <c r="CN161" s="73">
        <v>5.0640000000000001</v>
      </c>
      <c r="CO161" s="35"/>
      <c r="CP161" s="136">
        <f t="shared" si="43"/>
        <v>65.863024688671743</v>
      </c>
      <c r="CQ161" s="136">
        <f t="shared" si="44"/>
        <v>5.0157845138829558</v>
      </c>
      <c r="CR161" s="136">
        <f t="shared" si="53"/>
        <v>54.538344736502651</v>
      </c>
      <c r="CS161" s="136">
        <f t="shared" si="45"/>
        <v>2.2016126764287081</v>
      </c>
      <c r="CT161" s="136">
        <f t="shared" si="46"/>
        <v>4.0677129864861055</v>
      </c>
      <c r="CU161" s="136">
        <f t="shared" si="47"/>
        <v>3.1867430469726736</v>
      </c>
      <c r="CV161" s="136">
        <f t="shared" si="48"/>
        <v>11.560492063288359</v>
      </c>
      <c r="CW161" s="136">
        <f t="shared" si="49"/>
        <v>10.763816545228771</v>
      </c>
      <c r="CX161" s="136">
        <f t="shared" si="54"/>
        <v>16.876998887514038</v>
      </c>
      <c r="CY161" s="136">
        <f t="shared" si="50"/>
        <v>13.827580884083469</v>
      </c>
      <c r="CZ161" s="136">
        <f t="shared" si="51"/>
        <v>-5.0004617362948327</v>
      </c>
      <c r="DA161" s="136">
        <f t="shared" si="52"/>
        <v>11.682383970995224</v>
      </c>
      <c r="DB161" s="22"/>
      <c r="DC161" s="28">
        <f t="shared" si="38"/>
        <v>26.65</v>
      </c>
      <c r="DD161" s="28">
        <f t="shared" si="39"/>
        <v>0.92999999999999994</v>
      </c>
      <c r="DE161" s="28">
        <f t="shared" si="40"/>
        <v>27.346666666666664</v>
      </c>
      <c r="DF161" s="28">
        <f t="shared" si="41"/>
        <v>2.6395061728395062</v>
      </c>
      <c r="DG161" s="28">
        <f t="shared" si="42"/>
        <v>0.18521739130434783</v>
      </c>
    </row>
    <row r="162" spans="1:113" s="28" customFormat="1">
      <c r="A162" s="38"/>
      <c r="F162" s="38"/>
      <c r="V162" s="17" t="s">
        <v>462</v>
      </c>
      <c r="W162" s="17" t="s">
        <v>461</v>
      </c>
      <c r="X162" s="48">
        <v>43890</v>
      </c>
      <c r="Y162" s="17">
        <v>0.105629</v>
      </c>
      <c r="Z162" s="17">
        <v>34.699337</v>
      </c>
      <c r="AA162" s="17" t="s">
        <v>359</v>
      </c>
      <c r="AB162" s="17"/>
      <c r="AC162" s="17" t="s">
        <v>347</v>
      </c>
      <c r="AD162" s="14" t="s">
        <v>371</v>
      </c>
      <c r="AE162" s="14" t="s">
        <v>687</v>
      </c>
      <c r="AF162" s="17" t="s">
        <v>673</v>
      </c>
      <c r="AG162" s="17" t="s">
        <v>685</v>
      </c>
      <c r="AH162" s="17" t="s">
        <v>691</v>
      </c>
      <c r="AI162" s="24" t="s">
        <v>288</v>
      </c>
      <c r="AJ162" s="73" t="s">
        <v>288</v>
      </c>
      <c r="AK162" s="24" t="s">
        <v>288</v>
      </c>
      <c r="AL162" s="73">
        <v>51</v>
      </c>
      <c r="AM162" s="73">
        <v>1.72</v>
      </c>
      <c r="AN162" s="73">
        <v>6602</v>
      </c>
      <c r="AO162" s="73">
        <v>1758</v>
      </c>
      <c r="AP162" s="73">
        <v>91003</v>
      </c>
      <c r="AQ162" s="73">
        <v>395</v>
      </c>
      <c r="AR162" s="73">
        <v>181</v>
      </c>
      <c r="AS162" s="73">
        <v>18366</v>
      </c>
      <c r="AT162" s="73">
        <v>3968</v>
      </c>
      <c r="AU162" s="73">
        <v>2312.1</v>
      </c>
      <c r="AV162" s="73">
        <v>136.5</v>
      </c>
      <c r="AW162" s="73">
        <v>213.1</v>
      </c>
      <c r="AX162" s="73">
        <v>1605.6</v>
      </c>
      <c r="AY162" s="73">
        <v>41938</v>
      </c>
      <c r="AZ162" s="73">
        <v>106.148</v>
      </c>
      <c r="BA162" s="73">
        <v>124.39</v>
      </c>
      <c r="BB162" s="73">
        <v>74.739999999999995</v>
      </c>
      <c r="BC162" s="73">
        <v>109</v>
      </c>
      <c r="BD162" s="73">
        <v>18.36</v>
      </c>
      <c r="BE162" s="73">
        <v>528.6</v>
      </c>
      <c r="BF162" s="73">
        <v>0.35</v>
      </c>
      <c r="BG162" s="73">
        <v>73.81</v>
      </c>
      <c r="BH162" s="73">
        <v>158.88</v>
      </c>
      <c r="BI162" s="73">
        <v>38.54</v>
      </c>
      <c r="BJ162" s="73">
        <v>117.96</v>
      </c>
      <c r="BK162" s="73">
        <v>8.9529999999999994</v>
      </c>
      <c r="BL162" s="73">
        <v>4.74</v>
      </c>
      <c r="BM162" s="73">
        <v>0.622</v>
      </c>
      <c r="BN162" s="73">
        <v>0.40600000000000003</v>
      </c>
      <c r="BO162" s="73">
        <v>1.74</v>
      </c>
      <c r="BP162" s="73">
        <v>5.7750000000000004</v>
      </c>
      <c r="BQ162" s="73">
        <v>5.157</v>
      </c>
      <c r="BR162" s="73">
        <v>361.84</v>
      </c>
      <c r="BS162" s="73">
        <v>60.451000000000001</v>
      </c>
      <c r="BT162" s="73">
        <v>120.747</v>
      </c>
      <c r="BU162" s="73">
        <v>13.565</v>
      </c>
      <c r="BV162" s="73">
        <v>51.02</v>
      </c>
      <c r="BW162" s="73">
        <v>9.4179999999999993</v>
      </c>
      <c r="BX162" s="73">
        <v>2.0270000000000001</v>
      </c>
      <c r="BY162" s="73">
        <v>7.6769999999999996</v>
      </c>
      <c r="BZ162" s="73">
        <v>1.222</v>
      </c>
      <c r="CA162" s="73">
        <v>6.4279999999999999</v>
      </c>
      <c r="CB162" s="73">
        <v>1.393</v>
      </c>
      <c r="CC162" s="73">
        <v>3.77</v>
      </c>
      <c r="CD162" s="73">
        <v>0.53100000000000003</v>
      </c>
      <c r="CE162" s="73">
        <v>3.274</v>
      </c>
      <c r="CF162" s="73">
        <v>0.501</v>
      </c>
      <c r="CG162" s="73">
        <v>3.6190000000000002</v>
      </c>
      <c r="CH162" s="73">
        <v>0.56399999999999995</v>
      </c>
      <c r="CI162" s="73">
        <v>8.4830000000000005</v>
      </c>
      <c r="CJ162" s="73">
        <v>0.74</v>
      </c>
      <c r="CK162" s="73">
        <v>111.2</v>
      </c>
      <c r="CL162" s="73">
        <v>0.94</v>
      </c>
      <c r="CM162" s="73">
        <v>10.215999999999999</v>
      </c>
      <c r="CN162" s="73">
        <v>5.0999999999999996</v>
      </c>
      <c r="CO162" s="35"/>
      <c r="CP162" s="136">
        <f t="shared" si="43"/>
        <v>65.264801682034829</v>
      </c>
      <c r="CQ162" s="136">
        <f t="shared" si="44"/>
        <v>4.9936357954331303</v>
      </c>
      <c r="CR162" s="136" t="s">
        <v>288</v>
      </c>
      <c r="CS162" s="136">
        <f t="shared" si="45"/>
        <v>2.1925730291401218</v>
      </c>
      <c r="CT162" s="136">
        <f t="shared" si="46"/>
        <v>3.8735051526279056</v>
      </c>
      <c r="CU162" s="136">
        <f t="shared" si="47"/>
        <v>3.2384967030692158</v>
      </c>
      <c r="CV162" s="136">
        <f t="shared" si="48"/>
        <v>11.548532955283392</v>
      </c>
      <c r="CW162" s="136">
        <f t="shared" si="49"/>
        <v>10.758636306123091</v>
      </c>
      <c r="CX162" s="136" t="s">
        <v>288</v>
      </c>
      <c r="CY162" s="136">
        <f t="shared" si="50"/>
        <v>13.822849624145681</v>
      </c>
      <c r="CZ162" s="136">
        <f t="shared" si="51"/>
        <v>-5.0698354393354945</v>
      </c>
      <c r="DA162" s="136">
        <f t="shared" si="52"/>
        <v>11.706830075666758</v>
      </c>
      <c r="DB162" s="22"/>
      <c r="DC162" s="28">
        <f t="shared" si="38"/>
        <v>26.43</v>
      </c>
      <c r="DD162" s="28">
        <f t="shared" si="39"/>
        <v>0.92666666666666664</v>
      </c>
      <c r="DE162" s="28" t="s">
        <v>288</v>
      </c>
      <c r="DF162" s="28">
        <f t="shared" si="41"/>
        <v>2.630864197530864</v>
      </c>
      <c r="DG162" s="28">
        <f t="shared" si="42"/>
        <v>0.17652173913043481</v>
      </c>
    </row>
    <row r="163" spans="1:113" s="28" customFormat="1">
      <c r="A163" s="38"/>
      <c r="F163" s="38"/>
      <c r="V163" s="17" t="s">
        <v>463</v>
      </c>
      <c r="W163" s="17" t="s">
        <v>464</v>
      </c>
      <c r="X163" s="48">
        <v>43891</v>
      </c>
      <c r="Y163" s="17">
        <v>0.10255300000000001</v>
      </c>
      <c r="Z163" s="17">
        <v>34.713514000000004</v>
      </c>
      <c r="AA163" s="17" t="s">
        <v>344</v>
      </c>
      <c r="AB163" s="17"/>
      <c r="AC163" s="17" t="s">
        <v>347</v>
      </c>
      <c r="AD163" s="14" t="s">
        <v>371</v>
      </c>
      <c r="AE163" s="14" t="s">
        <v>687</v>
      </c>
      <c r="AF163" s="17" t="s">
        <v>673</v>
      </c>
      <c r="AG163" s="17" t="s">
        <v>685</v>
      </c>
      <c r="AH163" s="17" t="s">
        <v>691</v>
      </c>
      <c r="AI163" s="24">
        <v>0.69787029238367204</v>
      </c>
      <c r="AJ163" s="73">
        <v>7.65</v>
      </c>
      <c r="AK163" s="73">
        <v>9.3978200000000012</v>
      </c>
      <c r="AL163" s="73">
        <v>25.3</v>
      </c>
      <c r="AM163" s="73">
        <v>1.0900000000000001</v>
      </c>
      <c r="AN163" s="73">
        <v>12097</v>
      </c>
      <c r="AO163" s="73">
        <v>12375</v>
      </c>
      <c r="AP163" s="73">
        <v>83376</v>
      </c>
      <c r="AQ163" s="73">
        <v>897</v>
      </c>
      <c r="AR163" s="73">
        <v>5708</v>
      </c>
      <c r="AS163" s="73">
        <v>25274</v>
      </c>
      <c r="AT163" s="73">
        <v>32851</v>
      </c>
      <c r="AU163" s="73">
        <v>3807.5</v>
      </c>
      <c r="AV163" s="73">
        <v>89.2</v>
      </c>
      <c r="AW163" s="73">
        <v>144.5</v>
      </c>
      <c r="AX163" s="73">
        <v>1018.7</v>
      </c>
      <c r="AY163" s="73">
        <v>31836</v>
      </c>
      <c r="AZ163" s="73">
        <v>19.893000000000001</v>
      </c>
      <c r="BA163" s="73">
        <v>65.41</v>
      </c>
      <c r="BB163" s="73">
        <v>21.51</v>
      </c>
      <c r="BC163" s="73">
        <v>87</v>
      </c>
      <c r="BD163" s="73">
        <v>15.44</v>
      </c>
      <c r="BE163" s="73">
        <v>6462.7</v>
      </c>
      <c r="BF163" s="73">
        <v>0.14000000000000001</v>
      </c>
      <c r="BG163" s="73">
        <v>70.790000000000006</v>
      </c>
      <c r="BH163" s="73">
        <v>340.86</v>
      </c>
      <c r="BI163" s="73">
        <v>10.077999999999999</v>
      </c>
      <c r="BJ163" s="73">
        <v>52.98</v>
      </c>
      <c r="BK163" s="73">
        <v>5.0469999999999997</v>
      </c>
      <c r="BL163" s="73">
        <v>0.77</v>
      </c>
      <c r="BM163" s="73">
        <v>1.7749999999999999</v>
      </c>
      <c r="BN163" s="73">
        <v>0.52200000000000002</v>
      </c>
      <c r="BO163" s="73">
        <v>1</v>
      </c>
      <c r="BP163" s="73">
        <v>2.6379999999999999</v>
      </c>
      <c r="BQ163" s="73">
        <v>2.746</v>
      </c>
      <c r="BR163" s="73">
        <v>552.15</v>
      </c>
      <c r="BS163" s="73">
        <v>20.541</v>
      </c>
      <c r="BT163" s="73">
        <v>50.18</v>
      </c>
      <c r="BU163" s="73">
        <v>6.2270000000000003</v>
      </c>
      <c r="BV163" s="73">
        <v>26.02</v>
      </c>
      <c r="BW163" s="73">
        <v>4.9710000000000001</v>
      </c>
      <c r="BX163" s="73">
        <v>1.387</v>
      </c>
      <c r="BY163" s="73">
        <v>3.4510000000000001</v>
      </c>
      <c r="BZ163" s="73">
        <v>0.46300000000000002</v>
      </c>
      <c r="CA163" s="73">
        <v>2.2080000000000002</v>
      </c>
      <c r="CB163" s="73">
        <v>0.39700000000000002</v>
      </c>
      <c r="CC163" s="73">
        <v>0.93300000000000005</v>
      </c>
      <c r="CD163" s="73">
        <v>0.125</v>
      </c>
      <c r="CE163" s="73">
        <v>0.70499999999999996</v>
      </c>
      <c r="CF163" s="73">
        <v>9.4E-2</v>
      </c>
      <c r="CG163" s="73">
        <v>1.5620000000000001</v>
      </c>
      <c r="CH163" s="73">
        <v>0.30399999999999999</v>
      </c>
      <c r="CI163" s="73">
        <v>4.6539999999999999</v>
      </c>
      <c r="CJ163" s="73">
        <v>0.42</v>
      </c>
      <c r="CK163" s="73">
        <v>65.8</v>
      </c>
      <c r="CL163" s="73">
        <v>2.91</v>
      </c>
      <c r="CM163" s="73">
        <v>1.8440000000000001</v>
      </c>
      <c r="CN163" s="73">
        <v>0.65</v>
      </c>
      <c r="CO163" s="35"/>
      <c r="CP163" s="136">
        <f t="shared" si="43"/>
        <v>1051.1267282506669</v>
      </c>
      <c r="CQ163" s="136">
        <f t="shared" si="44"/>
        <v>3.8924871733788859</v>
      </c>
      <c r="CR163" s="136">
        <f t="shared" si="53"/>
        <v>164.45990694596199</v>
      </c>
      <c r="CS163" s="136">
        <f t="shared" si="45"/>
        <v>1.9585185272437915</v>
      </c>
      <c r="CT163" s="136">
        <f t="shared" si="46"/>
        <v>6.5605133982112873</v>
      </c>
      <c r="CU163" s="136">
        <f t="shared" si="47"/>
        <v>2.243320680030056</v>
      </c>
      <c r="CV163" s="136">
        <f t="shared" si="48"/>
        <v>15.160421648130402</v>
      </c>
      <c r="CW163" s="136">
        <f t="shared" si="49"/>
        <v>10.001639007134825</v>
      </c>
      <c r="CX163" s="136">
        <f t="shared" si="54"/>
        <v>18.072997531216291</v>
      </c>
      <c r="CY163" s="136">
        <f t="shared" si="50"/>
        <v>13.262388523751017</v>
      </c>
      <c r="CZ163" s="136">
        <f t="shared" si="51"/>
        <v>-4.7072653599507861</v>
      </c>
      <c r="DA163" s="136">
        <f t="shared" si="52"/>
        <v>10.779542686674535</v>
      </c>
      <c r="DB163" s="22"/>
      <c r="DC163" s="28">
        <f t="shared" si="38"/>
        <v>323.13499999999999</v>
      </c>
      <c r="DD163" s="28">
        <f t="shared" si="39"/>
        <v>0.54833333333333334</v>
      </c>
      <c r="DE163" s="28">
        <f t="shared" si="40"/>
        <v>62.652133333333346</v>
      </c>
      <c r="DF163" s="28">
        <f t="shared" si="41"/>
        <v>1.7839506172839505</v>
      </c>
      <c r="DG163" s="28">
        <f t="shared" si="42"/>
        <v>0.22695652173913047</v>
      </c>
    </row>
    <row r="164" spans="1:113" s="28" customFormat="1">
      <c r="A164" s="38"/>
      <c r="F164" s="38"/>
      <c r="V164" s="17" t="s">
        <v>465</v>
      </c>
      <c r="W164" s="17" t="s">
        <v>466</v>
      </c>
      <c r="X164" s="48">
        <v>43891</v>
      </c>
      <c r="Y164" s="17">
        <v>0.15733900000000001</v>
      </c>
      <c r="Z164" s="17">
        <v>34.817802</v>
      </c>
      <c r="AA164" s="17" t="s">
        <v>679</v>
      </c>
      <c r="AB164" s="17"/>
      <c r="AC164" s="17" t="s">
        <v>347</v>
      </c>
      <c r="AD164" s="14" t="s">
        <v>371</v>
      </c>
      <c r="AE164" s="14" t="s">
        <v>687</v>
      </c>
      <c r="AF164" s="17" t="s">
        <v>675</v>
      </c>
      <c r="AG164" s="17" t="s">
        <v>684</v>
      </c>
      <c r="AH164" s="17" t="s">
        <v>683</v>
      </c>
      <c r="AI164" s="24">
        <v>0.47403349836723541</v>
      </c>
      <c r="AJ164" s="73">
        <v>5.93</v>
      </c>
      <c r="AK164" s="73">
        <v>3.643005</v>
      </c>
      <c r="AL164" s="73">
        <v>9.4</v>
      </c>
      <c r="AM164" s="73">
        <v>0.49</v>
      </c>
      <c r="AN164" s="73">
        <v>2653</v>
      </c>
      <c r="AO164" s="73">
        <v>1295</v>
      </c>
      <c r="AP164" s="73">
        <v>25495</v>
      </c>
      <c r="AQ164" s="73">
        <v>98</v>
      </c>
      <c r="AR164" s="73">
        <v>382</v>
      </c>
      <c r="AS164" s="73">
        <v>8434</v>
      </c>
      <c r="AT164" s="73">
        <v>1521</v>
      </c>
      <c r="AU164" s="73">
        <v>913.2</v>
      </c>
      <c r="AV164" s="73">
        <v>23.7</v>
      </c>
      <c r="AW164" s="73">
        <v>51.6</v>
      </c>
      <c r="AX164" s="73">
        <v>159.5</v>
      </c>
      <c r="AY164" s="73">
        <v>10716</v>
      </c>
      <c r="AZ164" s="73">
        <v>9.7769999999999992</v>
      </c>
      <c r="BA164" s="73">
        <v>11.44</v>
      </c>
      <c r="BB164" s="73">
        <v>8.83</v>
      </c>
      <c r="BC164" s="73">
        <v>21</v>
      </c>
      <c r="BD164" s="73">
        <v>5.16</v>
      </c>
      <c r="BE164" s="73">
        <v>169.6</v>
      </c>
      <c r="BF164" s="73">
        <v>0.1</v>
      </c>
      <c r="BG164" s="73">
        <v>33.14</v>
      </c>
      <c r="BH164" s="73">
        <v>33.950000000000003</v>
      </c>
      <c r="BI164" s="73">
        <v>4.7409999999999997</v>
      </c>
      <c r="BJ164" s="73">
        <v>48.7</v>
      </c>
      <c r="BK164" s="73">
        <v>5.8979999999999997</v>
      </c>
      <c r="BL164" s="73">
        <v>0.83</v>
      </c>
      <c r="BM164" s="73">
        <v>0.78700000000000003</v>
      </c>
      <c r="BN164" s="73">
        <v>5.3999999999999999E-2</v>
      </c>
      <c r="BO164" s="73">
        <v>0.56999999999999995</v>
      </c>
      <c r="BP164" s="73">
        <v>0.64600000000000002</v>
      </c>
      <c r="BQ164" s="73">
        <v>1.232</v>
      </c>
      <c r="BR164" s="73">
        <v>224.36</v>
      </c>
      <c r="BS164" s="73">
        <v>14.59</v>
      </c>
      <c r="BT164" s="73">
        <v>35.265999999999998</v>
      </c>
      <c r="BU164" s="73">
        <v>2.91</v>
      </c>
      <c r="BV164" s="73">
        <v>10.19</v>
      </c>
      <c r="BW164" s="73">
        <v>1.8049999999999999</v>
      </c>
      <c r="BX164" s="73">
        <v>0.32500000000000001</v>
      </c>
      <c r="BY164" s="73">
        <v>1.272</v>
      </c>
      <c r="BZ164" s="73">
        <v>0.185</v>
      </c>
      <c r="CA164" s="73">
        <v>0.93600000000000005</v>
      </c>
      <c r="CB164" s="73">
        <v>0.191</v>
      </c>
      <c r="CC164" s="73">
        <v>0.52700000000000002</v>
      </c>
      <c r="CD164" s="73">
        <v>7.8E-2</v>
      </c>
      <c r="CE164" s="73">
        <v>0.56599999999999995</v>
      </c>
      <c r="CF164" s="73">
        <v>0.09</v>
      </c>
      <c r="CG164" s="73">
        <v>1.472</v>
      </c>
      <c r="CH164" s="73">
        <v>0.41799999999999998</v>
      </c>
      <c r="CI164" s="73">
        <v>2.3860000000000001</v>
      </c>
      <c r="CJ164" s="73">
        <v>0.23200000000000001</v>
      </c>
      <c r="CK164" s="73">
        <v>15.4</v>
      </c>
      <c r="CL164" s="73">
        <v>0.57999999999999996</v>
      </c>
      <c r="CM164" s="73">
        <v>6.3479999999999999</v>
      </c>
      <c r="CN164" s="73">
        <v>1.4239999999999999</v>
      </c>
      <c r="CO164" s="35"/>
      <c r="CP164" s="136">
        <f t="shared" si="43"/>
        <v>81.9507103177217</v>
      </c>
      <c r="CQ164" s="136">
        <f t="shared" si="44"/>
        <v>2.7064986104861934</v>
      </c>
      <c r="CR164" s="136">
        <f t="shared" si="53"/>
        <v>189.39934643305173</v>
      </c>
      <c r="CS164" s="136">
        <f t="shared" si="45"/>
        <v>2.0777597545177087</v>
      </c>
      <c r="CT164" s="136">
        <f t="shared" si="46"/>
        <v>2.0162615799653874</v>
      </c>
      <c r="CU164" s="136">
        <f t="shared" si="47"/>
        <v>1.1656254638718648</v>
      </c>
      <c r="CV164" s="136">
        <f t="shared" si="48"/>
        <v>9.90849270020502</v>
      </c>
      <c r="CW164" s="136">
        <f t="shared" si="49"/>
        <v>7.9064817740944831</v>
      </c>
      <c r="CX164" s="136">
        <f t="shared" si="54"/>
        <v>16.705800370867621</v>
      </c>
      <c r="CY164" s="136">
        <f t="shared" si="50"/>
        <v>11.77676200178623</v>
      </c>
      <c r="CZ164" s="136">
        <f t="shared" si="51"/>
        <v>-7.9802838543572028</v>
      </c>
      <c r="DA164" s="136">
        <f t="shared" si="52"/>
        <v>8.2641185243588637</v>
      </c>
      <c r="DB164" s="22"/>
      <c r="DC164" s="28">
        <f t="shared" si="38"/>
        <v>8.48</v>
      </c>
      <c r="DD164" s="28">
        <f t="shared" si="39"/>
        <v>0.12833333333333333</v>
      </c>
      <c r="DE164" s="28">
        <f t="shared" si="40"/>
        <v>24.2867</v>
      </c>
      <c r="DF164" s="28">
        <f t="shared" si="41"/>
        <v>0.63703703703703707</v>
      </c>
      <c r="DG164" s="28">
        <f t="shared" si="42"/>
        <v>2.3478260869565219E-2</v>
      </c>
    </row>
    <row r="165" spans="1:113" s="28" customFormat="1">
      <c r="A165" s="38"/>
      <c r="F165" s="38"/>
      <c r="V165" s="17" t="s">
        <v>467</v>
      </c>
      <c r="W165" s="17" t="s">
        <v>468</v>
      </c>
      <c r="X165" s="15" t="s">
        <v>342</v>
      </c>
      <c r="Y165" s="17">
        <v>0.15733900000000001</v>
      </c>
      <c r="Z165" s="17">
        <v>34.817802</v>
      </c>
      <c r="AA165" s="17" t="s">
        <v>679</v>
      </c>
      <c r="AB165" s="17" t="s">
        <v>334</v>
      </c>
      <c r="AC165" s="6" t="s">
        <v>347</v>
      </c>
      <c r="AD165" s="14" t="s">
        <v>371</v>
      </c>
      <c r="AE165" s="14" t="s">
        <v>687</v>
      </c>
      <c r="AF165" s="17" t="s">
        <v>673</v>
      </c>
      <c r="AG165" s="17" t="s">
        <v>685</v>
      </c>
      <c r="AH165" s="17" t="s">
        <v>691</v>
      </c>
      <c r="AI165" s="24">
        <v>0.63539129513927939</v>
      </c>
      <c r="AJ165" s="73">
        <v>7.41</v>
      </c>
      <c r="AK165" s="73">
        <v>1.09558</v>
      </c>
      <c r="AL165" s="73">
        <v>7.3</v>
      </c>
      <c r="AM165" s="73">
        <v>0.39</v>
      </c>
      <c r="AN165" s="73">
        <v>2808</v>
      </c>
      <c r="AO165" s="73">
        <v>1240</v>
      </c>
      <c r="AP165" s="73">
        <v>18309</v>
      </c>
      <c r="AQ165" s="73">
        <v>84</v>
      </c>
      <c r="AR165" s="73">
        <v>699</v>
      </c>
      <c r="AS165" s="73">
        <v>4947</v>
      </c>
      <c r="AT165" s="73">
        <v>1876</v>
      </c>
      <c r="AU165" s="73">
        <v>524.29999999999995</v>
      </c>
      <c r="AV165" s="73">
        <v>21.1</v>
      </c>
      <c r="AW165" s="73">
        <v>103.2</v>
      </c>
      <c r="AX165" s="73">
        <v>227.6</v>
      </c>
      <c r="AY165" s="73">
        <v>11292</v>
      </c>
      <c r="AZ165" s="73">
        <v>8.5760000000000005</v>
      </c>
      <c r="BA165" s="73">
        <v>10.87</v>
      </c>
      <c r="BB165" s="73">
        <v>11.96</v>
      </c>
      <c r="BC165" s="73">
        <v>30</v>
      </c>
      <c r="BD165" s="73">
        <v>3.89</v>
      </c>
      <c r="BE165" s="73">
        <v>343</v>
      </c>
      <c r="BF165" s="73">
        <v>0.21</v>
      </c>
      <c r="BG165" s="73">
        <v>19.239999999999998</v>
      </c>
      <c r="BH165" s="73">
        <v>25.55</v>
      </c>
      <c r="BI165" s="73">
        <v>3.8580000000000001</v>
      </c>
      <c r="BJ165" s="73">
        <v>28.1</v>
      </c>
      <c r="BK165" s="73">
        <v>3.1110000000000002</v>
      </c>
      <c r="BL165" s="73">
        <v>1.01</v>
      </c>
      <c r="BM165" s="73">
        <v>0.40899999999999997</v>
      </c>
      <c r="BN165" s="73">
        <v>0.1</v>
      </c>
      <c r="BO165" s="73">
        <v>0.43</v>
      </c>
      <c r="BP165" s="73">
        <v>0.77200000000000002</v>
      </c>
      <c r="BQ165" s="73">
        <v>0.84899999999999998</v>
      </c>
      <c r="BR165" s="73">
        <v>145.11000000000001</v>
      </c>
      <c r="BS165" s="73">
        <v>11.125999999999999</v>
      </c>
      <c r="BT165" s="73">
        <v>25.094999999999999</v>
      </c>
      <c r="BU165" s="73">
        <v>2.2050000000000001</v>
      </c>
      <c r="BV165" s="73">
        <v>7.55</v>
      </c>
      <c r="BW165" s="73">
        <v>1.264</v>
      </c>
      <c r="BX165" s="73">
        <v>0.26700000000000002</v>
      </c>
      <c r="BY165" s="73">
        <v>0.91500000000000004</v>
      </c>
      <c r="BZ165" s="73">
        <v>0.13500000000000001</v>
      </c>
      <c r="CA165" s="73">
        <v>0.753</v>
      </c>
      <c r="CB165" s="73">
        <v>0.14399999999999999</v>
      </c>
      <c r="CC165" s="73">
        <v>0.45300000000000001</v>
      </c>
      <c r="CD165" s="73">
        <v>6.4000000000000001E-2</v>
      </c>
      <c r="CE165" s="73">
        <v>0.42399999999999999</v>
      </c>
      <c r="CF165" s="73">
        <v>7.1999999999999995E-2</v>
      </c>
      <c r="CG165" s="73">
        <v>0.83099999999999996</v>
      </c>
      <c r="CH165" s="73">
        <v>0.189</v>
      </c>
      <c r="CI165" s="73">
        <v>2.1379999999999999</v>
      </c>
      <c r="CJ165" s="73">
        <v>0.16500000000000001</v>
      </c>
      <c r="CK165" s="73">
        <v>17.399999999999999</v>
      </c>
      <c r="CL165" s="73">
        <v>0.6</v>
      </c>
      <c r="CM165" s="73">
        <v>3.3730000000000002</v>
      </c>
      <c r="CN165" s="73">
        <v>0.98399999999999999</v>
      </c>
      <c r="CO165" s="35"/>
      <c r="CP165" s="136">
        <f t="shared" si="43"/>
        <v>157.28337865433102</v>
      </c>
      <c r="CQ165" s="136">
        <f t="shared" si="44"/>
        <v>2.9020051002288643</v>
      </c>
      <c r="CR165" s="136">
        <f t="shared" si="53"/>
        <v>54.053602018007595</v>
      </c>
      <c r="CS165" s="136">
        <f t="shared" si="45"/>
        <v>3.9435482694671919</v>
      </c>
      <c r="CT165" s="136">
        <f t="shared" si="46"/>
        <v>3.5433573245741159</v>
      </c>
      <c r="CU165" s="136">
        <f t="shared" si="47"/>
        <v>1.0510524319010839</v>
      </c>
      <c r="CV165" s="136">
        <f t="shared" si="48"/>
        <v>10.924565106701996</v>
      </c>
      <c r="CW165" s="136">
        <f t="shared" si="49"/>
        <v>8.0826387292483108</v>
      </c>
      <c r="CX165" s="136">
        <f t="shared" si="54"/>
        <v>14.972366230448236</v>
      </c>
      <c r="CY165" s="136">
        <f t="shared" si="50"/>
        <v>12.776762001786231</v>
      </c>
      <c r="CZ165" s="136">
        <f t="shared" si="51"/>
        <v>-7.0913151667459458</v>
      </c>
      <c r="DA165" s="136">
        <f t="shared" si="52"/>
        <v>8.1903834126077832</v>
      </c>
      <c r="DB165" s="22"/>
      <c r="DC165" s="28">
        <f t="shared" si="38"/>
        <v>17.149999999999999</v>
      </c>
      <c r="DD165" s="28">
        <f t="shared" si="39"/>
        <v>0.14499999999999999</v>
      </c>
      <c r="DE165" s="28">
        <f t="shared" si="40"/>
        <v>7.303866666666667</v>
      </c>
      <c r="DF165" s="28">
        <f t="shared" si="41"/>
        <v>1.2740740740740741</v>
      </c>
      <c r="DG165" s="28">
        <f t="shared" si="42"/>
        <v>4.3478260869565223E-2</v>
      </c>
    </row>
    <row r="166" spans="1:113" s="28" customFormat="1">
      <c r="A166" s="38"/>
      <c r="F166" s="38"/>
      <c r="V166" s="17" t="s">
        <v>469</v>
      </c>
      <c r="W166" s="17" t="s">
        <v>470</v>
      </c>
      <c r="X166" s="15" t="s">
        <v>342</v>
      </c>
      <c r="Y166" s="17">
        <v>0.156809</v>
      </c>
      <c r="Z166" s="17">
        <v>34.818221000000001</v>
      </c>
      <c r="AA166" s="17" t="s">
        <v>679</v>
      </c>
      <c r="AB166" s="17" t="s">
        <v>334</v>
      </c>
      <c r="AC166" s="17" t="s">
        <v>347</v>
      </c>
      <c r="AD166" s="14" t="s">
        <v>371</v>
      </c>
      <c r="AE166" s="14" t="s">
        <v>687</v>
      </c>
      <c r="AF166" s="17" t="s">
        <v>673</v>
      </c>
      <c r="AG166" s="17" t="s">
        <v>685</v>
      </c>
      <c r="AH166" s="17" t="s">
        <v>691</v>
      </c>
      <c r="AI166" s="24">
        <v>1.9840150446638962</v>
      </c>
      <c r="AJ166" s="73">
        <v>6.61</v>
      </c>
      <c r="AK166" s="73">
        <v>6.1019500000000004</v>
      </c>
      <c r="AL166" s="73">
        <v>13</v>
      </c>
      <c r="AM166" s="73">
        <v>0.85</v>
      </c>
      <c r="AN166" s="73">
        <v>3602</v>
      </c>
      <c r="AO166" s="73">
        <v>2404</v>
      </c>
      <c r="AP166" s="73">
        <v>38667</v>
      </c>
      <c r="AQ166" s="73">
        <v>155</v>
      </c>
      <c r="AR166" s="73">
        <v>1995</v>
      </c>
      <c r="AS166" s="73">
        <v>10230</v>
      </c>
      <c r="AT166" s="73">
        <v>2216</v>
      </c>
      <c r="AU166" s="73">
        <v>1120.5999999999999</v>
      </c>
      <c r="AV166" s="73">
        <v>37</v>
      </c>
      <c r="AW166" s="73">
        <v>173.3</v>
      </c>
      <c r="AX166" s="73">
        <v>226.1</v>
      </c>
      <c r="AY166" s="73">
        <v>16867</v>
      </c>
      <c r="AZ166" s="73">
        <v>11.49</v>
      </c>
      <c r="BA166" s="73">
        <v>18.05</v>
      </c>
      <c r="BB166" s="73">
        <v>18</v>
      </c>
      <c r="BC166" s="73">
        <v>43</v>
      </c>
      <c r="BD166" s="73">
        <v>8.2799999999999994</v>
      </c>
      <c r="BE166" s="73">
        <v>765.8</v>
      </c>
      <c r="BF166" s="73">
        <v>0.4</v>
      </c>
      <c r="BG166" s="73">
        <v>42.35</v>
      </c>
      <c r="BH166" s="73">
        <v>34.44</v>
      </c>
      <c r="BI166" s="73">
        <v>6.7990000000000004</v>
      </c>
      <c r="BJ166" s="73">
        <v>61.45</v>
      </c>
      <c r="BK166" s="73">
        <v>8.3209999999999997</v>
      </c>
      <c r="BL166" s="73">
        <v>1.58</v>
      </c>
      <c r="BM166" s="73">
        <v>1.0409999999999999</v>
      </c>
      <c r="BN166" s="73">
        <v>0.185</v>
      </c>
      <c r="BO166" s="73">
        <v>0.9</v>
      </c>
      <c r="BP166" s="73">
        <v>1.5269999999999999</v>
      </c>
      <c r="BQ166" s="73">
        <v>1.863</v>
      </c>
      <c r="BR166" s="73">
        <v>285.63</v>
      </c>
      <c r="BS166" s="73">
        <v>20.149000000000001</v>
      </c>
      <c r="BT166" s="73">
        <v>41.087000000000003</v>
      </c>
      <c r="BU166" s="73">
        <v>3.8079999999999998</v>
      </c>
      <c r="BV166" s="73">
        <v>13.34</v>
      </c>
      <c r="BW166" s="73">
        <v>2.2810000000000001</v>
      </c>
      <c r="BX166" s="73">
        <v>0.48899999999999999</v>
      </c>
      <c r="BY166" s="73">
        <v>1.6459999999999999</v>
      </c>
      <c r="BZ166" s="73">
        <v>0.23899999999999999</v>
      </c>
      <c r="CA166" s="73">
        <v>1.321</v>
      </c>
      <c r="CB166" s="73">
        <v>0.28499999999999998</v>
      </c>
      <c r="CC166" s="73">
        <v>0.748</v>
      </c>
      <c r="CD166" s="73">
        <v>0.12</v>
      </c>
      <c r="CE166" s="73">
        <v>0.79900000000000004</v>
      </c>
      <c r="CF166" s="73">
        <v>0.122</v>
      </c>
      <c r="CG166" s="73">
        <v>1.913</v>
      </c>
      <c r="CH166" s="73">
        <v>0.51400000000000001</v>
      </c>
      <c r="CI166" s="73">
        <v>3.69</v>
      </c>
      <c r="CJ166" s="73">
        <v>0.33900000000000002</v>
      </c>
      <c r="CK166" s="73">
        <v>42.6</v>
      </c>
      <c r="CL166" s="73">
        <v>1.42</v>
      </c>
      <c r="CM166" s="73">
        <v>7.5250000000000004</v>
      </c>
      <c r="CN166" s="73">
        <v>2.1640000000000001</v>
      </c>
      <c r="CO166" s="35"/>
      <c r="CP166" s="136">
        <f t="shared" si="43"/>
        <v>235.09159165652386</v>
      </c>
      <c r="CQ166" s="136">
        <f t="shared" si="44"/>
        <v>4.756544309162531</v>
      </c>
      <c r="CR166" s="136">
        <f t="shared" si="53"/>
        <v>201.54972661207228</v>
      </c>
      <c r="CS166" s="136">
        <f t="shared" si="45"/>
        <v>4.4334217848519621</v>
      </c>
      <c r="CT166" s="136">
        <f t="shared" si="46"/>
        <v>4.3885363835784776</v>
      </c>
      <c r="CU166" s="136">
        <f t="shared" si="47"/>
        <v>1.1684363734563976</v>
      </c>
      <c r="CV166" s="136">
        <f t="shared" si="48"/>
        <v>12.083324190491982</v>
      </c>
      <c r="CW166" s="136">
        <f t="shared" si="49"/>
        <v>9.3744048536254212</v>
      </c>
      <c r="CX166" s="136">
        <f t="shared" si="54"/>
        <v>17.449941754071119</v>
      </c>
      <c r="CY166" s="136">
        <f t="shared" si="50"/>
        <v>13.524590685523147</v>
      </c>
      <c r="CZ166" s="136">
        <f t="shared" si="51"/>
        <v>-6.2037898960043583</v>
      </c>
      <c r="DA166" s="136">
        <f t="shared" si="52"/>
        <v>8.9220303093550068</v>
      </c>
      <c r="DB166" s="22"/>
      <c r="DC166" s="28">
        <f t="shared" si="38"/>
        <v>38.29</v>
      </c>
      <c r="DD166" s="28">
        <f t="shared" si="39"/>
        <v>0.35500000000000004</v>
      </c>
      <c r="DE166" s="28">
        <f t="shared" si="40"/>
        <v>40.67966666666667</v>
      </c>
      <c r="DF166" s="28">
        <f t="shared" si="41"/>
        <v>2.1395061728395062</v>
      </c>
      <c r="DG166" s="28">
        <f t="shared" si="42"/>
        <v>8.043478260869566E-2</v>
      </c>
    </row>
    <row r="167" spans="1:113" s="28" customFormat="1" ht="12" customHeight="1">
      <c r="A167" s="38"/>
      <c r="F167" s="38"/>
      <c r="V167" s="17" t="s">
        <v>471</v>
      </c>
      <c r="W167" s="17" t="s">
        <v>472</v>
      </c>
      <c r="X167" s="15" t="s">
        <v>342</v>
      </c>
      <c r="Y167" s="17">
        <v>0.156392</v>
      </c>
      <c r="Z167" s="17">
        <v>34.817486000000002</v>
      </c>
      <c r="AA167" s="17" t="s">
        <v>679</v>
      </c>
      <c r="AB167" s="17" t="s">
        <v>334</v>
      </c>
      <c r="AC167" s="17" t="s">
        <v>347</v>
      </c>
      <c r="AD167" s="14" t="s">
        <v>371</v>
      </c>
      <c r="AE167" s="14" t="s">
        <v>687</v>
      </c>
      <c r="AF167" s="17" t="s">
        <v>673</v>
      </c>
      <c r="AG167" s="17" t="s">
        <v>685</v>
      </c>
      <c r="AH167" s="17" t="s">
        <v>691</v>
      </c>
      <c r="AI167" s="24">
        <v>0.24903780846750892</v>
      </c>
      <c r="AJ167" s="73">
        <v>7.5</v>
      </c>
      <c r="AK167" s="73">
        <v>0.72155999999999998</v>
      </c>
      <c r="AL167" s="73">
        <v>6</v>
      </c>
      <c r="AM167" s="73">
        <v>0.22</v>
      </c>
      <c r="AN167" s="73">
        <v>3809</v>
      </c>
      <c r="AO167" s="73">
        <v>1229</v>
      </c>
      <c r="AP167" s="73">
        <v>14554</v>
      </c>
      <c r="AQ167" s="73">
        <v>48</v>
      </c>
      <c r="AR167" s="73">
        <v>705</v>
      </c>
      <c r="AS167" s="73">
        <v>4791</v>
      </c>
      <c r="AT167" s="73">
        <v>2310</v>
      </c>
      <c r="AU167" s="73">
        <v>337.3</v>
      </c>
      <c r="AV167" s="73">
        <v>7.7</v>
      </c>
      <c r="AW167" s="73">
        <v>57.6</v>
      </c>
      <c r="AX167" s="73">
        <v>49.1</v>
      </c>
      <c r="AY167" s="73">
        <v>3632</v>
      </c>
      <c r="AZ167" s="73">
        <v>1.43</v>
      </c>
      <c r="BA167" s="73">
        <v>3.15</v>
      </c>
      <c r="BB167" s="73">
        <v>4.8499999999999996</v>
      </c>
      <c r="BC167" s="73">
        <v>12</v>
      </c>
      <c r="BD167" s="73">
        <v>2.54</v>
      </c>
      <c r="BE167" s="73">
        <v>381.7</v>
      </c>
      <c r="BF167" s="73">
        <v>0.05</v>
      </c>
      <c r="BG167" s="73">
        <v>18.97</v>
      </c>
      <c r="BH167" s="73">
        <v>30.97</v>
      </c>
      <c r="BI167" s="73">
        <v>2.4220000000000002</v>
      </c>
      <c r="BJ167" s="73">
        <v>17.02</v>
      </c>
      <c r="BK167" s="73">
        <v>1.129</v>
      </c>
      <c r="BL167" s="73">
        <v>0.55000000000000004</v>
      </c>
      <c r="BM167" s="73">
        <v>0.26300000000000001</v>
      </c>
      <c r="BN167" s="73">
        <v>5.6000000000000001E-2</v>
      </c>
      <c r="BO167" s="73">
        <v>0.28999999999999998</v>
      </c>
      <c r="BP167" s="73">
        <v>0.77100000000000002</v>
      </c>
      <c r="BQ167" s="73">
        <v>0.78800000000000003</v>
      </c>
      <c r="BR167" s="73">
        <v>125.97</v>
      </c>
      <c r="BS167" s="73">
        <v>9.3239999999999998</v>
      </c>
      <c r="BT167" s="73">
        <v>16.888000000000002</v>
      </c>
      <c r="BU167" s="73">
        <v>1.7889999999999999</v>
      </c>
      <c r="BV167" s="73">
        <v>6.07</v>
      </c>
      <c r="BW167" s="73">
        <v>0.89900000000000002</v>
      </c>
      <c r="BX167" s="73">
        <v>0.188</v>
      </c>
      <c r="BY167" s="73">
        <v>0.60399999999999998</v>
      </c>
      <c r="BZ167" s="73">
        <v>8.8999999999999996E-2</v>
      </c>
      <c r="CA167" s="73">
        <v>0.441</v>
      </c>
      <c r="CB167" s="73">
        <v>9.0999999999999998E-2</v>
      </c>
      <c r="CC167" s="73">
        <v>0.24199999999999999</v>
      </c>
      <c r="CD167" s="73">
        <v>3.9E-2</v>
      </c>
      <c r="CE167" s="73">
        <v>0.23</v>
      </c>
      <c r="CF167" s="73">
        <v>3.7999999999999999E-2</v>
      </c>
      <c r="CG167" s="73">
        <v>0.54300000000000004</v>
      </c>
      <c r="CH167" s="73">
        <v>8.8999999999999996E-2</v>
      </c>
      <c r="CI167" s="73">
        <v>1.4079999999999999</v>
      </c>
      <c r="CJ167" s="73">
        <v>0.13500000000000001</v>
      </c>
      <c r="CK167" s="73">
        <v>17.5</v>
      </c>
      <c r="CL167" s="73">
        <v>0.9</v>
      </c>
      <c r="CM167" s="73">
        <v>3.2829999999999999</v>
      </c>
      <c r="CN167" s="73">
        <v>0.82599999999999996</v>
      </c>
      <c r="CO167" s="35"/>
      <c r="CP167" s="136">
        <f t="shared" si="43"/>
        <v>544.17163368100546</v>
      </c>
      <c r="CQ167" s="136">
        <f t="shared" si="44"/>
        <v>9.0742763534898288</v>
      </c>
      <c r="CR167" s="136">
        <f t="shared" si="53"/>
        <v>110.68226136870574</v>
      </c>
      <c r="CS167" s="136">
        <f t="shared" si="45"/>
        <v>6.8431329359937818</v>
      </c>
      <c r="CT167" s="136">
        <f t="shared" si="46"/>
        <v>6.1691880256307581</v>
      </c>
      <c r="CU167" s="136">
        <f t="shared" si="47"/>
        <v>0.94695735322724639</v>
      </c>
      <c r="CV167" s="136">
        <f t="shared" si="48"/>
        <v>11.078795716857378</v>
      </c>
      <c r="CW167" s="136">
        <f t="shared" si="49"/>
        <v>8.090906345231911</v>
      </c>
      <c r="CX167" s="136">
        <f t="shared" si="54"/>
        <v>14.369862665176685</v>
      </c>
      <c r="CY167" s="136">
        <f t="shared" si="50"/>
        <v>11.93545974780529</v>
      </c>
      <c r="CZ167" s="136">
        <f t="shared" si="51"/>
        <v>-7.9278164344630664</v>
      </c>
      <c r="DA167" s="136">
        <f t="shared" si="52"/>
        <v>6.4034552059677532</v>
      </c>
      <c r="DB167" s="22"/>
      <c r="DC167" s="28">
        <f t="shared" si="38"/>
        <v>19.085000000000001</v>
      </c>
      <c r="DD167" s="28">
        <f t="shared" si="39"/>
        <v>0.14583333333333334</v>
      </c>
      <c r="DE167" s="28">
        <f t="shared" si="40"/>
        <v>4.8104000000000005</v>
      </c>
      <c r="DF167" s="28">
        <f t="shared" si="41"/>
        <v>0.71111111111111114</v>
      </c>
      <c r="DG167" s="28">
        <f t="shared" si="42"/>
        <v>2.4347826086956525E-2</v>
      </c>
    </row>
    <row r="168" spans="1:113" s="28" customFormat="1" ht="12" customHeight="1">
      <c r="A168" s="38"/>
      <c r="F168" s="38"/>
      <c r="V168" s="17" t="s">
        <v>473</v>
      </c>
      <c r="W168" s="17" t="s">
        <v>474</v>
      </c>
      <c r="X168" s="48">
        <v>44065</v>
      </c>
      <c r="Y168" s="17">
        <v>0.46604000000000001</v>
      </c>
      <c r="Z168" s="17">
        <v>34.870392000000002</v>
      </c>
      <c r="AA168" s="17" t="s">
        <v>331</v>
      </c>
      <c r="AB168" s="17" t="s">
        <v>330</v>
      </c>
      <c r="AC168" s="17" t="s">
        <v>347</v>
      </c>
      <c r="AD168" s="14" t="s">
        <v>362</v>
      </c>
      <c r="AE168" s="14" t="s">
        <v>687</v>
      </c>
      <c r="AF168" s="17" t="s">
        <v>675</v>
      </c>
      <c r="AG168" s="17" t="s">
        <v>684</v>
      </c>
      <c r="AH168" s="17" t="s">
        <v>683</v>
      </c>
      <c r="AI168" s="24">
        <v>4.9209749319748086</v>
      </c>
      <c r="AJ168" s="73">
        <v>6.2</v>
      </c>
      <c r="AK168" s="73" t="s">
        <v>304</v>
      </c>
      <c r="AL168" s="73">
        <v>16</v>
      </c>
      <c r="AM168" s="73">
        <v>2.4</v>
      </c>
      <c r="AN168" s="73">
        <v>433</v>
      </c>
      <c r="AO168" s="73">
        <v>1262</v>
      </c>
      <c r="AP168" s="73">
        <v>61986</v>
      </c>
      <c r="AQ168" s="73">
        <v>555</v>
      </c>
      <c r="AR168" s="73">
        <v>75</v>
      </c>
      <c r="AS168" s="73">
        <v>1205</v>
      </c>
      <c r="AT168" s="73">
        <v>1813</v>
      </c>
      <c r="AU168" s="73">
        <v>4654</v>
      </c>
      <c r="AV168" s="73">
        <v>414.5</v>
      </c>
      <c r="AW168" s="73">
        <v>612.6</v>
      </c>
      <c r="AX168" s="73">
        <v>1907</v>
      </c>
      <c r="AY168" s="73">
        <v>160444</v>
      </c>
      <c r="AZ168" s="73">
        <v>53.33</v>
      </c>
      <c r="BA168" s="73">
        <v>95.1</v>
      </c>
      <c r="BB168" s="73">
        <v>94.5</v>
      </c>
      <c r="BC168" s="73">
        <v>89.8</v>
      </c>
      <c r="BD168" s="73">
        <v>20.07</v>
      </c>
      <c r="BE168" s="73">
        <v>6.2</v>
      </c>
      <c r="BF168" s="73">
        <v>0.64</v>
      </c>
      <c r="BG168" s="73">
        <v>13</v>
      </c>
      <c r="BH168" s="73">
        <v>10.6</v>
      </c>
      <c r="BI168" s="73">
        <v>22.811</v>
      </c>
      <c r="BJ168" s="73">
        <v>205.4</v>
      </c>
      <c r="BK168" s="73">
        <v>44.73</v>
      </c>
      <c r="BL168" s="73">
        <v>5.1100000000000003</v>
      </c>
      <c r="BM168" s="73">
        <v>5.3999999999999999E-2</v>
      </c>
      <c r="BN168" s="73">
        <v>0.125</v>
      </c>
      <c r="BO168" s="73">
        <v>2.04</v>
      </c>
      <c r="BP168" s="73">
        <v>0.52700000000000002</v>
      </c>
      <c r="BQ168" s="73">
        <v>1.1639999999999999</v>
      </c>
      <c r="BR168" s="73">
        <v>176.4</v>
      </c>
      <c r="BS168" s="73">
        <v>29.37</v>
      </c>
      <c r="BT168" s="73">
        <v>120.33</v>
      </c>
      <c r="BU168" s="73">
        <v>6.5880000000000001</v>
      </c>
      <c r="BV168" s="73">
        <v>23.83</v>
      </c>
      <c r="BW168" s="73">
        <v>4.6760000000000002</v>
      </c>
      <c r="BX168" s="73">
        <v>0.99099999999999999</v>
      </c>
      <c r="BY168" s="73">
        <v>4.6609999999999996</v>
      </c>
      <c r="BZ168" s="73">
        <v>0.75700000000000001</v>
      </c>
      <c r="CA168" s="73">
        <v>5.1669999999999998</v>
      </c>
      <c r="CB168" s="73">
        <v>0.99099999999999999</v>
      </c>
      <c r="CC168" s="73">
        <v>3.0619999999999998</v>
      </c>
      <c r="CD168" s="73">
        <v>0.46800000000000003</v>
      </c>
      <c r="CE168" s="73">
        <v>3.1789999999999998</v>
      </c>
      <c r="CF168" s="73">
        <v>0.46400000000000002</v>
      </c>
      <c r="CG168" s="73">
        <v>4.7750000000000004</v>
      </c>
      <c r="CH168" s="73">
        <v>2.4159999999999999</v>
      </c>
      <c r="CI168" s="73">
        <v>1.3109999999999999</v>
      </c>
      <c r="CJ168" s="73">
        <v>0.14199999999999999</v>
      </c>
      <c r="CK168" s="73">
        <v>15.82</v>
      </c>
      <c r="CL168" s="73">
        <v>0.12</v>
      </c>
      <c r="CM168" s="73">
        <v>7.5830000000000002</v>
      </c>
      <c r="CN168" s="73">
        <v>2.5390000000000001</v>
      </c>
      <c r="CO168" s="35"/>
      <c r="CP168" s="136">
        <f t="shared" si="43"/>
        <v>0.20009110747088596</v>
      </c>
      <c r="CQ168" s="136">
        <f t="shared" si="44"/>
        <v>0.18569610350746085</v>
      </c>
      <c r="CR168" s="136" t="s">
        <v>288</v>
      </c>
      <c r="CS168" s="136">
        <f t="shared" si="45"/>
        <v>1.6475243607078593</v>
      </c>
      <c r="CT168" s="136">
        <f t="shared" si="46"/>
        <v>0.31172551567128493</v>
      </c>
      <c r="CU168" s="136">
        <f t="shared" si="47"/>
        <v>0.64717650596622389</v>
      </c>
      <c r="CV168" s="136">
        <f t="shared" si="48"/>
        <v>5.1347685560286962</v>
      </c>
      <c r="CW168" s="136">
        <f t="shared" si="49"/>
        <v>7.945301022985011</v>
      </c>
      <c r="CX168" s="136" t="s">
        <v>288</v>
      </c>
      <c r="CY168" s="136">
        <f t="shared" si="50"/>
        <v>15.346264397961935</v>
      </c>
      <c r="CZ168" s="136">
        <f t="shared" si="51"/>
        <v>-6.769387071858584</v>
      </c>
      <c r="DA168" s="136">
        <f t="shared" si="52"/>
        <v>11.3194768133284</v>
      </c>
      <c r="DB168" s="22"/>
      <c r="DC168" s="28">
        <f t="shared" si="38"/>
        <v>0.31</v>
      </c>
      <c r="DD168" s="28">
        <f t="shared" si="39"/>
        <v>0.13183333333333333</v>
      </c>
      <c r="DE168" s="28" t="s">
        <v>288</v>
      </c>
      <c r="DF168" s="28">
        <f t="shared" si="41"/>
        <v>7.5629629629629633</v>
      </c>
      <c r="DG168" s="28">
        <f t="shared" si="42"/>
        <v>5.4347826086956527E-2</v>
      </c>
    </row>
    <row r="169" spans="1:113" s="28" customFormat="1" ht="12" customHeight="1">
      <c r="A169" s="38"/>
      <c r="F169" s="38"/>
      <c r="V169" s="35"/>
      <c r="W169" s="35"/>
      <c r="X169" s="35"/>
      <c r="Y169" s="35"/>
      <c r="Z169" s="35"/>
      <c r="AA169" s="35"/>
      <c r="AB169" s="35"/>
      <c r="AC169" s="35"/>
      <c r="AD169" s="35"/>
      <c r="AE169" s="35"/>
      <c r="AF169" s="35"/>
      <c r="AG169" s="35"/>
      <c r="AH169" s="35"/>
      <c r="AI169" s="35"/>
      <c r="AJ169" s="35"/>
      <c r="AK169" s="35"/>
      <c r="AL169" s="35"/>
      <c r="AM169" s="35"/>
      <c r="AN169" s="35"/>
      <c r="AO169" s="35"/>
      <c r="AP169" s="35"/>
      <c r="AQ169" s="35"/>
      <c r="AR169" s="35"/>
      <c r="AS169" s="35"/>
      <c r="AT169" s="35"/>
      <c r="AU169" s="35"/>
      <c r="AV169" s="35"/>
      <c r="AW169" s="35"/>
      <c r="AX169" s="35"/>
      <c r="AY169" s="35"/>
      <c r="AZ169" s="35"/>
      <c r="BA169" s="35"/>
      <c r="BB169" s="35"/>
      <c r="BC169" s="35"/>
      <c r="BD169" s="35"/>
      <c r="BE169" s="35"/>
      <c r="BF169" s="35"/>
      <c r="BG169" s="35"/>
      <c r="BH169" s="35"/>
      <c r="BI169" s="35"/>
      <c r="BJ169" s="35"/>
      <c r="BK169" s="35"/>
      <c r="BL169" s="35"/>
      <c r="BM169" s="35"/>
      <c r="BN169" s="35"/>
      <c r="BO169" s="35"/>
      <c r="BP169" s="35"/>
      <c r="BQ169" s="35"/>
      <c r="BR169" s="35"/>
      <c r="BS169" s="35"/>
      <c r="BT169" s="35"/>
      <c r="BU169" s="35"/>
      <c r="BV169" s="35"/>
      <c r="BW169" s="35"/>
      <c r="BX169" s="35"/>
      <c r="BY169" s="35"/>
      <c r="BZ169" s="35"/>
      <c r="CA169" s="35"/>
      <c r="CB169" s="35"/>
      <c r="CC169" s="35"/>
      <c r="CD169" s="35"/>
      <c r="CE169" s="35"/>
      <c r="CF169" s="35"/>
      <c r="CG169" s="35"/>
      <c r="CH169" s="35"/>
      <c r="CI169" s="35"/>
      <c r="CJ169" s="35"/>
      <c r="CK169" s="35"/>
      <c r="CL169" s="35"/>
      <c r="CM169" s="35"/>
      <c r="CN169" s="35"/>
      <c r="CO169" s="35"/>
      <c r="CP169" s="35"/>
      <c r="CQ169" s="35"/>
      <c r="CR169" s="35"/>
      <c r="CS169" s="35"/>
      <c r="CT169" s="35"/>
      <c r="CU169" s="35"/>
      <c r="CV169" s="35"/>
      <c r="CW169" s="35"/>
      <c r="CX169" s="35"/>
      <c r="CY169" s="35"/>
      <c r="CZ169" s="35"/>
      <c r="DA169" s="35"/>
      <c r="DB169" s="35"/>
      <c r="DC169" s="35"/>
      <c r="DD169" s="35"/>
      <c r="DE169" s="35"/>
      <c r="DF169" s="35"/>
      <c r="DG169" s="35"/>
      <c r="DH169" s="35"/>
      <c r="DI169" s="35"/>
    </row>
    <row r="170" spans="1:113" s="28" customFormat="1">
      <c r="A170" s="38"/>
      <c r="F170" s="38"/>
      <c r="V170" s="46" t="s">
        <v>919</v>
      </c>
      <c r="W170" s="35"/>
      <c r="X170" s="35"/>
      <c r="Y170" s="35"/>
      <c r="Z170" s="35"/>
      <c r="AA170" s="35"/>
      <c r="AB170" s="35"/>
      <c r="AC170" s="35"/>
      <c r="AD170" s="35"/>
      <c r="AE170" s="35"/>
      <c r="AF170" s="35"/>
      <c r="AG170" s="35"/>
      <c r="AH170" s="35"/>
      <c r="AI170" s="35"/>
      <c r="AJ170" s="35"/>
      <c r="AK170" s="35"/>
      <c r="AL170" s="35"/>
      <c r="AM170" s="35"/>
      <c r="AN170" s="35"/>
      <c r="AO170" s="35"/>
      <c r="AP170" s="35"/>
      <c r="AQ170" s="35"/>
      <c r="AR170" s="35"/>
      <c r="AS170" s="35"/>
      <c r="AT170" s="35"/>
      <c r="AU170" s="35"/>
      <c r="AV170" s="35"/>
      <c r="AW170" s="35"/>
      <c r="AX170" s="35"/>
      <c r="AY170" s="35"/>
      <c r="AZ170" s="35"/>
      <c r="BA170" s="35"/>
      <c r="BB170" s="35"/>
      <c r="BC170" s="35"/>
      <c r="BD170" s="35"/>
      <c r="BE170" s="35"/>
      <c r="BF170" s="35"/>
      <c r="BG170" s="35"/>
      <c r="BH170" s="35"/>
      <c r="BI170" s="35"/>
      <c r="BJ170" s="35"/>
      <c r="BK170" s="35"/>
      <c r="BL170" s="35"/>
      <c r="BM170" s="35"/>
      <c r="BN170" s="35"/>
      <c r="BO170" s="35"/>
      <c r="BP170" s="35"/>
      <c r="BQ170" s="35"/>
      <c r="BR170" s="35"/>
      <c r="BS170" s="35"/>
      <c r="BT170" s="35"/>
      <c r="BU170" s="35"/>
      <c r="BV170" s="35"/>
      <c r="BW170" s="35"/>
      <c r="BX170" s="35"/>
      <c r="BY170" s="35"/>
      <c r="BZ170" s="35"/>
      <c r="CA170" s="35"/>
      <c r="CB170" s="35"/>
      <c r="CC170" s="35"/>
      <c r="CD170" s="35"/>
      <c r="CE170" s="35"/>
      <c r="CF170" s="35"/>
      <c r="CG170" s="35"/>
      <c r="CH170" s="35"/>
      <c r="CI170" s="35"/>
      <c r="CJ170" s="35"/>
      <c r="CK170" s="35"/>
      <c r="CL170" s="35"/>
      <c r="CM170" s="35"/>
      <c r="CN170" s="35"/>
      <c r="CO170" s="35"/>
      <c r="CP170" s="35"/>
      <c r="CQ170" s="35"/>
      <c r="CR170" s="35"/>
      <c r="CS170" s="35"/>
      <c r="CT170" s="35"/>
      <c r="CU170" s="35"/>
      <c r="CV170" s="35"/>
      <c r="CW170" s="35"/>
      <c r="CX170" s="35"/>
      <c r="CY170" s="35"/>
      <c r="CZ170" s="35"/>
      <c r="DA170" s="35"/>
      <c r="DB170" s="35"/>
      <c r="DC170" s="35"/>
      <c r="DD170" s="35"/>
      <c r="DE170" s="35"/>
      <c r="DF170" s="35"/>
      <c r="DG170" s="35"/>
      <c r="DH170" s="35"/>
      <c r="DI170" s="35"/>
    </row>
  </sheetData>
  <pageMargins left="0.7" right="0.7" top="0.75" bottom="0.75" header="0.3" footer="0.3"/>
  <pageSetup orientation="portrait" r:id="rId1"/>
  <ignoredErrors>
    <ignoredError sqref="DG11 DG49:DG51 DG54 DG59:DG63 DG67 DG74 DG78 DG82 DG100 DG107 DG116:DG120 DG126:DG128 DC136" formula="1"/>
    <ignoredError sqref="DF153:DG153 DF157:DG157" evalError="1"/>
    <ignoredError sqref="AL5:CN5" numberStoredAsText="1"/>
  </ignoredError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BX396"/>
  <sheetViews>
    <sheetView zoomScale="72" workbookViewId="0">
      <selection sqref="A1:AM1"/>
    </sheetView>
  </sheetViews>
  <sheetFormatPr defaultColWidth="8.7109375" defaultRowHeight="15.75"/>
  <cols>
    <col min="1" max="1" width="11.5703125" style="78" customWidth="1"/>
    <col min="2" max="2" width="13" style="78" customWidth="1"/>
    <col min="3" max="3" width="11.85546875" style="78" bestFit="1" customWidth="1"/>
    <col min="4" max="4" width="14.5703125" style="78" customWidth="1"/>
    <col min="5" max="5" width="13.140625" style="78" customWidth="1"/>
    <col min="6" max="6" width="18.7109375" style="78" customWidth="1"/>
    <col min="7" max="7" width="10.5703125" style="78" customWidth="1"/>
    <col min="8" max="8" width="14.5703125" style="78" customWidth="1"/>
    <col min="9" max="9" width="15.42578125" style="78" customWidth="1"/>
    <col min="10" max="10" width="13.7109375" style="78" customWidth="1"/>
    <col min="11" max="11" width="10.85546875" style="78" customWidth="1"/>
    <col min="12" max="12" width="14.28515625" style="78" customWidth="1"/>
    <col min="13" max="13" width="16.28515625" style="78" customWidth="1"/>
    <col min="14" max="14" width="15" style="78" customWidth="1"/>
    <col min="15" max="16" width="12.42578125" style="78" customWidth="1"/>
    <col min="17" max="17" width="11.85546875" style="78" bestFit="1" customWidth="1"/>
    <col min="18" max="19" width="8.7109375" style="78"/>
    <col min="20" max="20" width="16.140625" style="78" customWidth="1"/>
    <col min="21" max="21" width="19.7109375" style="78" customWidth="1"/>
    <col min="22" max="22" width="18.5703125" style="78" bestFit="1" customWidth="1"/>
    <col min="23" max="23" width="11.85546875" style="78" customWidth="1"/>
    <col min="24" max="24" width="10.5703125" style="78" customWidth="1"/>
    <col min="25" max="25" width="8.7109375" style="78"/>
    <col min="26" max="26" width="13" style="78" bestFit="1" customWidth="1"/>
    <col min="27" max="32" width="8.7109375" style="78"/>
    <col min="33" max="38" width="9" style="78" bestFit="1" customWidth="1"/>
    <col min="39" max="39" width="15.28515625" style="78" bestFit="1" customWidth="1"/>
    <col min="40" max="40" width="15.85546875" style="78" bestFit="1" customWidth="1"/>
    <col min="41" max="41" width="12.42578125" style="78" customWidth="1"/>
    <col min="42" max="42" width="11.85546875" style="78" customWidth="1"/>
    <col min="43" max="43" width="13.85546875" style="78" customWidth="1"/>
    <col min="44" max="44" width="11.5703125" style="78" customWidth="1"/>
    <col min="45" max="45" width="12.85546875" style="78" customWidth="1"/>
    <col min="46" max="46" width="10.85546875" style="78" customWidth="1"/>
    <col min="47" max="47" width="13.42578125" style="78" customWidth="1"/>
    <col min="48" max="48" width="14.85546875" style="78" bestFit="1" customWidth="1"/>
    <col min="49" max="49" width="12" style="78" customWidth="1"/>
    <col min="50" max="50" width="10.42578125" style="78" customWidth="1"/>
    <col min="51" max="51" width="15.28515625" style="78" bestFit="1" customWidth="1"/>
    <col min="52" max="52" width="14.140625" style="78" bestFit="1" customWidth="1"/>
    <col min="53" max="53" width="15.42578125" style="78" bestFit="1" customWidth="1"/>
    <col min="54" max="54" width="13.85546875" style="78" bestFit="1" customWidth="1"/>
    <col min="55" max="55" width="15.5703125" style="78" bestFit="1" customWidth="1"/>
    <col min="56" max="56" width="14.28515625" style="78" bestFit="1" customWidth="1"/>
    <col min="57" max="57" width="15.140625" style="78" bestFit="1" customWidth="1"/>
    <col min="58" max="58" width="9" style="78" bestFit="1" customWidth="1"/>
    <col min="59" max="59" width="15.42578125" style="78" bestFit="1" customWidth="1"/>
    <col min="60" max="60" width="12.5703125" style="78" bestFit="1" customWidth="1"/>
    <col min="61" max="61" width="15" style="78" bestFit="1" customWidth="1"/>
    <col min="62" max="62" width="12.140625" style="78" bestFit="1" customWidth="1"/>
    <col min="63" max="63" width="12.85546875" style="78" bestFit="1" customWidth="1"/>
    <col min="64" max="64" width="10.42578125" style="78" bestFit="1" customWidth="1"/>
    <col min="65" max="65" width="13.140625" style="78" bestFit="1" customWidth="1"/>
    <col min="66" max="66" width="10.5703125" style="78" bestFit="1" customWidth="1"/>
    <col min="67" max="67" width="13.28515625" style="78" bestFit="1" customWidth="1"/>
    <col min="68" max="69" width="9" style="78" bestFit="1" customWidth="1"/>
    <col min="70" max="70" width="10.28515625" style="78" bestFit="1" customWidth="1"/>
    <col min="71" max="71" width="10.85546875" style="78" customWidth="1"/>
    <col min="72" max="72" width="10.5703125" style="78" bestFit="1" customWidth="1"/>
    <col min="73" max="73" width="12.5703125" style="78" bestFit="1" customWidth="1"/>
    <col min="74" max="74" width="10.140625" style="78" bestFit="1" customWidth="1"/>
    <col min="75" max="16384" width="8.7109375" style="78"/>
  </cols>
  <sheetData>
    <row r="1" spans="1:74">
      <c r="A1" s="404" t="s">
        <v>1023</v>
      </c>
      <c r="B1" s="405"/>
      <c r="C1" s="405"/>
      <c r="D1" s="405"/>
      <c r="E1" s="405"/>
      <c r="F1" s="405"/>
      <c r="G1" s="405"/>
      <c r="H1" s="405"/>
      <c r="I1" s="405"/>
      <c r="J1" s="405"/>
      <c r="K1" s="405"/>
      <c r="L1" s="405"/>
      <c r="M1" s="405"/>
      <c r="N1" s="405"/>
      <c r="O1" s="405"/>
      <c r="P1" s="405"/>
      <c r="Q1" s="405"/>
      <c r="R1" s="405"/>
      <c r="S1" s="405"/>
      <c r="T1" s="405"/>
      <c r="U1" s="405"/>
      <c r="V1" s="405"/>
      <c r="W1" s="405"/>
      <c r="X1" s="405"/>
      <c r="Y1" s="405"/>
      <c r="Z1" s="405"/>
      <c r="AA1" s="405"/>
      <c r="AB1" s="405"/>
      <c r="AC1" s="405"/>
      <c r="AD1" s="405"/>
      <c r="AE1" s="405"/>
      <c r="AF1" s="405"/>
      <c r="AG1" s="405"/>
      <c r="AH1" s="405"/>
      <c r="AI1" s="405"/>
      <c r="AJ1" s="405"/>
      <c r="AK1" s="405"/>
      <c r="AL1" s="405"/>
      <c r="AM1" s="405"/>
    </row>
    <row r="2" spans="1:74" ht="16.5" thickBot="1">
      <c r="A2" s="235" t="s">
        <v>1012</v>
      </c>
      <c r="T2" s="107" t="s">
        <v>1022</v>
      </c>
    </row>
    <row r="3" spans="1:74" ht="17.25" thickTop="1" thickBot="1">
      <c r="A3" s="419"/>
      <c r="B3" s="419"/>
      <c r="C3" s="420"/>
      <c r="D3" s="421" t="s">
        <v>968</v>
      </c>
      <c r="E3" s="422"/>
      <c r="F3" s="422"/>
      <c r="G3" s="422"/>
      <c r="H3" s="422"/>
      <c r="I3" s="422"/>
      <c r="J3" s="422"/>
      <c r="K3" s="219"/>
      <c r="L3" s="219"/>
      <c r="M3" s="219"/>
      <c r="N3" s="219"/>
      <c r="O3" s="219"/>
      <c r="P3" s="219"/>
      <c r="T3" s="107" t="s">
        <v>959</v>
      </c>
      <c r="U3" s="80"/>
      <c r="V3" s="80"/>
      <c r="W3" s="80"/>
      <c r="X3" s="80"/>
      <c r="Y3" s="80"/>
      <c r="Z3" s="80"/>
      <c r="AA3" s="80"/>
      <c r="AB3" s="80"/>
    </row>
    <row r="4" spans="1:74" ht="16.5" thickTop="1">
      <c r="A4" s="106" t="s">
        <v>678</v>
      </c>
      <c r="B4" s="80" t="s">
        <v>912</v>
      </c>
      <c r="C4" s="80" t="s">
        <v>913</v>
      </c>
      <c r="D4" s="80" t="s">
        <v>23</v>
      </c>
      <c r="E4" s="80" t="s">
        <v>55</v>
      </c>
      <c r="F4" s="80" t="s">
        <v>3</v>
      </c>
      <c r="G4" s="80" t="s">
        <v>15</v>
      </c>
      <c r="H4" s="80" t="s">
        <v>32</v>
      </c>
      <c r="I4" s="80" t="s">
        <v>19</v>
      </c>
      <c r="J4" s="80" t="s">
        <v>914</v>
      </c>
      <c r="K4" s="219"/>
      <c r="L4" s="219"/>
      <c r="M4" s="219"/>
      <c r="N4" s="219"/>
      <c r="O4" s="219"/>
      <c r="P4" s="219"/>
      <c r="T4" s="107" t="s">
        <v>1021</v>
      </c>
      <c r="U4" s="80"/>
      <c r="V4" s="80"/>
      <c r="W4" s="80"/>
      <c r="X4" s="80"/>
      <c r="Y4" s="80"/>
      <c r="AE4" s="78" t="s">
        <v>349</v>
      </c>
    </row>
    <row r="5" spans="1:74">
      <c r="A5" s="106" t="s">
        <v>915</v>
      </c>
      <c r="B5" s="78" t="s">
        <v>916</v>
      </c>
      <c r="C5" s="236" t="s">
        <v>792</v>
      </c>
      <c r="D5" s="144">
        <v>2.4399999999999999E-3</v>
      </c>
      <c r="E5" s="144">
        <v>1.64E-4</v>
      </c>
      <c r="F5" s="144">
        <v>7.2899999999999997E-6</v>
      </c>
      <c r="G5" s="144">
        <v>4.3199999999999998E-4</v>
      </c>
      <c r="H5" s="144">
        <v>7.2500000000000005E-7</v>
      </c>
      <c r="I5" s="144">
        <v>1.34E-4</v>
      </c>
      <c r="J5" s="145">
        <v>3.1800000000000001E-3</v>
      </c>
      <c r="K5" s="220"/>
      <c r="L5" s="220"/>
      <c r="M5" s="220"/>
      <c r="N5" s="220"/>
      <c r="O5" s="220"/>
      <c r="P5" s="220"/>
      <c r="T5" s="26" t="s">
        <v>0</v>
      </c>
      <c r="U5" s="26" t="s">
        <v>692</v>
      </c>
      <c r="V5" s="83" t="s">
        <v>1</v>
      </c>
      <c r="W5" s="83" t="s">
        <v>301</v>
      </c>
      <c r="X5" s="83" t="s">
        <v>300</v>
      </c>
      <c r="Y5" s="83" t="s">
        <v>348</v>
      </c>
      <c r="Z5" s="83" t="s">
        <v>302</v>
      </c>
      <c r="AA5" s="26" t="s">
        <v>303</v>
      </c>
      <c r="AB5" s="26" t="s">
        <v>363</v>
      </c>
      <c r="AC5" s="26" t="s">
        <v>681</v>
      </c>
      <c r="AD5" s="26" t="s">
        <v>680</v>
      </c>
      <c r="AE5" s="83" t="s">
        <v>686</v>
      </c>
      <c r="AF5" s="83" t="s">
        <v>693</v>
      </c>
      <c r="AG5" s="57" t="s">
        <v>23</v>
      </c>
      <c r="AH5" s="70" t="s">
        <v>55</v>
      </c>
      <c r="AI5" s="150" t="s">
        <v>3</v>
      </c>
      <c r="AJ5" s="70" t="s">
        <v>15</v>
      </c>
      <c r="AK5" s="57" t="s">
        <v>32</v>
      </c>
      <c r="AL5" s="70" t="s">
        <v>19</v>
      </c>
      <c r="AM5" s="57" t="s">
        <v>920</v>
      </c>
      <c r="AN5" s="234" t="s">
        <v>921</v>
      </c>
      <c r="AO5" s="70" t="s">
        <v>922</v>
      </c>
      <c r="AP5" s="234" t="s">
        <v>923</v>
      </c>
      <c r="AQ5" s="150" t="s">
        <v>924</v>
      </c>
      <c r="AR5" s="234" t="s">
        <v>925</v>
      </c>
      <c r="AS5" s="70" t="s">
        <v>926</v>
      </c>
      <c r="AT5" s="234" t="s">
        <v>927</v>
      </c>
      <c r="AU5" s="57" t="s">
        <v>928</v>
      </c>
      <c r="AV5" s="234" t="s">
        <v>929</v>
      </c>
      <c r="AW5" s="70" t="s">
        <v>930</v>
      </c>
      <c r="AX5" s="234" t="s">
        <v>931</v>
      </c>
      <c r="AY5" s="57" t="s">
        <v>932</v>
      </c>
      <c r="AZ5" s="234" t="s">
        <v>933</v>
      </c>
      <c r="BA5" s="70" t="s">
        <v>934</v>
      </c>
      <c r="BB5" s="234" t="s">
        <v>935</v>
      </c>
      <c r="BC5" s="150" t="s">
        <v>936</v>
      </c>
      <c r="BD5" s="234" t="s">
        <v>937</v>
      </c>
      <c r="BE5" s="70" t="s">
        <v>938</v>
      </c>
      <c r="BF5" s="234" t="s">
        <v>939</v>
      </c>
      <c r="BG5" s="57" t="s">
        <v>940</v>
      </c>
      <c r="BH5" s="234" t="s">
        <v>941</v>
      </c>
      <c r="BI5" s="70" t="s">
        <v>942</v>
      </c>
      <c r="BJ5" s="234" t="s">
        <v>943</v>
      </c>
      <c r="BK5" s="57" t="s">
        <v>944</v>
      </c>
      <c r="BL5" s="234" t="s">
        <v>945</v>
      </c>
      <c r="BM5" s="70" t="s">
        <v>946</v>
      </c>
      <c r="BN5" s="234" t="s">
        <v>947</v>
      </c>
      <c r="BO5" s="150" t="s">
        <v>948</v>
      </c>
      <c r="BP5" s="234" t="s">
        <v>949</v>
      </c>
      <c r="BQ5" s="70" t="s">
        <v>950</v>
      </c>
      <c r="BR5" s="234" t="s">
        <v>951</v>
      </c>
      <c r="BS5" s="57" t="s">
        <v>952</v>
      </c>
      <c r="BT5" s="234" t="s">
        <v>953</v>
      </c>
      <c r="BU5" s="70" t="s">
        <v>954</v>
      </c>
      <c r="BV5" s="234" t="s">
        <v>955</v>
      </c>
    </row>
    <row r="6" spans="1:74" ht="18">
      <c r="A6" s="106" t="s">
        <v>915</v>
      </c>
      <c r="B6" s="78" t="s">
        <v>916</v>
      </c>
      <c r="C6" s="236" t="s">
        <v>827</v>
      </c>
      <c r="D6" s="144">
        <v>3.5900000000000003E-7</v>
      </c>
      <c r="E6" s="144">
        <v>2.4200000000000002E-8</v>
      </c>
      <c r="F6" s="144">
        <v>1.07E-9</v>
      </c>
      <c r="G6" s="144">
        <v>6.3500000000000006E-8</v>
      </c>
      <c r="H6" s="144">
        <v>1.0700000000000001E-10</v>
      </c>
      <c r="I6" s="144">
        <v>1.9799999999999999E-8</v>
      </c>
      <c r="J6" s="145">
        <v>4.6800000000000001E-7</v>
      </c>
      <c r="K6" s="220"/>
      <c r="L6" s="220"/>
      <c r="M6" s="220"/>
      <c r="N6" s="220"/>
      <c r="O6" s="220"/>
      <c r="P6" s="220"/>
      <c r="T6" s="27"/>
      <c r="U6" s="27"/>
      <c r="V6" s="116"/>
      <c r="W6" s="116"/>
      <c r="X6" s="116"/>
      <c r="Y6" s="116"/>
      <c r="Z6" s="116"/>
      <c r="AA6" s="116"/>
      <c r="AB6" s="116" t="s">
        <v>349</v>
      </c>
      <c r="AC6" s="116"/>
      <c r="AD6" s="116"/>
      <c r="AE6" s="116"/>
      <c r="AF6" s="116"/>
      <c r="AG6" s="8" t="s">
        <v>403</v>
      </c>
      <c r="AH6" s="8" t="s">
        <v>403</v>
      </c>
      <c r="AI6" s="8" t="s">
        <v>403</v>
      </c>
      <c r="AJ6" s="8" t="s">
        <v>403</v>
      </c>
      <c r="AK6" s="8" t="s">
        <v>403</v>
      </c>
      <c r="AL6" s="8" t="s">
        <v>403</v>
      </c>
      <c r="AM6" s="8" t="s">
        <v>956</v>
      </c>
    </row>
    <row r="7" spans="1:74">
      <c r="A7" s="106" t="s">
        <v>915</v>
      </c>
      <c r="B7" s="78" t="s">
        <v>916</v>
      </c>
      <c r="C7" s="236" t="s">
        <v>805</v>
      </c>
      <c r="D7" s="144">
        <v>5.1000000000000004E-4</v>
      </c>
      <c r="E7" s="144">
        <v>1.7E-5</v>
      </c>
      <c r="F7" s="144">
        <v>5.0699999999999997E-8</v>
      </c>
      <c r="G7" s="144">
        <v>3.0000000000000001E-6</v>
      </c>
      <c r="H7" s="144">
        <v>5.04E-9</v>
      </c>
      <c r="I7" s="144">
        <v>9.3399999999999997E-7</v>
      </c>
      <c r="J7" s="145">
        <v>5.31E-4</v>
      </c>
      <c r="K7" s="220"/>
      <c r="L7" s="220"/>
      <c r="M7" s="220"/>
      <c r="N7" s="220"/>
      <c r="O7" s="220"/>
      <c r="P7" s="220"/>
      <c r="T7" s="152" t="s">
        <v>297</v>
      </c>
      <c r="U7" s="43"/>
      <c r="V7" s="153"/>
      <c r="W7" s="153"/>
      <c r="X7" s="153"/>
      <c r="Y7" s="153"/>
      <c r="Z7" s="153"/>
      <c r="AA7" s="116"/>
      <c r="AB7" s="116"/>
      <c r="AC7" s="116"/>
      <c r="AD7" s="153"/>
      <c r="AE7" s="153"/>
      <c r="AF7" s="153"/>
      <c r="AG7" s="57" t="s">
        <v>77</v>
      </c>
      <c r="AH7" s="57" t="s">
        <v>69</v>
      </c>
      <c r="AI7" s="56">
        <v>0.02</v>
      </c>
      <c r="AJ7" s="57" t="s">
        <v>69</v>
      </c>
      <c r="AK7" s="57" t="s">
        <v>83</v>
      </c>
      <c r="AL7" s="57" t="s">
        <v>73</v>
      </c>
    </row>
    <row r="8" spans="1:74">
      <c r="A8" s="106"/>
      <c r="B8" s="80"/>
      <c r="C8" s="237" t="s">
        <v>914</v>
      </c>
      <c r="D8" s="144">
        <v>2.9499999999999999E-3</v>
      </c>
      <c r="E8" s="144">
        <v>1.8100000000000001E-4</v>
      </c>
      <c r="F8" s="144">
        <v>7.34E-6</v>
      </c>
      <c r="G8" s="144">
        <v>4.35E-4</v>
      </c>
      <c r="H8" s="144">
        <v>7.3E-7</v>
      </c>
      <c r="I8" s="144">
        <v>1.35E-4</v>
      </c>
      <c r="J8" s="145">
        <v>3.7100000000000002E-3</v>
      </c>
      <c r="K8" s="220"/>
      <c r="L8" s="220"/>
      <c r="M8" s="220"/>
      <c r="N8" s="220"/>
      <c r="O8" s="220"/>
      <c r="P8" s="132" t="s">
        <v>1038</v>
      </c>
      <c r="Q8" s="132"/>
      <c r="R8" s="132"/>
      <c r="S8" s="132"/>
      <c r="T8" s="53" t="s">
        <v>87</v>
      </c>
      <c r="U8" s="154" t="s">
        <v>88</v>
      </c>
      <c r="V8" s="155" t="s">
        <v>339</v>
      </c>
      <c r="W8" s="53">
        <v>0.258245</v>
      </c>
      <c r="X8" s="53">
        <v>34.717754999999997</v>
      </c>
      <c r="Y8" s="53" t="s">
        <v>372</v>
      </c>
      <c r="Z8" s="53" t="s">
        <v>330</v>
      </c>
      <c r="AA8" s="116" t="s">
        <v>347</v>
      </c>
      <c r="AB8" s="154" t="s">
        <v>371</v>
      </c>
      <c r="AC8" s="116" t="s">
        <v>687</v>
      </c>
      <c r="AD8" s="53" t="s">
        <v>361</v>
      </c>
      <c r="AE8" s="53" t="s">
        <v>685</v>
      </c>
      <c r="AF8" s="53" t="s">
        <v>690</v>
      </c>
      <c r="AG8" s="156">
        <v>35.5</v>
      </c>
      <c r="AH8" s="157">
        <v>19.8</v>
      </c>
      <c r="AI8" s="75">
        <v>11.04308</v>
      </c>
      <c r="AJ8" s="157">
        <v>517.5</v>
      </c>
      <c r="AK8" s="156">
        <v>0.11600000000000001</v>
      </c>
      <c r="AL8" s="157">
        <v>98.9</v>
      </c>
      <c r="AM8" s="144">
        <f t="shared" ref="AM8:AM71" si="0">(AG8*100*350*30*0.000001)/(70*30*365)</f>
        <v>4.8630136986301365E-5</v>
      </c>
      <c r="AN8" s="158">
        <f>AM8/0.0003</f>
        <v>0.16210045662100456</v>
      </c>
      <c r="AO8" s="144">
        <f t="shared" ref="AO8:AO71" si="1">(AH8*100*350*30*0.000001)/(70*30*365)</f>
        <v>2.7123287671232875E-5</v>
      </c>
      <c r="AP8" s="158">
        <f>AO8/0.0036</f>
        <v>7.5342465753424652E-3</v>
      </c>
      <c r="AQ8" s="144">
        <f t="shared" ref="AQ8:AQ71" si="2">(AI8*100*350*30*0.000001)/(70*30*365)</f>
        <v>1.5127506849315068E-5</v>
      </c>
      <c r="AR8" s="158">
        <f>AQ8/0.0003</f>
        <v>5.0425022831050229E-2</v>
      </c>
      <c r="AS8" s="144">
        <f t="shared" ref="AS8:AS71" si="3">(AJ8*100*350*30*0.000001)/(70*30*365)</f>
        <v>7.0890410958904108E-4</v>
      </c>
      <c r="AT8" s="158">
        <f>AS8/0.003</f>
        <v>0.2363013698630137</v>
      </c>
      <c r="AU8" s="144">
        <f t="shared" ref="AU8:AU71" si="4">(AK8*100*350*30*0.000001)/(70*30*365)</f>
        <v>1.5890410958904111E-7</v>
      </c>
      <c r="AV8" s="158">
        <f>AU8/0.0005</f>
        <v>3.178082191780822E-4</v>
      </c>
      <c r="AW8" s="144">
        <f t="shared" ref="AW8:AW71" si="5">(AL8*100*350*30*0.000001)/(70*30*365)</f>
        <v>1.3547945205479451E-4</v>
      </c>
      <c r="AX8" s="158">
        <f>AW8/0.02</f>
        <v>6.7739726027397258E-3</v>
      </c>
      <c r="AY8" s="144">
        <f>(AG8*5700*0.61*0.2*0.03*350*30*0.000001)/(70*30*365)</f>
        <v>1.0145219178082192E-5</v>
      </c>
      <c r="AZ8" s="158">
        <f>AY8/0.0003</f>
        <v>3.3817397260273975E-2</v>
      </c>
      <c r="BA8" s="144">
        <f>(AG8*5700*0.61*0.2*0.001*350*30*0.000001)/(70*30*365)</f>
        <v>3.3817397260273978E-7</v>
      </c>
      <c r="BB8" s="158">
        <f>BA8/0.0035</f>
        <v>9.6621135029354216E-5</v>
      </c>
      <c r="BC8" s="144">
        <f>(AI8*5700*0.61*0.2*0.001*350*30*0.000001)/(70*30*365)</f>
        <v>1.05196682630137E-7</v>
      </c>
      <c r="BD8" s="158">
        <f>BC8/0.0003</f>
        <v>3.5065560876712336E-4</v>
      </c>
      <c r="BE8" s="144">
        <f>(AJ8*5700*0.61*0.2*0.001*350*30*0.000001)/(70*30*365)</f>
        <v>4.9297191780821922E-6</v>
      </c>
      <c r="BF8" s="158">
        <f>BE8/0.005</f>
        <v>9.8594383561643843E-4</v>
      </c>
      <c r="BG8" s="144">
        <f>(AK8*5700*0.61*0.2*0.001*350*30*0.000001)/(70*30*365)</f>
        <v>1.1050191780821919E-9</v>
      </c>
      <c r="BH8" s="158">
        <f>BG8/0.0005</f>
        <v>2.2100383561643839E-6</v>
      </c>
      <c r="BI8" s="144">
        <f>(AL8*5700*0.61*0.2*0.001*350*30*0.000001)/(70*30*365)</f>
        <v>9.4212410958904084E-7</v>
      </c>
      <c r="BJ8" s="158">
        <f>BI8/0.0056</f>
        <v>1.6823644814090014E-4</v>
      </c>
      <c r="BK8" s="144">
        <f>(AG8*20*350*30)/(70*30*365*1360000000)</f>
        <v>7.1514907332796134E-9</v>
      </c>
      <c r="BL8" s="158">
        <f>BK8/0.0003</f>
        <v>2.383830244426538E-5</v>
      </c>
      <c r="BM8" s="144">
        <f>(AH8*20*350*30)/(70*30*365*1360000000)</f>
        <v>3.988718775181305E-9</v>
      </c>
      <c r="BN8" s="158">
        <f>BM8/0.0035</f>
        <v>1.1396339357660871E-6</v>
      </c>
      <c r="BO8" s="144">
        <f>(AI8*20*350*30)/(70*30*365*1360000000)</f>
        <v>2.2246333601933924E-9</v>
      </c>
      <c r="BP8" s="158">
        <f>BO8/0.0003</f>
        <v>7.4154445339779756E-6</v>
      </c>
      <c r="BQ8" s="144">
        <f>(AJ8*20*350*30)/(70*30*365*1360000000)</f>
        <v>1.0425060435132958E-7</v>
      </c>
      <c r="BR8" s="158">
        <f>BQ8/0.005</f>
        <v>2.0850120870265916E-5</v>
      </c>
      <c r="BS8" s="144">
        <f>(AK8*20*350*30)/(70*30*365*1360000000)</f>
        <v>2.3368251410153107E-11</v>
      </c>
      <c r="BT8" s="158">
        <f>BS8/0.0005</f>
        <v>4.6736502820306216E-8</v>
      </c>
      <c r="BU8" s="144">
        <f>(AL8*20*350*30)/(70*30*365*1360000000)</f>
        <v>1.992344883158743E-8</v>
      </c>
      <c r="BV8" s="144">
        <f>BU8/0.0056</f>
        <v>3.557758719926327E-6</v>
      </c>
    </row>
    <row r="9" spans="1:74">
      <c r="A9" s="106" t="s">
        <v>915</v>
      </c>
      <c r="B9" s="78" t="s">
        <v>917</v>
      </c>
      <c r="C9" s="236" t="s">
        <v>792</v>
      </c>
      <c r="D9" s="144">
        <v>2.2800000000000001E-2</v>
      </c>
      <c r="E9" s="144">
        <v>1.5299999999999999E-3</v>
      </c>
      <c r="F9" s="144">
        <v>6.7999999999999999E-5</v>
      </c>
      <c r="G9" s="144">
        <v>4.0299999999999997E-3</v>
      </c>
      <c r="H9" s="144">
        <v>6.7700000000000004E-6</v>
      </c>
      <c r="I9" s="144">
        <v>1.25E-3</v>
      </c>
      <c r="J9" s="145">
        <v>2.9700000000000001E-2</v>
      </c>
      <c r="K9" s="220"/>
      <c r="L9" s="220"/>
      <c r="M9" s="220"/>
      <c r="N9" s="220"/>
      <c r="O9" s="220"/>
      <c r="P9" s="132" t="s">
        <v>1045</v>
      </c>
      <c r="Q9" s="132"/>
      <c r="R9" s="132"/>
      <c r="S9" s="132"/>
      <c r="T9" s="53" t="s">
        <v>89</v>
      </c>
      <c r="U9" s="154" t="s">
        <v>90</v>
      </c>
      <c r="V9" s="155" t="s">
        <v>339</v>
      </c>
      <c r="W9" s="53">
        <v>0.258245</v>
      </c>
      <c r="X9" s="53">
        <v>34.717754999999997</v>
      </c>
      <c r="Y9" s="53" t="s">
        <v>372</v>
      </c>
      <c r="Z9" s="53" t="s">
        <v>330</v>
      </c>
      <c r="AA9" s="116" t="s">
        <v>347</v>
      </c>
      <c r="AB9" s="154" t="s">
        <v>371</v>
      </c>
      <c r="AC9" s="116" t="s">
        <v>687</v>
      </c>
      <c r="AD9" s="53" t="s">
        <v>364</v>
      </c>
      <c r="AE9" s="53" t="s">
        <v>685</v>
      </c>
      <c r="AF9" s="53" t="s">
        <v>690</v>
      </c>
      <c r="AG9" s="156">
        <v>1.5</v>
      </c>
      <c r="AH9" s="157">
        <v>13.5</v>
      </c>
      <c r="AI9" s="75">
        <v>4.1530000000000004E-2</v>
      </c>
      <c r="AJ9" s="157">
        <v>129.5</v>
      </c>
      <c r="AK9" s="156">
        <v>5.3999999999999999E-2</v>
      </c>
      <c r="AL9" s="157">
        <v>113.79</v>
      </c>
      <c r="AM9" s="144">
        <f t="shared" si="0"/>
        <v>2.054794520547945E-6</v>
      </c>
      <c r="AN9" s="158">
        <f t="shared" ref="AN9:AN72" si="6">AM9/0.0003</f>
        <v>6.8493150684931503E-3</v>
      </c>
      <c r="AO9" s="144">
        <f t="shared" si="1"/>
        <v>1.8493150684931506E-5</v>
      </c>
      <c r="AP9" s="158">
        <f t="shared" ref="AP9:AP72" si="7">AO9/0.0036</f>
        <v>5.1369863013698627E-3</v>
      </c>
      <c r="AQ9" s="144">
        <f t="shared" si="2"/>
        <v>5.6890410958904116E-8</v>
      </c>
      <c r="AR9" s="158">
        <f t="shared" ref="AR9:AR72" si="8">AQ9/0.0003</f>
        <v>1.8963470319634707E-4</v>
      </c>
      <c r="AS9" s="144">
        <f t="shared" si="3"/>
        <v>1.773972602739726E-4</v>
      </c>
      <c r="AT9" s="158">
        <f t="shared" ref="AT9:AT72" si="9">AS9/0.003</f>
        <v>5.9132420091324203E-2</v>
      </c>
      <c r="AU9" s="144">
        <f t="shared" si="4"/>
        <v>7.3972602739726031E-8</v>
      </c>
      <c r="AV9" s="158">
        <f t="shared" ref="AV9:AV72" si="10">AU9/0.0005</f>
        <v>1.4794520547945205E-4</v>
      </c>
      <c r="AW9" s="144">
        <f t="shared" si="5"/>
        <v>1.5587671232876712E-4</v>
      </c>
      <c r="AX9" s="158">
        <f t="shared" ref="AX9:AX72" si="11">AW9/0.02</f>
        <v>7.7938356164383559E-3</v>
      </c>
      <c r="AY9" s="144">
        <f t="shared" ref="AY9:AY72" si="12">(AG9*5700*0.61*0.2*0.03*350*30*0.000001)/(70*30*365)</f>
        <v>4.2867123287671241E-7</v>
      </c>
      <c r="AZ9" s="158">
        <f t="shared" ref="AZ9:AZ72" si="13">AY9/0.0003</f>
        <v>1.4289041095890416E-3</v>
      </c>
      <c r="BA9" s="144">
        <f t="shared" ref="BA9:BA72" si="14">(AG9*5700*0.61*0.2*0.001*350*30*0.000001)/(70*30*365)</f>
        <v>1.4289041095890411E-8</v>
      </c>
      <c r="BB9" s="158">
        <f t="shared" ref="BB9:BB72" si="15">BA9/0.0035</f>
        <v>4.0825831702544032E-6</v>
      </c>
      <c r="BC9" s="144">
        <f t="shared" ref="BC9:BC72" si="16">(AI9*5700*0.61*0.2*0.001*350*30*0.000001)/(70*30*365)</f>
        <v>3.9561591780821927E-10</v>
      </c>
      <c r="BD9" s="158">
        <f t="shared" ref="BD9:BD72" si="17">BC9/0.0003</f>
        <v>1.3187197260273977E-6</v>
      </c>
      <c r="BE9" s="144">
        <f t="shared" ref="BE9:BE72" si="18">(AJ9*5700*0.61*0.2*0.001*350*30*0.000001)/(70*30*365)</f>
        <v>1.2336205479452056E-6</v>
      </c>
      <c r="BF9" s="158">
        <f t="shared" ref="BF9:BF72" si="19">BE9/0.005</f>
        <v>2.4672410958904111E-4</v>
      </c>
      <c r="BG9" s="144">
        <f t="shared" ref="BG9:BG72" si="20">(AK9*5700*0.61*0.2*0.001*350*30*0.000001)/(70*30*365)</f>
        <v>5.1440547945205489E-10</v>
      </c>
      <c r="BH9" s="158">
        <f t="shared" ref="BH9:BH72" si="21">BG9/0.0005</f>
        <v>1.0288109589041098E-6</v>
      </c>
      <c r="BI9" s="144">
        <f t="shared" ref="BI9:BI72" si="22">(AL9*5700*0.61*0.2*0.001*350*30*0.000001)/(70*30*365)</f>
        <v>1.0839666575342467E-6</v>
      </c>
      <c r="BJ9" s="158">
        <f t="shared" ref="BJ9:BJ72" si="23">BI9/0.0056</f>
        <v>1.9356547455968691E-4</v>
      </c>
      <c r="BK9" s="144">
        <f t="shared" ref="BK9:BK72" si="24">(AG9*20*350*30)/(70*30*365*1360000000)</f>
        <v>3.0217566478646251E-10</v>
      </c>
      <c r="BL9" s="158">
        <f t="shared" ref="BL9:BL72" si="25">BK9/0.0003</f>
        <v>1.0072522159548751E-6</v>
      </c>
      <c r="BM9" s="144">
        <f t="shared" ref="BM9:BM72" si="26">(AH9*20*350*30)/(70*30*365*1360000000)</f>
        <v>2.7195809830781629E-9</v>
      </c>
      <c r="BN9" s="158">
        <f t="shared" ref="BN9:BN72" si="27">BM9/0.0035</f>
        <v>7.7702313802233224E-7</v>
      </c>
      <c r="BO9" s="144">
        <f t="shared" ref="BO9:BO72" si="28">(AI9*20*350*30)/(70*30*365*1360000000)</f>
        <v>8.366236905721193E-12</v>
      </c>
      <c r="BP9" s="158">
        <f t="shared" ref="BP9:BP72" si="29">BO9/0.0003</f>
        <v>2.7887456352403978E-8</v>
      </c>
      <c r="BQ9" s="144">
        <f t="shared" ref="BQ9:BQ72" si="30">(AJ9*20*350*30)/(70*30*365*1360000000)</f>
        <v>2.6087832393231265E-8</v>
      </c>
      <c r="BR9" s="158">
        <f t="shared" ref="BR9:BR72" si="31">BQ9/0.005</f>
        <v>5.2175664786462527E-6</v>
      </c>
      <c r="BS9" s="144">
        <f t="shared" ref="BS9:BS72" si="32">(AK9*20*350*30)/(70*30*365*1360000000)</f>
        <v>1.0878323932312651E-11</v>
      </c>
      <c r="BT9" s="158">
        <f t="shared" ref="BT9:BT72" si="33">BS9/0.0005</f>
        <v>2.1756647864625303E-8</v>
      </c>
      <c r="BU9" s="144">
        <f t="shared" ref="BU9:BU72" si="34">(AL9*20*350*30)/(70*30*365*1360000000)</f>
        <v>2.2923045930701053E-8</v>
      </c>
      <c r="BV9" s="144">
        <f t="shared" ref="BV9:BV72" si="35">BU9/0.0056</f>
        <v>4.0934010590537597E-6</v>
      </c>
    </row>
    <row r="10" spans="1:74">
      <c r="A10" s="106" t="s">
        <v>915</v>
      </c>
      <c r="B10" s="78" t="s">
        <v>917</v>
      </c>
      <c r="C10" s="236" t="s">
        <v>827</v>
      </c>
      <c r="D10" s="144">
        <v>6.37E-7</v>
      </c>
      <c r="E10" s="144">
        <v>4.29E-8</v>
      </c>
      <c r="F10" s="144">
        <v>1.9000000000000001E-9</v>
      </c>
      <c r="G10" s="144">
        <v>1.1300000000000001E-7</v>
      </c>
      <c r="H10" s="144">
        <v>1.8899999999999999E-10</v>
      </c>
      <c r="I10" s="144">
        <v>3.5000000000000002E-8</v>
      </c>
      <c r="J10" s="145">
        <v>8.2999999999999999E-7</v>
      </c>
      <c r="K10" s="220"/>
      <c r="L10" s="220"/>
      <c r="M10" s="220"/>
      <c r="N10" s="220"/>
      <c r="O10" s="220"/>
      <c r="P10" s="132" t="s">
        <v>1048</v>
      </c>
      <c r="Q10" s="132"/>
      <c r="R10" s="132"/>
      <c r="S10" s="132"/>
      <c r="T10" s="53" t="s">
        <v>93</v>
      </c>
      <c r="U10" s="154" t="s">
        <v>94</v>
      </c>
      <c r="V10" s="155" t="s">
        <v>339</v>
      </c>
      <c r="W10" s="53">
        <v>0.258245</v>
      </c>
      <c r="X10" s="53">
        <v>34.717754999999997</v>
      </c>
      <c r="Y10" s="53" t="s">
        <v>372</v>
      </c>
      <c r="Z10" s="53" t="s">
        <v>330</v>
      </c>
      <c r="AA10" s="116" t="s">
        <v>347</v>
      </c>
      <c r="AB10" s="154" t="s">
        <v>371</v>
      </c>
      <c r="AC10" s="116" t="s">
        <v>687</v>
      </c>
      <c r="AD10" s="53" t="s">
        <v>365</v>
      </c>
      <c r="AE10" s="53" t="s">
        <v>685</v>
      </c>
      <c r="AF10" s="53" t="s">
        <v>691</v>
      </c>
      <c r="AG10" s="156">
        <v>482.6</v>
      </c>
      <c r="AH10" s="157">
        <v>16.8</v>
      </c>
      <c r="AI10" s="75">
        <v>2.2132899999999998</v>
      </c>
      <c r="AJ10" s="157">
        <v>813.8</v>
      </c>
      <c r="AK10" s="156">
        <v>0.151</v>
      </c>
      <c r="AL10" s="157">
        <v>123.55</v>
      </c>
      <c r="AM10" s="144">
        <f t="shared" si="0"/>
        <v>6.6109589041095883E-4</v>
      </c>
      <c r="AN10" s="158">
        <f t="shared" si="6"/>
        <v>2.2036529680365295</v>
      </c>
      <c r="AO10" s="144">
        <f t="shared" si="1"/>
        <v>2.3013698630136985E-5</v>
      </c>
      <c r="AP10" s="158">
        <f t="shared" si="7"/>
        <v>6.392694063926941E-3</v>
      </c>
      <c r="AQ10" s="144">
        <f t="shared" si="2"/>
        <v>3.0319041095890408E-6</v>
      </c>
      <c r="AR10" s="158">
        <f t="shared" si="8"/>
        <v>1.010634703196347E-2</v>
      </c>
      <c r="AS10" s="144">
        <f t="shared" si="3"/>
        <v>1.1147945205479451E-3</v>
      </c>
      <c r="AT10" s="158">
        <f t="shared" si="9"/>
        <v>0.37159817351598173</v>
      </c>
      <c r="AU10" s="144">
        <f t="shared" si="4"/>
        <v>2.0684931506849315E-7</v>
      </c>
      <c r="AV10" s="158">
        <f t="shared" si="10"/>
        <v>4.1369863013698631E-4</v>
      </c>
      <c r="AW10" s="144">
        <f t="shared" si="5"/>
        <v>1.6924657534246574E-4</v>
      </c>
      <c r="AX10" s="158">
        <f t="shared" si="11"/>
        <v>8.4623287671232866E-3</v>
      </c>
      <c r="AY10" s="144">
        <f t="shared" si="12"/>
        <v>1.3791782465753425E-4</v>
      </c>
      <c r="AZ10" s="158">
        <f t="shared" si="13"/>
        <v>0.45972608219178085</v>
      </c>
      <c r="BA10" s="144">
        <f t="shared" si="14"/>
        <v>4.5972608219178086E-6</v>
      </c>
      <c r="BB10" s="158">
        <f t="shared" si="15"/>
        <v>1.3135030919765166E-3</v>
      </c>
      <c r="BC10" s="144">
        <f t="shared" si="16"/>
        <v>2.1083861178082186E-8</v>
      </c>
      <c r="BD10" s="158">
        <f t="shared" si="17"/>
        <v>7.0279537260273958E-5</v>
      </c>
      <c r="BE10" s="144">
        <f t="shared" si="18"/>
        <v>7.7522810958904095E-6</v>
      </c>
      <c r="BF10" s="158">
        <f t="shared" si="19"/>
        <v>1.5504562191780819E-3</v>
      </c>
      <c r="BG10" s="144">
        <f t="shared" si="20"/>
        <v>1.4384301369863014E-9</v>
      </c>
      <c r="BH10" s="158">
        <f t="shared" si="21"/>
        <v>2.8768602739726028E-6</v>
      </c>
      <c r="BI10" s="144">
        <f t="shared" si="22"/>
        <v>1.1769406849315066E-6</v>
      </c>
      <c r="BJ10" s="158">
        <f t="shared" si="23"/>
        <v>2.1016797945205476E-4</v>
      </c>
      <c r="BK10" s="144">
        <f t="shared" si="24"/>
        <v>9.7219983883964547E-8</v>
      </c>
      <c r="BL10" s="158">
        <f t="shared" si="25"/>
        <v>3.2406661294654852E-4</v>
      </c>
      <c r="BM10" s="144">
        <f t="shared" si="26"/>
        <v>3.3843674456083802E-9</v>
      </c>
      <c r="BN10" s="158">
        <f t="shared" si="27"/>
        <v>9.6696212731667995E-7</v>
      </c>
      <c r="BO10" s="144">
        <f t="shared" si="28"/>
        <v>4.4586825141015305E-10</v>
      </c>
      <c r="BP10" s="158">
        <f t="shared" si="29"/>
        <v>1.4862275047005103E-6</v>
      </c>
      <c r="BQ10" s="144">
        <f t="shared" si="30"/>
        <v>1.6394037066881548E-7</v>
      </c>
      <c r="BR10" s="158">
        <f t="shared" si="31"/>
        <v>3.2788074133763098E-5</v>
      </c>
      <c r="BS10" s="144">
        <f t="shared" si="32"/>
        <v>3.0419016921837227E-11</v>
      </c>
      <c r="BT10" s="158">
        <f t="shared" si="33"/>
        <v>6.0838033843674454E-8</v>
      </c>
      <c r="BU10" s="144">
        <f t="shared" si="34"/>
        <v>2.4889202256244963E-8</v>
      </c>
      <c r="BV10" s="144">
        <f t="shared" si="35"/>
        <v>4.4445004029008864E-6</v>
      </c>
    </row>
    <row r="11" spans="1:74">
      <c r="A11" s="106" t="s">
        <v>915</v>
      </c>
      <c r="B11" s="78" t="s">
        <v>917</v>
      </c>
      <c r="C11" s="236" t="s">
        <v>805</v>
      </c>
      <c r="D11" s="144">
        <v>4.0900000000000002E-4</v>
      </c>
      <c r="E11" s="144">
        <v>9.1699999999999997E-7</v>
      </c>
      <c r="F11" s="144">
        <v>4.07E-8</v>
      </c>
      <c r="G11" s="144">
        <v>2.4099999999999998E-6</v>
      </c>
      <c r="H11" s="144">
        <v>4.0499999999999999E-9</v>
      </c>
      <c r="I11" s="144">
        <v>7.5000000000000002E-7</v>
      </c>
      <c r="J11" s="145">
        <v>4.1300000000000001E-4</v>
      </c>
      <c r="K11" s="220"/>
      <c r="L11" s="220"/>
      <c r="M11" s="220"/>
      <c r="N11" s="220"/>
      <c r="O11" s="220"/>
      <c r="P11" s="132" t="s">
        <v>1047</v>
      </c>
      <c r="Q11" s="132"/>
      <c r="R11" s="132"/>
      <c r="S11" s="132"/>
      <c r="T11" s="53" t="s">
        <v>95</v>
      </c>
      <c r="U11" s="154" t="s">
        <v>96</v>
      </c>
      <c r="V11" s="155" t="s">
        <v>339</v>
      </c>
      <c r="W11" s="53">
        <v>0.25792300000000001</v>
      </c>
      <c r="X11" s="53">
        <v>34.719996000000002</v>
      </c>
      <c r="Y11" s="53" t="s">
        <v>372</v>
      </c>
      <c r="Z11" s="53" t="s">
        <v>330</v>
      </c>
      <c r="AA11" s="116" t="s">
        <v>347</v>
      </c>
      <c r="AB11" s="154" t="s">
        <v>371</v>
      </c>
      <c r="AC11" s="116" t="s">
        <v>687</v>
      </c>
      <c r="AD11" s="53" t="s">
        <v>366</v>
      </c>
      <c r="AE11" s="53" t="s">
        <v>684</v>
      </c>
      <c r="AF11" s="53" t="s">
        <v>683</v>
      </c>
      <c r="AG11" s="156">
        <v>7.8</v>
      </c>
      <c r="AH11" s="157">
        <v>20.3</v>
      </c>
      <c r="AI11" s="75">
        <v>0.31496999999999997</v>
      </c>
      <c r="AJ11" s="157">
        <v>1257.0999999999999</v>
      </c>
      <c r="AK11" s="156">
        <v>9.2999999999999999E-2</v>
      </c>
      <c r="AL11" s="157">
        <v>244.79</v>
      </c>
      <c r="AM11" s="144">
        <f t="shared" si="0"/>
        <v>1.0684931506849315E-5</v>
      </c>
      <c r="AN11" s="158">
        <f t="shared" si="6"/>
        <v>3.5616438356164383E-2</v>
      </c>
      <c r="AO11" s="144">
        <f t="shared" si="1"/>
        <v>2.780821917808219E-5</v>
      </c>
      <c r="AP11" s="158">
        <f t="shared" si="7"/>
        <v>7.7245053272450527E-3</v>
      </c>
      <c r="AQ11" s="144">
        <f t="shared" si="2"/>
        <v>4.3146575342465741E-7</v>
      </c>
      <c r="AR11" s="158">
        <f t="shared" si="8"/>
        <v>1.4382191780821915E-3</v>
      </c>
      <c r="AS11" s="144">
        <f t="shared" si="3"/>
        <v>1.7220547945205476E-3</v>
      </c>
      <c r="AT11" s="158">
        <f t="shared" si="9"/>
        <v>0.57401826484018259</v>
      </c>
      <c r="AU11" s="144">
        <f t="shared" si="4"/>
        <v>1.2739726027397262E-7</v>
      </c>
      <c r="AV11" s="158">
        <f t="shared" si="10"/>
        <v>2.5479452054794522E-4</v>
      </c>
      <c r="AW11" s="144">
        <f t="shared" si="5"/>
        <v>3.3532876712328766E-4</v>
      </c>
      <c r="AX11" s="158">
        <f t="shared" si="11"/>
        <v>1.6766438356164384E-2</v>
      </c>
      <c r="AY11" s="144">
        <f t="shared" si="12"/>
        <v>2.2290904109589041E-6</v>
      </c>
      <c r="AZ11" s="158">
        <f t="shared" si="13"/>
        <v>7.4303013698630146E-3</v>
      </c>
      <c r="BA11" s="144">
        <f t="shared" si="14"/>
        <v>7.4303013698630136E-8</v>
      </c>
      <c r="BB11" s="158">
        <f t="shared" si="15"/>
        <v>2.1229432485322897E-5</v>
      </c>
      <c r="BC11" s="144">
        <f t="shared" si="16"/>
        <v>3.0004128493150672E-9</v>
      </c>
      <c r="BD11" s="158">
        <f t="shared" si="17"/>
        <v>1.0001376164383559E-5</v>
      </c>
      <c r="BE11" s="144">
        <f t="shared" si="18"/>
        <v>1.1975169041095889E-5</v>
      </c>
      <c r="BF11" s="158">
        <f t="shared" si="19"/>
        <v>2.3950338082191778E-3</v>
      </c>
      <c r="BG11" s="144">
        <f t="shared" si="20"/>
        <v>8.8592054794520534E-10</v>
      </c>
      <c r="BH11" s="158">
        <f t="shared" si="21"/>
        <v>1.7718410958904106E-6</v>
      </c>
      <c r="BI11" s="144">
        <f t="shared" si="22"/>
        <v>2.3318762465753421E-6</v>
      </c>
      <c r="BJ11" s="158">
        <f t="shared" si="23"/>
        <v>4.1640647260273968E-4</v>
      </c>
      <c r="BK11" s="144">
        <f t="shared" si="24"/>
        <v>1.5713134568896052E-9</v>
      </c>
      <c r="BL11" s="158">
        <f t="shared" si="25"/>
        <v>5.2377115229653515E-6</v>
      </c>
      <c r="BM11" s="144">
        <f t="shared" si="26"/>
        <v>4.0894439967767926E-9</v>
      </c>
      <c r="BN11" s="158">
        <f t="shared" si="27"/>
        <v>1.168412570507655E-6</v>
      </c>
      <c r="BO11" s="144">
        <f t="shared" si="28"/>
        <v>6.3450846091861401E-11</v>
      </c>
      <c r="BP11" s="158">
        <f t="shared" si="29"/>
        <v>2.1150282030620468E-7</v>
      </c>
      <c r="BQ11" s="144">
        <f t="shared" si="30"/>
        <v>2.532433521353747E-7</v>
      </c>
      <c r="BR11" s="158">
        <f t="shared" si="31"/>
        <v>5.064867042707494E-5</v>
      </c>
      <c r="BS11" s="144">
        <f t="shared" si="32"/>
        <v>1.8734891216760678E-11</v>
      </c>
      <c r="BT11" s="158">
        <f t="shared" si="33"/>
        <v>3.7469782433521356E-8</v>
      </c>
      <c r="BU11" s="144">
        <f t="shared" si="34"/>
        <v>4.9313053988718775E-8</v>
      </c>
      <c r="BV11" s="144">
        <f t="shared" si="35"/>
        <v>8.8059024979854965E-6</v>
      </c>
    </row>
    <row r="12" spans="1:74">
      <c r="A12" s="106"/>
      <c r="C12" s="237" t="s">
        <v>914</v>
      </c>
      <c r="D12" s="144">
        <v>2.3199999999999998E-2</v>
      </c>
      <c r="E12" s="144">
        <v>1.5299999999999999E-3</v>
      </c>
      <c r="F12" s="144">
        <v>6.7999999999999999E-5</v>
      </c>
      <c r="G12" s="144">
        <v>4.0299999999999997E-3</v>
      </c>
      <c r="H12" s="144">
        <v>6.7700000000000004E-6</v>
      </c>
      <c r="I12" s="144">
        <v>1.25E-3</v>
      </c>
      <c r="J12" s="145">
        <v>3.0099999999999998E-2</v>
      </c>
      <c r="K12" s="220"/>
      <c r="L12" s="220"/>
      <c r="M12" s="220"/>
      <c r="N12" s="220"/>
      <c r="O12" s="220"/>
      <c r="P12" s="418" t="s">
        <v>1046</v>
      </c>
      <c r="Q12" s="418"/>
      <c r="R12" s="418"/>
      <c r="S12" s="418"/>
      <c r="T12" s="53" t="s">
        <v>97</v>
      </c>
      <c r="U12" s="154" t="s">
        <v>98</v>
      </c>
      <c r="V12" s="155" t="s">
        <v>339</v>
      </c>
      <c r="W12" s="53">
        <v>0.258245</v>
      </c>
      <c r="X12" s="53">
        <v>34.717754999999997</v>
      </c>
      <c r="Y12" s="53" t="s">
        <v>372</v>
      </c>
      <c r="Z12" s="53" t="s">
        <v>330</v>
      </c>
      <c r="AA12" s="116" t="s">
        <v>347</v>
      </c>
      <c r="AB12" s="154" t="s">
        <v>371</v>
      </c>
      <c r="AC12" s="116" t="s">
        <v>687</v>
      </c>
      <c r="AD12" s="53" t="s">
        <v>366</v>
      </c>
      <c r="AE12" s="53" t="s">
        <v>684</v>
      </c>
      <c r="AF12" s="53" t="s">
        <v>683</v>
      </c>
      <c r="AG12" s="156">
        <v>8.4</v>
      </c>
      <c r="AH12" s="157">
        <v>18.5</v>
      </c>
      <c r="AI12" s="75">
        <v>0.44583999999999996</v>
      </c>
      <c r="AJ12" s="157">
        <v>1344</v>
      </c>
      <c r="AK12" s="156">
        <v>7.3999999999999996E-2</v>
      </c>
      <c r="AL12" s="157">
        <v>277.10000000000002</v>
      </c>
      <c r="AM12" s="144">
        <f t="shared" si="0"/>
        <v>1.1506849315068493E-5</v>
      </c>
      <c r="AN12" s="158">
        <f t="shared" si="6"/>
        <v>3.8356164383561646E-2</v>
      </c>
      <c r="AO12" s="144">
        <f t="shared" si="1"/>
        <v>2.5342465753424657E-5</v>
      </c>
      <c r="AP12" s="158">
        <f t="shared" si="7"/>
        <v>7.0395738203957387E-3</v>
      </c>
      <c r="AQ12" s="144">
        <f t="shared" si="2"/>
        <v>6.1073972602739721E-7</v>
      </c>
      <c r="AR12" s="158">
        <f t="shared" si="8"/>
        <v>2.035799086757991E-3</v>
      </c>
      <c r="AS12" s="144">
        <f t="shared" si="3"/>
        <v>1.841095890410959E-3</v>
      </c>
      <c r="AT12" s="158">
        <f t="shared" si="9"/>
        <v>0.61369863013698633</v>
      </c>
      <c r="AU12" s="144">
        <f t="shared" si="4"/>
        <v>1.0136986301369862E-7</v>
      </c>
      <c r="AV12" s="158">
        <f t="shared" si="10"/>
        <v>2.0273972602739723E-4</v>
      </c>
      <c r="AW12" s="144">
        <f t="shared" si="5"/>
        <v>3.7958904109589047E-4</v>
      </c>
      <c r="AX12" s="158">
        <f t="shared" si="11"/>
        <v>1.8979452054794524E-2</v>
      </c>
      <c r="AY12" s="144">
        <f t="shared" si="12"/>
        <v>2.4005589041095891E-6</v>
      </c>
      <c r="AZ12" s="158">
        <f t="shared" si="13"/>
        <v>8.0018630136986305E-3</v>
      </c>
      <c r="BA12" s="144">
        <f t="shared" si="14"/>
        <v>8.0018630136986315E-8</v>
      </c>
      <c r="BB12" s="158">
        <f t="shared" si="15"/>
        <v>2.2862465753424661E-5</v>
      </c>
      <c r="BC12" s="144">
        <f t="shared" si="16"/>
        <v>4.2470840547945194E-9</v>
      </c>
      <c r="BD12" s="158">
        <f t="shared" si="17"/>
        <v>1.4156946849315067E-5</v>
      </c>
      <c r="BE12" s="144">
        <f t="shared" si="18"/>
        <v>1.2802980821917808E-5</v>
      </c>
      <c r="BF12" s="158">
        <f t="shared" si="19"/>
        <v>2.5605961643835615E-3</v>
      </c>
      <c r="BG12" s="144">
        <f t="shared" si="20"/>
        <v>7.0492602739726024E-10</v>
      </c>
      <c r="BH12" s="158">
        <f t="shared" si="21"/>
        <v>1.4098520547945205E-6</v>
      </c>
      <c r="BI12" s="144">
        <f t="shared" si="22"/>
        <v>2.6396621917808221E-6</v>
      </c>
      <c r="BJ12" s="158">
        <f t="shared" si="23"/>
        <v>4.713682485322897E-4</v>
      </c>
      <c r="BK12" s="144">
        <f t="shared" si="24"/>
        <v>1.6921837228041901E-9</v>
      </c>
      <c r="BL12" s="158">
        <f t="shared" si="25"/>
        <v>5.6406124093473007E-6</v>
      </c>
      <c r="BM12" s="144">
        <f t="shared" si="26"/>
        <v>3.7268331990330381E-9</v>
      </c>
      <c r="BN12" s="158">
        <f t="shared" si="27"/>
        <v>1.0648094854380109E-6</v>
      </c>
      <c r="BO12" s="144">
        <f t="shared" si="28"/>
        <v>8.98146655922643E-11</v>
      </c>
      <c r="BP12" s="158">
        <f t="shared" si="29"/>
        <v>2.9938221864088103E-7</v>
      </c>
      <c r="BQ12" s="144">
        <f t="shared" si="30"/>
        <v>2.7074939564867042E-7</v>
      </c>
      <c r="BR12" s="158">
        <f t="shared" si="31"/>
        <v>5.4149879129734084E-5</v>
      </c>
      <c r="BS12" s="144">
        <f t="shared" si="32"/>
        <v>1.490733279613215E-11</v>
      </c>
      <c r="BT12" s="158">
        <f t="shared" si="33"/>
        <v>2.9814665592264298E-8</v>
      </c>
      <c r="BU12" s="144">
        <f t="shared" si="34"/>
        <v>5.5821917808219176E-8</v>
      </c>
      <c r="BV12" s="144">
        <f t="shared" si="35"/>
        <v>9.9681996086105667E-6</v>
      </c>
    </row>
    <row r="13" spans="1:74">
      <c r="A13" s="106" t="s">
        <v>918</v>
      </c>
      <c r="B13" s="78" t="s">
        <v>916</v>
      </c>
      <c r="C13" s="236" t="s">
        <v>805</v>
      </c>
      <c r="D13" s="144">
        <v>1.27E-4</v>
      </c>
      <c r="E13" s="144">
        <v>5.5899999999999996E-7</v>
      </c>
      <c r="F13" s="144">
        <v>5.3500000000000003E-8</v>
      </c>
      <c r="G13" s="144">
        <v>3.1599999999999998E-6</v>
      </c>
      <c r="H13" s="144">
        <v>2.0799999999999998E-9</v>
      </c>
      <c r="I13" s="144">
        <v>8.3200000000000004E-7</v>
      </c>
      <c r="J13" s="145">
        <v>1.3200000000000001E-4</v>
      </c>
      <c r="K13" s="220"/>
      <c r="L13" s="220"/>
      <c r="M13" s="220"/>
      <c r="N13" s="220"/>
      <c r="O13" s="220"/>
      <c r="P13" s="305" t="s">
        <v>1043</v>
      </c>
      <c r="Q13" s="132"/>
      <c r="R13" s="132"/>
      <c r="S13" s="132"/>
      <c r="T13" s="53" t="s">
        <v>99</v>
      </c>
      <c r="U13" s="154" t="s">
        <v>100</v>
      </c>
      <c r="V13" s="155" t="s">
        <v>339</v>
      </c>
      <c r="W13" s="53">
        <v>0.25792300000000001</v>
      </c>
      <c r="X13" s="53">
        <v>34.719996000000002</v>
      </c>
      <c r="Y13" s="53" t="s">
        <v>372</v>
      </c>
      <c r="Z13" s="53" t="s">
        <v>330</v>
      </c>
      <c r="AA13" s="116" t="s">
        <v>347</v>
      </c>
      <c r="AB13" s="154" t="s">
        <v>371</v>
      </c>
      <c r="AC13" s="116" t="s">
        <v>687</v>
      </c>
      <c r="AD13" s="53" t="s">
        <v>367</v>
      </c>
      <c r="AE13" s="53" t="s">
        <v>684</v>
      </c>
      <c r="AF13" s="53" t="s">
        <v>683</v>
      </c>
      <c r="AG13" s="156">
        <v>7.2</v>
      </c>
      <c r="AH13" s="157">
        <v>20.6</v>
      </c>
      <c r="AI13" s="75">
        <v>9.7669999999999993E-2</v>
      </c>
      <c r="AJ13" s="157">
        <v>611.9</v>
      </c>
      <c r="AK13" s="156">
        <v>6.6000000000000003E-2</v>
      </c>
      <c r="AL13" s="157">
        <v>152.46</v>
      </c>
      <c r="AM13" s="144">
        <f t="shared" si="0"/>
        <v>9.8630136986301364E-6</v>
      </c>
      <c r="AN13" s="158">
        <f t="shared" si="6"/>
        <v>3.2876712328767127E-2</v>
      </c>
      <c r="AO13" s="144">
        <f t="shared" si="1"/>
        <v>2.821917808219178E-5</v>
      </c>
      <c r="AP13" s="158">
        <f t="shared" si="7"/>
        <v>7.838660578386605E-3</v>
      </c>
      <c r="AQ13" s="144">
        <f t="shared" si="2"/>
        <v>1.3379452054794518E-7</v>
      </c>
      <c r="AR13" s="158">
        <f t="shared" si="8"/>
        <v>4.4598173515981732E-4</v>
      </c>
      <c r="AS13" s="144">
        <f t="shared" si="3"/>
        <v>8.3821917808219175E-4</v>
      </c>
      <c r="AT13" s="158">
        <f t="shared" si="9"/>
        <v>0.27940639269406392</v>
      </c>
      <c r="AU13" s="144">
        <f t="shared" si="4"/>
        <v>9.0410958904109595E-8</v>
      </c>
      <c r="AV13" s="158">
        <f t="shared" si="10"/>
        <v>1.8082191780821919E-4</v>
      </c>
      <c r="AW13" s="144">
        <f t="shared" si="5"/>
        <v>2.0884931506849315E-4</v>
      </c>
      <c r="AX13" s="158">
        <f t="shared" si="11"/>
        <v>1.0442465753424657E-2</v>
      </c>
      <c r="AY13" s="144">
        <f t="shared" si="12"/>
        <v>2.0576219178082191E-6</v>
      </c>
      <c r="AZ13" s="158">
        <f t="shared" si="13"/>
        <v>6.8587397260273979E-3</v>
      </c>
      <c r="BA13" s="144">
        <f t="shared" si="14"/>
        <v>6.8587397260273956E-8</v>
      </c>
      <c r="BB13" s="158">
        <f t="shared" si="15"/>
        <v>1.959639921722113E-5</v>
      </c>
      <c r="BC13" s="144">
        <f t="shared" si="16"/>
        <v>9.304070958904109E-10</v>
      </c>
      <c r="BD13" s="158">
        <f t="shared" si="17"/>
        <v>3.1013569863013698E-6</v>
      </c>
      <c r="BE13" s="144">
        <f t="shared" si="18"/>
        <v>5.8289761643835619E-6</v>
      </c>
      <c r="BF13" s="158">
        <f t="shared" si="19"/>
        <v>1.1657952328767123E-3</v>
      </c>
      <c r="BG13" s="144">
        <f t="shared" si="20"/>
        <v>6.287178082191782E-10</v>
      </c>
      <c r="BH13" s="158">
        <f t="shared" si="21"/>
        <v>1.2574356164383563E-6</v>
      </c>
      <c r="BI13" s="144">
        <f t="shared" si="22"/>
        <v>1.4523381369863018E-6</v>
      </c>
      <c r="BJ13" s="158">
        <f t="shared" si="23"/>
        <v>2.5934609589041104E-4</v>
      </c>
      <c r="BK13" s="144">
        <f t="shared" si="24"/>
        <v>1.4504431909750201E-9</v>
      </c>
      <c r="BL13" s="158">
        <f t="shared" si="25"/>
        <v>4.8348106365834006E-6</v>
      </c>
      <c r="BM13" s="144">
        <f t="shared" si="26"/>
        <v>4.1498791297340852E-9</v>
      </c>
      <c r="BN13" s="158">
        <f t="shared" si="27"/>
        <v>1.1856797513525957E-6</v>
      </c>
      <c r="BO13" s="144">
        <f t="shared" si="28"/>
        <v>1.9675664786462529E-11</v>
      </c>
      <c r="BP13" s="158">
        <f t="shared" si="29"/>
        <v>6.5585549288208434E-8</v>
      </c>
      <c r="BQ13" s="144">
        <f t="shared" si="30"/>
        <v>1.2326752618855762E-7</v>
      </c>
      <c r="BR13" s="158">
        <f t="shared" si="31"/>
        <v>2.4653505237711524E-5</v>
      </c>
      <c r="BS13" s="144">
        <f t="shared" si="32"/>
        <v>1.3295729250604351E-11</v>
      </c>
      <c r="BT13" s="158">
        <f t="shared" si="33"/>
        <v>2.6591458501208701E-8</v>
      </c>
      <c r="BU13" s="144">
        <f t="shared" si="34"/>
        <v>3.0713134568896049E-8</v>
      </c>
      <c r="BV13" s="144">
        <f t="shared" si="35"/>
        <v>5.4844883158742945E-6</v>
      </c>
    </row>
    <row r="14" spans="1:74">
      <c r="A14" s="106" t="s">
        <v>918</v>
      </c>
      <c r="B14" s="78" t="s">
        <v>917</v>
      </c>
      <c r="C14" s="236" t="s">
        <v>805</v>
      </c>
      <c r="D14" s="144">
        <v>1.02E-4</v>
      </c>
      <c r="E14" s="144">
        <v>4.4799999999999999E-7</v>
      </c>
      <c r="F14" s="144">
        <v>4.3000000000000001E-8</v>
      </c>
      <c r="G14" s="144">
        <v>2.5299999999999999E-6</v>
      </c>
      <c r="H14" s="144">
        <v>1.67E-9</v>
      </c>
      <c r="I14" s="144">
        <v>6.68E-7</v>
      </c>
      <c r="J14" s="145">
        <v>1.06E-4</v>
      </c>
      <c r="K14" s="220"/>
      <c r="L14" s="220"/>
      <c r="M14" s="220"/>
      <c r="N14" s="220"/>
      <c r="O14" s="220"/>
      <c r="P14" s="306" t="s">
        <v>1049</v>
      </c>
      <c r="Q14" s="16"/>
      <c r="R14" s="16"/>
      <c r="S14" s="16"/>
      <c r="T14" s="53" t="s">
        <v>101</v>
      </c>
      <c r="U14" s="154" t="s">
        <v>102</v>
      </c>
      <c r="V14" s="155" t="s">
        <v>339</v>
      </c>
      <c r="W14" s="53">
        <v>0.25812800000000002</v>
      </c>
      <c r="X14" s="53">
        <v>34.720103999999999</v>
      </c>
      <c r="Y14" s="53" t="s">
        <v>372</v>
      </c>
      <c r="Z14" s="53" t="s">
        <v>330</v>
      </c>
      <c r="AA14" s="116" t="s">
        <v>347</v>
      </c>
      <c r="AB14" s="154" t="s">
        <v>371</v>
      </c>
      <c r="AC14" s="116" t="s">
        <v>687</v>
      </c>
      <c r="AD14" s="53" t="s">
        <v>366</v>
      </c>
      <c r="AE14" s="53" t="s">
        <v>684</v>
      </c>
      <c r="AF14" s="53" t="s">
        <v>683</v>
      </c>
      <c r="AG14" s="156">
        <v>2.8</v>
      </c>
      <c r="AH14" s="157">
        <v>11.7</v>
      </c>
      <c r="AI14" s="75">
        <v>2.2800000000000001E-2</v>
      </c>
      <c r="AJ14" s="157">
        <v>299.2</v>
      </c>
      <c r="AK14" s="156">
        <v>7.6999999999999999E-2</v>
      </c>
      <c r="AL14" s="157">
        <v>185.34</v>
      </c>
      <c r="AM14" s="144">
        <f t="shared" si="0"/>
        <v>3.8356164383561645E-6</v>
      </c>
      <c r="AN14" s="158">
        <f t="shared" si="6"/>
        <v>1.2785388127853884E-2</v>
      </c>
      <c r="AO14" s="144">
        <f t="shared" si="1"/>
        <v>1.6027397260273974E-5</v>
      </c>
      <c r="AP14" s="158">
        <f t="shared" si="7"/>
        <v>4.4520547945205487E-3</v>
      </c>
      <c r="AQ14" s="144">
        <f t="shared" si="2"/>
        <v>3.1232876712328774E-8</v>
      </c>
      <c r="AR14" s="158">
        <f t="shared" si="8"/>
        <v>1.0410958904109592E-4</v>
      </c>
      <c r="AS14" s="144">
        <f t="shared" si="3"/>
        <v>4.0986301369863007E-4</v>
      </c>
      <c r="AT14" s="158">
        <f t="shared" si="9"/>
        <v>0.13662100456621001</v>
      </c>
      <c r="AU14" s="144">
        <f t="shared" si="4"/>
        <v>1.0547945205479451E-7</v>
      </c>
      <c r="AV14" s="158">
        <f t="shared" si="10"/>
        <v>2.10958904109589E-4</v>
      </c>
      <c r="AW14" s="144">
        <f t="shared" si="5"/>
        <v>2.5389041095890411E-4</v>
      </c>
      <c r="AX14" s="158">
        <f t="shared" si="11"/>
        <v>1.2694520547945206E-2</v>
      </c>
      <c r="AY14" s="144">
        <f t="shared" si="12"/>
        <v>8.0018630136986281E-7</v>
      </c>
      <c r="AZ14" s="158">
        <f t="shared" si="13"/>
        <v>2.6672876712328761E-3</v>
      </c>
      <c r="BA14" s="144">
        <f t="shared" si="14"/>
        <v>2.6672876712328762E-8</v>
      </c>
      <c r="BB14" s="158">
        <f t="shared" si="15"/>
        <v>7.6208219178082174E-6</v>
      </c>
      <c r="BC14" s="144">
        <f t="shared" si="16"/>
        <v>2.1719342465753426E-10</v>
      </c>
      <c r="BD14" s="158">
        <f t="shared" si="17"/>
        <v>7.2397808219178094E-7</v>
      </c>
      <c r="BE14" s="144">
        <f t="shared" si="18"/>
        <v>2.8501873972602743E-6</v>
      </c>
      <c r="BF14" s="158">
        <f t="shared" si="19"/>
        <v>5.700374794520549E-4</v>
      </c>
      <c r="BG14" s="144">
        <f t="shared" si="20"/>
        <v>7.3350410958904096E-10</v>
      </c>
      <c r="BH14" s="158">
        <f t="shared" si="21"/>
        <v>1.4670082191780819E-6</v>
      </c>
      <c r="BI14" s="144">
        <f t="shared" si="22"/>
        <v>1.7655539178082192E-6</v>
      </c>
      <c r="BJ14" s="158">
        <f t="shared" si="23"/>
        <v>3.1527748532289627E-4</v>
      </c>
      <c r="BK14" s="144">
        <f t="shared" si="24"/>
        <v>5.6406124093473007E-10</v>
      </c>
      <c r="BL14" s="158">
        <f t="shared" si="25"/>
        <v>1.8802041364491005E-6</v>
      </c>
      <c r="BM14" s="144">
        <f t="shared" si="26"/>
        <v>2.3569701853344079E-9</v>
      </c>
      <c r="BN14" s="158">
        <f t="shared" si="27"/>
        <v>6.7342005295268801E-7</v>
      </c>
      <c r="BO14" s="144">
        <f t="shared" si="28"/>
        <v>4.5930701047542307E-12</v>
      </c>
      <c r="BP14" s="158">
        <f t="shared" si="29"/>
        <v>1.5310233682514103E-8</v>
      </c>
      <c r="BQ14" s="144">
        <f t="shared" si="30"/>
        <v>6.027397260273973E-8</v>
      </c>
      <c r="BR14" s="158">
        <f t="shared" si="31"/>
        <v>1.2054794520547945E-5</v>
      </c>
      <c r="BS14" s="144">
        <f t="shared" si="32"/>
        <v>1.5511684125705077E-11</v>
      </c>
      <c r="BT14" s="158">
        <f t="shared" si="33"/>
        <v>3.1023368251410149E-8</v>
      </c>
      <c r="BU14" s="144">
        <f t="shared" si="34"/>
        <v>3.7336825141015308E-8</v>
      </c>
      <c r="BV14" s="144">
        <f t="shared" si="35"/>
        <v>6.6672902037527334E-6</v>
      </c>
    </row>
    <row r="15" spans="1:74">
      <c r="A15" s="106" t="s">
        <v>919</v>
      </c>
      <c r="B15" s="78" t="s">
        <v>916</v>
      </c>
      <c r="C15" s="236" t="s">
        <v>792</v>
      </c>
      <c r="D15" s="144">
        <v>7.0200000000000004E-4</v>
      </c>
      <c r="E15" s="144">
        <v>4.1999999999999996E-6</v>
      </c>
      <c r="F15" s="144" t="s">
        <v>768</v>
      </c>
      <c r="G15" s="144">
        <v>1.59E-5</v>
      </c>
      <c r="H15" s="144">
        <v>2.4899999999999999E-6</v>
      </c>
      <c r="I15" s="144">
        <v>2.0799999999999999E-4</v>
      </c>
      <c r="J15" s="145">
        <v>9.3300000000000002E-4</v>
      </c>
      <c r="K15" s="223"/>
      <c r="L15" s="223"/>
      <c r="M15" s="223"/>
      <c r="N15" s="223"/>
      <c r="O15" s="223"/>
      <c r="P15" s="307" t="s">
        <v>1051</v>
      </c>
      <c r="T15" s="53" t="s">
        <v>103</v>
      </c>
      <c r="U15" s="53" t="s">
        <v>104</v>
      </c>
      <c r="V15" s="155" t="s">
        <v>339</v>
      </c>
      <c r="W15" s="53">
        <v>0.25792300000000001</v>
      </c>
      <c r="X15" s="53">
        <v>34.719996000000002</v>
      </c>
      <c r="Y15" s="53" t="s">
        <v>372</v>
      </c>
      <c r="Z15" s="53" t="s">
        <v>330</v>
      </c>
      <c r="AA15" s="116" t="s">
        <v>347</v>
      </c>
      <c r="AB15" s="154" t="s">
        <v>371</v>
      </c>
      <c r="AC15" s="116" t="s">
        <v>687</v>
      </c>
      <c r="AD15" s="53" t="s">
        <v>365</v>
      </c>
      <c r="AE15" s="53" t="s">
        <v>685</v>
      </c>
      <c r="AF15" s="53" t="s">
        <v>691</v>
      </c>
      <c r="AG15" s="156">
        <v>413</v>
      </c>
      <c r="AH15" s="157">
        <v>25</v>
      </c>
      <c r="AI15" s="75">
        <v>1.3671899999999999</v>
      </c>
      <c r="AJ15" s="157">
        <v>1244.5999999999999</v>
      </c>
      <c r="AK15" s="156">
        <v>0.112</v>
      </c>
      <c r="AL15" s="157">
        <v>182.54</v>
      </c>
      <c r="AM15" s="144">
        <f t="shared" si="0"/>
        <v>5.6575342465753418E-4</v>
      </c>
      <c r="AN15" s="158">
        <f t="shared" si="6"/>
        <v>1.8858447488584476</v>
      </c>
      <c r="AO15" s="144">
        <f t="shared" si="1"/>
        <v>3.4246575342465751E-5</v>
      </c>
      <c r="AP15" s="158">
        <f t="shared" si="7"/>
        <v>9.5129375951293754E-3</v>
      </c>
      <c r="AQ15" s="144">
        <f t="shared" si="2"/>
        <v>1.8728630136986301E-6</v>
      </c>
      <c r="AR15" s="158">
        <f t="shared" si="8"/>
        <v>6.2428767123287677E-3</v>
      </c>
      <c r="AS15" s="144">
        <f t="shared" si="3"/>
        <v>1.7049315068493147E-3</v>
      </c>
      <c r="AT15" s="158">
        <f t="shared" si="9"/>
        <v>0.56831050228310487</v>
      </c>
      <c r="AU15" s="144">
        <f t="shared" si="4"/>
        <v>1.5342465753424659E-7</v>
      </c>
      <c r="AV15" s="158">
        <f t="shared" si="10"/>
        <v>3.0684931506849315E-4</v>
      </c>
      <c r="AW15" s="144">
        <f t="shared" si="5"/>
        <v>2.5005479452054797E-4</v>
      </c>
      <c r="AX15" s="158">
        <f t="shared" si="11"/>
        <v>1.2502739726027398E-2</v>
      </c>
      <c r="AY15" s="144">
        <f t="shared" si="12"/>
        <v>1.1802747945205477E-4</v>
      </c>
      <c r="AZ15" s="158">
        <f t="shared" si="13"/>
        <v>0.39342493150684926</v>
      </c>
      <c r="BA15" s="144">
        <f t="shared" si="14"/>
        <v>3.9342493150684926E-6</v>
      </c>
      <c r="BB15" s="158">
        <f t="shared" si="15"/>
        <v>1.1240712328767122E-3</v>
      </c>
      <c r="BC15" s="144">
        <f t="shared" si="16"/>
        <v>1.3023889397260271E-8</v>
      </c>
      <c r="BD15" s="158">
        <f t="shared" si="17"/>
        <v>4.3412964657534242E-5</v>
      </c>
      <c r="BE15" s="144">
        <f t="shared" si="18"/>
        <v>1.1856093698630135E-5</v>
      </c>
      <c r="BF15" s="158">
        <f t="shared" si="19"/>
        <v>2.371218739726027E-3</v>
      </c>
      <c r="BG15" s="144">
        <f t="shared" si="20"/>
        <v>1.0669150684931508E-9</v>
      </c>
      <c r="BH15" s="158">
        <f t="shared" si="21"/>
        <v>2.1338301369863015E-6</v>
      </c>
      <c r="BI15" s="144">
        <f t="shared" si="22"/>
        <v>1.7388810410958902E-6</v>
      </c>
      <c r="BJ15" s="158">
        <f t="shared" si="23"/>
        <v>3.1051447162426613E-4</v>
      </c>
      <c r="BK15" s="144">
        <f t="shared" si="24"/>
        <v>8.3199033037872686E-8</v>
      </c>
      <c r="BL15" s="158">
        <f t="shared" si="25"/>
        <v>2.7733011012624233E-4</v>
      </c>
      <c r="BM15" s="144">
        <f t="shared" si="26"/>
        <v>5.0362610797743753E-9</v>
      </c>
      <c r="BN15" s="158">
        <f t="shared" si="27"/>
        <v>1.4389317370783928E-6</v>
      </c>
      <c r="BO15" s="144">
        <f t="shared" si="28"/>
        <v>2.7542103142626917E-10</v>
      </c>
      <c r="BP15" s="158">
        <f t="shared" si="29"/>
        <v>9.1807010475423066E-7</v>
      </c>
      <c r="BQ15" s="144">
        <f t="shared" si="30"/>
        <v>2.5072522159548751E-7</v>
      </c>
      <c r="BR15" s="158">
        <f t="shared" si="31"/>
        <v>5.01450443190975E-5</v>
      </c>
      <c r="BS15" s="144">
        <f t="shared" si="32"/>
        <v>2.2562449637389206E-11</v>
      </c>
      <c r="BT15" s="158">
        <f t="shared" si="33"/>
        <v>4.5124899274778414E-8</v>
      </c>
      <c r="BU15" s="144">
        <f t="shared" si="34"/>
        <v>3.6772763900080578E-8</v>
      </c>
      <c r="BV15" s="144">
        <f t="shared" si="35"/>
        <v>6.5665649821572459E-6</v>
      </c>
    </row>
    <row r="16" spans="1:74">
      <c r="A16" s="106" t="s">
        <v>919</v>
      </c>
      <c r="B16" s="78" t="s">
        <v>916</v>
      </c>
      <c r="C16" s="236" t="s">
        <v>805</v>
      </c>
      <c r="D16" s="144">
        <v>4.6799999999999999E-5</v>
      </c>
      <c r="E16" s="144">
        <v>9.3299999999999998E-10</v>
      </c>
      <c r="F16" s="144" t="s">
        <v>768</v>
      </c>
      <c r="G16" s="144">
        <v>3.5399999999999999E-8</v>
      </c>
      <c r="H16" s="144">
        <v>5.5299999999999997E-9</v>
      </c>
      <c r="I16" s="144">
        <v>9.2500000000000001E-8</v>
      </c>
      <c r="J16" s="145">
        <v>4.6900000000000002E-5</v>
      </c>
      <c r="K16" s="223"/>
      <c r="L16" s="223"/>
      <c r="M16" s="223"/>
      <c r="N16" s="223"/>
      <c r="O16" s="223"/>
      <c r="P16" s="223"/>
      <c r="T16" s="53" t="s">
        <v>105</v>
      </c>
      <c r="U16" s="53" t="s">
        <v>106</v>
      </c>
      <c r="V16" s="155" t="s">
        <v>339</v>
      </c>
      <c r="W16" s="53">
        <v>0.25812800000000002</v>
      </c>
      <c r="X16" s="53">
        <v>34.720103999999999</v>
      </c>
      <c r="Y16" s="53" t="s">
        <v>372</v>
      </c>
      <c r="Z16" s="53" t="s">
        <v>330</v>
      </c>
      <c r="AA16" s="116" t="s">
        <v>347</v>
      </c>
      <c r="AB16" s="154" t="s">
        <v>371</v>
      </c>
      <c r="AC16" s="116" t="s">
        <v>687</v>
      </c>
      <c r="AD16" s="53" t="s">
        <v>368</v>
      </c>
      <c r="AE16" s="53" t="s">
        <v>684</v>
      </c>
      <c r="AF16" s="53" t="s">
        <v>683</v>
      </c>
      <c r="AG16" s="156">
        <v>25.5</v>
      </c>
      <c r="AH16" s="157">
        <v>33.299999999999997</v>
      </c>
      <c r="AI16" s="75">
        <v>0.32069999999999999</v>
      </c>
      <c r="AJ16" s="157">
        <v>1071.9000000000001</v>
      </c>
      <c r="AK16" s="156">
        <v>0.14099999999999999</v>
      </c>
      <c r="AL16" s="157">
        <v>172.95</v>
      </c>
      <c r="AM16" s="144">
        <f t="shared" si="0"/>
        <v>3.493150684931507E-5</v>
      </c>
      <c r="AN16" s="158">
        <f t="shared" si="6"/>
        <v>0.11643835616438358</v>
      </c>
      <c r="AO16" s="144">
        <f t="shared" si="1"/>
        <v>4.5616438356164367E-5</v>
      </c>
      <c r="AP16" s="158">
        <f t="shared" si="7"/>
        <v>1.2671232876712325E-2</v>
      </c>
      <c r="AQ16" s="144">
        <f t="shared" si="2"/>
        <v>4.3931506849315068E-7</v>
      </c>
      <c r="AR16" s="158">
        <f t="shared" si="8"/>
        <v>1.4643835616438357E-3</v>
      </c>
      <c r="AS16" s="144">
        <f t="shared" si="3"/>
        <v>1.4683561643835618E-3</v>
      </c>
      <c r="AT16" s="158">
        <f t="shared" si="9"/>
        <v>0.48945205479452059</v>
      </c>
      <c r="AU16" s="144">
        <f t="shared" si="4"/>
        <v>1.931506849315068E-7</v>
      </c>
      <c r="AV16" s="158">
        <f t="shared" si="10"/>
        <v>3.8630136986301362E-4</v>
      </c>
      <c r="AW16" s="144">
        <f t="shared" si="5"/>
        <v>2.3691780821917809E-4</v>
      </c>
      <c r="AX16" s="158">
        <f t="shared" si="11"/>
        <v>1.1845890410958904E-2</v>
      </c>
      <c r="AY16" s="144">
        <f t="shared" si="12"/>
        <v>7.2874109589041086E-6</v>
      </c>
      <c r="AZ16" s="158">
        <f t="shared" si="13"/>
        <v>2.4291369863013699E-2</v>
      </c>
      <c r="BA16" s="144">
        <f t="shared" si="14"/>
        <v>2.42913698630137E-7</v>
      </c>
      <c r="BB16" s="158">
        <f t="shared" si="15"/>
        <v>6.9403913894324854E-5</v>
      </c>
      <c r="BC16" s="144">
        <f t="shared" si="16"/>
        <v>3.0549969863013702E-9</v>
      </c>
      <c r="BD16" s="158">
        <f t="shared" si="17"/>
        <v>1.0183323287671235E-5</v>
      </c>
      <c r="BE16" s="144">
        <f t="shared" si="18"/>
        <v>1.0210948767123289E-5</v>
      </c>
      <c r="BF16" s="158">
        <f t="shared" si="19"/>
        <v>2.0421897534246575E-3</v>
      </c>
      <c r="BG16" s="144">
        <f t="shared" si="20"/>
        <v>1.3431698630136986E-9</v>
      </c>
      <c r="BH16" s="158">
        <f t="shared" si="21"/>
        <v>2.6863397260273972E-6</v>
      </c>
      <c r="BI16" s="144">
        <f t="shared" si="22"/>
        <v>1.6475264383561643E-6</v>
      </c>
      <c r="BJ16" s="158">
        <f t="shared" si="23"/>
        <v>2.9420114970645791E-4</v>
      </c>
      <c r="BK16" s="144">
        <f t="shared" si="24"/>
        <v>5.1369863013698629E-9</v>
      </c>
      <c r="BL16" s="158">
        <f t="shared" si="25"/>
        <v>1.7123287671232879E-5</v>
      </c>
      <c r="BM16" s="144">
        <f t="shared" si="26"/>
        <v>6.7082997582594679E-9</v>
      </c>
      <c r="BN16" s="158">
        <f t="shared" si="27"/>
        <v>1.9166570737884194E-6</v>
      </c>
      <c r="BO16" s="144">
        <f t="shared" si="28"/>
        <v>6.4605157131345683E-11</v>
      </c>
      <c r="BP16" s="158">
        <f t="shared" si="29"/>
        <v>2.1535052377115229E-7</v>
      </c>
      <c r="BQ16" s="144">
        <f t="shared" si="30"/>
        <v>2.1593473005640613E-7</v>
      </c>
      <c r="BR16" s="158">
        <f t="shared" si="31"/>
        <v>4.3186946011281223E-5</v>
      </c>
      <c r="BS16" s="144">
        <f t="shared" si="32"/>
        <v>2.8404512489927477E-11</v>
      </c>
      <c r="BT16" s="158">
        <f t="shared" si="33"/>
        <v>5.6809024979854957E-8</v>
      </c>
      <c r="BU16" s="144">
        <f t="shared" si="34"/>
        <v>3.4840854149879132E-8</v>
      </c>
      <c r="BV16" s="144">
        <f t="shared" si="35"/>
        <v>6.2215810981927022E-6</v>
      </c>
    </row>
    <row r="17" spans="1:74">
      <c r="A17" s="106"/>
      <c r="B17" s="78" t="s">
        <v>916</v>
      </c>
      <c r="C17" s="237" t="s">
        <v>914</v>
      </c>
      <c r="D17" s="144">
        <v>7.4899999999999999E-4</v>
      </c>
      <c r="E17" s="144">
        <v>4.1999999999999996E-6</v>
      </c>
      <c r="F17" s="144" t="s">
        <v>768</v>
      </c>
      <c r="G17" s="144">
        <v>1.59E-5</v>
      </c>
      <c r="H17" s="144">
        <v>2.5000000000000002E-6</v>
      </c>
      <c r="I17" s="144">
        <v>2.0799999999999999E-4</v>
      </c>
      <c r="J17" s="145">
        <v>9.7999999999999997E-4</v>
      </c>
      <c r="K17" s="223"/>
      <c r="L17" s="223"/>
      <c r="M17" s="223"/>
      <c r="N17" s="223"/>
      <c r="O17" s="223"/>
      <c r="P17" s="223"/>
      <c r="T17" s="53" t="s">
        <v>107</v>
      </c>
      <c r="U17" s="53" t="s">
        <v>108</v>
      </c>
      <c r="V17" s="155" t="s">
        <v>339</v>
      </c>
      <c r="W17" s="53">
        <v>0.26020300000000002</v>
      </c>
      <c r="X17" s="53">
        <v>34.719721</v>
      </c>
      <c r="Y17" s="53" t="s">
        <v>372</v>
      </c>
      <c r="Z17" s="53" t="s">
        <v>330</v>
      </c>
      <c r="AA17" s="116" t="s">
        <v>347</v>
      </c>
      <c r="AB17" s="154" t="s">
        <v>371</v>
      </c>
      <c r="AC17" s="116" t="s">
        <v>687</v>
      </c>
      <c r="AD17" s="53" t="s">
        <v>366</v>
      </c>
      <c r="AE17" s="53" t="s">
        <v>684</v>
      </c>
      <c r="AF17" s="53" t="s">
        <v>683</v>
      </c>
      <c r="AG17" s="156">
        <v>10.8</v>
      </c>
      <c r="AH17" s="157">
        <v>18.399999999999999</v>
      </c>
      <c r="AI17" s="75">
        <v>0.15060000000000001</v>
      </c>
      <c r="AJ17" s="157">
        <v>718.2</v>
      </c>
      <c r="AK17" s="156">
        <v>0.104</v>
      </c>
      <c r="AL17" s="157">
        <v>140.78</v>
      </c>
      <c r="AM17" s="144">
        <f t="shared" si="0"/>
        <v>1.4794520547945205E-5</v>
      </c>
      <c r="AN17" s="158">
        <f t="shared" si="6"/>
        <v>4.9315068493150691E-2</v>
      </c>
      <c r="AO17" s="144">
        <f t="shared" si="1"/>
        <v>2.5205479452054789E-5</v>
      </c>
      <c r="AP17" s="158">
        <f t="shared" si="7"/>
        <v>7.0015220700152198E-3</v>
      </c>
      <c r="AQ17" s="144">
        <f t="shared" si="2"/>
        <v>2.0630136986301368E-7</v>
      </c>
      <c r="AR17" s="158">
        <f t="shared" si="8"/>
        <v>6.8767123287671232E-4</v>
      </c>
      <c r="AS17" s="144">
        <f t="shared" si="3"/>
        <v>9.8383561643835627E-4</v>
      </c>
      <c r="AT17" s="158">
        <f t="shared" si="9"/>
        <v>0.32794520547945211</v>
      </c>
      <c r="AU17" s="144">
        <f t="shared" si="4"/>
        <v>1.4246575342465751E-7</v>
      </c>
      <c r="AV17" s="158">
        <f t="shared" si="10"/>
        <v>2.84931506849315E-4</v>
      </c>
      <c r="AW17" s="144">
        <f t="shared" si="5"/>
        <v>1.9284931506849314E-4</v>
      </c>
      <c r="AX17" s="158">
        <f t="shared" si="11"/>
        <v>9.6424657534246571E-3</v>
      </c>
      <c r="AY17" s="144">
        <f t="shared" si="12"/>
        <v>3.0864328767123289E-6</v>
      </c>
      <c r="AZ17" s="158">
        <f t="shared" si="13"/>
        <v>1.0288109589041097E-2</v>
      </c>
      <c r="BA17" s="144">
        <f t="shared" si="14"/>
        <v>1.0288109589041098E-7</v>
      </c>
      <c r="BB17" s="158">
        <f t="shared" si="15"/>
        <v>2.9394598825831708E-5</v>
      </c>
      <c r="BC17" s="144">
        <f t="shared" si="16"/>
        <v>1.4346197260273975E-9</v>
      </c>
      <c r="BD17" s="158">
        <f t="shared" si="17"/>
        <v>4.7820657534246584E-6</v>
      </c>
      <c r="BE17" s="144">
        <f t="shared" si="18"/>
        <v>6.84159287671233E-6</v>
      </c>
      <c r="BF17" s="158">
        <f t="shared" si="19"/>
        <v>1.368318575342466E-3</v>
      </c>
      <c r="BG17" s="144">
        <f t="shared" si="20"/>
        <v>9.907068493150682E-10</v>
      </c>
      <c r="BH17" s="158">
        <f t="shared" si="21"/>
        <v>1.9814136986301363E-6</v>
      </c>
      <c r="BI17" s="144">
        <f t="shared" si="22"/>
        <v>1.3410741369863014E-6</v>
      </c>
      <c r="BJ17" s="158">
        <f t="shared" si="23"/>
        <v>2.3947752446183953E-4</v>
      </c>
      <c r="BK17" s="144">
        <f t="shared" si="24"/>
        <v>2.1756647864625302E-9</v>
      </c>
      <c r="BL17" s="158">
        <f t="shared" si="25"/>
        <v>7.2522159548751009E-6</v>
      </c>
      <c r="BM17" s="144">
        <f t="shared" si="26"/>
        <v>3.7066881547139406E-9</v>
      </c>
      <c r="BN17" s="158">
        <f t="shared" si="27"/>
        <v>1.0590537584896972E-6</v>
      </c>
      <c r="BO17" s="144">
        <f t="shared" si="28"/>
        <v>3.0338436744560847E-11</v>
      </c>
      <c r="BP17" s="158">
        <f t="shared" si="29"/>
        <v>1.011281224818695E-7</v>
      </c>
      <c r="BQ17" s="144">
        <f t="shared" si="30"/>
        <v>1.4468170829975826E-7</v>
      </c>
      <c r="BR17" s="158">
        <f t="shared" si="31"/>
        <v>2.8936341659951652E-5</v>
      </c>
      <c r="BS17" s="144">
        <f t="shared" si="32"/>
        <v>2.0950846091861402E-11</v>
      </c>
      <c r="BT17" s="158">
        <f t="shared" si="33"/>
        <v>4.1901692183722804E-8</v>
      </c>
      <c r="BU17" s="144">
        <f t="shared" si="34"/>
        <v>2.8360193392425463E-8</v>
      </c>
      <c r="BV17" s="144">
        <f t="shared" si="35"/>
        <v>5.0643202486474039E-6</v>
      </c>
    </row>
    <row r="18" spans="1:74">
      <c r="A18" s="106" t="s">
        <v>919</v>
      </c>
      <c r="B18" s="78" t="s">
        <v>917</v>
      </c>
      <c r="C18" s="236" t="s">
        <v>792</v>
      </c>
      <c r="D18" s="144">
        <v>1.72E-3</v>
      </c>
      <c r="E18" s="144">
        <v>1.03E-5</v>
      </c>
      <c r="F18" s="144" t="s">
        <v>768</v>
      </c>
      <c r="G18" s="144">
        <v>3.8999999999999999E-5</v>
      </c>
      <c r="H18" s="144">
        <v>6.0900000000000001E-6</v>
      </c>
      <c r="I18" s="144">
        <v>5.0900000000000001E-4</v>
      </c>
      <c r="J18" s="145">
        <v>2.2799999999999999E-3</v>
      </c>
      <c r="K18" s="223"/>
      <c r="L18" s="223"/>
      <c r="M18" s="223"/>
      <c r="N18" s="223"/>
      <c r="O18" s="223"/>
      <c r="P18" s="223"/>
      <c r="T18" s="53" t="s">
        <v>109</v>
      </c>
      <c r="U18" s="53" t="s">
        <v>110</v>
      </c>
      <c r="V18" s="155" t="s">
        <v>339</v>
      </c>
      <c r="W18" s="53">
        <v>0.26076500000000002</v>
      </c>
      <c r="X18" s="53">
        <v>34.720081</v>
      </c>
      <c r="Y18" s="53" t="s">
        <v>372</v>
      </c>
      <c r="Z18" s="53" t="s">
        <v>330</v>
      </c>
      <c r="AA18" s="116" t="s">
        <v>347</v>
      </c>
      <c r="AB18" s="154" t="s">
        <v>371</v>
      </c>
      <c r="AC18" s="116" t="s">
        <v>687</v>
      </c>
      <c r="AD18" s="53" t="s">
        <v>361</v>
      </c>
      <c r="AE18" s="53" t="s">
        <v>685</v>
      </c>
      <c r="AF18" s="53" t="s">
        <v>690</v>
      </c>
      <c r="AG18" s="156">
        <v>95.9</v>
      </c>
      <c r="AH18" s="157">
        <v>24.8</v>
      </c>
      <c r="AI18" s="75">
        <v>4.4837199999999999</v>
      </c>
      <c r="AJ18" s="157">
        <v>1005</v>
      </c>
      <c r="AK18" s="156">
        <v>0.124</v>
      </c>
      <c r="AL18" s="157">
        <v>239.98</v>
      </c>
      <c r="AM18" s="144">
        <f t="shared" si="0"/>
        <v>1.3136986301369861E-4</v>
      </c>
      <c r="AN18" s="158">
        <f t="shared" si="6"/>
        <v>0.43789954337899539</v>
      </c>
      <c r="AO18" s="144">
        <f t="shared" si="1"/>
        <v>3.3972602739726029E-5</v>
      </c>
      <c r="AP18" s="158">
        <f t="shared" si="7"/>
        <v>9.4368340943683411E-3</v>
      </c>
      <c r="AQ18" s="144">
        <f t="shared" si="2"/>
        <v>6.1420821917808216E-6</v>
      </c>
      <c r="AR18" s="158">
        <f t="shared" si="8"/>
        <v>2.0473607305936073E-2</v>
      </c>
      <c r="AS18" s="144">
        <f t="shared" si="3"/>
        <v>1.3767123287671233E-3</v>
      </c>
      <c r="AT18" s="158">
        <f t="shared" si="9"/>
        <v>0.4589041095890411</v>
      </c>
      <c r="AU18" s="144">
        <f t="shared" si="4"/>
        <v>1.6986301369863011E-7</v>
      </c>
      <c r="AV18" s="158">
        <f t="shared" si="10"/>
        <v>3.3972602739726023E-4</v>
      </c>
      <c r="AW18" s="144">
        <f t="shared" si="5"/>
        <v>3.2873972602739726E-4</v>
      </c>
      <c r="AX18" s="158">
        <f t="shared" si="11"/>
        <v>1.6436986301369864E-2</v>
      </c>
      <c r="AY18" s="144">
        <f t="shared" si="12"/>
        <v>2.7406380821917812E-5</v>
      </c>
      <c r="AZ18" s="158">
        <f t="shared" si="13"/>
        <v>9.1354602739726051E-2</v>
      </c>
      <c r="BA18" s="144">
        <f t="shared" si="14"/>
        <v>9.1354602739726037E-7</v>
      </c>
      <c r="BB18" s="158">
        <f t="shared" si="15"/>
        <v>2.6101315068493154E-4</v>
      </c>
      <c r="BC18" s="144">
        <f t="shared" si="16"/>
        <v>4.2712039561643832E-8</v>
      </c>
      <c r="BD18" s="158">
        <f t="shared" si="17"/>
        <v>1.4237346520547944E-4</v>
      </c>
      <c r="BE18" s="144">
        <f t="shared" si="18"/>
        <v>9.5736575342465753E-6</v>
      </c>
      <c r="BF18" s="158">
        <f t="shared" si="19"/>
        <v>1.9147315068493149E-3</v>
      </c>
      <c r="BG18" s="144">
        <f t="shared" si="20"/>
        <v>1.1812273972602741E-9</v>
      </c>
      <c r="BH18" s="158">
        <f t="shared" si="21"/>
        <v>2.3624547945205483E-6</v>
      </c>
      <c r="BI18" s="144">
        <f t="shared" si="22"/>
        <v>2.2860560547945203E-6</v>
      </c>
      <c r="BJ18" s="158">
        <f t="shared" si="23"/>
        <v>4.0822429549902152E-4</v>
      </c>
      <c r="BK18" s="144">
        <f t="shared" si="24"/>
        <v>1.9319097502014505E-8</v>
      </c>
      <c r="BL18" s="158">
        <f t="shared" si="25"/>
        <v>6.4396991673381688E-5</v>
      </c>
      <c r="BM18" s="144">
        <f t="shared" si="26"/>
        <v>4.9959709911361803E-9</v>
      </c>
      <c r="BN18" s="158">
        <f t="shared" si="27"/>
        <v>1.4274202831817657E-6</v>
      </c>
      <c r="BO18" s="144">
        <f t="shared" si="28"/>
        <v>9.032473811442385E-10</v>
      </c>
      <c r="BP18" s="158">
        <f t="shared" si="29"/>
        <v>3.0108246038141287E-6</v>
      </c>
      <c r="BQ18" s="144">
        <f t="shared" si="30"/>
        <v>2.0245769540692991E-7</v>
      </c>
      <c r="BR18" s="158">
        <f t="shared" si="31"/>
        <v>4.0491539081385978E-5</v>
      </c>
      <c r="BS18" s="144">
        <f t="shared" si="32"/>
        <v>2.4979854955680901E-11</v>
      </c>
      <c r="BT18" s="158">
        <f t="shared" si="33"/>
        <v>4.9959709911361799E-8</v>
      </c>
      <c r="BU18" s="144">
        <f t="shared" si="34"/>
        <v>4.8344077356970178E-8</v>
      </c>
      <c r="BV18" s="144">
        <f t="shared" si="35"/>
        <v>8.632870956601817E-6</v>
      </c>
    </row>
    <row r="19" spans="1:74">
      <c r="A19" s="106" t="s">
        <v>919</v>
      </c>
      <c r="B19" s="78" t="s">
        <v>917</v>
      </c>
      <c r="C19" s="236" t="s">
        <v>805</v>
      </c>
      <c r="D19" s="144">
        <v>1.07E-4</v>
      </c>
      <c r="E19" s="144">
        <v>2.1400000000000001E-9</v>
      </c>
      <c r="F19" s="144" t="s">
        <v>768</v>
      </c>
      <c r="G19" s="144">
        <v>8.1199999999999999E-8</v>
      </c>
      <c r="H19" s="144">
        <v>1.27E-8</v>
      </c>
      <c r="I19" s="144">
        <v>2.1199999999999999E-7</v>
      </c>
      <c r="J19" s="145">
        <v>1.07E-4</v>
      </c>
      <c r="K19" s="223"/>
      <c r="L19" s="223"/>
      <c r="M19" s="223"/>
      <c r="N19" s="223"/>
      <c r="O19" s="223"/>
      <c r="P19" s="223"/>
      <c r="T19" s="53" t="s">
        <v>111</v>
      </c>
      <c r="U19" s="53" t="s">
        <v>112</v>
      </c>
      <c r="V19" s="155" t="s">
        <v>339</v>
      </c>
      <c r="W19" s="53">
        <v>0.26067699999999999</v>
      </c>
      <c r="X19" s="53">
        <v>34.720677999999999</v>
      </c>
      <c r="Y19" s="53" t="s">
        <v>372</v>
      </c>
      <c r="Z19" s="53" t="s">
        <v>330</v>
      </c>
      <c r="AA19" s="116" t="s">
        <v>347</v>
      </c>
      <c r="AB19" s="154" t="s">
        <v>371</v>
      </c>
      <c r="AC19" s="116" t="s">
        <v>687</v>
      </c>
      <c r="AD19" s="53" t="s">
        <v>365</v>
      </c>
      <c r="AE19" s="53" t="s">
        <v>685</v>
      </c>
      <c r="AF19" s="53" t="s">
        <v>691</v>
      </c>
      <c r="AG19" s="156">
        <v>45.2</v>
      </c>
      <c r="AH19" s="157">
        <v>32.700000000000003</v>
      </c>
      <c r="AI19" s="75">
        <v>0.94225999999999999</v>
      </c>
      <c r="AJ19" s="157">
        <v>691.9</v>
      </c>
      <c r="AK19" s="156">
        <v>9.7000000000000003E-2</v>
      </c>
      <c r="AL19" s="157">
        <v>111.8</v>
      </c>
      <c r="AM19" s="144">
        <f t="shared" si="0"/>
        <v>6.1917808219178077E-5</v>
      </c>
      <c r="AN19" s="158">
        <f t="shared" si="6"/>
        <v>0.20639269406392693</v>
      </c>
      <c r="AO19" s="144">
        <f t="shared" si="1"/>
        <v>4.4794520547945215E-5</v>
      </c>
      <c r="AP19" s="158">
        <f t="shared" si="7"/>
        <v>1.2442922374429226E-2</v>
      </c>
      <c r="AQ19" s="144">
        <f t="shared" si="2"/>
        <v>1.2907671232876711E-6</v>
      </c>
      <c r="AR19" s="158">
        <f t="shared" si="8"/>
        <v>4.3025570776255703E-3</v>
      </c>
      <c r="AS19" s="144">
        <f t="shared" si="3"/>
        <v>9.4780821917808222E-4</v>
      </c>
      <c r="AT19" s="158">
        <f t="shared" si="9"/>
        <v>0.31593607305936072</v>
      </c>
      <c r="AU19" s="144">
        <f t="shared" si="4"/>
        <v>1.3287671232876712E-7</v>
      </c>
      <c r="AV19" s="158">
        <f t="shared" si="10"/>
        <v>2.6575342465753426E-4</v>
      </c>
      <c r="AW19" s="144">
        <f t="shared" si="5"/>
        <v>1.5315068493150684E-4</v>
      </c>
      <c r="AX19" s="158">
        <f t="shared" si="11"/>
        <v>7.6575342465753414E-3</v>
      </c>
      <c r="AY19" s="144">
        <f t="shared" si="12"/>
        <v>1.2917293150684932E-5</v>
      </c>
      <c r="AZ19" s="158">
        <f t="shared" si="13"/>
        <v>4.3057643835616444E-2</v>
      </c>
      <c r="BA19" s="144">
        <f t="shared" si="14"/>
        <v>4.3057643835616447E-7</v>
      </c>
      <c r="BB19" s="158">
        <f t="shared" si="15"/>
        <v>1.2302183953033269E-4</v>
      </c>
      <c r="BC19" s="144">
        <f t="shared" si="16"/>
        <v>8.975994575342466E-9</v>
      </c>
      <c r="BD19" s="158">
        <f t="shared" si="17"/>
        <v>2.9919981917808221E-5</v>
      </c>
      <c r="BE19" s="144">
        <f t="shared" si="18"/>
        <v>6.5910583561643824E-6</v>
      </c>
      <c r="BF19" s="158">
        <f t="shared" si="19"/>
        <v>1.3182116712328765E-3</v>
      </c>
      <c r="BG19" s="144">
        <f t="shared" si="20"/>
        <v>9.2402465753424672E-10</v>
      </c>
      <c r="BH19" s="158">
        <f t="shared" si="21"/>
        <v>1.8480493150684934E-6</v>
      </c>
      <c r="BI19" s="144">
        <f t="shared" si="22"/>
        <v>1.0650098630136985E-6</v>
      </c>
      <c r="BJ19" s="158">
        <f t="shared" si="23"/>
        <v>1.9018033268101758E-4</v>
      </c>
      <c r="BK19" s="144">
        <f t="shared" si="24"/>
        <v>9.1055600322320713E-9</v>
      </c>
      <c r="BL19" s="158">
        <f t="shared" si="25"/>
        <v>3.0351866774106907E-5</v>
      </c>
      <c r="BM19" s="144">
        <f t="shared" si="26"/>
        <v>6.5874294923448828E-9</v>
      </c>
      <c r="BN19" s="158">
        <f t="shared" si="27"/>
        <v>1.8821227120985378E-6</v>
      </c>
      <c r="BO19" s="144">
        <f t="shared" si="28"/>
        <v>1.8981869460112811E-10</v>
      </c>
      <c r="BP19" s="158">
        <f t="shared" si="29"/>
        <v>6.3272898200376039E-7</v>
      </c>
      <c r="BQ19" s="144">
        <f t="shared" si="30"/>
        <v>1.3938356164383561E-7</v>
      </c>
      <c r="BR19" s="158">
        <f t="shared" si="31"/>
        <v>2.7876712328767124E-5</v>
      </c>
      <c r="BS19" s="144">
        <f t="shared" si="32"/>
        <v>1.9540692989524576E-11</v>
      </c>
      <c r="BT19" s="158">
        <f t="shared" si="33"/>
        <v>3.9081385979049151E-8</v>
      </c>
      <c r="BU19" s="144">
        <f t="shared" si="34"/>
        <v>2.2522159548751009E-8</v>
      </c>
      <c r="BV19" s="144">
        <f t="shared" si="35"/>
        <v>4.021814205134109E-6</v>
      </c>
    </row>
    <row r="20" spans="1:74">
      <c r="A20" s="106"/>
      <c r="C20" s="237" t="s">
        <v>914</v>
      </c>
      <c r="D20" s="145">
        <v>1.83E-3</v>
      </c>
      <c r="E20" s="145">
        <v>1.03E-5</v>
      </c>
      <c r="F20" s="145" t="s">
        <v>768</v>
      </c>
      <c r="G20" s="145">
        <v>3.9100000000000002E-5</v>
      </c>
      <c r="H20" s="145">
        <v>6.1E-6</v>
      </c>
      <c r="I20" s="145">
        <v>5.0900000000000001E-4</v>
      </c>
      <c r="J20" s="145">
        <v>2.3900000000000002E-3</v>
      </c>
      <c r="K20" s="223"/>
      <c r="L20" s="223"/>
      <c r="M20" s="223"/>
      <c r="N20" s="223"/>
      <c r="O20" s="223"/>
      <c r="P20" s="223"/>
      <c r="T20" s="53" t="s">
        <v>113</v>
      </c>
      <c r="U20" s="53" t="s">
        <v>114</v>
      </c>
      <c r="V20" s="155" t="s">
        <v>339</v>
      </c>
      <c r="W20" s="53">
        <v>0.26076500000000002</v>
      </c>
      <c r="X20" s="53">
        <v>34.720081</v>
      </c>
      <c r="Y20" s="53" t="s">
        <v>372</v>
      </c>
      <c r="Z20" s="53" t="s">
        <v>330</v>
      </c>
      <c r="AA20" s="116" t="s">
        <v>347</v>
      </c>
      <c r="AB20" s="154" t="s">
        <v>371</v>
      </c>
      <c r="AC20" s="116" t="s">
        <v>687</v>
      </c>
      <c r="AD20" s="53" t="s">
        <v>366</v>
      </c>
      <c r="AE20" s="53" t="s">
        <v>684</v>
      </c>
      <c r="AF20" s="53" t="s">
        <v>683</v>
      </c>
      <c r="AG20" s="156">
        <v>16.399999999999999</v>
      </c>
      <c r="AH20" s="157">
        <v>50.7</v>
      </c>
      <c r="AI20" s="75">
        <v>1.03304</v>
      </c>
      <c r="AJ20" s="157">
        <v>1413</v>
      </c>
      <c r="AK20" s="156">
        <v>0.12</v>
      </c>
      <c r="AL20" s="157">
        <v>215.62</v>
      </c>
      <c r="AM20" s="144">
        <f t="shared" si="0"/>
        <v>2.2465753424657528E-5</v>
      </c>
      <c r="AN20" s="158">
        <f t="shared" si="6"/>
        <v>7.4885844748858427E-2</v>
      </c>
      <c r="AO20" s="144">
        <f t="shared" si="1"/>
        <v>6.945205479452055E-5</v>
      </c>
      <c r="AP20" s="158">
        <f t="shared" si="7"/>
        <v>1.9292237442922376E-2</v>
      </c>
      <c r="AQ20" s="144">
        <f t="shared" si="2"/>
        <v>1.4151232876712328E-6</v>
      </c>
      <c r="AR20" s="158">
        <f t="shared" si="8"/>
        <v>4.7170776255707767E-3</v>
      </c>
      <c r="AS20" s="144">
        <f t="shared" si="3"/>
        <v>1.9356164383561641E-3</v>
      </c>
      <c r="AT20" s="158">
        <f t="shared" si="9"/>
        <v>0.64520547945205464</v>
      </c>
      <c r="AU20" s="144">
        <f t="shared" si="4"/>
        <v>1.6438356164383561E-7</v>
      </c>
      <c r="AV20" s="158">
        <f t="shared" si="10"/>
        <v>3.2876712328767124E-4</v>
      </c>
      <c r="AW20" s="144">
        <f t="shared" si="5"/>
        <v>2.9536986301369861E-4</v>
      </c>
      <c r="AX20" s="158">
        <f t="shared" si="11"/>
        <v>1.476849315068493E-2</v>
      </c>
      <c r="AY20" s="144">
        <f t="shared" si="12"/>
        <v>4.6868054794520537E-6</v>
      </c>
      <c r="AZ20" s="158">
        <f t="shared" si="13"/>
        <v>1.5622684931506847E-2</v>
      </c>
      <c r="BA20" s="144">
        <f t="shared" si="14"/>
        <v>1.5622684931506848E-7</v>
      </c>
      <c r="BB20" s="158">
        <f t="shared" si="15"/>
        <v>4.4636242661448136E-5</v>
      </c>
      <c r="BC20" s="144">
        <f t="shared" si="16"/>
        <v>9.8407673424657541E-9</v>
      </c>
      <c r="BD20" s="158">
        <f t="shared" si="17"/>
        <v>3.2802557808219186E-5</v>
      </c>
      <c r="BE20" s="144">
        <f t="shared" si="18"/>
        <v>1.3460276712328766E-5</v>
      </c>
      <c r="BF20" s="158">
        <f t="shared" si="19"/>
        <v>2.6920553424657529E-3</v>
      </c>
      <c r="BG20" s="144">
        <f t="shared" si="20"/>
        <v>1.1431232876712329E-9</v>
      </c>
      <c r="BH20" s="158">
        <f t="shared" si="21"/>
        <v>2.2862465753424659E-6</v>
      </c>
      <c r="BI20" s="144">
        <f t="shared" si="22"/>
        <v>2.0540020273972606E-6</v>
      </c>
      <c r="BJ20" s="158">
        <f t="shared" si="23"/>
        <v>3.6678607632093939E-4</v>
      </c>
      <c r="BK20" s="144">
        <f t="shared" si="24"/>
        <v>3.3037872683319902E-9</v>
      </c>
      <c r="BL20" s="158">
        <f t="shared" si="25"/>
        <v>1.1012624227773301E-5</v>
      </c>
      <c r="BM20" s="144">
        <f t="shared" si="26"/>
        <v>1.0213537469782433E-8</v>
      </c>
      <c r="BN20" s="158">
        <f t="shared" si="27"/>
        <v>2.9181535627949808E-6</v>
      </c>
      <c r="BO20" s="144">
        <f t="shared" si="28"/>
        <v>2.0810636583400483E-10</v>
      </c>
      <c r="BP20" s="158">
        <f t="shared" si="29"/>
        <v>6.9368788611334955E-7</v>
      </c>
      <c r="BQ20" s="144">
        <f t="shared" si="30"/>
        <v>2.8464947622884771E-7</v>
      </c>
      <c r="BR20" s="158">
        <f t="shared" si="31"/>
        <v>5.6929895245769542E-5</v>
      </c>
      <c r="BS20" s="144">
        <f t="shared" si="32"/>
        <v>2.4174053182917004E-11</v>
      </c>
      <c r="BT20" s="158">
        <f t="shared" si="33"/>
        <v>4.8348106365834004E-8</v>
      </c>
      <c r="BU20" s="144">
        <f t="shared" si="34"/>
        <v>4.3436744560838029E-8</v>
      </c>
      <c r="BV20" s="144">
        <f t="shared" si="35"/>
        <v>7.7565615287210772E-6</v>
      </c>
    </row>
    <row r="21" spans="1:74">
      <c r="A21" s="142"/>
      <c r="T21" s="53" t="s">
        <v>115</v>
      </c>
      <c r="U21" s="53" t="s">
        <v>116</v>
      </c>
      <c r="V21" s="155" t="s">
        <v>339</v>
      </c>
      <c r="W21" s="53">
        <v>0.256575</v>
      </c>
      <c r="X21" s="53">
        <v>34.722569999999997</v>
      </c>
      <c r="Y21" s="53" t="s">
        <v>372</v>
      </c>
      <c r="Z21" s="53" t="s">
        <v>330</v>
      </c>
      <c r="AA21" s="116" t="s">
        <v>347</v>
      </c>
      <c r="AB21" s="154" t="s">
        <v>371</v>
      </c>
      <c r="AC21" s="116" t="s">
        <v>687</v>
      </c>
      <c r="AD21" s="53" t="s">
        <v>365</v>
      </c>
      <c r="AE21" s="53" t="s">
        <v>685</v>
      </c>
      <c r="AF21" s="53" t="s">
        <v>691</v>
      </c>
      <c r="AG21" s="156">
        <v>19.5</v>
      </c>
      <c r="AH21" s="157">
        <v>95.3</v>
      </c>
      <c r="AI21" s="75">
        <v>0.36993999999999999</v>
      </c>
      <c r="AJ21" s="157">
        <v>99.5</v>
      </c>
      <c r="AK21" s="156">
        <v>0.06</v>
      </c>
      <c r="AL21" s="157">
        <v>25.21</v>
      </c>
      <c r="AM21" s="144">
        <f t="shared" si="0"/>
        <v>2.6712328767123285E-5</v>
      </c>
      <c r="AN21" s="158">
        <f t="shared" si="6"/>
        <v>8.9041095890410954E-2</v>
      </c>
      <c r="AO21" s="144">
        <f t="shared" si="1"/>
        <v>1.3054794520547946E-4</v>
      </c>
      <c r="AP21" s="158">
        <f t="shared" si="7"/>
        <v>3.6263318112633183E-2</v>
      </c>
      <c r="AQ21" s="144">
        <f t="shared" si="2"/>
        <v>5.0676712328767115E-7</v>
      </c>
      <c r="AR21" s="158">
        <f t="shared" si="8"/>
        <v>1.6892237442922373E-3</v>
      </c>
      <c r="AS21" s="144">
        <f t="shared" si="3"/>
        <v>1.3630136986301369E-4</v>
      </c>
      <c r="AT21" s="158">
        <f t="shared" si="9"/>
        <v>4.5433789954337896E-2</v>
      </c>
      <c r="AU21" s="144">
        <f t="shared" si="4"/>
        <v>8.2191780821917807E-8</v>
      </c>
      <c r="AV21" s="158">
        <f t="shared" si="10"/>
        <v>1.6438356164383562E-4</v>
      </c>
      <c r="AW21" s="144">
        <f t="shared" si="5"/>
        <v>3.4534246575342465E-5</v>
      </c>
      <c r="AX21" s="158">
        <f t="shared" si="11"/>
        <v>1.7267123287671232E-3</v>
      </c>
      <c r="AY21" s="144">
        <f t="shared" si="12"/>
        <v>5.5727260273972615E-6</v>
      </c>
      <c r="AZ21" s="158">
        <f t="shared" si="13"/>
        <v>1.8575753424657539E-2</v>
      </c>
      <c r="BA21" s="144">
        <f t="shared" si="14"/>
        <v>1.8575753424657536E-7</v>
      </c>
      <c r="BB21" s="158">
        <f t="shared" si="15"/>
        <v>5.3073581213307244E-5</v>
      </c>
      <c r="BC21" s="144">
        <f t="shared" si="16"/>
        <v>3.5240585753424655E-9</v>
      </c>
      <c r="BD21" s="158">
        <f t="shared" si="17"/>
        <v>1.1746861917808219E-5</v>
      </c>
      <c r="BE21" s="144">
        <f t="shared" si="18"/>
        <v>9.4783972602739724E-7</v>
      </c>
      <c r="BF21" s="158">
        <f t="shared" si="19"/>
        <v>1.8956794520547945E-4</v>
      </c>
      <c r="BG21" s="144">
        <f t="shared" si="20"/>
        <v>5.7156164383561645E-10</v>
      </c>
      <c r="BH21" s="158">
        <f t="shared" si="21"/>
        <v>1.1431232876712329E-6</v>
      </c>
      <c r="BI21" s="144">
        <f t="shared" si="22"/>
        <v>2.4015115068493152E-7</v>
      </c>
      <c r="BJ21" s="158">
        <f t="shared" si="23"/>
        <v>4.288413405088063E-5</v>
      </c>
      <c r="BK21" s="144">
        <f t="shared" si="24"/>
        <v>3.9282836422240133E-9</v>
      </c>
      <c r="BL21" s="158">
        <f t="shared" si="25"/>
        <v>1.3094278807413378E-5</v>
      </c>
      <c r="BM21" s="144">
        <f t="shared" si="26"/>
        <v>1.9198227236099919E-8</v>
      </c>
      <c r="BN21" s="158">
        <f t="shared" si="27"/>
        <v>5.4852077817428341E-6</v>
      </c>
      <c r="BO21" s="144">
        <f t="shared" si="28"/>
        <v>7.4524576954069288E-11</v>
      </c>
      <c r="BP21" s="158">
        <f t="shared" si="29"/>
        <v>2.4841525651356433E-7</v>
      </c>
      <c r="BQ21" s="144">
        <f t="shared" si="30"/>
        <v>2.0044319097502015E-8</v>
      </c>
      <c r="BR21" s="158">
        <f t="shared" si="31"/>
        <v>4.0088638195004034E-6</v>
      </c>
      <c r="BS21" s="144">
        <f t="shared" si="32"/>
        <v>1.2087026591458502E-11</v>
      </c>
      <c r="BT21" s="158">
        <f t="shared" si="33"/>
        <v>2.4174053182917002E-8</v>
      </c>
      <c r="BU21" s="144">
        <f t="shared" si="34"/>
        <v>5.0785656728444811E-9</v>
      </c>
      <c r="BV21" s="144">
        <f t="shared" si="35"/>
        <v>9.068867272936573E-7</v>
      </c>
    </row>
    <row r="22" spans="1:74">
      <c r="A22" s="142"/>
      <c r="T22" s="53" t="s">
        <v>117</v>
      </c>
      <c r="U22" s="53" t="s">
        <v>118</v>
      </c>
      <c r="V22" s="155" t="s">
        <v>339</v>
      </c>
      <c r="W22" s="53">
        <v>0.25645200000000001</v>
      </c>
      <c r="X22" s="53">
        <v>34.722082999999998</v>
      </c>
      <c r="Y22" s="53" t="s">
        <v>372</v>
      </c>
      <c r="Z22" s="53" t="s">
        <v>330</v>
      </c>
      <c r="AA22" s="116" t="s">
        <v>347</v>
      </c>
      <c r="AB22" s="154" t="s">
        <v>371</v>
      </c>
      <c r="AC22" s="116" t="s">
        <v>687</v>
      </c>
      <c r="AD22" s="53" t="s">
        <v>365</v>
      </c>
      <c r="AE22" s="53" t="s">
        <v>685</v>
      </c>
      <c r="AF22" s="53" t="s">
        <v>691</v>
      </c>
      <c r="AG22" s="156">
        <v>20.399999999999999</v>
      </c>
      <c r="AH22" s="157">
        <v>76.599999999999994</v>
      </c>
      <c r="AI22" s="75">
        <v>0.84839000000000009</v>
      </c>
      <c r="AJ22" s="157">
        <v>102.6</v>
      </c>
      <c r="AK22" s="156">
        <v>5.0999999999999997E-2</v>
      </c>
      <c r="AL22" s="157">
        <v>28.94</v>
      </c>
      <c r="AM22" s="144">
        <f t="shared" si="0"/>
        <v>2.7945205479452048E-5</v>
      </c>
      <c r="AN22" s="158">
        <f t="shared" si="6"/>
        <v>9.3150684931506827E-2</v>
      </c>
      <c r="AO22" s="144">
        <f t="shared" si="1"/>
        <v>1.0493150684931504E-4</v>
      </c>
      <c r="AP22" s="158">
        <f t="shared" si="7"/>
        <v>2.9147640791476401E-2</v>
      </c>
      <c r="AQ22" s="144">
        <f t="shared" si="2"/>
        <v>1.1621780821917809E-6</v>
      </c>
      <c r="AR22" s="158">
        <f t="shared" si="8"/>
        <v>3.8739269406392702E-3</v>
      </c>
      <c r="AS22" s="144">
        <f t="shared" si="3"/>
        <v>1.4054794520547943E-4</v>
      </c>
      <c r="AT22" s="158">
        <f t="shared" si="9"/>
        <v>4.6849315068493144E-2</v>
      </c>
      <c r="AU22" s="144">
        <f t="shared" si="4"/>
        <v>6.986301369863013E-8</v>
      </c>
      <c r="AV22" s="158">
        <f t="shared" si="10"/>
        <v>1.3972602739726025E-4</v>
      </c>
      <c r="AW22" s="144">
        <f t="shared" si="5"/>
        <v>3.9643835616438355E-5</v>
      </c>
      <c r="AX22" s="158">
        <f t="shared" si="11"/>
        <v>1.9821917808219179E-3</v>
      </c>
      <c r="AY22" s="144">
        <f t="shared" si="12"/>
        <v>5.8299287671232854E-6</v>
      </c>
      <c r="AZ22" s="158">
        <f t="shared" si="13"/>
        <v>1.9433095890410954E-2</v>
      </c>
      <c r="BA22" s="144">
        <f t="shared" si="14"/>
        <v>1.9433095890410955E-7</v>
      </c>
      <c r="BB22" s="158">
        <f t="shared" si="15"/>
        <v>5.5523131115459869E-5</v>
      </c>
      <c r="BC22" s="144">
        <f t="shared" si="16"/>
        <v>8.0817863835616454E-9</v>
      </c>
      <c r="BD22" s="158">
        <f t="shared" si="17"/>
        <v>2.6939287945205488E-5</v>
      </c>
      <c r="BE22" s="144">
        <f t="shared" si="18"/>
        <v>9.7737041095890416E-7</v>
      </c>
      <c r="BF22" s="158">
        <f t="shared" si="19"/>
        <v>1.9547408219178084E-4</v>
      </c>
      <c r="BG22" s="144">
        <f t="shared" si="20"/>
        <v>4.8582739726027396E-10</v>
      </c>
      <c r="BH22" s="158">
        <f t="shared" si="21"/>
        <v>9.7165479452054798E-7</v>
      </c>
      <c r="BI22" s="144">
        <f t="shared" si="22"/>
        <v>2.7568323287671236E-7</v>
      </c>
      <c r="BJ22" s="158">
        <f t="shared" si="23"/>
        <v>4.9229148727984348E-5</v>
      </c>
      <c r="BK22" s="144">
        <f t="shared" si="24"/>
        <v>4.1095890410958902E-9</v>
      </c>
      <c r="BL22" s="158">
        <f t="shared" si="25"/>
        <v>1.3698630136986302E-5</v>
      </c>
      <c r="BM22" s="144">
        <f t="shared" si="26"/>
        <v>1.5431103948428688E-8</v>
      </c>
      <c r="BN22" s="158">
        <f t="shared" si="27"/>
        <v>4.4088868424081968E-6</v>
      </c>
      <c r="BO22" s="144">
        <f t="shared" si="28"/>
        <v>1.7090854149879132E-10</v>
      </c>
      <c r="BP22" s="158">
        <f t="shared" si="29"/>
        <v>5.6969513832930446E-7</v>
      </c>
      <c r="BQ22" s="144">
        <f t="shared" si="30"/>
        <v>2.0668815471394037E-8</v>
      </c>
      <c r="BR22" s="158">
        <f t="shared" si="31"/>
        <v>4.1337630942788071E-6</v>
      </c>
      <c r="BS22" s="144">
        <f t="shared" si="32"/>
        <v>1.0273972602739727E-11</v>
      </c>
      <c r="BT22" s="158">
        <f t="shared" si="33"/>
        <v>2.0547945205479452E-8</v>
      </c>
      <c r="BU22" s="144">
        <f t="shared" si="34"/>
        <v>5.8299758259468183E-9</v>
      </c>
      <c r="BV22" s="144">
        <f t="shared" si="35"/>
        <v>1.0410671117762175E-6</v>
      </c>
    </row>
    <row r="23" spans="1:74">
      <c r="A23" s="107" t="s">
        <v>969</v>
      </c>
      <c r="B23" s="80"/>
      <c r="C23" s="80"/>
      <c r="D23" s="80"/>
      <c r="E23" s="80"/>
      <c r="F23" s="80"/>
      <c r="G23" s="80"/>
      <c r="H23" s="80"/>
      <c r="I23" s="80"/>
      <c r="J23" s="80"/>
      <c r="K23" s="80"/>
      <c r="L23" s="80"/>
      <c r="M23" s="80"/>
      <c r="N23" s="80"/>
      <c r="O23" s="80"/>
      <c r="P23" s="80"/>
      <c r="T23" s="53" t="s">
        <v>119</v>
      </c>
      <c r="U23" s="53" t="s">
        <v>120</v>
      </c>
      <c r="V23" s="155" t="s">
        <v>339</v>
      </c>
      <c r="W23" s="53">
        <v>0.25726700000000002</v>
      </c>
      <c r="X23" s="53">
        <v>34.722675000000002</v>
      </c>
      <c r="Y23" s="53" t="s">
        <v>372</v>
      </c>
      <c r="Z23" s="53" t="s">
        <v>330</v>
      </c>
      <c r="AA23" s="116" t="s">
        <v>347</v>
      </c>
      <c r="AB23" s="154" t="s">
        <v>371</v>
      </c>
      <c r="AC23" s="116" t="s">
        <v>687</v>
      </c>
      <c r="AD23" s="53" t="s">
        <v>366</v>
      </c>
      <c r="AE23" s="53" t="s">
        <v>684</v>
      </c>
      <c r="AF23" s="53" t="s">
        <v>683</v>
      </c>
      <c r="AG23" s="156">
        <v>9.3000000000000007</v>
      </c>
      <c r="AH23" s="157">
        <v>27.7</v>
      </c>
      <c r="AI23" s="75">
        <v>1.8359799999999999</v>
      </c>
      <c r="AJ23" s="157">
        <v>290.5</v>
      </c>
      <c r="AK23" s="156">
        <v>6.2E-2</v>
      </c>
      <c r="AL23" s="157">
        <v>83.97</v>
      </c>
      <c r="AM23" s="144">
        <f t="shared" si="0"/>
        <v>1.2739726027397261E-5</v>
      </c>
      <c r="AN23" s="158">
        <f t="shared" si="6"/>
        <v>4.246575342465754E-2</v>
      </c>
      <c r="AO23" s="144">
        <f t="shared" si="1"/>
        <v>3.7945205479452054E-5</v>
      </c>
      <c r="AP23" s="158">
        <f t="shared" si="7"/>
        <v>1.0540334855403349E-2</v>
      </c>
      <c r="AQ23" s="144">
        <f t="shared" si="2"/>
        <v>2.5150410958904105E-6</v>
      </c>
      <c r="AR23" s="158">
        <f t="shared" si="8"/>
        <v>8.3834703196347029E-3</v>
      </c>
      <c r="AS23" s="144">
        <f t="shared" si="3"/>
        <v>3.97945205479452E-4</v>
      </c>
      <c r="AT23" s="158">
        <f t="shared" si="9"/>
        <v>0.13264840182648399</v>
      </c>
      <c r="AU23" s="144">
        <f t="shared" si="4"/>
        <v>8.4931506849315056E-8</v>
      </c>
      <c r="AV23" s="158">
        <f t="shared" si="10"/>
        <v>1.6986301369863012E-4</v>
      </c>
      <c r="AW23" s="144">
        <f t="shared" si="5"/>
        <v>1.1502739726027396E-4</v>
      </c>
      <c r="AX23" s="158">
        <f t="shared" si="11"/>
        <v>5.7513698630136979E-3</v>
      </c>
      <c r="AY23" s="144">
        <f t="shared" si="12"/>
        <v>2.6577616438356167E-6</v>
      </c>
      <c r="AZ23" s="158">
        <f t="shared" si="13"/>
        <v>8.8592054794520564E-3</v>
      </c>
      <c r="BA23" s="144">
        <f t="shared" si="14"/>
        <v>8.8592054794520558E-8</v>
      </c>
      <c r="BB23" s="158">
        <f t="shared" si="15"/>
        <v>2.5312015655577303E-5</v>
      </c>
      <c r="BC23" s="144">
        <f t="shared" si="16"/>
        <v>1.7489595780821913E-8</v>
      </c>
      <c r="BD23" s="158">
        <f t="shared" si="17"/>
        <v>5.8298652602739714E-5</v>
      </c>
      <c r="BE23" s="144">
        <f t="shared" si="18"/>
        <v>2.7673109589041106E-6</v>
      </c>
      <c r="BF23" s="158">
        <f t="shared" si="19"/>
        <v>5.5346219178082213E-4</v>
      </c>
      <c r="BG23" s="144">
        <f t="shared" si="20"/>
        <v>5.9061369863013703E-10</v>
      </c>
      <c r="BH23" s="158">
        <f t="shared" si="21"/>
        <v>1.1812273972602741E-6</v>
      </c>
      <c r="BI23" s="144">
        <f t="shared" si="22"/>
        <v>7.9990052054794523E-7</v>
      </c>
      <c r="BJ23" s="158">
        <f t="shared" si="23"/>
        <v>1.4283937866927594E-4</v>
      </c>
      <c r="BK23" s="144">
        <f t="shared" si="24"/>
        <v>1.8734891216760678E-9</v>
      </c>
      <c r="BL23" s="158">
        <f t="shared" si="25"/>
        <v>6.2449637389202266E-6</v>
      </c>
      <c r="BM23" s="144">
        <f t="shared" si="26"/>
        <v>5.5801772763900084E-9</v>
      </c>
      <c r="BN23" s="158">
        <f t="shared" si="27"/>
        <v>1.5943363646828594E-6</v>
      </c>
      <c r="BO23" s="144">
        <f t="shared" si="28"/>
        <v>3.6985898468976636E-10</v>
      </c>
      <c r="BP23" s="158">
        <f t="shared" si="29"/>
        <v>1.2328632822992213E-6</v>
      </c>
      <c r="BQ23" s="144">
        <f t="shared" si="30"/>
        <v>5.8521353746978241E-8</v>
      </c>
      <c r="BR23" s="158">
        <f t="shared" si="31"/>
        <v>1.1704270749395648E-5</v>
      </c>
      <c r="BS23" s="144">
        <f t="shared" si="32"/>
        <v>1.2489927477840451E-11</v>
      </c>
      <c r="BT23" s="158">
        <f t="shared" si="33"/>
        <v>2.49798549556809E-8</v>
      </c>
      <c r="BU23" s="144">
        <f t="shared" si="34"/>
        <v>1.6915793714746171E-8</v>
      </c>
      <c r="BV23" s="144">
        <f t="shared" si="35"/>
        <v>3.0206774490618164E-6</v>
      </c>
    </row>
    <row r="24" spans="1:74">
      <c r="A24" s="80" t="s">
        <v>678</v>
      </c>
      <c r="B24" s="80" t="s">
        <v>912</v>
      </c>
      <c r="C24" s="80" t="s">
        <v>913</v>
      </c>
      <c r="D24" s="80" t="s">
        <v>23</v>
      </c>
      <c r="E24" s="80" t="s">
        <v>55</v>
      </c>
      <c r="F24" s="80" t="s">
        <v>3</v>
      </c>
      <c r="G24" s="80" t="s">
        <v>15</v>
      </c>
      <c r="H24" s="80" t="s">
        <v>32</v>
      </c>
      <c r="I24" s="80" t="s">
        <v>19</v>
      </c>
      <c r="T24" s="53" t="s">
        <v>121</v>
      </c>
      <c r="U24" s="53" t="s">
        <v>122</v>
      </c>
      <c r="V24" s="155" t="s">
        <v>339</v>
      </c>
      <c r="W24" s="53">
        <v>0.31583600000000001</v>
      </c>
      <c r="X24" s="53">
        <v>34.649163999999999</v>
      </c>
      <c r="Y24" s="53" t="s">
        <v>350</v>
      </c>
      <c r="Z24" s="53" t="s">
        <v>330</v>
      </c>
      <c r="AA24" s="116" t="s">
        <v>347</v>
      </c>
      <c r="AB24" s="154" t="s">
        <v>371</v>
      </c>
      <c r="AC24" s="39" t="s">
        <v>688</v>
      </c>
      <c r="AD24" s="53" t="s">
        <v>369</v>
      </c>
      <c r="AE24" s="53" t="s">
        <v>685</v>
      </c>
      <c r="AF24" s="53" t="s">
        <v>691</v>
      </c>
      <c r="AG24" s="156">
        <v>19.7</v>
      </c>
      <c r="AH24" s="157">
        <v>93.4</v>
      </c>
      <c r="AI24" s="75">
        <v>4.2978700000000005</v>
      </c>
      <c r="AJ24" s="157">
        <v>138.19999999999999</v>
      </c>
      <c r="AK24" s="156">
        <v>0.14099999999999999</v>
      </c>
      <c r="AL24" s="157">
        <v>51.9</v>
      </c>
      <c r="AM24" s="144">
        <f t="shared" si="0"/>
        <v>2.6986301369863014E-5</v>
      </c>
      <c r="AN24" s="158">
        <f t="shared" si="6"/>
        <v>8.995433789954338E-2</v>
      </c>
      <c r="AO24" s="144">
        <f t="shared" si="1"/>
        <v>1.2794520547945205E-4</v>
      </c>
      <c r="AP24" s="158">
        <f t="shared" si="7"/>
        <v>3.5540334855403352E-2</v>
      </c>
      <c r="AQ24" s="144">
        <f t="shared" si="2"/>
        <v>5.8874931506849319E-6</v>
      </c>
      <c r="AR24" s="158">
        <f t="shared" si="8"/>
        <v>1.9624977168949776E-2</v>
      </c>
      <c r="AS24" s="144">
        <f t="shared" si="3"/>
        <v>1.8931506849315062E-4</v>
      </c>
      <c r="AT24" s="158">
        <f t="shared" si="9"/>
        <v>6.3105022831050198E-2</v>
      </c>
      <c r="AU24" s="144">
        <f t="shared" si="4"/>
        <v>1.931506849315068E-7</v>
      </c>
      <c r="AV24" s="158">
        <f t="shared" si="10"/>
        <v>3.8630136986301362E-4</v>
      </c>
      <c r="AW24" s="144">
        <f t="shared" si="5"/>
        <v>7.1095890410958896E-5</v>
      </c>
      <c r="AX24" s="158">
        <f t="shared" si="11"/>
        <v>3.5547945205479446E-3</v>
      </c>
      <c r="AY24" s="144">
        <f t="shared" si="12"/>
        <v>5.6298821917808199E-6</v>
      </c>
      <c r="AZ24" s="158">
        <f t="shared" si="13"/>
        <v>1.8766273972602734E-2</v>
      </c>
      <c r="BA24" s="144">
        <f t="shared" si="14"/>
        <v>1.8766273972602739E-7</v>
      </c>
      <c r="BB24" s="158">
        <f t="shared" si="15"/>
        <v>5.3617925636007823E-5</v>
      </c>
      <c r="BC24" s="144">
        <f t="shared" si="16"/>
        <v>4.0941627369863018E-8</v>
      </c>
      <c r="BD24" s="158">
        <f t="shared" si="17"/>
        <v>1.3647209123287675E-4</v>
      </c>
      <c r="BE24" s="144">
        <f t="shared" si="18"/>
        <v>1.3164969863013698E-6</v>
      </c>
      <c r="BF24" s="158">
        <f t="shared" si="19"/>
        <v>2.6329939726027393E-4</v>
      </c>
      <c r="BG24" s="144">
        <f t="shared" si="20"/>
        <v>1.3431698630136986E-9</v>
      </c>
      <c r="BH24" s="158">
        <f t="shared" si="21"/>
        <v>2.6863397260273972E-6</v>
      </c>
      <c r="BI24" s="144">
        <f t="shared" si="22"/>
        <v>4.9440082191780826E-7</v>
      </c>
      <c r="BJ24" s="158">
        <f t="shared" si="23"/>
        <v>8.828586105675148E-5</v>
      </c>
      <c r="BK24" s="144">
        <f t="shared" si="24"/>
        <v>3.9685737308622075E-9</v>
      </c>
      <c r="BL24" s="158">
        <f t="shared" si="25"/>
        <v>1.3228579102874027E-5</v>
      </c>
      <c r="BM24" s="144">
        <f t="shared" si="26"/>
        <v>1.8815471394037068E-8</v>
      </c>
      <c r="BN24" s="158">
        <f t="shared" si="27"/>
        <v>5.3758489697248767E-6</v>
      </c>
      <c r="BO24" s="144">
        <f t="shared" si="28"/>
        <v>8.6580781627719584E-10</v>
      </c>
      <c r="BP24" s="158">
        <f t="shared" si="29"/>
        <v>2.8860260542573196E-6</v>
      </c>
      <c r="BQ24" s="144">
        <f t="shared" si="30"/>
        <v>2.7840451248992748E-8</v>
      </c>
      <c r="BR24" s="158">
        <f t="shared" si="31"/>
        <v>5.5680902497985494E-6</v>
      </c>
      <c r="BS24" s="144">
        <f t="shared" si="32"/>
        <v>2.8404512489927477E-11</v>
      </c>
      <c r="BT24" s="158">
        <f t="shared" si="33"/>
        <v>5.6809024979854957E-8</v>
      </c>
      <c r="BU24" s="144">
        <f t="shared" si="34"/>
        <v>1.0455278001611604E-8</v>
      </c>
      <c r="BV24" s="144">
        <f t="shared" si="35"/>
        <v>1.867013928859215E-6</v>
      </c>
    </row>
    <row r="25" spans="1:74">
      <c r="A25" s="80" t="s">
        <v>915</v>
      </c>
      <c r="B25" s="78" t="s">
        <v>916</v>
      </c>
      <c r="C25" s="78" t="s">
        <v>792</v>
      </c>
      <c r="D25" s="144">
        <v>8.15</v>
      </c>
      <c r="E25" s="144">
        <v>4.5699999999999998E-2</v>
      </c>
      <c r="F25" s="144">
        <v>2.4299999999999999E-2</v>
      </c>
      <c r="G25" s="144">
        <v>0.1439</v>
      </c>
      <c r="H25" s="144">
        <v>1.451E-3</v>
      </c>
      <c r="I25" s="144">
        <v>6.7190000000000001E-3</v>
      </c>
      <c r="T25" s="53" t="s">
        <v>123</v>
      </c>
      <c r="U25" s="53" t="s">
        <v>124</v>
      </c>
      <c r="V25" s="155" t="s">
        <v>339</v>
      </c>
      <c r="W25" s="53">
        <v>0.31583600000000001</v>
      </c>
      <c r="X25" s="53">
        <v>34.649163999999999</v>
      </c>
      <c r="Y25" s="53" t="s">
        <v>350</v>
      </c>
      <c r="Z25" s="161" t="s">
        <v>330</v>
      </c>
      <c r="AA25" s="116" t="s">
        <v>347</v>
      </c>
      <c r="AB25" s="154" t="s">
        <v>371</v>
      </c>
      <c r="AC25" s="39" t="s">
        <v>688</v>
      </c>
      <c r="AD25" s="53" t="s">
        <v>369</v>
      </c>
      <c r="AE25" s="53" t="s">
        <v>685</v>
      </c>
      <c r="AF25" s="53" t="s">
        <v>691</v>
      </c>
      <c r="AG25" s="156">
        <v>454</v>
      </c>
      <c r="AH25" s="157">
        <v>131.4</v>
      </c>
      <c r="AI25" s="75">
        <v>0.27227999999999997</v>
      </c>
      <c r="AJ25" s="157">
        <v>387.2</v>
      </c>
      <c r="AK25" s="156">
        <v>0.58799999999999997</v>
      </c>
      <c r="AL25" s="157">
        <v>82.46</v>
      </c>
      <c r="AM25" s="144">
        <f t="shared" si="0"/>
        <v>6.2191780821917804E-4</v>
      </c>
      <c r="AN25" s="158">
        <f t="shared" si="6"/>
        <v>2.0730593607305936</v>
      </c>
      <c r="AO25" s="144">
        <f t="shared" si="1"/>
        <v>1.8000000000000001E-4</v>
      </c>
      <c r="AP25" s="158">
        <f t="shared" si="7"/>
        <v>0.05</v>
      </c>
      <c r="AQ25" s="144">
        <f t="shared" si="2"/>
        <v>3.7298630136986301E-7</v>
      </c>
      <c r="AR25" s="158">
        <f t="shared" si="8"/>
        <v>1.2432876712328768E-3</v>
      </c>
      <c r="AS25" s="144">
        <f t="shared" si="3"/>
        <v>5.3041095890410958E-4</v>
      </c>
      <c r="AT25" s="158">
        <f t="shared" si="9"/>
        <v>0.17680365296803652</v>
      </c>
      <c r="AU25" s="144">
        <f t="shared" si="4"/>
        <v>8.0547945205479441E-7</v>
      </c>
      <c r="AV25" s="158">
        <f t="shared" si="10"/>
        <v>1.6109589041095889E-3</v>
      </c>
      <c r="AW25" s="144">
        <f t="shared" si="5"/>
        <v>1.1295890410958903E-4</v>
      </c>
      <c r="AX25" s="158">
        <f t="shared" si="11"/>
        <v>5.6479452054794517E-3</v>
      </c>
      <c r="AY25" s="144">
        <f t="shared" si="12"/>
        <v>1.2974449315068492E-4</v>
      </c>
      <c r="AZ25" s="158">
        <f t="shared" si="13"/>
        <v>0.43248164383561644</v>
      </c>
      <c r="BA25" s="144">
        <f t="shared" si="14"/>
        <v>4.324816438356164E-6</v>
      </c>
      <c r="BB25" s="158">
        <f t="shared" si="15"/>
        <v>1.2356618395303325E-3</v>
      </c>
      <c r="BC25" s="144">
        <f t="shared" si="16"/>
        <v>2.593746739726027E-9</v>
      </c>
      <c r="BD25" s="158">
        <f t="shared" si="17"/>
        <v>8.6458224657534239E-6</v>
      </c>
      <c r="BE25" s="144">
        <f t="shared" si="18"/>
        <v>3.6884778082191781E-6</v>
      </c>
      <c r="BF25" s="158">
        <f t="shared" si="19"/>
        <v>7.3769556164383562E-4</v>
      </c>
      <c r="BG25" s="144">
        <f t="shared" si="20"/>
        <v>5.6013041095890409E-9</v>
      </c>
      <c r="BH25" s="158">
        <f t="shared" si="21"/>
        <v>1.1202608219178081E-5</v>
      </c>
      <c r="BI25" s="144">
        <f t="shared" si="22"/>
        <v>7.8551621917808212E-7</v>
      </c>
      <c r="BJ25" s="158">
        <f t="shared" si="23"/>
        <v>1.4027075342465753E-4</v>
      </c>
      <c r="BK25" s="144">
        <f t="shared" si="24"/>
        <v>9.145850120870266E-8</v>
      </c>
      <c r="BL25" s="158">
        <f t="shared" si="25"/>
        <v>3.0486167069567556E-4</v>
      </c>
      <c r="BM25" s="144">
        <f t="shared" si="26"/>
        <v>2.6470588235294116E-8</v>
      </c>
      <c r="BN25" s="158">
        <f t="shared" si="27"/>
        <v>7.5630252100840333E-6</v>
      </c>
      <c r="BO25" s="144">
        <f t="shared" si="28"/>
        <v>5.485092667203867E-11</v>
      </c>
      <c r="BP25" s="158">
        <f t="shared" si="29"/>
        <v>1.8283642224012892E-7</v>
      </c>
      <c r="BQ25" s="144">
        <f t="shared" si="30"/>
        <v>7.8001611603545522E-8</v>
      </c>
      <c r="BR25" s="158">
        <f t="shared" si="31"/>
        <v>1.5600322320709104E-5</v>
      </c>
      <c r="BS25" s="144">
        <f t="shared" si="32"/>
        <v>1.1845286059629332E-10</v>
      </c>
      <c r="BT25" s="158">
        <f t="shared" si="33"/>
        <v>2.3690572119258664E-7</v>
      </c>
      <c r="BU25" s="144">
        <f t="shared" si="34"/>
        <v>1.6611603545527797E-8</v>
      </c>
      <c r="BV25" s="144">
        <f t="shared" si="35"/>
        <v>2.9663577759871067E-6</v>
      </c>
    </row>
    <row r="26" spans="1:74">
      <c r="A26" s="80" t="s">
        <v>915</v>
      </c>
      <c r="B26" s="78" t="s">
        <v>916</v>
      </c>
      <c r="C26" s="78" t="s">
        <v>827</v>
      </c>
      <c r="D26" s="144">
        <v>1.6990000000000001</v>
      </c>
      <c r="E26" s="144">
        <v>4.8599999999999997E-3</v>
      </c>
      <c r="F26" s="144">
        <v>1.6899999999999999E-4</v>
      </c>
      <c r="G26" s="144">
        <v>6.0099999999999997E-4</v>
      </c>
      <c r="H26" s="144">
        <v>1.0000000000000001E-5</v>
      </c>
      <c r="I26" s="144">
        <v>1.6699999999999999E-4</v>
      </c>
      <c r="T26" s="53" t="s">
        <v>126</v>
      </c>
      <c r="U26" s="53" t="s">
        <v>127</v>
      </c>
      <c r="V26" s="155" t="s">
        <v>339</v>
      </c>
      <c r="W26" s="53">
        <v>0.31583600000000001</v>
      </c>
      <c r="X26" s="53">
        <v>34.649163999999999</v>
      </c>
      <c r="Y26" s="53" t="s">
        <v>350</v>
      </c>
      <c r="Z26" s="53" t="s">
        <v>330</v>
      </c>
      <c r="AA26" s="116" t="s">
        <v>347</v>
      </c>
      <c r="AB26" s="154" t="s">
        <v>371</v>
      </c>
      <c r="AC26" s="39" t="s">
        <v>688</v>
      </c>
      <c r="AD26" s="53" t="s">
        <v>369</v>
      </c>
      <c r="AE26" s="53" t="s">
        <v>685</v>
      </c>
      <c r="AF26" s="53" t="s">
        <v>691</v>
      </c>
      <c r="AG26" s="156">
        <v>21.5</v>
      </c>
      <c r="AH26" s="157">
        <v>115.7</v>
      </c>
      <c r="AI26" s="75">
        <v>1.8449099999999998</v>
      </c>
      <c r="AJ26" s="157">
        <v>128.6</v>
      </c>
      <c r="AK26" s="156">
        <v>0.14299999999999999</v>
      </c>
      <c r="AL26" s="157">
        <v>49.89</v>
      </c>
      <c r="AM26" s="144">
        <f t="shared" si="0"/>
        <v>2.9452054794520546E-5</v>
      </c>
      <c r="AN26" s="158">
        <f t="shared" si="6"/>
        <v>9.8173515981735168E-2</v>
      </c>
      <c r="AO26" s="144">
        <f t="shared" si="1"/>
        <v>1.5849315068493149E-4</v>
      </c>
      <c r="AP26" s="158">
        <f t="shared" si="7"/>
        <v>4.4025875190258752E-2</v>
      </c>
      <c r="AQ26" s="144">
        <f t="shared" si="2"/>
        <v>2.5272739726027393E-6</v>
      </c>
      <c r="AR26" s="158">
        <f t="shared" si="8"/>
        <v>8.4242465753424645E-3</v>
      </c>
      <c r="AS26" s="144">
        <f t="shared" si="3"/>
        <v>1.7616438356164385E-4</v>
      </c>
      <c r="AT26" s="158">
        <f t="shared" si="9"/>
        <v>5.8721461187214614E-2</v>
      </c>
      <c r="AU26" s="144">
        <f t="shared" si="4"/>
        <v>1.9589041095890413E-7</v>
      </c>
      <c r="AV26" s="158">
        <f t="shared" si="10"/>
        <v>3.9178082191780827E-4</v>
      </c>
      <c r="AW26" s="144">
        <f t="shared" si="5"/>
        <v>6.8342465753424655E-5</v>
      </c>
      <c r="AX26" s="158">
        <f t="shared" si="11"/>
        <v>3.4171232876712325E-3</v>
      </c>
      <c r="AY26" s="144">
        <f t="shared" si="12"/>
        <v>6.1442876712328778E-6</v>
      </c>
      <c r="AZ26" s="158">
        <f t="shared" si="13"/>
        <v>2.0480958904109593E-2</v>
      </c>
      <c r="BA26" s="144">
        <f t="shared" si="14"/>
        <v>2.048095890410959E-7</v>
      </c>
      <c r="BB26" s="158">
        <f t="shared" si="15"/>
        <v>5.8517025440313114E-5</v>
      </c>
      <c r="BC26" s="144">
        <f t="shared" si="16"/>
        <v>1.7574663205479448E-8</v>
      </c>
      <c r="BD26" s="158">
        <f t="shared" si="17"/>
        <v>5.8582210684931499E-5</v>
      </c>
      <c r="BE26" s="144">
        <f t="shared" si="18"/>
        <v>1.2250471232876713E-6</v>
      </c>
      <c r="BF26" s="158">
        <f t="shared" si="19"/>
        <v>2.4500942465753426E-4</v>
      </c>
      <c r="BG26" s="144">
        <f t="shared" si="20"/>
        <v>1.3622219178082195E-9</v>
      </c>
      <c r="BH26" s="158">
        <f t="shared" si="21"/>
        <v>2.7244438356164388E-6</v>
      </c>
      <c r="BI26" s="144">
        <f t="shared" si="22"/>
        <v>4.752535068493151E-7</v>
      </c>
      <c r="BJ26" s="158">
        <f t="shared" si="23"/>
        <v>8.4866697651663406E-5</v>
      </c>
      <c r="BK26" s="144">
        <f t="shared" si="24"/>
        <v>4.3311845286059629E-9</v>
      </c>
      <c r="BL26" s="158">
        <f t="shared" si="25"/>
        <v>1.4437281762019877E-5</v>
      </c>
      <c r="BM26" s="144">
        <f t="shared" si="26"/>
        <v>2.330781627719581E-8</v>
      </c>
      <c r="BN26" s="158">
        <f t="shared" si="27"/>
        <v>6.6593760791988032E-6</v>
      </c>
      <c r="BO26" s="144">
        <f t="shared" si="28"/>
        <v>3.7165793714746172E-10</v>
      </c>
      <c r="BP26" s="158">
        <f t="shared" si="29"/>
        <v>1.2388597904915391E-6</v>
      </c>
      <c r="BQ26" s="144">
        <f t="shared" si="30"/>
        <v>2.5906526994359389E-8</v>
      </c>
      <c r="BR26" s="158">
        <f t="shared" si="31"/>
        <v>5.1813053988718774E-6</v>
      </c>
      <c r="BS26" s="144">
        <f t="shared" si="32"/>
        <v>2.8807413376309429E-11</v>
      </c>
      <c r="BT26" s="158">
        <f t="shared" si="33"/>
        <v>5.7614826752618857E-8</v>
      </c>
      <c r="BU26" s="144">
        <f t="shared" si="34"/>
        <v>1.0050362610797743E-8</v>
      </c>
      <c r="BV26" s="144">
        <f t="shared" si="35"/>
        <v>1.7947076090710255E-6</v>
      </c>
    </row>
    <row r="27" spans="1:74">
      <c r="A27" s="80" t="s">
        <v>915</v>
      </c>
      <c r="B27" s="78" t="s">
        <v>916</v>
      </c>
      <c r="C27" s="78" t="s">
        <v>805</v>
      </c>
      <c r="D27" s="144">
        <v>1.1980000000000001E-3</v>
      </c>
      <c r="E27" s="144">
        <v>6.9999999999999999E-6</v>
      </c>
      <c r="F27" s="144">
        <v>3.9999999999999998E-6</v>
      </c>
      <c r="G27" s="144">
        <v>1.2999999999999999E-5</v>
      </c>
      <c r="H27" s="144">
        <v>0</v>
      </c>
      <c r="I27" s="144">
        <v>3.9999999999999998E-6</v>
      </c>
      <c r="T27" s="53" t="s">
        <v>128</v>
      </c>
      <c r="U27" s="53" t="s">
        <v>129</v>
      </c>
      <c r="V27" s="155" t="s">
        <v>339</v>
      </c>
      <c r="W27" s="53">
        <v>0.31583600000000001</v>
      </c>
      <c r="X27" s="53">
        <v>34.649163999999999</v>
      </c>
      <c r="Y27" s="53" t="s">
        <v>350</v>
      </c>
      <c r="Z27" s="53" t="s">
        <v>330</v>
      </c>
      <c r="AA27" s="116" t="s">
        <v>347</v>
      </c>
      <c r="AB27" s="154" t="s">
        <v>371</v>
      </c>
      <c r="AC27" s="39" t="s">
        <v>688</v>
      </c>
      <c r="AD27" s="53" t="s">
        <v>365</v>
      </c>
      <c r="AE27" s="53" t="s">
        <v>685</v>
      </c>
      <c r="AF27" s="53" t="s">
        <v>691</v>
      </c>
      <c r="AG27" s="156">
        <v>440</v>
      </c>
      <c r="AH27" s="157">
        <v>124.3</v>
      </c>
      <c r="AI27" s="75">
        <v>0.52349000000000001</v>
      </c>
      <c r="AJ27" s="157">
        <v>370.7</v>
      </c>
      <c r="AK27" s="156">
        <v>0.628</v>
      </c>
      <c r="AL27" s="157">
        <v>80.97</v>
      </c>
      <c r="AM27" s="144">
        <f t="shared" si="0"/>
        <v>6.027397260273973E-4</v>
      </c>
      <c r="AN27" s="158">
        <f t="shared" si="6"/>
        <v>2.0091324200913245</v>
      </c>
      <c r="AO27" s="144">
        <f t="shared" si="1"/>
        <v>1.7027397260273972E-4</v>
      </c>
      <c r="AP27" s="158">
        <f t="shared" si="7"/>
        <v>4.7298325722983259E-2</v>
      </c>
      <c r="AQ27" s="144">
        <f t="shared" si="2"/>
        <v>7.1710958904109585E-7</v>
      </c>
      <c r="AR27" s="158">
        <f t="shared" si="8"/>
        <v>2.390365296803653E-3</v>
      </c>
      <c r="AS27" s="144">
        <f t="shared" si="3"/>
        <v>5.0780821917808215E-4</v>
      </c>
      <c r="AT27" s="158">
        <f t="shared" si="9"/>
        <v>0.16926940639269406</v>
      </c>
      <c r="AU27" s="144">
        <f t="shared" si="4"/>
        <v>8.6027397260273972E-7</v>
      </c>
      <c r="AV27" s="158">
        <f t="shared" si="10"/>
        <v>1.7205479452054794E-3</v>
      </c>
      <c r="AW27" s="144">
        <f t="shared" si="5"/>
        <v>1.1091780821917809E-4</v>
      </c>
      <c r="AX27" s="158">
        <f t="shared" si="11"/>
        <v>5.5458904109589044E-3</v>
      </c>
      <c r="AY27" s="144">
        <f t="shared" si="12"/>
        <v>1.2574356164383557E-4</v>
      </c>
      <c r="AZ27" s="158">
        <f t="shared" si="13"/>
        <v>0.41914520547945194</v>
      </c>
      <c r="BA27" s="144">
        <f t="shared" si="14"/>
        <v>4.1914520547945207E-6</v>
      </c>
      <c r="BB27" s="158">
        <f t="shared" si="15"/>
        <v>1.1975577299412916E-3</v>
      </c>
      <c r="BC27" s="144">
        <f t="shared" si="16"/>
        <v>4.9867800821917804E-9</v>
      </c>
      <c r="BD27" s="158">
        <f t="shared" si="17"/>
        <v>1.6622600273972603E-5</v>
      </c>
      <c r="BE27" s="144">
        <f t="shared" si="18"/>
        <v>3.5312983561643836E-6</v>
      </c>
      <c r="BF27" s="158">
        <f t="shared" si="19"/>
        <v>7.0625967123287667E-4</v>
      </c>
      <c r="BG27" s="144">
        <f t="shared" si="20"/>
        <v>5.9823452054794523E-9</v>
      </c>
      <c r="BH27" s="158">
        <f t="shared" si="21"/>
        <v>1.1964690410958904E-5</v>
      </c>
      <c r="BI27" s="144">
        <f t="shared" si="22"/>
        <v>7.7132243835616433E-7</v>
      </c>
      <c r="BJ27" s="158">
        <f t="shared" si="23"/>
        <v>1.3773614970645791E-4</v>
      </c>
      <c r="BK27" s="144">
        <f t="shared" si="24"/>
        <v>8.8638195004029013E-8</v>
      </c>
      <c r="BL27" s="158">
        <f t="shared" si="25"/>
        <v>2.9546065001343006E-4</v>
      </c>
      <c r="BM27" s="144">
        <f t="shared" si="26"/>
        <v>2.5040290088638194E-8</v>
      </c>
      <c r="BN27" s="158">
        <f t="shared" si="27"/>
        <v>7.1543685967537692E-6</v>
      </c>
      <c r="BO27" s="144">
        <f t="shared" si="28"/>
        <v>1.0545729250604351E-10</v>
      </c>
      <c r="BP27" s="158">
        <f t="shared" si="29"/>
        <v>3.5152430835347841E-7</v>
      </c>
      <c r="BQ27" s="144">
        <f t="shared" si="30"/>
        <v>7.4677679290894436E-8</v>
      </c>
      <c r="BR27" s="158">
        <f t="shared" si="31"/>
        <v>1.4935535858178886E-5</v>
      </c>
      <c r="BS27" s="144">
        <f t="shared" si="32"/>
        <v>1.2651087832393232E-10</v>
      </c>
      <c r="BT27" s="158">
        <f t="shared" si="33"/>
        <v>2.5302175664786463E-7</v>
      </c>
      <c r="BU27" s="144">
        <f t="shared" si="34"/>
        <v>1.6311442385173246E-8</v>
      </c>
      <c r="BV27" s="144">
        <f t="shared" si="35"/>
        <v>2.912757568780937E-6</v>
      </c>
    </row>
    <row r="28" spans="1:74">
      <c r="A28" s="80" t="s">
        <v>915</v>
      </c>
      <c r="B28" s="78" t="s">
        <v>917</v>
      </c>
      <c r="C28" s="78" t="s">
        <v>792</v>
      </c>
      <c r="D28" s="144">
        <v>76</v>
      </c>
      <c r="E28" s="144">
        <v>0.42599999999999999</v>
      </c>
      <c r="F28" s="144">
        <v>0.2268</v>
      </c>
      <c r="G28" s="144">
        <v>1.343</v>
      </c>
      <c r="H28" s="144">
        <v>1.354E-2</v>
      </c>
      <c r="I28" s="144">
        <v>6.2710000000000002E-2</v>
      </c>
      <c r="T28" s="53" t="s">
        <v>130</v>
      </c>
      <c r="U28" s="53" t="s">
        <v>131</v>
      </c>
      <c r="V28" s="155" t="s">
        <v>339</v>
      </c>
      <c r="W28" s="53">
        <v>0.31583600000000001</v>
      </c>
      <c r="X28" s="53">
        <v>34.649163999999999</v>
      </c>
      <c r="Y28" s="53" t="s">
        <v>350</v>
      </c>
      <c r="Z28" s="53" t="s">
        <v>330</v>
      </c>
      <c r="AA28" s="116" t="s">
        <v>347</v>
      </c>
      <c r="AB28" s="154" t="s">
        <v>371</v>
      </c>
      <c r="AC28" s="39" t="s">
        <v>688</v>
      </c>
      <c r="AD28" s="53" t="s">
        <v>365</v>
      </c>
      <c r="AE28" s="53" t="s">
        <v>685</v>
      </c>
      <c r="AF28" s="53" t="s">
        <v>691</v>
      </c>
      <c r="AG28" s="156">
        <v>20.7</v>
      </c>
      <c r="AH28" s="157">
        <v>99.4</v>
      </c>
      <c r="AI28" s="162">
        <v>2.0906000000000002</v>
      </c>
      <c r="AJ28" s="157">
        <v>132.1</v>
      </c>
      <c r="AK28" s="156">
        <v>0.14599999999999999</v>
      </c>
      <c r="AL28" s="157">
        <v>50.08</v>
      </c>
      <c r="AM28" s="144">
        <f t="shared" si="0"/>
        <v>2.8356164383561644E-5</v>
      </c>
      <c r="AN28" s="158">
        <f t="shared" si="6"/>
        <v>9.4520547945205494E-2</v>
      </c>
      <c r="AO28" s="144">
        <f t="shared" si="1"/>
        <v>1.3616438356164382E-4</v>
      </c>
      <c r="AP28" s="158">
        <f t="shared" si="7"/>
        <v>3.7823439878234395E-2</v>
      </c>
      <c r="AQ28" s="144">
        <f t="shared" si="2"/>
        <v>2.8638356164383565E-6</v>
      </c>
      <c r="AR28" s="158">
        <f t="shared" si="8"/>
        <v>9.5461187214611887E-3</v>
      </c>
      <c r="AS28" s="144">
        <f t="shared" si="3"/>
        <v>1.8095890410958903E-4</v>
      </c>
      <c r="AT28" s="158">
        <f t="shared" si="9"/>
        <v>6.0319634703196345E-2</v>
      </c>
      <c r="AU28" s="144">
        <f t="shared" si="4"/>
        <v>1.9999999999999999E-7</v>
      </c>
      <c r="AV28" s="158">
        <f t="shared" si="10"/>
        <v>3.9999999999999996E-4</v>
      </c>
      <c r="AW28" s="144">
        <f t="shared" si="5"/>
        <v>6.8602739726027385E-5</v>
      </c>
      <c r="AX28" s="158">
        <f t="shared" si="11"/>
        <v>3.430136986301369E-3</v>
      </c>
      <c r="AY28" s="144">
        <f t="shared" si="12"/>
        <v>5.9156630136986297E-6</v>
      </c>
      <c r="AZ28" s="158">
        <f t="shared" si="13"/>
        <v>1.9718876712328769E-2</v>
      </c>
      <c r="BA28" s="144">
        <f t="shared" si="14"/>
        <v>1.9718876712328764E-7</v>
      </c>
      <c r="BB28" s="158">
        <f t="shared" si="15"/>
        <v>5.6339647749510751E-5</v>
      </c>
      <c r="BC28" s="144">
        <f t="shared" si="16"/>
        <v>1.9915112876712333E-8</v>
      </c>
      <c r="BD28" s="158">
        <f t="shared" si="17"/>
        <v>6.6383709589041108E-5</v>
      </c>
      <c r="BE28" s="144">
        <f t="shared" si="18"/>
        <v>1.2583882191780824E-6</v>
      </c>
      <c r="BF28" s="158">
        <f t="shared" si="19"/>
        <v>2.5167764383561645E-4</v>
      </c>
      <c r="BG28" s="144">
        <f t="shared" si="20"/>
        <v>1.3907999999999998E-9</v>
      </c>
      <c r="BH28" s="158">
        <f t="shared" si="21"/>
        <v>2.7815999999999993E-6</v>
      </c>
      <c r="BI28" s="144">
        <f t="shared" si="22"/>
        <v>4.770634520547946E-7</v>
      </c>
      <c r="BJ28" s="158">
        <f t="shared" si="23"/>
        <v>8.5189902152641898E-5</v>
      </c>
      <c r="BK28" s="144">
        <f t="shared" si="24"/>
        <v>4.1700241740531827E-9</v>
      </c>
      <c r="BL28" s="158">
        <f t="shared" si="25"/>
        <v>1.3900080580177277E-5</v>
      </c>
      <c r="BM28" s="144">
        <f t="shared" si="26"/>
        <v>2.0024174053182916E-8</v>
      </c>
      <c r="BN28" s="158">
        <f t="shared" si="27"/>
        <v>5.7211925866236902E-6</v>
      </c>
      <c r="BO28" s="144">
        <f t="shared" si="28"/>
        <v>4.2115229653505244E-10</v>
      </c>
      <c r="BP28" s="158">
        <f t="shared" si="29"/>
        <v>1.403840988450175E-6</v>
      </c>
      <c r="BQ28" s="144">
        <f t="shared" si="30"/>
        <v>2.6611603545527801E-8</v>
      </c>
      <c r="BR28" s="158">
        <f t="shared" si="31"/>
        <v>5.3223207091055601E-6</v>
      </c>
      <c r="BS28" s="144">
        <f t="shared" si="32"/>
        <v>2.9411764705882352E-11</v>
      </c>
      <c r="BT28" s="158">
        <f t="shared" si="33"/>
        <v>5.8823529411764702E-8</v>
      </c>
      <c r="BU28" s="144">
        <f t="shared" si="34"/>
        <v>1.0088638195004027E-8</v>
      </c>
      <c r="BV28" s="144">
        <f t="shared" si="35"/>
        <v>1.8015425348221477E-6</v>
      </c>
    </row>
    <row r="29" spans="1:74">
      <c r="A29" s="80" t="s">
        <v>915</v>
      </c>
      <c r="B29" s="78" t="s">
        <v>917</v>
      </c>
      <c r="C29" s="78" t="s">
        <v>827</v>
      </c>
      <c r="D29" s="144">
        <v>1.3640000000000001</v>
      </c>
      <c r="E29" s="144">
        <v>2.6200000000000003E-4</v>
      </c>
      <c r="F29" s="144">
        <v>1.36E-4</v>
      </c>
      <c r="G29" s="144">
        <v>4.8200000000000001E-4</v>
      </c>
      <c r="H29" s="144">
        <v>7.9999999999999996E-6</v>
      </c>
      <c r="I29" s="144">
        <v>1.34E-4</v>
      </c>
      <c r="T29" s="53" t="s">
        <v>132</v>
      </c>
      <c r="U29" s="53" t="s">
        <v>133</v>
      </c>
      <c r="V29" s="155" t="s">
        <v>339</v>
      </c>
      <c r="W29" s="53">
        <v>0.31578899999999999</v>
      </c>
      <c r="X29" s="53">
        <v>34.648187999999998</v>
      </c>
      <c r="Y29" s="53" t="s">
        <v>350</v>
      </c>
      <c r="Z29" s="53" t="s">
        <v>330</v>
      </c>
      <c r="AA29" s="116" t="s">
        <v>347</v>
      </c>
      <c r="AB29" s="154" t="s">
        <v>371</v>
      </c>
      <c r="AC29" s="39" t="s">
        <v>688</v>
      </c>
      <c r="AD29" s="53" t="s">
        <v>367</v>
      </c>
      <c r="AE29" s="53" t="s">
        <v>684</v>
      </c>
      <c r="AF29" s="53" t="s">
        <v>683</v>
      </c>
      <c r="AG29" s="156">
        <v>1.4</v>
      </c>
      <c r="AH29" s="157">
        <v>16.7</v>
      </c>
      <c r="AI29" s="162">
        <v>5.6399999999999999E-2</v>
      </c>
      <c r="AJ29" s="157">
        <v>48.1</v>
      </c>
      <c r="AK29" s="156">
        <v>3.1E-2</v>
      </c>
      <c r="AL29" s="157">
        <v>19.02</v>
      </c>
      <c r="AM29" s="144">
        <f t="shared" si="0"/>
        <v>1.9178082191780823E-6</v>
      </c>
      <c r="AN29" s="158">
        <f t="shared" si="6"/>
        <v>6.3926940639269418E-3</v>
      </c>
      <c r="AO29" s="144">
        <f t="shared" si="1"/>
        <v>2.2876712328767124E-5</v>
      </c>
      <c r="AP29" s="158">
        <f t="shared" si="7"/>
        <v>6.3546423135464238E-3</v>
      </c>
      <c r="AQ29" s="144">
        <f t="shared" si="2"/>
        <v>7.7260273972602739E-8</v>
      </c>
      <c r="AR29" s="158">
        <f t="shared" si="8"/>
        <v>2.5753424657534246E-4</v>
      </c>
      <c r="AS29" s="144">
        <f t="shared" si="3"/>
        <v>6.5890410958904108E-5</v>
      </c>
      <c r="AT29" s="158">
        <f t="shared" si="9"/>
        <v>2.1963470319634703E-2</v>
      </c>
      <c r="AU29" s="144">
        <f t="shared" si="4"/>
        <v>4.2465753424657528E-8</v>
      </c>
      <c r="AV29" s="158">
        <f t="shared" si="10"/>
        <v>8.4931506849315059E-5</v>
      </c>
      <c r="AW29" s="144">
        <f t="shared" si="5"/>
        <v>2.6054794520547947E-5</v>
      </c>
      <c r="AX29" s="158">
        <f t="shared" si="11"/>
        <v>1.3027397260273973E-3</v>
      </c>
      <c r="AY29" s="144">
        <f t="shared" si="12"/>
        <v>4.000931506849314E-7</v>
      </c>
      <c r="AZ29" s="158">
        <f t="shared" si="13"/>
        <v>1.333643835616438E-3</v>
      </c>
      <c r="BA29" s="144">
        <f t="shared" si="14"/>
        <v>1.3336438356164381E-8</v>
      </c>
      <c r="BB29" s="158">
        <f t="shared" si="15"/>
        <v>3.8104109589041087E-6</v>
      </c>
      <c r="BC29" s="144">
        <f t="shared" si="16"/>
        <v>5.3726794520547952E-10</v>
      </c>
      <c r="BD29" s="158">
        <f t="shared" si="17"/>
        <v>1.7908931506849318E-6</v>
      </c>
      <c r="BE29" s="144">
        <f t="shared" si="18"/>
        <v>4.5820191780821912E-7</v>
      </c>
      <c r="BF29" s="158">
        <f t="shared" si="19"/>
        <v>9.1640383561643828E-5</v>
      </c>
      <c r="BG29" s="144">
        <f t="shared" si="20"/>
        <v>2.9530684931506852E-10</v>
      </c>
      <c r="BH29" s="158">
        <f t="shared" si="21"/>
        <v>5.9061369863013707E-7</v>
      </c>
      <c r="BI29" s="144">
        <f t="shared" si="22"/>
        <v>1.8118504109589041E-7</v>
      </c>
      <c r="BJ29" s="158">
        <f t="shared" si="23"/>
        <v>3.2354471624266146E-5</v>
      </c>
      <c r="BK29" s="144">
        <f t="shared" si="24"/>
        <v>2.8203062046736504E-10</v>
      </c>
      <c r="BL29" s="158">
        <f t="shared" si="25"/>
        <v>9.4010206822455023E-7</v>
      </c>
      <c r="BM29" s="144">
        <f t="shared" si="26"/>
        <v>3.3642224012892827E-9</v>
      </c>
      <c r="BN29" s="158">
        <f t="shared" si="27"/>
        <v>9.6120640036836651E-7</v>
      </c>
      <c r="BO29" s="144">
        <f t="shared" si="28"/>
        <v>1.1361804995970989E-11</v>
      </c>
      <c r="BP29" s="158">
        <f t="shared" si="29"/>
        <v>3.78726833199033E-8</v>
      </c>
      <c r="BQ29" s="144">
        <f t="shared" si="30"/>
        <v>9.6897663174858977E-9</v>
      </c>
      <c r="BR29" s="158">
        <f t="shared" si="31"/>
        <v>1.9379532634971794E-6</v>
      </c>
      <c r="BS29" s="144">
        <f t="shared" si="32"/>
        <v>6.2449637389202253E-12</v>
      </c>
      <c r="BT29" s="158">
        <f t="shared" si="33"/>
        <v>1.248992747784045E-8</v>
      </c>
      <c r="BU29" s="144">
        <f t="shared" si="34"/>
        <v>3.8315874294923447E-9</v>
      </c>
      <c r="BV29" s="144">
        <f t="shared" si="35"/>
        <v>6.8421204098077585E-7</v>
      </c>
    </row>
    <row r="30" spans="1:74">
      <c r="A30" s="80" t="s">
        <v>915</v>
      </c>
      <c r="B30" s="78" t="s">
        <v>917</v>
      </c>
      <c r="C30" s="78" t="s">
        <v>805</v>
      </c>
      <c r="D30" s="144">
        <v>2.1199999999999999E-3</v>
      </c>
      <c r="E30" s="144">
        <v>1.2E-5</v>
      </c>
      <c r="F30" s="144">
        <v>2.1999999999999999E-5</v>
      </c>
      <c r="G30" s="144">
        <v>3.7529999999999998E-3</v>
      </c>
      <c r="H30" s="144">
        <v>3.0000000000000001E-6</v>
      </c>
      <c r="I30" s="144">
        <v>1.9999999999999999E-6</v>
      </c>
      <c r="T30" s="53" t="s">
        <v>134</v>
      </c>
      <c r="U30" s="53" t="s">
        <v>135</v>
      </c>
      <c r="V30" s="155" t="s">
        <v>340</v>
      </c>
      <c r="W30" s="53">
        <v>0.25193900000000002</v>
      </c>
      <c r="X30" s="53">
        <v>34.723801000000002</v>
      </c>
      <c r="Y30" s="53" t="s">
        <v>372</v>
      </c>
      <c r="Z30" s="53" t="s">
        <v>330</v>
      </c>
      <c r="AA30" s="116" t="s">
        <v>347</v>
      </c>
      <c r="AB30" s="154" t="s">
        <v>371</v>
      </c>
      <c r="AC30" s="39" t="s">
        <v>688</v>
      </c>
      <c r="AD30" s="53" t="s">
        <v>367</v>
      </c>
      <c r="AE30" s="53" t="s">
        <v>684</v>
      </c>
      <c r="AF30" s="53" t="s">
        <v>683</v>
      </c>
      <c r="AG30" s="156">
        <v>7.4</v>
      </c>
      <c r="AH30" s="157">
        <v>15.9</v>
      </c>
      <c r="AI30" s="162">
        <v>4.8073999999999995</v>
      </c>
      <c r="AJ30" s="157">
        <v>312.3</v>
      </c>
      <c r="AK30" s="156">
        <v>0.29399999999999998</v>
      </c>
      <c r="AL30" s="157">
        <v>115.55</v>
      </c>
      <c r="AM30" s="144">
        <f t="shared" si="0"/>
        <v>1.0136986301369862E-5</v>
      </c>
      <c r="AN30" s="158">
        <f t="shared" si="6"/>
        <v>3.3789954337899546E-2</v>
      </c>
      <c r="AO30" s="144">
        <f t="shared" si="1"/>
        <v>2.1780821917808219E-5</v>
      </c>
      <c r="AP30" s="158">
        <f t="shared" si="7"/>
        <v>6.0502283105022831E-3</v>
      </c>
      <c r="AQ30" s="144">
        <f t="shared" si="2"/>
        <v>6.5854794520547932E-6</v>
      </c>
      <c r="AR30" s="158">
        <f t="shared" si="8"/>
        <v>2.1951598173515979E-2</v>
      </c>
      <c r="AS30" s="144">
        <f t="shared" si="3"/>
        <v>4.2780821917808216E-4</v>
      </c>
      <c r="AT30" s="158">
        <f t="shared" si="9"/>
        <v>0.14260273972602738</v>
      </c>
      <c r="AU30" s="144">
        <f t="shared" si="4"/>
        <v>4.0273972602739721E-7</v>
      </c>
      <c r="AV30" s="158">
        <f t="shared" si="10"/>
        <v>8.0547945205479443E-4</v>
      </c>
      <c r="AW30" s="144">
        <f t="shared" si="5"/>
        <v>1.5828767123287672E-4</v>
      </c>
      <c r="AX30" s="158">
        <f t="shared" si="11"/>
        <v>7.9143835616438361E-3</v>
      </c>
      <c r="AY30" s="144">
        <f t="shared" si="12"/>
        <v>2.1147780821917805E-6</v>
      </c>
      <c r="AZ30" s="158">
        <f t="shared" si="13"/>
        <v>7.0492602739726023E-3</v>
      </c>
      <c r="BA30" s="144">
        <f t="shared" si="14"/>
        <v>7.0492602739726029E-8</v>
      </c>
      <c r="BB30" s="158">
        <f t="shared" si="15"/>
        <v>2.0140743639921722E-5</v>
      </c>
      <c r="BC30" s="144">
        <f t="shared" si="16"/>
        <v>4.5795424109589034E-8</v>
      </c>
      <c r="BD30" s="158">
        <f t="shared" si="17"/>
        <v>1.5265141369863013E-4</v>
      </c>
      <c r="BE30" s="144">
        <f t="shared" si="18"/>
        <v>2.9749783561643834E-6</v>
      </c>
      <c r="BF30" s="158">
        <f t="shared" si="19"/>
        <v>5.9499567123287665E-4</v>
      </c>
      <c r="BG30" s="144">
        <f t="shared" si="20"/>
        <v>2.8006520547945205E-9</v>
      </c>
      <c r="BH30" s="158">
        <f t="shared" si="21"/>
        <v>5.6013041095890407E-6</v>
      </c>
      <c r="BI30" s="144">
        <f t="shared" si="22"/>
        <v>1.1007324657534246E-6</v>
      </c>
      <c r="BJ30" s="158">
        <f t="shared" si="23"/>
        <v>1.9655936888454011E-4</v>
      </c>
      <c r="BK30" s="144">
        <f t="shared" si="24"/>
        <v>1.4907332796132151E-9</v>
      </c>
      <c r="BL30" s="158">
        <f t="shared" si="25"/>
        <v>4.9691109320440506E-6</v>
      </c>
      <c r="BM30" s="144">
        <f t="shared" si="26"/>
        <v>3.203062046736503E-9</v>
      </c>
      <c r="BN30" s="158">
        <f t="shared" si="27"/>
        <v>9.15160584781858E-7</v>
      </c>
      <c r="BO30" s="144">
        <f t="shared" si="28"/>
        <v>9.6845286059629323E-10</v>
      </c>
      <c r="BP30" s="158">
        <f t="shared" si="29"/>
        <v>3.2281762019876445E-6</v>
      </c>
      <c r="BQ30" s="144">
        <f t="shared" si="30"/>
        <v>6.2912973408541497E-8</v>
      </c>
      <c r="BR30" s="158">
        <f t="shared" si="31"/>
        <v>1.2582594681708298E-5</v>
      </c>
      <c r="BS30" s="144">
        <f t="shared" si="32"/>
        <v>5.9226430298146659E-11</v>
      </c>
      <c r="BT30" s="158">
        <f t="shared" si="33"/>
        <v>1.1845286059629332E-7</v>
      </c>
      <c r="BU30" s="144">
        <f t="shared" si="34"/>
        <v>2.3277598710717165E-8</v>
      </c>
      <c r="BV30" s="144">
        <f t="shared" si="35"/>
        <v>4.1567140554852078E-6</v>
      </c>
    </row>
    <row r="31" spans="1:74">
      <c r="A31" s="80" t="s">
        <v>918</v>
      </c>
      <c r="B31" s="78" t="s">
        <v>916</v>
      </c>
      <c r="C31" s="78" t="s">
        <v>805</v>
      </c>
      <c r="D31" s="144">
        <v>0</v>
      </c>
      <c r="E31" s="144">
        <v>0</v>
      </c>
      <c r="F31" s="144">
        <v>0</v>
      </c>
      <c r="G31" s="144">
        <v>0</v>
      </c>
      <c r="H31" s="144">
        <v>0</v>
      </c>
      <c r="I31" s="144">
        <v>0</v>
      </c>
      <c r="T31" s="53" t="s">
        <v>136</v>
      </c>
      <c r="U31" s="53" t="s">
        <v>137</v>
      </c>
      <c r="V31" s="155" t="s">
        <v>340</v>
      </c>
      <c r="W31" s="53">
        <v>0.25163200000000002</v>
      </c>
      <c r="X31" s="53">
        <v>34.723951</v>
      </c>
      <c r="Y31" s="53" t="s">
        <v>372</v>
      </c>
      <c r="Z31" s="53" t="s">
        <v>330</v>
      </c>
      <c r="AA31" s="116" t="s">
        <v>347</v>
      </c>
      <c r="AB31" s="154" t="s">
        <v>371</v>
      </c>
      <c r="AC31" s="39" t="s">
        <v>688</v>
      </c>
      <c r="AD31" s="53" t="s">
        <v>369</v>
      </c>
      <c r="AE31" s="53" t="s">
        <v>685</v>
      </c>
      <c r="AF31" s="53" t="s">
        <v>691</v>
      </c>
      <c r="AG31" s="156">
        <v>622</v>
      </c>
      <c r="AH31" s="157">
        <v>39</v>
      </c>
      <c r="AI31" s="162">
        <v>2.1796000000000002</v>
      </c>
      <c r="AJ31" s="157">
        <v>247.2</v>
      </c>
      <c r="AK31" s="156">
        <v>0.46</v>
      </c>
      <c r="AL31" s="157">
        <v>58.95</v>
      </c>
      <c r="AM31" s="144">
        <f t="shared" si="0"/>
        <v>8.5205479452054797E-4</v>
      </c>
      <c r="AN31" s="158">
        <f t="shared" si="6"/>
        <v>2.8401826484018269</v>
      </c>
      <c r="AO31" s="144">
        <f t="shared" si="1"/>
        <v>5.3424657534246569E-5</v>
      </c>
      <c r="AP31" s="158">
        <f t="shared" si="7"/>
        <v>1.4840182648401826E-2</v>
      </c>
      <c r="AQ31" s="144">
        <f t="shared" si="2"/>
        <v>2.9857534246575342E-6</v>
      </c>
      <c r="AR31" s="158">
        <f t="shared" si="8"/>
        <v>9.952511415525115E-3</v>
      </c>
      <c r="AS31" s="144">
        <f t="shared" si="3"/>
        <v>3.3863013698630135E-4</v>
      </c>
      <c r="AT31" s="158">
        <f t="shared" si="9"/>
        <v>0.11287671232876711</v>
      </c>
      <c r="AU31" s="144">
        <f t="shared" si="4"/>
        <v>6.301369863013698E-7</v>
      </c>
      <c r="AV31" s="158">
        <f t="shared" si="10"/>
        <v>1.2602739726027396E-3</v>
      </c>
      <c r="AW31" s="144">
        <f t="shared" si="5"/>
        <v>8.0753424657534239E-5</v>
      </c>
      <c r="AX31" s="158">
        <f t="shared" si="11"/>
        <v>4.0376712328767115E-3</v>
      </c>
      <c r="AY31" s="144">
        <f t="shared" si="12"/>
        <v>1.7775567123287669E-4</v>
      </c>
      <c r="AZ31" s="158">
        <f t="shared" si="13"/>
        <v>0.59251890410958896</v>
      </c>
      <c r="BA31" s="144">
        <f t="shared" si="14"/>
        <v>5.9251890410958909E-6</v>
      </c>
      <c r="BB31" s="158">
        <f t="shared" si="15"/>
        <v>1.692911154598826E-3</v>
      </c>
      <c r="BC31" s="144">
        <f t="shared" si="16"/>
        <v>2.0762929315068495E-8</v>
      </c>
      <c r="BD31" s="158">
        <f t="shared" si="17"/>
        <v>6.9209764383561663E-5</v>
      </c>
      <c r="BE31" s="144">
        <f t="shared" si="18"/>
        <v>2.3548339726027396E-6</v>
      </c>
      <c r="BF31" s="158">
        <f t="shared" si="19"/>
        <v>4.7096679452054789E-4</v>
      </c>
      <c r="BG31" s="144">
        <f t="shared" si="20"/>
        <v>4.3819726027397259E-9</v>
      </c>
      <c r="BH31" s="158">
        <f t="shared" si="21"/>
        <v>8.7639452054794516E-6</v>
      </c>
      <c r="BI31" s="144">
        <f t="shared" si="22"/>
        <v>5.6155931506849316E-7</v>
      </c>
      <c r="BJ31" s="158">
        <f t="shared" si="23"/>
        <v>1.0027844911937378E-4</v>
      </c>
      <c r="BK31" s="144">
        <f t="shared" si="24"/>
        <v>1.2530217566478647E-7</v>
      </c>
      <c r="BL31" s="158">
        <f t="shared" si="25"/>
        <v>4.176739188826216E-4</v>
      </c>
      <c r="BM31" s="144">
        <f t="shared" si="26"/>
        <v>7.8565672844480266E-9</v>
      </c>
      <c r="BN31" s="158">
        <f t="shared" si="27"/>
        <v>2.2447335098422931E-6</v>
      </c>
      <c r="BO31" s="144">
        <f t="shared" si="28"/>
        <v>4.3908138597904923E-10</v>
      </c>
      <c r="BP31" s="158">
        <f t="shared" si="29"/>
        <v>1.4636046199301641E-6</v>
      </c>
      <c r="BQ31" s="144">
        <f t="shared" si="30"/>
        <v>4.9798549556809026E-8</v>
      </c>
      <c r="BR31" s="158">
        <f t="shared" si="31"/>
        <v>9.9597099113618048E-6</v>
      </c>
      <c r="BS31" s="144">
        <f t="shared" si="32"/>
        <v>9.2667203867848517E-11</v>
      </c>
      <c r="BT31" s="158">
        <f t="shared" si="33"/>
        <v>1.8533440773569704E-7</v>
      </c>
      <c r="BU31" s="144">
        <f t="shared" si="34"/>
        <v>1.1875503626107978E-8</v>
      </c>
      <c r="BV31" s="144">
        <f t="shared" si="35"/>
        <v>2.1206256475192816E-6</v>
      </c>
    </row>
    <row r="32" spans="1:74">
      <c r="A32" s="80" t="s">
        <v>918</v>
      </c>
      <c r="B32" s="78" t="s">
        <v>917</v>
      </c>
      <c r="C32" s="78" t="s">
        <v>805</v>
      </c>
      <c r="D32" s="144">
        <v>0.33900000000000002</v>
      </c>
      <c r="E32" s="144">
        <v>1.2799999999999999E-4</v>
      </c>
      <c r="F32" s="144">
        <v>1.4300000000000001E-4</v>
      </c>
      <c r="G32" s="144">
        <v>5.0699999999999996E-4</v>
      </c>
      <c r="H32" s="144">
        <v>3.0000000000000001E-6</v>
      </c>
      <c r="I32" s="144">
        <v>1.1900000000000001E-4</v>
      </c>
      <c r="T32" s="53" t="s">
        <v>138</v>
      </c>
      <c r="U32" s="53" t="s">
        <v>139</v>
      </c>
      <c r="V32" s="155" t="s">
        <v>340</v>
      </c>
      <c r="W32" s="53">
        <v>0.25232199999999999</v>
      </c>
      <c r="X32" s="53">
        <v>34.723750000000003</v>
      </c>
      <c r="Y32" s="53" t="s">
        <v>372</v>
      </c>
      <c r="Z32" s="53" t="s">
        <v>330</v>
      </c>
      <c r="AA32" s="116" t="s">
        <v>347</v>
      </c>
      <c r="AB32" s="154" t="s">
        <v>371</v>
      </c>
      <c r="AC32" s="116" t="s">
        <v>687</v>
      </c>
      <c r="AD32" s="53" t="s">
        <v>366</v>
      </c>
      <c r="AE32" s="53" t="s">
        <v>684</v>
      </c>
      <c r="AF32" s="53" t="s">
        <v>683</v>
      </c>
      <c r="AG32" s="156">
        <v>11.9</v>
      </c>
      <c r="AH32" s="157">
        <v>15.9</v>
      </c>
      <c r="AI32" s="162">
        <v>6.2413999999999996</v>
      </c>
      <c r="AJ32" s="157">
        <v>367.7</v>
      </c>
      <c r="AK32" s="156">
        <v>0.128</v>
      </c>
      <c r="AL32" s="157">
        <v>135.74</v>
      </c>
      <c r="AM32" s="144">
        <f t="shared" si="0"/>
        <v>1.6301369863013699E-5</v>
      </c>
      <c r="AN32" s="158">
        <f t="shared" si="6"/>
        <v>5.4337899543379004E-2</v>
      </c>
      <c r="AO32" s="144">
        <f t="shared" si="1"/>
        <v>2.1780821917808219E-5</v>
      </c>
      <c r="AP32" s="158">
        <f t="shared" si="7"/>
        <v>6.0502283105022831E-3</v>
      </c>
      <c r="AQ32" s="144">
        <f t="shared" si="2"/>
        <v>8.5498630136986299E-6</v>
      </c>
      <c r="AR32" s="158">
        <f t="shared" si="8"/>
        <v>2.8499543378995434E-2</v>
      </c>
      <c r="AS32" s="144">
        <f t="shared" si="3"/>
        <v>5.0369863013698622E-4</v>
      </c>
      <c r="AT32" s="158">
        <f t="shared" si="9"/>
        <v>0.1678995433789954</v>
      </c>
      <c r="AU32" s="144">
        <f t="shared" si="4"/>
        <v>1.7534246575342464E-7</v>
      </c>
      <c r="AV32" s="158">
        <f t="shared" si="10"/>
        <v>3.5068493150684928E-4</v>
      </c>
      <c r="AW32" s="144">
        <f t="shared" si="5"/>
        <v>1.8594520547945203E-4</v>
      </c>
      <c r="AX32" s="158">
        <f t="shared" si="11"/>
        <v>9.2972602739726014E-3</v>
      </c>
      <c r="AY32" s="144">
        <f t="shared" si="12"/>
        <v>3.4007917808219175E-6</v>
      </c>
      <c r="AZ32" s="158">
        <f t="shared" si="13"/>
        <v>1.1335972602739726E-2</v>
      </c>
      <c r="BA32" s="144">
        <f t="shared" si="14"/>
        <v>1.1335972602739728E-7</v>
      </c>
      <c r="BB32" s="158">
        <f t="shared" si="15"/>
        <v>3.2388493150684936E-5</v>
      </c>
      <c r="BC32" s="144">
        <f t="shared" si="16"/>
        <v>5.9455747397260274E-8</v>
      </c>
      <c r="BD32" s="158">
        <f t="shared" si="17"/>
        <v>1.9818582465753426E-4</v>
      </c>
      <c r="BE32" s="144">
        <f t="shared" si="18"/>
        <v>3.5027202739726023E-6</v>
      </c>
      <c r="BF32" s="158">
        <f t="shared" si="19"/>
        <v>7.0054405479452048E-4</v>
      </c>
      <c r="BG32" s="144">
        <f t="shared" si="20"/>
        <v>1.219331506849315E-9</v>
      </c>
      <c r="BH32" s="158">
        <f t="shared" si="21"/>
        <v>2.4386630136986298E-6</v>
      </c>
      <c r="BI32" s="144">
        <f t="shared" si="22"/>
        <v>1.2930629589041097E-6</v>
      </c>
      <c r="BJ32" s="158">
        <f t="shared" si="23"/>
        <v>2.3090409980430529E-4</v>
      </c>
      <c r="BK32" s="144">
        <f t="shared" si="24"/>
        <v>2.3972602739726029E-9</v>
      </c>
      <c r="BL32" s="158">
        <f t="shared" si="25"/>
        <v>7.9908675799086777E-6</v>
      </c>
      <c r="BM32" s="144">
        <f t="shared" si="26"/>
        <v>3.203062046736503E-9</v>
      </c>
      <c r="BN32" s="158">
        <f t="shared" si="27"/>
        <v>9.15160584781858E-7</v>
      </c>
      <c r="BO32" s="144">
        <f t="shared" si="28"/>
        <v>1.2573327961321513E-9</v>
      </c>
      <c r="BP32" s="158">
        <f t="shared" si="29"/>
        <v>4.1911093204405049E-6</v>
      </c>
      <c r="BQ32" s="144">
        <f t="shared" si="30"/>
        <v>7.4073327961321514E-8</v>
      </c>
      <c r="BR32" s="158">
        <f t="shared" si="31"/>
        <v>1.4814665592264302E-5</v>
      </c>
      <c r="BS32" s="144">
        <f t="shared" si="32"/>
        <v>2.5785656728444802E-11</v>
      </c>
      <c r="BT32" s="158">
        <f t="shared" si="33"/>
        <v>5.1571313456889601E-8</v>
      </c>
      <c r="BU32" s="144">
        <f t="shared" si="34"/>
        <v>2.7344883158742954E-8</v>
      </c>
      <c r="BV32" s="144">
        <f t="shared" si="35"/>
        <v>4.8830148497755278E-6</v>
      </c>
    </row>
    <row r="33" spans="1:74">
      <c r="A33" s="80" t="s">
        <v>919</v>
      </c>
      <c r="B33" s="78" t="s">
        <v>916</v>
      </c>
      <c r="C33" s="78" t="s">
        <v>792</v>
      </c>
      <c r="D33" s="144">
        <v>2.34</v>
      </c>
      <c r="E33" s="144">
        <v>1.1659999999999999E-3</v>
      </c>
      <c r="F33" s="144"/>
      <c r="G33" s="144">
        <v>5.3099999999999996E-3</v>
      </c>
      <c r="H33" s="144">
        <v>4.9800000000000001E-3</v>
      </c>
      <c r="I33" s="144">
        <v>1.0410000000000001E-2</v>
      </c>
      <c r="T33" s="53" t="s">
        <v>140</v>
      </c>
      <c r="U33" s="53" t="s">
        <v>141</v>
      </c>
      <c r="V33" s="155" t="s">
        <v>340</v>
      </c>
      <c r="W33" s="53">
        <v>0.25163200000000002</v>
      </c>
      <c r="X33" s="53">
        <v>34.723951</v>
      </c>
      <c r="Y33" s="53" t="s">
        <v>372</v>
      </c>
      <c r="Z33" s="53" t="s">
        <v>330</v>
      </c>
      <c r="AA33" s="116" t="s">
        <v>347</v>
      </c>
      <c r="AB33" s="154" t="s">
        <v>371</v>
      </c>
      <c r="AC33" s="116" t="s">
        <v>687</v>
      </c>
      <c r="AD33" s="53" t="s">
        <v>365</v>
      </c>
      <c r="AE33" s="53" t="s">
        <v>685</v>
      </c>
      <c r="AF33" s="53" t="s">
        <v>691</v>
      </c>
      <c r="AG33" s="156">
        <v>831.3</v>
      </c>
      <c r="AH33" s="157">
        <v>36.4</v>
      </c>
      <c r="AI33" s="162">
        <v>1.7581</v>
      </c>
      <c r="AJ33" s="157">
        <v>76.599999999999994</v>
      </c>
      <c r="AK33" s="156">
        <v>0.222</v>
      </c>
      <c r="AL33" s="157">
        <v>11.36</v>
      </c>
      <c r="AM33" s="144">
        <f t="shared" si="0"/>
        <v>1.1387671232876713E-3</v>
      </c>
      <c r="AN33" s="158">
        <f t="shared" si="6"/>
        <v>3.7958904109589047</v>
      </c>
      <c r="AO33" s="144">
        <f t="shared" si="1"/>
        <v>4.9863013698630135E-5</v>
      </c>
      <c r="AP33" s="158">
        <f t="shared" si="7"/>
        <v>1.3850837138508371E-2</v>
      </c>
      <c r="AQ33" s="144">
        <f t="shared" si="2"/>
        <v>2.4083561643835614E-6</v>
      </c>
      <c r="AR33" s="158">
        <f t="shared" si="8"/>
        <v>8.0278538812785395E-3</v>
      </c>
      <c r="AS33" s="144">
        <f t="shared" si="3"/>
        <v>1.0493150684931504E-4</v>
      </c>
      <c r="AT33" s="158">
        <f t="shared" si="9"/>
        <v>3.4977168949771681E-2</v>
      </c>
      <c r="AU33" s="144">
        <f t="shared" si="4"/>
        <v>3.041095890410959E-7</v>
      </c>
      <c r="AV33" s="158">
        <f t="shared" si="10"/>
        <v>6.082191780821918E-4</v>
      </c>
      <c r="AW33" s="144">
        <f t="shared" si="5"/>
        <v>1.5561643835616438E-5</v>
      </c>
      <c r="AX33" s="158">
        <f t="shared" si="11"/>
        <v>7.7808219178082194E-4</v>
      </c>
      <c r="AY33" s="144">
        <f t="shared" si="12"/>
        <v>2.3756959726027398E-4</v>
      </c>
      <c r="AZ33" s="158">
        <f t="shared" si="13"/>
        <v>0.79189865753424671</v>
      </c>
      <c r="BA33" s="144">
        <f t="shared" si="14"/>
        <v>7.9189865753424673E-6</v>
      </c>
      <c r="BB33" s="158">
        <f t="shared" si="15"/>
        <v>2.2625675929549907E-3</v>
      </c>
      <c r="BC33" s="144">
        <f t="shared" si="16"/>
        <v>1.6747708767123288E-8</v>
      </c>
      <c r="BD33" s="158">
        <f t="shared" si="17"/>
        <v>5.5825695890410964E-5</v>
      </c>
      <c r="BE33" s="144">
        <f t="shared" si="18"/>
        <v>7.2969369863013691E-7</v>
      </c>
      <c r="BF33" s="158">
        <f t="shared" si="19"/>
        <v>1.4593873972602739E-4</v>
      </c>
      <c r="BG33" s="144">
        <f t="shared" si="20"/>
        <v>2.1147780821917806E-9</v>
      </c>
      <c r="BH33" s="158">
        <f t="shared" si="21"/>
        <v>4.229556164383561E-6</v>
      </c>
      <c r="BI33" s="144">
        <f t="shared" si="22"/>
        <v>1.0821567123287671E-7</v>
      </c>
      <c r="BJ33" s="158">
        <f t="shared" si="23"/>
        <v>1.9324227005870841E-5</v>
      </c>
      <c r="BK33" s="144">
        <f t="shared" si="24"/>
        <v>1.6746575342465754E-7</v>
      </c>
      <c r="BL33" s="158">
        <f t="shared" si="25"/>
        <v>5.5821917808219189E-4</v>
      </c>
      <c r="BM33" s="144">
        <f t="shared" si="26"/>
        <v>7.3327961321514911E-9</v>
      </c>
      <c r="BN33" s="158">
        <f t="shared" si="27"/>
        <v>2.0950846091861402E-6</v>
      </c>
      <c r="BO33" s="144">
        <f t="shared" si="28"/>
        <v>3.5417002417405311E-10</v>
      </c>
      <c r="BP33" s="158">
        <f t="shared" si="29"/>
        <v>1.1805667472468438E-6</v>
      </c>
      <c r="BQ33" s="144">
        <f t="shared" si="30"/>
        <v>1.5431103948428688E-8</v>
      </c>
      <c r="BR33" s="158">
        <f t="shared" si="31"/>
        <v>3.0862207896857377E-6</v>
      </c>
      <c r="BS33" s="144">
        <f t="shared" si="32"/>
        <v>4.4721998388396464E-11</v>
      </c>
      <c r="BT33" s="158">
        <f t="shared" si="33"/>
        <v>8.9443996776792928E-8</v>
      </c>
      <c r="BU33" s="144">
        <f t="shared" si="34"/>
        <v>2.2884770346494761E-9</v>
      </c>
      <c r="BV33" s="144">
        <f t="shared" si="35"/>
        <v>4.086566133302636E-7</v>
      </c>
    </row>
    <row r="34" spans="1:74">
      <c r="A34" s="80" t="s">
        <v>919</v>
      </c>
      <c r="B34" s="78" t="s">
        <v>916</v>
      </c>
      <c r="C34" s="78" t="s">
        <v>805</v>
      </c>
      <c r="D34" s="144">
        <v>0.156</v>
      </c>
      <c r="E34" s="144">
        <v>0</v>
      </c>
      <c r="F34" s="144"/>
      <c r="G34" s="144">
        <v>6.9999999999999999E-6</v>
      </c>
      <c r="H34" s="144">
        <v>1.1E-5</v>
      </c>
      <c r="I34" s="144">
        <v>1.7E-5</v>
      </c>
      <c r="T34" s="53" t="s">
        <v>142</v>
      </c>
      <c r="U34" s="53" t="s">
        <v>143</v>
      </c>
      <c r="V34" s="155" t="s">
        <v>340</v>
      </c>
      <c r="W34" s="53">
        <v>0.25163200000000002</v>
      </c>
      <c r="X34" s="53">
        <v>34.723951</v>
      </c>
      <c r="Y34" s="53" t="s">
        <v>372</v>
      </c>
      <c r="Z34" s="53" t="s">
        <v>330</v>
      </c>
      <c r="AA34" s="116" t="s">
        <v>347</v>
      </c>
      <c r="AB34" s="154" t="s">
        <v>371</v>
      </c>
      <c r="AC34" s="116" t="s">
        <v>687</v>
      </c>
      <c r="AD34" s="53" t="s">
        <v>365</v>
      </c>
      <c r="AE34" s="53" t="s">
        <v>685</v>
      </c>
      <c r="AF34" s="53" t="s">
        <v>691</v>
      </c>
      <c r="AG34" s="156">
        <v>780.8</v>
      </c>
      <c r="AH34" s="157">
        <v>35.9</v>
      </c>
      <c r="AI34" s="162">
        <v>1.7239</v>
      </c>
      <c r="AJ34" s="157">
        <v>68.599999999999994</v>
      </c>
      <c r="AK34" s="156">
        <v>0.16400000000000001</v>
      </c>
      <c r="AL34" s="157">
        <v>10.43</v>
      </c>
      <c r="AM34" s="144">
        <f t="shared" si="0"/>
        <v>1.0695890410958903E-3</v>
      </c>
      <c r="AN34" s="158">
        <f t="shared" si="6"/>
        <v>3.5652968036529677</v>
      </c>
      <c r="AO34" s="144">
        <f t="shared" si="1"/>
        <v>4.9178082191780823E-5</v>
      </c>
      <c r="AP34" s="158">
        <f t="shared" si="7"/>
        <v>1.3660578386605785E-2</v>
      </c>
      <c r="AQ34" s="144">
        <f t="shared" si="2"/>
        <v>2.3615068493150682E-6</v>
      </c>
      <c r="AR34" s="158">
        <f t="shared" si="8"/>
        <v>7.8716894977168949E-3</v>
      </c>
      <c r="AS34" s="144">
        <f t="shared" si="3"/>
        <v>9.397260273972601E-5</v>
      </c>
      <c r="AT34" s="158">
        <f t="shared" si="9"/>
        <v>3.1324200913241999E-2</v>
      </c>
      <c r="AU34" s="144">
        <f t="shared" si="4"/>
        <v>2.2465753424657537E-7</v>
      </c>
      <c r="AV34" s="158">
        <f t="shared" si="10"/>
        <v>4.4931506849315076E-4</v>
      </c>
      <c r="AW34" s="144">
        <f t="shared" si="5"/>
        <v>1.4287671232876711E-5</v>
      </c>
      <c r="AX34" s="158">
        <f t="shared" si="11"/>
        <v>7.1438356164383557E-4</v>
      </c>
      <c r="AY34" s="144">
        <f t="shared" si="12"/>
        <v>2.2313766575342468E-4</v>
      </c>
      <c r="AZ34" s="158">
        <f t="shared" si="13"/>
        <v>0.74379221917808236</v>
      </c>
      <c r="BA34" s="144">
        <f t="shared" si="14"/>
        <v>7.4379221917808222E-6</v>
      </c>
      <c r="BB34" s="158">
        <f t="shared" si="15"/>
        <v>2.1251206262230919E-3</v>
      </c>
      <c r="BC34" s="144">
        <f t="shared" si="16"/>
        <v>1.6421918630136986E-8</v>
      </c>
      <c r="BD34" s="158">
        <f t="shared" si="17"/>
        <v>5.4739728767123294E-5</v>
      </c>
      <c r="BE34" s="144">
        <f t="shared" si="18"/>
        <v>6.5348547945205484E-7</v>
      </c>
      <c r="BF34" s="158">
        <f t="shared" si="19"/>
        <v>1.3069709589041097E-4</v>
      </c>
      <c r="BG34" s="144">
        <f t="shared" si="20"/>
        <v>1.5622684931506852E-9</v>
      </c>
      <c r="BH34" s="158">
        <f t="shared" si="21"/>
        <v>3.1245369863013701E-6</v>
      </c>
      <c r="BI34" s="144">
        <f t="shared" si="22"/>
        <v>9.9356465753424662E-8</v>
      </c>
      <c r="BJ34" s="158">
        <f t="shared" si="23"/>
        <v>1.7742226027397262E-5</v>
      </c>
      <c r="BK34" s="144">
        <f t="shared" si="24"/>
        <v>1.5729250604351329E-7</v>
      </c>
      <c r="BL34" s="158">
        <f t="shared" si="25"/>
        <v>5.2430835347837767E-4</v>
      </c>
      <c r="BM34" s="144">
        <f t="shared" si="26"/>
        <v>7.2320709105560035E-9</v>
      </c>
      <c r="BN34" s="158">
        <f t="shared" si="27"/>
        <v>2.0663059744445723E-6</v>
      </c>
      <c r="BO34" s="144">
        <f t="shared" si="28"/>
        <v>3.4728041901692187E-10</v>
      </c>
      <c r="BP34" s="158">
        <f t="shared" si="29"/>
        <v>1.157601396723073E-6</v>
      </c>
      <c r="BQ34" s="144">
        <f t="shared" si="30"/>
        <v>1.3819500402900886E-8</v>
      </c>
      <c r="BR34" s="158">
        <f t="shared" si="31"/>
        <v>2.7639000805801771E-6</v>
      </c>
      <c r="BS34" s="144">
        <f t="shared" si="32"/>
        <v>3.3037872683319903E-11</v>
      </c>
      <c r="BT34" s="158">
        <f t="shared" si="33"/>
        <v>6.6075745366639803E-8</v>
      </c>
      <c r="BU34" s="144">
        <f t="shared" si="34"/>
        <v>2.1011281224818695E-9</v>
      </c>
      <c r="BV34" s="144">
        <f t="shared" si="35"/>
        <v>3.7520145044319097E-7</v>
      </c>
    </row>
    <row r="35" spans="1:74">
      <c r="A35" s="80" t="s">
        <v>919</v>
      </c>
      <c r="B35" s="78" t="s">
        <v>917</v>
      </c>
      <c r="C35" s="78" t="s">
        <v>792</v>
      </c>
      <c r="D35" s="144">
        <v>5.72</v>
      </c>
      <c r="E35" s="144">
        <v>2.8530000000000001E-3</v>
      </c>
      <c r="F35" s="144"/>
      <c r="G35" s="144">
        <v>1.2999999999999999E-2</v>
      </c>
      <c r="H35" s="144">
        <v>1.218E-2</v>
      </c>
      <c r="I35" s="144">
        <v>2.5499999999999998E-2</v>
      </c>
      <c r="T35" s="53" t="s">
        <v>144</v>
      </c>
      <c r="U35" s="53" t="s">
        <v>145</v>
      </c>
      <c r="V35" s="155" t="s">
        <v>340</v>
      </c>
      <c r="W35" s="53">
        <v>0.25722099999999998</v>
      </c>
      <c r="X35" s="53">
        <v>34.724355000000003</v>
      </c>
      <c r="Y35" s="53" t="s">
        <v>373</v>
      </c>
      <c r="Z35" s="53" t="s">
        <v>330</v>
      </c>
      <c r="AA35" s="116" t="s">
        <v>347</v>
      </c>
      <c r="AB35" s="154" t="s">
        <v>371</v>
      </c>
      <c r="AC35" s="116" t="s">
        <v>687</v>
      </c>
      <c r="AD35" s="53" t="s">
        <v>370</v>
      </c>
      <c r="AE35" s="53" t="s">
        <v>684</v>
      </c>
      <c r="AF35" s="53" t="s">
        <v>683</v>
      </c>
      <c r="AG35" s="156">
        <v>4.9000000000000004</v>
      </c>
      <c r="AH35" s="157">
        <v>36.200000000000003</v>
      </c>
      <c r="AI35" s="162">
        <v>9.7700000000000009E-2</v>
      </c>
      <c r="AJ35" s="157">
        <v>288.39999999999998</v>
      </c>
      <c r="AK35" s="156">
        <v>0.16500000000000001</v>
      </c>
      <c r="AL35" s="157">
        <v>52.75</v>
      </c>
      <c r="AM35" s="144">
        <f t="shared" si="0"/>
        <v>6.7123287671232881E-6</v>
      </c>
      <c r="AN35" s="158">
        <f t="shared" si="6"/>
        <v>2.2374429223744295E-2</v>
      </c>
      <c r="AO35" s="144">
        <f t="shared" si="1"/>
        <v>4.9589041095890419E-5</v>
      </c>
      <c r="AP35" s="158">
        <f t="shared" si="7"/>
        <v>1.3774733637747338E-2</v>
      </c>
      <c r="AQ35" s="144">
        <f t="shared" si="2"/>
        <v>1.3383561643835616E-7</v>
      </c>
      <c r="AR35" s="158">
        <f t="shared" si="8"/>
        <v>4.4611872146118725E-4</v>
      </c>
      <c r="AS35" s="144">
        <f t="shared" si="3"/>
        <v>3.9506849315068483E-4</v>
      </c>
      <c r="AT35" s="158">
        <f t="shared" si="9"/>
        <v>0.13168949771689495</v>
      </c>
      <c r="AU35" s="144">
        <f t="shared" si="4"/>
        <v>2.2602739726027396E-7</v>
      </c>
      <c r="AV35" s="158">
        <f t="shared" si="10"/>
        <v>4.520547945205479E-4</v>
      </c>
      <c r="AW35" s="144">
        <f t="shared" si="5"/>
        <v>7.2260273972602732E-5</v>
      </c>
      <c r="AX35" s="158">
        <f t="shared" si="11"/>
        <v>3.6130136986301364E-3</v>
      </c>
      <c r="AY35" s="144">
        <f t="shared" si="12"/>
        <v>1.4003260273972608E-6</v>
      </c>
      <c r="AZ35" s="158">
        <f t="shared" si="13"/>
        <v>4.6677534246575367E-3</v>
      </c>
      <c r="BA35" s="144">
        <f t="shared" si="14"/>
        <v>4.6677534246575347E-8</v>
      </c>
      <c r="BB35" s="158">
        <f t="shared" si="15"/>
        <v>1.3336438356164385E-5</v>
      </c>
      <c r="BC35" s="144">
        <f t="shared" si="16"/>
        <v>9.3069287671232891E-10</v>
      </c>
      <c r="BD35" s="158">
        <f t="shared" si="17"/>
        <v>3.1023095890410966E-6</v>
      </c>
      <c r="BE35" s="144">
        <f t="shared" si="18"/>
        <v>2.7473063013698627E-6</v>
      </c>
      <c r="BF35" s="158">
        <f t="shared" si="19"/>
        <v>5.4946126027397252E-4</v>
      </c>
      <c r="BG35" s="144">
        <f t="shared" si="20"/>
        <v>1.5717945205479454E-9</v>
      </c>
      <c r="BH35" s="158">
        <f t="shared" si="21"/>
        <v>3.1435890410958907E-6</v>
      </c>
      <c r="BI35" s="144">
        <f t="shared" si="22"/>
        <v>5.0249794520547941E-7</v>
      </c>
      <c r="BJ35" s="158">
        <f t="shared" si="23"/>
        <v>8.9731775929549899E-5</v>
      </c>
      <c r="BK35" s="144">
        <f t="shared" si="24"/>
        <v>9.871071716357775E-10</v>
      </c>
      <c r="BL35" s="158">
        <f t="shared" si="25"/>
        <v>3.2903572387859254E-6</v>
      </c>
      <c r="BM35" s="144">
        <f t="shared" si="26"/>
        <v>7.292506043513296E-9</v>
      </c>
      <c r="BN35" s="158">
        <f t="shared" si="27"/>
        <v>2.0835731552895133E-6</v>
      </c>
      <c r="BO35" s="144">
        <f t="shared" si="28"/>
        <v>1.9681708299758264E-11</v>
      </c>
      <c r="BP35" s="158">
        <f t="shared" si="29"/>
        <v>6.5605694332527546E-8</v>
      </c>
      <c r="BQ35" s="144">
        <f t="shared" si="30"/>
        <v>5.8098307816277198E-8</v>
      </c>
      <c r="BR35" s="158">
        <f t="shared" si="31"/>
        <v>1.1619661563255439E-5</v>
      </c>
      <c r="BS35" s="144">
        <f t="shared" si="32"/>
        <v>3.323932312651088E-11</v>
      </c>
      <c r="BT35" s="158">
        <f t="shared" si="33"/>
        <v>6.647864625302176E-8</v>
      </c>
      <c r="BU35" s="144">
        <f t="shared" si="34"/>
        <v>1.0626510878323932E-8</v>
      </c>
      <c r="BV35" s="144">
        <f t="shared" si="35"/>
        <v>1.8975912282721307E-6</v>
      </c>
    </row>
    <row r="36" spans="1:74">
      <c r="A36" s="80" t="s">
        <v>919</v>
      </c>
      <c r="B36" s="78" t="s">
        <v>917</v>
      </c>
      <c r="C36" s="78" t="s">
        <v>805</v>
      </c>
      <c r="D36" s="144">
        <v>0.35699999999999998</v>
      </c>
      <c r="E36" s="144">
        <v>9.9999999999999995E-7</v>
      </c>
      <c r="F36" s="144"/>
      <c r="G36" s="144">
        <v>1.5999999999999999E-5</v>
      </c>
      <c r="H36" s="144">
        <v>2.5000000000000001E-5</v>
      </c>
      <c r="I36" s="144">
        <v>3.8000000000000002E-5</v>
      </c>
      <c r="T36" s="53" t="s">
        <v>146</v>
      </c>
      <c r="U36" s="53" t="s">
        <v>147</v>
      </c>
      <c r="V36" s="155" t="s">
        <v>340</v>
      </c>
      <c r="W36" s="53">
        <v>0.25722099999999998</v>
      </c>
      <c r="X36" s="53">
        <v>34.724355000000003</v>
      </c>
      <c r="Y36" s="53" t="s">
        <v>373</v>
      </c>
      <c r="Z36" s="53" t="s">
        <v>330</v>
      </c>
      <c r="AA36" s="116" t="s">
        <v>347</v>
      </c>
      <c r="AB36" s="154" t="s">
        <v>371</v>
      </c>
      <c r="AC36" s="116" t="s">
        <v>687</v>
      </c>
      <c r="AD36" s="53" t="s">
        <v>368</v>
      </c>
      <c r="AE36" s="53" t="s">
        <v>684</v>
      </c>
      <c r="AF36" s="53" t="s">
        <v>683</v>
      </c>
      <c r="AG36" s="156">
        <v>12.2</v>
      </c>
      <c r="AH36" s="157">
        <v>242.5</v>
      </c>
      <c r="AI36" s="162">
        <v>3.7010000000000001</v>
      </c>
      <c r="AJ36" s="157">
        <v>215</v>
      </c>
      <c r="AK36" s="156">
        <v>1.401</v>
      </c>
      <c r="AL36" s="157">
        <v>55.17</v>
      </c>
      <c r="AM36" s="144">
        <f t="shared" si="0"/>
        <v>1.6712328767123286E-5</v>
      </c>
      <c r="AN36" s="158">
        <f t="shared" si="6"/>
        <v>5.5707762557077621E-2</v>
      </c>
      <c r="AO36" s="144">
        <f t="shared" si="1"/>
        <v>3.3219178082191783E-4</v>
      </c>
      <c r="AP36" s="158">
        <f t="shared" si="7"/>
        <v>9.2275494672754949E-2</v>
      </c>
      <c r="AQ36" s="144">
        <f t="shared" si="2"/>
        <v>5.069863013698631E-6</v>
      </c>
      <c r="AR36" s="158">
        <f t="shared" si="8"/>
        <v>1.6899543378995439E-2</v>
      </c>
      <c r="AS36" s="144">
        <f t="shared" si="3"/>
        <v>2.9452054794520548E-4</v>
      </c>
      <c r="AT36" s="158">
        <f t="shared" si="9"/>
        <v>9.8173515981735154E-2</v>
      </c>
      <c r="AU36" s="144">
        <f t="shared" si="4"/>
        <v>1.9191780821917806E-6</v>
      </c>
      <c r="AV36" s="158">
        <f t="shared" si="10"/>
        <v>3.8383561643835612E-3</v>
      </c>
      <c r="AW36" s="144">
        <f t="shared" si="5"/>
        <v>7.5575342465753422E-5</v>
      </c>
      <c r="AX36" s="158">
        <f t="shared" si="11"/>
        <v>3.778767123287671E-3</v>
      </c>
      <c r="AY36" s="144">
        <f t="shared" si="12"/>
        <v>3.4865260273972606E-6</v>
      </c>
      <c r="AZ36" s="158">
        <f t="shared" si="13"/>
        <v>1.1621753424657537E-2</v>
      </c>
      <c r="BA36" s="144">
        <f t="shared" si="14"/>
        <v>1.1621753424657535E-7</v>
      </c>
      <c r="BB36" s="158">
        <f t="shared" si="15"/>
        <v>3.3205009784735811E-5</v>
      </c>
      <c r="BC36" s="144">
        <f t="shared" si="16"/>
        <v>3.5255827397260275E-8</v>
      </c>
      <c r="BD36" s="158">
        <f t="shared" si="17"/>
        <v>1.1751942465753426E-4</v>
      </c>
      <c r="BE36" s="144">
        <f t="shared" si="18"/>
        <v>2.0480958904109588E-6</v>
      </c>
      <c r="BF36" s="158">
        <f t="shared" si="19"/>
        <v>4.0961917808219174E-4</v>
      </c>
      <c r="BG36" s="144">
        <f t="shared" si="20"/>
        <v>1.3345964383561644E-8</v>
      </c>
      <c r="BH36" s="158">
        <f t="shared" si="21"/>
        <v>2.6691928767123287E-5</v>
      </c>
      <c r="BI36" s="144">
        <f t="shared" si="22"/>
        <v>5.2555093150684925E-7</v>
      </c>
      <c r="BJ36" s="158">
        <f t="shared" si="23"/>
        <v>9.3848380626223085E-5</v>
      </c>
      <c r="BK36" s="144">
        <f t="shared" si="24"/>
        <v>2.4576954069298951E-9</v>
      </c>
      <c r="BL36" s="158">
        <f t="shared" si="25"/>
        <v>8.192318023099651E-6</v>
      </c>
      <c r="BM36" s="144">
        <f t="shared" si="26"/>
        <v>4.8851732473811444E-8</v>
      </c>
      <c r="BN36" s="158">
        <f t="shared" si="27"/>
        <v>1.3957637849660412E-5</v>
      </c>
      <c r="BO36" s="144">
        <f t="shared" si="28"/>
        <v>7.4556809024979853E-10</v>
      </c>
      <c r="BP36" s="158">
        <f t="shared" si="29"/>
        <v>2.4852269674993285E-6</v>
      </c>
      <c r="BQ36" s="144">
        <f t="shared" si="30"/>
        <v>4.3311845286059627E-8</v>
      </c>
      <c r="BR36" s="158">
        <f t="shared" si="31"/>
        <v>8.6623690572119261E-6</v>
      </c>
      <c r="BS36" s="144">
        <f t="shared" si="32"/>
        <v>2.8223207091055601E-10</v>
      </c>
      <c r="BT36" s="158">
        <f t="shared" si="33"/>
        <v>5.6446414182111204E-7</v>
      </c>
      <c r="BU36" s="144">
        <f t="shared" si="34"/>
        <v>1.1114020950846094E-8</v>
      </c>
      <c r="BV36" s="144">
        <f t="shared" si="35"/>
        <v>1.9846465983653739E-6</v>
      </c>
    </row>
    <row r="37" spans="1:74">
      <c r="A37" s="238" t="s">
        <v>1024</v>
      </c>
      <c r="T37" s="53" t="s">
        <v>148</v>
      </c>
      <c r="U37" s="53" t="s">
        <v>149</v>
      </c>
      <c r="V37" s="155" t="s">
        <v>340</v>
      </c>
      <c r="W37" s="53">
        <v>0.26547500000000002</v>
      </c>
      <c r="X37" s="53">
        <v>34.728920000000002</v>
      </c>
      <c r="Y37" s="53" t="s">
        <v>373</v>
      </c>
      <c r="Z37" s="53" t="s">
        <v>330</v>
      </c>
      <c r="AA37" s="116" t="s">
        <v>347</v>
      </c>
      <c r="AB37" s="154" t="s">
        <v>371</v>
      </c>
      <c r="AC37" s="116" t="s">
        <v>687</v>
      </c>
      <c r="AD37" s="53" t="s">
        <v>370</v>
      </c>
      <c r="AE37" s="53" t="s">
        <v>684</v>
      </c>
      <c r="AF37" s="53" t="s">
        <v>683</v>
      </c>
      <c r="AG37" s="156">
        <v>4.8</v>
      </c>
      <c r="AH37" s="157">
        <v>17.5</v>
      </c>
      <c r="AI37" s="162">
        <v>8.3000000000000004E-2</v>
      </c>
      <c r="AJ37" s="157">
        <v>1195.9000000000001</v>
      </c>
      <c r="AK37" s="156">
        <v>0.14699999999999999</v>
      </c>
      <c r="AL37" s="157">
        <v>369.65</v>
      </c>
      <c r="AM37" s="144">
        <f t="shared" si="0"/>
        <v>6.5753424657534245E-6</v>
      </c>
      <c r="AN37" s="158">
        <f t="shared" si="6"/>
        <v>2.1917808219178082E-2</v>
      </c>
      <c r="AO37" s="144">
        <f t="shared" si="1"/>
        <v>2.3972602739726026E-5</v>
      </c>
      <c r="AP37" s="158">
        <f t="shared" si="7"/>
        <v>6.6590563165905628E-3</v>
      </c>
      <c r="AQ37" s="144">
        <f t="shared" si="2"/>
        <v>1.1369863013698631E-7</v>
      </c>
      <c r="AR37" s="158">
        <f t="shared" si="8"/>
        <v>3.789954337899544E-4</v>
      </c>
      <c r="AS37" s="144">
        <f t="shared" si="3"/>
        <v>1.638219178082192E-3</v>
      </c>
      <c r="AT37" s="158">
        <f t="shared" si="9"/>
        <v>0.54607305936073069</v>
      </c>
      <c r="AU37" s="144">
        <f t="shared" si="4"/>
        <v>2.013698630136986E-7</v>
      </c>
      <c r="AV37" s="158">
        <f t="shared" si="10"/>
        <v>4.0273972602739721E-4</v>
      </c>
      <c r="AW37" s="144">
        <f t="shared" si="5"/>
        <v>5.0636986301369859E-4</v>
      </c>
      <c r="AX37" s="158">
        <f t="shared" si="11"/>
        <v>2.5318493150684931E-2</v>
      </c>
      <c r="AY37" s="144">
        <f t="shared" si="12"/>
        <v>1.3717479452054793E-6</v>
      </c>
      <c r="AZ37" s="158">
        <f t="shared" si="13"/>
        <v>4.5724931506849311E-3</v>
      </c>
      <c r="BA37" s="144">
        <f t="shared" si="14"/>
        <v>4.5724931506849311E-8</v>
      </c>
      <c r="BB37" s="158">
        <f t="shared" si="15"/>
        <v>1.3064266144814089E-5</v>
      </c>
      <c r="BC37" s="144">
        <f t="shared" si="16"/>
        <v>7.9066027397260272E-10</v>
      </c>
      <c r="BD37" s="158">
        <f t="shared" si="17"/>
        <v>2.6355342465753428E-6</v>
      </c>
      <c r="BE37" s="144">
        <f t="shared" si="18"/>
        <v>1.1392176164383562E-5</v>
      </c>
      <c r="BF37" s="158">
        <f t="shared" si="19"/>
        <v>2.2784352328767124E-3</v>
      </c>
      <c r="BG37" s="144">
        <f t="shared" si="20"/>
        <v>1.4003260273972602E-9</v>
      </c>
      <c r="BH37" s="158">
        <f t="shared" si="21"/>
        <v>2.8006520547945204E-6</v>
      </c>
      <c r="BI37" s="144">
        <f t="shared" si="22"/>
        <v>3.5212960273972603E-6</v>
      </c>
      <c r="BJ37" s="158">
        <f t="shared" si="23"/>
        <v>6.2880286203522502E-4</v>
      </c>
      <c r="BK37" s="144">
        <f t="shared" si="24"/>
        <v>9.6696212731668019E-10</v>
      </c>
      <c r="BL37" s="158">
        <f t="shared" si="25"/>
        <v>3.2232070910556008E-6</v>
      </c>
      <c r="BM37" s="144">
        <f t="shared" si="26"/>
        <v>3.5253827558420629E-9</v>
      </c>
      <c r="BN37" s="158">
        <f t="shared" si="27"/>
        <v>1.0072522159548751E-6</v>
      </c>
      <c r="BO37" s="144">
        <f t="shared" si="28"/>
        <v>1.6720386784850926E-11</v>
      </c>
      <c r="BP37" s="158">
        <f t="shared" si="29"/>
        <v>5.5734622616169758E-8</v>
      </c>
      <c r="BQ37" s="144">
        <f t="shared" si="30"/>
        <v>2.4091458501208701E-7</v>
      </c>
      <c r="BR37" s="158">
        <f t="shared" si="31"/>
        <v>4.81829170024174E-5</v>
      </c>
      <c r="BS37" s="144">
        <f t="shared" si="32"/>
        <v>2.961321514907333E-11</v>
      </c>
      <c r="BT37" s="158">
        <f t="shared" si="33"/>
        <v>5.9226430298146659E-8</v>
      </c>
      <c r="BU37" s="144">
        <f t="shared" si="34"/>
        <v>7.4466156325543915E-8</v>
      </c>
      <c r="BV37" s="144">
        <f t="shared" si="35"/>
        <v>1.32975279152757E-5</v>
      </c>
    </row>
    <row r="38" spans="1:74">
      <c r="T38" s="53" t="s">
        <v>150</v>
      </c>
      <c r="U38" s="53" t="s">
        <v>151</v>
      </c>
      <c r="V38" s="155" t="s">
        <v>340</v>
      </c>
      <c r="W38" s="53">
        <v>0.26495800000000003</v>
      </c>
      <c r="X38" s="53">
        <v>34.729039</v>
      </c>
      <c r="Y38" s="53" t="s">
        <v>373</v>
      </c>
      <c r="Z38" s="53" t="s">
        <v>330</v>
      </c>
      <c r="AA38" s="116" t="s">
        <v>347</v>
      </c>
      <c r="AB38" s="154" t="s">
        <v>371</v>
      </c>
      <c r="AC38" s="116" t="s">
        <v>687</v>
      </c>
      <c r="AD38" s="53" t="s">
        <v>368</v>
      </c>
      <c r="AE38" s="53" t="s">
        <v>684</v>
      </c>
      <c r="AF38" s="53" t="s">
        <v>683</v>
      </c>
      <c r="AG38" s="156">
        <v>8.3000000000000007</v>
      </c>
      <c r="AH38" s="157">
        <v>22</v>
      </c>
      <c r="AI38" s="162">
        <v>6.5500000000000003E-2</v>
      </c>
      <c r="AJ38" s="157">
        <v>1682.3</v>
      </c>
      <c r="AK38" s="156">
        <v>0.18</v>
      </c>
      <c r="AL38" s="157">
        <v>444.96</v>
      </c>
      <c r="AM38" s="144">
        <f t="shared" si="0"/>
        <v>1.1369863013698632E-5</v>
      </c>
      <c r="AN38" s="158">
        <f t="shared" si="6"/>
        <v>3.789954337899544E-2</v>
      </c>
      <c r="AO38" s="144">
        <f t="shared" si="1"/>
        <v>3.0136986301369862E-5</v>
      </c>
      <c r="AP38" s="158">
        <f t="shared" si="7"/>
        <v>8.3713850837138504E-3</v>
      </c>
      <c r="AQ38" s="144">
        <f t="shared" si="2"/>
        <v>8.9726027397260289E-8</v>
      </c>
      <c r="AR38" s="158">
        <f t="shared" si="8"/>
        <v>2.9908675799086767E-4</v>
      </c>
      <c r="AS38" s="144">
        <f t="shared" si="3"/>
        <v>2.3045205479452053E-3</v>
      </c>
      <c r="AT38" s="158">
        <f t="shared" si="9"/>
        <v>0.76817351598173511</v>
      </c>
      <c r="AU38" s="144">
        <f t="shared" si="4"/>
        <v>2.4657534246575342E-7</v>
      </c>
      <c r="AV38" s="158">
        <f t="shared" si="10"/>
        <v>4.9315068493150684E-4</v>
      </c>
      <c r="AW38" s="144">
        <f t="shared" si="5"/>
        <v>6.095342465753424E-4</v>
      </c>
      <c r="AX38" s="158">
        <f t="shared" si="11"/>
        <v>3.0476712328767121E-2</v>
      </c>
      <c r="AY38" s="144">
        <f t="shared" si="12"/>
        <v>2.3719808219178082E-6</v>
      </c>
      <c r="AZ38" s="158">
        <f t="shared" si="13"/>
        <v>7.9066027397260274E-3</v>
      </c>
      <c r="BA38" s="144">
        <f t="shared" si="14"/>
        <v>7.9066027397260285E-8</v>
      </c>
      <c r="BB38" s="158">
        <f t="shared" si="15"/>
        <v>2.2590293542074368E-5</v>
      </c>
      <c r="BC38" s="144">
        <f t="shared" si="16"/>
        <v>6.2395479452054798E-10</v>
      </c>
      <c r="BD38" s="158">
        <f t="shared" si="17"/>
        <v>2.0798493150684934E-6</v>
      </c>
      <c r="BE38" s="144">
        <f t="shared" si="18"/>
        <v>1.6025635890410958E-5</v>
      </c>
      <c r="BF38" s="158">
        <f t="shared" si="19"/>
        <v>3.2051271780821917E-3</v>
      </c>
      <c r="BG38" s="144">
        <f t="shared" si="20"/>
        <v>1.7146849315068492E-9</v>
      </c>
      <c r="BH38" s="158">
        <f t="shared" si="21"/>
        <v>3.4293698630136984E-6</v>
      </c>
      <c r="BI38" s="144">
        <f t="shared" si="22"/>
        <v>4.2387011506849311E-6</v>
      </c>
      <c r="BJ38" s="158">
        <f t="shared" si="23"/>
        <v>7.5691091976516623E-4</v>
      </c>
      <c r="BK38" s="144">
        <f t="shared" si="24"/>
        <v>1.6720386784850926E-9</v>
      </c>
      <c r="BL38" s="158">
        <f t="shared" si="25"/>
        <v>5.5734622616169757E-6</v>
      </c>
      <c r="BM38" s="144">
        <f t="shared" si="26"/>
        <v>4.4319097502014505E-9</v>
      </c>
      <c r="BN38" s="158">
        <f t="shared" si="27"/>
        <v>1.2662599286289859E-6</v>
      </c>
      <c r="BO38" s="144">
        <f t="shared" si="28"/>
        <v>1.3195004029008864E-11</v>
      </c>
      <c r="BP38" s="158">
        <f t="shared" si="29"/>
        <v>4.3983346763362882E-8</v>
      </c>
      <c r="BQ38" s="144">
        <f t="shared" si="30"/>
        <v>3.3890008058017725E-7</v>
      </c>
      <c r="BR38" s="158">
        <f t="shared" si="31"/>
        <v>6.7780016116035445E-5</v>
      </c>
      <c r="BS38" s="144">
        <f t="shared" si="32"/>
        <v>3.6261079774375498E-11</v>
      </c>
      <c r="BT38" s="158">
        <f t="shared" si="33"/>
        <v>7.2522159548750997E-8</v>
      </c>
      <c r="BU38" s="144">
        <f t="shared" si="34"/>
        <v>8.9637389202256227E-8</v>
      </c>
      <c r="BV38" s="144">
        <f t="shared" si="35"/>
        <v>1.600667664326004E-5</v>
      </c>
    </row>
    <row r="39" spans="1:74">
      <c r="T39" s="53" t="s">
        <v>152</v>
      </c>
      <c r="U39" s="53" t="s">
        <v>153</v>
      </c>
      <c r="V39" s="155" t="s">
        <v>340</v>
      </c>
      <c r="W39" s="53">
        <v>0.21160000000000001</v>
      </c>
      <c r="X39" s="53">
        <v>34.72974</v>
      </c>
      <c r="Y39" s="53" t="s">
        <v>351</v>
      </c>
      <c r="Z39" s="53" t="s">
        <v>330</v>
      </c>
      <c r="AA39" s="116" t="s">
        <v>347</v>
      </c>
      <c r="AB39" s="154" t="s">
        <v>371</v>
      </c>
      <c r="AC39" s="116" t="s">
        <v>687</v>
      </c>
      <c r="AD39" s="53" t="s">
        <v>361</v>
      </c>
      <c r="AE39" s="53" t="s">
        <v>685</v>
      </c>
      <c r="AF39" s="53" t="s">
        <v>690</v>
      </c>
      <c r="AG39" s="156">
        <v>225.5</v>
      </c>
      <c r="AH39" s="157">
        <v>42.6</v>
      </c>
      <c r="AI39" s="162">
        <v>0.31709999999999999</v>
      </c>
      <c r="AJ39" s="157">
        <v>263.89999999999998</v>
      </c>
      <c r="AK39" s="156">
        <v>0.185</v>
      </c>
      <c r="AL39" s="157">
        <v>76.84</v>
      </c>
      <c r="AM39" s="144">
        <f t="shared" si="0"/>
        <v>3.0890410958904106E-4</v>
      </c>
      <c r="AN39" s="158">
        <f t="shared" si="6"/>
        <v>1.0296803652968036</v>
      </c>
      <c r="AO39" s="144">
        <f t="shared" si="1"/>
        <v>5.8356164383561642E-5</v>
      </c>
      <c r="AP39" s="158">
        <f t="shared" si="7"/>
        <v>1.6210045662100457E-2</v>
      </c>
      <c r="AQ39" s="144">
        <f t="shared" si="2"/>
        <v>4.3438356164383562E-7</v>
      </c>
      <c r="AR39" s="158">
        <f t="shared" si="8"/>
        <v>1.4479452054794522E-3</v>
      </c>
      <c r="AS39" s="144">
        <f t="shared" si="3"/>
        <v>3.6150684931506841E-4</v>
      </c>
      <c r="AT39" s="158">
        <f t="shared" si="9"/>
        <v>0.1205022831050228</v>
      </c>
      <c r="AU39" s="144">
        <f t="shared" si="4"/>
        <v>2.5342465753424656E-7</v>
      </c>
      <c r="AV39" s="158">
        <f t="shared" si="10"/>
        <v>5.0684931506849308E-4</v>
      </c>
      <c r="AW39" s="144">
        <f t="shared" si="5"/>
        <v>1.0526027397260275E-4</v>
      </c>
      <c r="AX39" s="158">
        <f t="shared" si="11"/>
        <v>5.2630136986301377E-3</v>
      </c>
      <c r="AY39" s="144">
        <f t="shared" si="12"/>
        <v>6.4443575342465747E-5</v>
      </c>
      <c r="AZ39" s="158">
        <f t="shared" si="13"/>
        <v>0.21481191780821918</v>
      </c>
      <c r="BA39" s="144">
        <f t="shared" si="14"/>
        <v>2.148119178082192E-6</v>
      </c>
      <c r="BB39" s="158">
        <f t="shared" si="15"/>
        <v>6.13748336594912E-4</v>
      </c>
      <c r="BC39" s="144">
        <f t="shared" si="16"/>
        <v>3.0207032876712327E-9</v>
      </c>
      <c r="BD39" s="158">
        <f t="shared" si="17"/>
        <v>1.0069010958904109E-5</v>
      </c>
      <c r="BE39" s="144">
        <f t="shared" si="18"/>
        <v>2.5139186301369858E-6</v>
      </c>
      <c r="BF39" s="158">
        <f t="shared" si="19"/>
        <v>5.0278372602739719E-4</v>
      </c>
      <c r="BG39" s="144">
        <f t="shared" si="20"/>
        <v>1.7623150684931506E-9</v>
      </c>
      <c r="BH39" s="158">
        <f t="shared" si="21"/>
        <v>3.5246301369863014E-6</v>
      </c>
      <c r="BI39" s="144">
        <f t="shared" si="22"/>
        <v>7.3197994520547943E-7</v>
      </c>
      <c r="BJ39" s="158">
        <f t="shared" si="23"/>
        <v>1.3071070450097847E-4</v>
      </c>
      <c r="BK39" s="144">
        <f t="shared" si="24"/>
        <v>4.5427074939564869E-8</v>
      </c>
      <c r="BL39" s="158">
        <f t="shared" si="25"/>
        <v>1.514235831318829E-4</v>
      </c>
      <c r="BM39" s="144">
        <f t="shared" si="26"/>
        <v>8.5817888799355357E-9</v>
      </c>
      <c r="BN39" s="158">
        <f t="shared" si="27"/>
        <v>2.4519396799815814E-6</v>
      </c>
      <c r="BO39" s="144">
        <f t="shared" si="28"/>
        <v>6.3879935535858184E-11</v>
      </c>
      <c r="BP39" s="158">
        <f t="shared" si="29"/>
        <v>2.1293311845286063E-7</v>
      </c>
      <c r="BQ39" s="144">
        <f t="shared" si="30"/>
        <v>5.316277195809831E-8</v>
      </c>
      <c r="BR39" s="158">
        <f t="shared" si="31"/>
        <v>1.0632554391619662E-5</v>
      </c>
      <c r="BS39" s="144">
        <f t="shared" si="32"/>
        <v>3.7268331990330379E-11</v>
      </c>
      <c r="BT39" s="158">
        <f t="shared" si="33"/>
        <v>7.4536663980660755E-8</v>
      </c>
      <c r="BU39" s="144">
        <f t="shared" si="34"/>
        <v>1.5479452054794523E-8</v>
      </c>
      <c r="BV39" s="144">
        <f t="shared" si="35"/>
        <v>2.7641878669275934E-6</v>
      </c>
    </row>
    <row r="40" spans="1:74">
      <c r="T40" s="53" t="s">
        <v>154</v>
      </c>
      <c r="U40" s="53" t="s">
        <v>155</v>
      </c>
      <c r="V40" s="155" t="s">
        <v>340</v>
      </c>
      <c r="W40" s="53">
        <v>0.20325199999999999</v>
      </c>
      <c r="X40" s="53">
        <v>34.716146999999999</v>
      </c>
      <c r="Y40" s="53" t="s">
        <v>351</v>
      </c>
      <c r="Z40" s="53" t="s">
        <v>330</v>
      </c>
      <c r="AA40" s="116" t="s">
        <v>347</v>
      </c>
      <c r="AB40" s="154" t="s">
        <v>371</v>
      </c>
      <c r="AC40" s="116" t="s">
        <v>687</v>
      </c>
      <c r="AD40" s="53" t="s">
        <v>367</v>
      </c>
      <c r="AE40" s="53" t="s">
        <v>684</v>
      </c>
      <c r="AF40" s="53" t="s">
        <v>683</v>
      </c>
      <c r="AG40" s="156">
        <v>24.4</v>
      </c>
      <c r="AH40" s="157">
        <v>17.899999999999999</v>
      </c>
      <c r="AI40" s="162">
        <v>21.142099999999999</v>
      </c>
      <c r="AJ40" s="157">
        <v>257.3</v>
      </c>
      <c r="AK40" s="156">
        <v>0.11700000000000001</v>
      </c>
      <c r="AL40" s="157">
        <v>77.98</v>
      </c>
      <c r="AM40" s="144">
        <f t="shared" si="0"/>
        <v>3.3424657534246571E-5</v>
      </c>
      <c r="AN40" s="158">
        <f t="shared" si="6"/>
        <v>0.11141552511415524</v>
      </c>
      <c r="AO40" s="144">
        <f t="shared" si="1"/>
        <v>2.4520547945205474E-5</v>
      </c>
      <c r="AP40" s="158">
        <f t="shared" si="7"/>
        <v>6.8112633181126314E-3</v>
      </c>
      <c r="AQ40" s="144">
        <f t="shared" si="2"/>
        <v>2.8961780821917807E-5</v>
      </c>
      <c r="AR40" s="158">
        <f t="shared" si="8"/>
        <v>9.6539269406392694E-2</v>
      </c>
      <c r="AS40" s="144">
        <f t="shared" si="3"/>
        <v>3.5246575342465751E-4</v>
      </c>
      <c r="AT40" s="158">
        <f t="shared" si="9"/>
        <v>0.11748858447488583</v>
      </c>
      <c r="AU40" s="144">
        <f t="shared" si="4"/>
        <v>1.6027397260273975E-7</v>
      </c>
      <c r="AV40" s="158">
        <f t="shared" si="10"/>
        <v>3.205479452054795E-4</v>
      </c>
      <c r="AW40" s="144">
        <f t="shared" si="5"/>
        <v>1.0682191780821917E-4</v>
      </c>
      <c r="AX40" s="158">
        <f t="shared" si="11"/>
        <v>5.3410958904109582E-3</v>
      </c>
      <c r="AY40" s="144">
        <f t="shared" si="12"/>
        <v>6.9730520547945213E-6</v>
      </c>
      <c r="AZ40" s="158">
        <f t="shared" si="13"/>
        <v>2.3243506849315074E-2</v>
      </c>
      <c r="BA40" s="144">
        <f t="shared" si="14"/>
        <v>2.3243506849315069E-7</v>
      </c>
      <c r="BB40" s="158">
        <f t="shared" si="15"/>
        <v>6.6410019569471622E-5</v>
      </c>
      <c r="BC40" s="144">
        <f t="shared" si="16"/>
        <v>2.0140022383561643E-7</v>
      </c>
      <c r="BD40" s="158">
        <f t="shared" si="17"/>
        <v>6.7133407945205485E-4</v>
      </c>
      <c r="BE40" s="144">
        <f t="shared" si="18"/>
        <v>2.4510468493150686E-6</v>
      </c>
      <c r="BF40" s="158">
        <f t="shared" si="19"/>
        <v>4.9020936986301372E-4</v>
      </c>
      <c r="BG40" s="144">
        <f t="shared" si="20"/>
        <v>1.1145452054794522E-9</v>
      </c>
      <c r="BH40" s="158">
        <f t="shared" si="21"/>
        <v>2.2290904109589041E-6</v>
      </c>
      <c r="BI40" s="144">
        <f t="shared" si="22"/>
        <v>7.4283961643835621E-7</v>
      </c>
      <c r="BJ40" s="158">
        <f t="shared" si="23"/>
        <v>1.3264993150684931E-4</v>
      </c>
      <c r="BK40" s="144">
        <f t="shared" si="24"/>
        <v>4.9153908138597902E-9</v>
      </c>
      <c r="BL40" s="158">
        <f t="shared" si="25"/>
        <v>1.6384636046199302E-5</v>
      </c>
      <c r="BM40" s="144">
        <f t="shared" si="26"/>
        <v>3.605962933118453E-9</v>
      </c>
      <c r="BN40" s="158">
        <f t="shared" si="27"/>
        <v>1.0302751237481293E-6</v>
      </c>
      <c r="BO40" s="144">
        <f t="shared" si="28"/>
        <v>4.2590854149879124E-9</v>
      </c>
      <c r="BP40" s="158">
        <f t="shared" si="29"/>
        <v>1.4196951383293043E-5</v>
      </c>
      <c r="BQ40" s="144">
        <f t="shared" si="30"/>
        <v>5.1833199033037871E-8</v>
      </c>
      <c r="BR40" s="158">
        <f t="shared" si="31"/>
        <v>1.0366639806607573E-5</v>
      </c>
      <c r="BS40" s="144">
        <f t="shared" si="32"/>
        <v>2.3569701853344081E-11</v>
      </c>
      <c r="BT40" s="158">
        <f t="shared" si="33"/>
        <v>4.713940370668816E-8</v>
      </c>
      <c r="BU40" s="144">
        <f t="shared" si="34"/>
        <v>1.5709105560032233E-8</v>
      </c>
      <c r="BV40" s="144">
        <f t="shared" si="35"/>
        <v>2.8051974214343273E-6</v>
      </c>
    </row>
    <row r="41" spans="1:74">
      <c r="A41" s="107" t="s">
        <v>971</v>
      </c>
      <c r="T41" s="53" t="s">
        <v>156</v>
      </c>
      <c r="U41" s="53" t="s">
        <v>157</v>
      </c>
      <c r="V41" s="155" t="s">
        <v>340</v>
      </c>
      <c r="W41" s="53">
        <v>0.20340800000000001</v>
      </c>
      <c r="X41" s="53">
        <v>34.71658</v>
      </c>
      <c r="Y41" s="53" t="s">
        <v>351</v>
      </c>
      <c r="Z41" s="53" t="s">
        <v>330</v>
      </c>
      <c r="AA41" s="116" t="s">
        <v>347</v>
      </c>
      <c r="AB41" s="154" t="s">
        <v>371</v>
      </c>
      <c r="AC41" s="116" t="s">
        <v>687</v>
      </c>
      <c r="AD41" s="53" t="s">
        <v>366</v>
      </c>
      <c r="AE41" s="53" t="s">
        <v>684</v>
      </c>
      <c r="AF41" s="53" t="s">
        <v>683</v>
      </c>
      <c r="AG41" s="156">
        <v>19.8</v>
      </c>
      <c r="AH41" s="157">
        <v>21.6</v>
      </c>
      <c r="AI41" s="162">
        <v>5.1158999999999999</v>
      </c>
      <c r="AJ41" s="157">
        <v>264.2</v>
      </c>
      <c r="AK41" s="156">
        <v>0.17</v>
      </c>
      <c r="AL41" s="157">
        <v>65.59</v>
      </c>
      <c r="AM41" s="144">
        <f t="shared" si="0"/>
        <v>2.7123287671232875E-5</v>
      </c>
      <c r="AN41" s="158">
        <f t="shared" si="6"/>
        <v>9.0410958904109592E-2</v>
      </c>
      <c r="AO41" s="144">
        <f t="shared" si="1"/>
        <v>2.9589041095890411E-5</v>
      </c>
      <c r="AP41" s="158">
        <f t="shared" si="7"/>
        <v>8.2191780821917818E-3</v>
      </c>
      <c r="AQ41" s="144">
        <f t="shared" si="2"/>
        <v>7.0080821917808214E-6</v>
      </c>
      <c r="AR41" s="158">
        <f t="shared" si="8"/>
        <v>2.3360273972602739E-2</v>
      </c>
      <c r="AS41" s="144">
        <f t="shared" si="3"/>
        <v>3.6191780821917806E-4</v>
      </c>
      <c r="AT41" s="158">
        <f t="shared" si="9"/>
        <v>0.12063926940639269</v>
      </c>
      <c r="AU41" s="144">
        <f t="shared" si="4"/>
        <v>2.3287671232876712E-7</v>
      </c>
      <c r="AV41" s="158">
        <f t="shared" si="10"/>
        <v>4.6575342465753425E-4</v>
      </c>
      <c r="AW41" s="144">
        <f t="shared" si="5"/>
        <v>8.9849315068493159E-5</v>
      </c>
      <c r="AX41" s="158">
        <f t="shared" si="11"/>
        <v>4.4924657534246579E-3</v>
      </c>
      <c r="AY41" s="144">
        <f t="shared" si="12"/>
        <v>5.6584602739726008E-6</v>
      </c>
      <c r="AZ41" s="158">
        <f t="shared" si="13"/>
        <v>1.8861534246575339E-2</v>
      </c>
      <c r="BA41" s="144">
        <f t="shared" si="14"/>
        <v>1.8861534246575337E-7</v>
      </c>
      <c r="BB41" s="158">
        <f t="shared" si="15"/>
        <v>5.3890097847358106E-5</v>
      </c>
      <c r="BC41" s="144">
        <f t="shared" si="16"/>
        <v>4.8734203561643837E-8</v>
      </c>
      <c r="BD41" s="158">
        <f t="shared" si="17"/>
        <v>1.6244734520547946E-4</v>
      </c>
      <c r="BE41" s="144">
        <f t="shared" si="18"/>
        <v>2.5167764383561647E-6</v>
      </c>
      <c r="BF41" s="158">
        <f t="shared" si="19"/>
        <v>5.033552876712329E-4</v>
      </c>
      <c r="BG41" s="144">
        <f t="shared" si="20"/>
        <v>1.6194246575342468E-9</v>
      </c>
      <c r="BH41" s="158">
        <f t="shared" si="21"/>
        <v>3.2388493150684937E-6</v>
      </c>
      <c r="BI41" s="144">
        <f t="shared" si="22"/>
        <v>6.2481213698630138E-7</v>
      </c>
      <c r="BJ41" s="158">
        <f t="shared" si="23"/>
        <v>1.1157359589041096E-4</v>
      </c>
      <c r="BK41" s="144">
        <f t="shared" si="24"/>
        <v>3.988718775181305E-9</v>
      </c>
      <c r="BL41" s="158">
        <f t="shared" si="25"/>
        <v>1.3295729250604352E-5</v>
      </c>
      <c r="BM41" s="144">
        <f t="shared" si="26"/>
        <v>4.3513295729250604E-9</v>
      </c>
      <c r="BN41" s="158">
        <f t="shared" si="27"/>
        <v>1.2432370208357315E-6</v>
      </c>
      <c r="BO41" s="144">
        <f t="shared" si="28"/>
        <v>1.0306003223207089E-9</v>
      </c>
      <c r="BP41" s="158">
        <f t="shared" si="29"/>
        <v>3.4353344077356968E-6</v>
      </c>
      <c r="BQ41" s="144">
        <f t="shared" si="30"/>
        <v>5.3223207091055601E-8</v>
      </c>
      <c r="BR41" s="158">
        <f t="shared" si="31"/>
        <v>1.064464141821112E-5</v>
      </c>
      <c r="BS41" s="144">
        <f t="shared" si="32"/>
        <v>3.4246575342465761E-11</v>
      </c>
      <c r="BT41" s="158">
        <f t="shared" si="33"/>
        <v>6.8493150684931519E-8</v>
      </c>
      <c r="BU41" s="144">
        <f t="shared" si="34"/>
        <v>1.3213134568896054E-8</v>
      </c>
      <c r="BV41" s="144">
        <f t="shared" si="35"/>
        <v>2.3594883158742952E-6</v>
      </c>
    </row>
    <row r="42" spans="1:74" ht="16.5" thickBot="1">
      <c r="A42" s="242"/>
      <c r="B42" s="406" t="s">
        <v>882</v>
      </c>
      <c r="C42" s="407"/>
      <c r="D42" s="407"/>
      <c r="E42" s="408"/>
      <c r="F42" s="406" t="s">
        <v>1013</v>
      </c>
      <c r="G42" s="407"/>
      <c r="H42" s="407"/>
      <c r="I42" s="408"/>
      <c r="J42" s="406" t="s">
        <v>970</v>
      </c>
      <c r="K42" s="407"/>
      <c r="L42" s="407"/>
      <c r="M42" s="408"/>
      <c r="N42" s="406" t="s">
        <v>1014</v>
      </c>
      <c r="O42" s="407"/>
      <c r="P42" s="407"/>
      <c r="Q42" s="407"/>
      <c r="T42" s="53" t="s">
        <v>158</v>
      </c>
      <c r="U42" s="53" t="s">
        <v>159</v>
      </c>
      <c r="V42" s="155" t="s">
        <v>340</v>
      </c>
      <c r="W42" s="53">
        <v>0.20325199999999999</v>
      </c>
      <c r="X42" s="53">
        <v>34.716146999999999</v>
      </c>
      <c r="Y42" s="53" t="s">
        <v>351</v>
      </c>
      <c r="Z42" s="53" t="s">
        <v>330</v>
      </c>
      <c r="AA42" s="116" t="s">
        <v>347</v>
      </c>
      <c r="AB42" s="154" t="s">
        <v>371</v>
      </c>
      <c r="AC42" s="116" t="s">
        <v>687</v>
      </c>
      <c r="AD42" s="53" t="s">
        <v>364</v>
      </c>
      <c r="AE42" s="53" t="s">
        <v>685</v>
      </c>
      <c r="AF42" s="53" t="s">
        <v>690</v>
      </c>
      <c r="AG42" s="156">
        <v>27.1</v>
      </c>
      <c r="AH42" s="157">
        <v>9.6</v>
      </c>
      <c r="AI42" s="162">
        <v>10.0997</v>
      </c>
      <c r="AJ42" s="157">
        <v>237.3</v>
      </c>
      <c r="AK42" s="156">
        <v>0.121</v>
      </c>
      <c r="AL42" s="157">
        <v>112.46</v>
      </c>
      <c r="AM42" s="144">
        <f t="shared" si="0"/>
        <v>3.7123287671232874E-5</v>
      </c>
      <c r="AN42" s="158">
        <f t="shared" si="6"/>
        <v>0.12374429223744292</v>
      </c>
      <c r="AO42" s="144">
        <f t="shared" si="1"/>
        <v>1.3150684931506849E-5</v>
      </c>
      <c r="AP42" s="158">
        <f t="shared" si="7"/>
        <v>3.6529680365296802E-3</v>
      </c>
      <c r="AQ42" s="144">
        <f t="shared" si="2"/>
        <v>1.3835205479452054E-5</v>
      </c>
      <c r="AR42" s="158">
        <f t="shared" si="8"/>
        <v>4.6117351598173519E-2</v>
      </c>
      <c r="AS42" s="144">
        <f t="shared" si="3"/>
        <v>3.2506849315068492E-4</v>
      </c>
      <c r="AT42" s="158">
        <f t="shared" si="9"/>
        <v>0.10835616438356163</v>
      </c>
      <c r="AU42" s="144">
        <f t="shared" si="4"/>
        <v>1.6575342465753425E-7</v>
      </c>
      <c r="AV42" s="158">
        <f t="shared" si="10"/>
        <v>3.3150684931506849E-4</v>
      </c>
      <c r="AW42" s="144">
        <f t="shared" si="5"/>
        <v>1.5405479452054794E-4</v>
      </c>
      <c r="AX42" s="158">
        <f t="shared" si="11"/>
        <v>7.7027397260273972E-3</v>
      </c>
      <c r="AY42" s="144">
        <f t="shared" si="12"/>
        <v>7.744660273972603E-6</v>
      </c>
      <c r="AZ42" s="158">
        <f t="shared" si="13"/>
        <v>2.5815534246575345E-2</v>
      </c>
      <c r="BA42" s="144">
        <f t="shared" si="14"/>
        <v>2.5815534246575337E-7</v>
      </c>
      <c r="BB42" s="158">
        <f t="shared" si="15"/>
        <v>7.3758669275929539E-5</v>
      </c>
      <c r="BC42" s="144">
        <f t="shared" si="16"/>
        <v>9.6210018904109612E-8</v>
      </c>
      <c r="BD42" s="158">
        <f t="shared" si="17"/>
        <v>3.2070006301369874E-4</v>
      </c>
      <c r="BE42" s="144">
        <f t="shared" si="18"/>
        <v>2.2605263013698631E-6</v>
      </c>
      <c r="BF42" s="158">
        <f t="shared" si="19"/>
        <v>4.5210526027397263E-4</v>
      </c>
      <c r="BG42" s="144">
        <f t="shared" si="20"/>
        <v>1.1526493150684931E-9</v>
      </c>
      <c r="BH42" s="158">
        <f t="shared" si="21"/>
        <v>2.3052986301369861E-6</v>
      </c>
      <c r="BI42" s="144">
        <f t="shared" si="22"/>
        <v>1.0712970410958905E-6</v>
      </c>
      <c r="BJ42" s="158">
        <f t="shared" si="23"/>
        <v>1.9130304305283759E-4</v>
      </c>
      <c r="BK42" s="144">
        <f t="shared" si="24"/>
        <v>5.4593070104754233E-9</v>
      </c>
      <c r="BL42" s="158">
        <f t="shared" si="25"/>
        <v>1.8197690034918079E-5</v>
      </c>
      <c r="BM42" s="144">
        <f t="shared" si="26"/>
        <v>1.9339242546333604E-9</v>
      </c>
      <c r="BN42" s="158">
        <f t="shared" si="27"/>
        <v>5.5254978703810291E-7</v>
      </c>
      <c r="BO42" s="144">
        <f t="shared" si="28"/>
        <v>2.0345890410958906E-9</v>
      </c>
      <c r="BP42" s="158">
        <f t="shared" si="29"/>
        <v>6.7819634703196358E-6</v>
      </c>
      <c r="BQ42" s="144">
        <f t="shared" si="30"/>
        <v>4.7804190169218373E-8</v>
      </c>
      <c r="BR42" s="158">
        <f t="shared" si="31"/>
        <v>9.5608380338436747E-6</v>
      </c>
      <c r="BS42" s="144">
        <f t="shared" si="32"/>
        <v>2.4375503626107978E-11</v>
      </c>
      <c r="BT42" s="158">
        <f t="shared" si="33"/>
        <v>4.8751007252215955E-8</v>
      </c>
      <c r="BU42" s="144">
        <f t="shared" si="34"/>
        <v>2.2655116841257047E-8</v>
      </c>
      <c r="BV42" s="144">
        <f t="shared" si="35"/>
        <v>4.0455565787959015E-6</v>
      </c>
    </row>
    <row r="43" spans="1:74" ht="17.25" thickTop="1" thickBot="1">
      <c r="A43" s="242" t="s">
        <v>844</v>
      </c>
      <c r="B43" s="242" t="s">
        <v>1015</v>
      </c>
      <c r="C43" s="242" t="s">
        <v>1016</v>
      </c>
      <c r="D43" s="242" t="s">
        <v>1017</v>
      </c>
      <c r="E43" s="242" t="s">
        <v>1018</v>
      </c>
      <c r="F43" s="242" t="s">
        <v>1015</v>
      </c>
      <c r="G43" s="242" t="s">
        <v>1016</v>
      </c>
      <c r="H43" s="242" t="s">
        <v>1017</v>
      </c>
      <c r="I43" s="242" t="s">
        <v>1018</v>
      </c>
      <c r="J43" s="242" t="s">
        <v>1015</v>
      </c>
      <c r="K43" s="242" t="s">
        <v>1016</v>
      </c>
      <c r="L43" s="242" t="s">
        <v>1017</v>
      </c>
      <c r="M43" s="242" t="s">
        <v>1018</v>
      </c>
      <c r="N43" s="242" t="s">
        <v>1015</v>
      </c>
      <c r="O43" s="242" t="s">
        <v>1016</v>
      </c>
      <c r="P43" s="242" t="s">
        <v>1017</v>
      </c>
      <c r="Q43" s="241" t="s">
        <v>1018</v>
      </c>
      <c r="T43" s="53" t="s">
        <v>161</v>
      </c>
      <c r="U43" s="53" t="s">
        <v>162</v>
      </c>
      <c r="V43" s="155" t="s">
        <v>343</v>
      </c>
      <c r="W43" s="53">
        <v>0.18987899999999999</v>
      </c>
      <c r="X43" s="53">
        <v>34.735692999999998</v>
      </c>
      <c r="Y43" s="53" t="s">
        <v>352</v>
      </c>
      <c r="Z43" s="53" t="s">
        <v>330</v>
      </c>
      <c r="AA43" s="116" t="s">
        <v>347</v>
      </c>
      <c r="AB43" s="154" t="s">
        <v>371</v>
      </c>
      <c r="AC43" s="116" t="s">
        <v>687</v>
      </c>
      <c r="AD43" s="53" t="s">
        <v>364</v>
      </c>
      <c r="AE43" s="53" t="s">
        <v>685</v>
      </c>
      <c r="AF43" s="53" t="s">
        <v>690</v>
      </c>
      <c r="AG43" s="156">
        <v>23.4</v>
      </c>
      <c r="AH43" s="157">
        <v>40.200000000000003</v>
      </c>
      <c r="AI43" s="162">
        <v>4.7550999999999997</v>
      </c>
      <c r="AJ43" s="157">
        <v>152.9</v>
      </c>
      <c r="AK43" s="156">
        <v>0.28599999999999998</v>
      </c>
      <c r="AL43" s="157">
        <v>58.27</v>
      </c>
      <c r="AM43" s="144">
        <f t="shared" si="0"/>
        <v>3.2054794520547947E-5</v>
      </c>
      <c r="AN43" s="158">
        <f t="shared" si="6"/>
        <v>0.10684931506849317</v>
      </c>
      <c r="AO43" s="144">
        <f t="shared" si="1"/>
        <v>5.5068493150684943E-5</v>
      </c>
      <c r="AP43" s="158">
        <f t="shared" si="7"/>
        <v>1.529680365296804E-2</v>
      </c>
      <c r="AQ43" s="144">
        <f t="shared" si="2"/>
        <v>6.5138356164383555E-6</v>
      </c>
      <c r="AR43" s="158">
        <f t="shared" si="8"/>
        <v>2.1712785388127855E-2</v>
      </c>
      <c r="AS43" s="144">
        <f t="shared" si="3"/>
        <v>2.0945205479452054E-4</v>
      </c>
      <c r="AT43" s="158">
        <f t="shared" si="9"/>
        <v>6.981735159817351E-2</v>
      </c>
      <c r="AU43" s="144">
        <f t="shared" si="4"/>
        <v>3.9178082191780826E-7</v>
      </c>
      <c r="AV43" s="158">
        <f t="shared" si="10"/>
        <v>7.8356164383561655E-4</v>
      </c>
      <c r="AW43" s="144">
        <f t="shared" si="5"/>
        <v>7.9821917808219176E-5</v>
      </c>
      <c r="AX43" s="158">
        <f t="shared" si="11"/>
        <v>3.9910958904109586E-3</v>
      </c>
      <c r="AY43" s="144">
        <f t="shared" si="12"/>
        <v>6.6872712328767123E-6</v>
      </c>
      <c r="AZ43" s="158">
        <f t="shared" si="13"/>
        <v>2.2290904109589043E-2</v>
      </c>
      <c r="BA43" s="144">
        <f t="shared" si="14"/>
        <v>2.2290904109589042E-7</v>
      </c>
      <c r="BB43" s="158">
        <f t="shared" si="15"/>
        <v>6.3688297455968688E-5</v>
      </c>
      <c r="BC43" s="144">
        <f t="shared" si="16"/>
        <v>4.5297212876712333E-8</v>
      </c>
      <c r="BD43" s="158">
        <f t="shared" si="17"/>
        <v>1.5099070958904113E-4</v>
      </c>
      <c r="BE43" s="144">
        <f t="shared" si="18"/>
        <v>1.4565295890410959E-6</v>
      </c>
      <c r="BF43" s="158">
        <f t="shared" si="19"/>
        <v>2.9130591780821919E-4</v>
      </c>
      <c r="BG43" s="144">
        <f t="shared" si="20"/>
        <v>2.724443835616439E-9</v>
      </c>
      <c r="BH43" s="158">
        <f t="shared" si="21"/>
        <v>5.4488876712328776E-6</v>
      </c>
      <c r="BI43" s="144">
        <f t="shared" si="22"/>
        <v>5.5508161643835628E-7</v>
      </c>
      <c r="BJ43" s="158">
        <f t="shared" si="23"/>
        <v>9.9121717221135051E-5</v>
      </c>
      <c r="BK43" s="144">
        <f t="shared" si="24"/>
        <v>4.7139403706688158E-9</v>
      </c>
      <c r="BL43" s="158">
        <f t="shared" si="25"/>
        <v>1.5713134568896055E-5</v>
      </c>
      <c r="BM43" s="144">
        <f t="shared" si="26"/>
        <v>8.0983078162771952E-9</v>
      </c>
      <c r="BN43" s="158">
        <f t="shared" si="27"/>
        <v>2.3138022332220558E-6</v>
      </c>
      <c r="BO43" s="144">
        <f t="shared" si="28"/>
        <v>9.5791700241740516E-10</v>
      </c>
      <c r="BP43" s="158">
        <f t="shared" si="29"/>
        <v>3.1930566747246843E-6</v>
      </c>
      <c r="BQ43" s="144">
        <f t="shared" si="30"/>
        <v>3.0801772763900078E-8</v>
      </c>
      <c r="BR43" s="158">
        <f t="shared" si="31"/>
        <v>6.1603545527800155E-6</v>
      </c>
      <c r="BS43" s="144">
        <f t="shared" si="32"/>
        <v>5.7614826752618858E-11</v>
      </c>
      <c r="BT43" s="158">
        <f t="shared" si="33"/>
        <v>1.1522965350523771E-7</v>
      </c>
      <c r="BU43" s="144">
        <f t="shared" si="34"/>
        <v>1.1738517324738117E-8</v>
      </c>
      <c r="BV43" s="144">
        <f t="shared" si="35"/>
        <v>2.0961638079889495E-6</v>
      </c>
    </row>
    <row r="44" spans="1:74" ht="16.5" thickTop="1">
      <c r="A44" s="423" t="s">
        <v>23</v>
      </c>
      <c r="B44" s="424">
        <v>10.5</v>
      </c>
      <c r="C44" s="413">
        <v>1.7</v>
      </c>
      <c r="D44" s="417">
        <v>0.157</v>
      </c>
      <c r="E44" s="413">
        <v>12.4</v>
      </c>
      <c r="F44" s="417">
        <v>0.14000000000000001</v>
      </c>
      <c r="G44" s="417">
        <v>1.9E-2</v>
      </c>
      <c r="H44" s="417">
        <v>3.0100000000000001E-3</v>
      </c>
      <c r="I44" s="417">
        <v>0.16200000000000001</v>
      </c>
      <c r="J44" s="417">
        <v>0.46</v>
      </c>
      <c r="K44" s="417">
        <v>4.3999999999999999E-5</v>
      </c>
      <c r="L44" s="417">
        <v>0.17299999999999999</v>
      </c>
      <c r="M44" s="417">
        <v>0.63300000000000001</v>
      </c>
      <c r="N44" s="413">
        <v>3.69</v>
      </c>
      <c r="O44" s="417">
        <v>4.0999999999999999E-4</v>
      </c>
      <c r="P44" s="413">
        <v>1.01</v>
      </c>
      <c r="Q44" s="415">
        <v>4.7</v>
      </c>
      <c r="T44" s="53" t="s">
        <v>163</v>
      </c>
      <c r="U44" s="39" t="s">
        <v>164</v>
      </c>
      <c r="V44" s="155" t="s">
        <v>343</v>
      </c>
      <c r="W44" s="53">
        <v>0.18987899999999999</v>
      </c>
      <c r="X44" s="53">
        <v>34.735692999999998</v>
      </c>
      <c r="Y44" s="53" t="s">
        <v>352</v>
      </c>
      <c r="Z44" s="53" t="s">
        <v>330</v>
      </c>
      <c r="AA44" s="116" t="s">
        <v>347</v>
      </c>
      <c r="AB44" s="154" t="s">
        <v>371</v>
      </c>
      <c r="AC44" s="116" t="s">
        <v>687</v>
      </c>
      <c r="AD44" s="53" t="s">
        <v>366</v>
      </c>
      <c r="AE44" s="53" t="s">
        <v>684</v>
      </c>
      <c r="AF44" s="53" t="s">
        <v>683</v>
      </c>
      <c r="AG44" s="156">
        <v>43.3</v>
      </c>
      <c r="AH44" s="157">
        <v>30.5</v>
      </c>
      <c r="AI44" s="162">
        <v>1.1142999999999998</v>
      </c>
      <c r="AJ44" s="157">
        <v>195.3</v>
      </c>
      <c r="AK44" s="156">
        <v>0.27700000000000002</v>
      </c>
      <c r="AL44" s="157">
        <v>62.01</v>
      </c>
      <c r="AM44" s="144">
        <f t="shared" si="0"/>
        <v>5.9315068493150683E-5</v>
      </c>
      <c r="AN44" s="158">
        <f t="shared" si="6"/>
        <v>0.19771689497716896</v>
      </c>
      <c r="AO44" s="144">
        <f t="shared" si="1"/>
        <v>4.1780821917808217E-5</v>
      </c>
      <c r="AP44" s="158">
        <f t="shared" si="7"/>
        <v>1.1605783866057838E-2</v>
      </c>
      <c r="AQ44" s="144">
        <f t="shared" si="2"/>
        <v>1.5264383561643834E-6</v>
      </c>
      <c r="AR44" s="158">
        <f t="shared" si="8"/>
        <v>5.0881278538812786E-3</v>
      </c>
      <c r="AS44" s="144">
        <f t="shared" si="3"/>
        <v>2.6753424657534244E-4</v>
      </c>
      <c r="AT44" s="158">
        <f t="shared" si="9"/>
        <v>8.9178082191780805E-2</v>
      </c>
      <c r="AU44" s="144">
        <f t="shared" si="4"/>
        <v>3.7945205479452062E-7</v>
      </c>
      <c r="AV44" s="158">
        <f t="shared" si="10"/>
        <v>7.5890410958904121E-4</v>
      </c>
      <c r="AW44" s="144">
        <f t="shared" si="5"/>
        <v>8.4945205479452051E-5</v>
      </c>
      <c r="AX44" s="158">
        <f t="shared" si="11"/>
        <v>4.2472602739726025E-3</v>
      </c>
      <c r="AY44" s="144">
        <f t="shared" si="12"/>
        <v>1.2374309589041091E-5</v>
      </c>
      <c r="AZ44" s="158">
        <f t="shared" si="13"/>
        <v>4.1247698630136977E-2</v>
      </c>
      <c r="BA44" s="144">
        <f t="shared" si="14"/>
        <v>4.1247698630136979E-7</v>
      </c>
      <c r="BB44" s="158">
        <f t="shared" si="15"/>
        <v>1.1785056751467708E-4</v>
      </c>
      <c r="BC44" s="144">
        <f t="shared" si="16"/>
        <v>1.0614852328767124E-8</v>
      </c>
      <c r="BD44" s="158">
        <f t="shared" si="17"/>
        <v>3.5382841095890413E-5</v>
      </c>
      <c r="BE44" s="144">
        <f t="shared" si="18"/>
        <v>1.8604331506849314E-6</v>
      </c>
      <c r="BF44" s="158">
        <f t="shared" si="19"/>
        <v>3.7208663013698625E-4</v>
      </c>
      <c r="BG44" s="144">
        <f t="shared" si="20"/>
        <v>2.6387095890410962E-9</v>
      </c>
      <c r="BH44" s="158">
        <f t="shared" si="21"/>
        <v>5.2774191780821922E-6</v>
      </c>
      <c r="BI44" s="144">
        <f t="shared" si="22"/>
        <v>5.9070895890410953E-7</v>
      </c>
      <c r="BJ44" s="158">
        <f t="shared" si="23"/>
        <v>1.0548374266144813E-4</v>
      </c>
      <c r="BK44" s="144">
        <f t="shared" si="24"/>
        <v>8.7228041901692184E-9</v>
      </c>
      <c r="BL44" s="158">
        <f t="shared" si="25"/>
        <v>2.907601396723073E-5</v>
      </c>
      <c r="BM44" s="144">
        <f t="shared" si="26"/>
        <v>6.1442385173247381E-9</v>
      </c>
      <c r="BN44" s="158">
        <f t="shared" si="27"/>
        <v>1.7554967192356395E-6</v>
      </c>
      <c r="BO44" s="144">
        <f t="shared" si="28"/>
        <v>2.2447622884770343E-10</v>
      </c>
      <c r="BP44" s="158">
        <f t="shared" si="29"/>
        <v>7.4825409615901151E-7</v>
      </c>
      <c r="BQ44" s="144">
        <f t="shared" si="30"/>
        <v>3.9343271555197421E-8</v>
      </c>
      <c r="BR44" s="158">
        <f t="shared" si="31"/>
        <v>7.8686543110394841E-6</v>
      </c>
      <c r="BS44" s="144">
        <f t="shared" si="32"/>
        <v>5.5801772763900086E-11</v>
      </c>
      <c r="BT44" s="158">
        <f t="shared" si="33"/>
        <v>1.1160354552780017E-7</v>
      </c>
      <c r="BU44" s="144">
        <f t="shared" si="34"/>
        <v>1.2491941982272361E-8</v>
      </c>
      <c r="BV44" s="144">
        <f t="shared" si="35"/>
        <v>2.230703925405779E-6</v>
      </c>
    </row>
    <row r="45" spans="1:74" ht="16.5" thickBot="1">
      <c r="A45" s="410"/>
      <c r="B45" s="425"/>
      <c r="C45" s="414"/>
      <c r="D45" s="401"/>
      <c r="E45" s="414"/>
      <c r="F45" s="401"/>
      <c r="G45" s="401"/>
      <c r="H45" s="401"/>
      <c r="I45" s="401"/>
      <c r="J45" s="401"/>
      <c r="K45" s="401"/>
      <c r="L45" s="401"/>
      <c r="M45" s="401"/>
      <c r="N45" s="414"/>
      <c r="O45" s="401"/>
      <c r="P45" s="414"/>
      <c r="Q45" s="416"/>
      <c r="T45" s="53" t="s">
        <v>165</v>
      </c>
      <c r="U45" s="39" t="s">
        <v>166</v>
      </c>
      <c r="V45" s="155" t="s">
        <v>343</v>
      </c>
      <c r="W45" s="53">
        <v>0.18987899999999999</v>
      </c>
      <c r="X45" s="53">
        <v>34.735692999999998</v>
      </c>
      <c r="Y45" s="53" t="s">
        <v>352</v>
      </c>
      <c r="Z45" s="53" t="s">
        <v>330</v>
      </c>
      <c r="AA45" s="116" t="s">
        <v>347</v>
      </c>
      <c r="AB45" s="154" t="s">
        <v>371</v>
      </c>
      <c r="AC45" s="116" t="s">
        <v>687</v>
      </c>
      <c r="AD45" s="53" t="s">
        <v>367</v>
      </c>
      <c r="AE45" s="53" t="s">
        <v>684</v>
      </c>
      <c r="AF45" s="53" t="s">
        <v>683</v>
      </c>
      <c r="AG45" s="156">
        <v>23.8</v>
      </c>
      <c r="AH45" s="157">
        <v>27.9</v>
      </c>
      <c r="AI45" s="162">
        <v>0.27560000000000001</v>
      </c>
      <c r="AJ45" s="157">
        <v>196.5</v>
      </c>
      <c r="AK45" s="156">
        <v>0.32900000000000001</v>
      </c>
      <c r="AL45" s="157">
        <v>62.32</v>
      </c>
      <c r="AM45" s="144">
        <f t="shared" si="0"/>
        <v>3.2602739726027398E-5</v>
      </c>
      <c r="AN45" s="158">
        <f t="shared" si="6"/>
        <v>0.10867579908675801</v>
      </c>
      <c r="AO45" s="144">
        <f t="shared" si="1"/>
        <v>3.8219178082191776E-5</v>
      </c>
      <c r="AP45" s="158">
        <f t="shared" si="7"/>
        <v>1.0616438356164382E-2</v>
      </c>
      <c r="AQ45" s="144">
        <f t="shared" si="2"/>
        <v>3.7753424657534243E-7</v>
      </c>
      <c r="AR45" s="158">
        <f t="shared" si="8"/>
        <v>1.258447488584475E-3</v>
      </c>
      <c r="AS45" s="144">
        <f t="shared" si="3"/>
        <v>2.691780821917808E-4</v>
      </c>
      <c r="AT45" s="158">
        <f t="shared" si="9"/>
        <v>8.9726027397260266E-2</v>
      </c>
      <c r="AU45" s="144">
        <f t="shared" si="4"/>
        <v>4.5068493150684927E-7</v>
      </c>
      <c r="AV45" s="158">
        <f t="shared" si="10"/>
        <v>9.0136986301369855E-4</v>
      </c>
      <c r="AW45" s="144">
        <f t="shared" si="5"/>
        <v>8.5369863013698619E-5</v>
      </c>
      <c r="AX45" s="158">
        <f t="shared" si="11"/>
        <v>4.2684931506849306E-3</v>
      </c>
      <c r="AY45" s="144">
        <f t="shared" si="12"/>
        <v>6.801583561643835E-6</v>
      </c>
      <c r="AZ45" s="158">
        <f t="shared" si="13"/>
        <v>2.2671945205479452E-2</v>
      </c>
      <c r="BA45" s="144">
        <f t="shared" si="14"/>
        <v>2.2671945205479457E-7</v>
      </c>
      <c r="BB45" s="158">
        <f t="shared" si="15"/>
        <v>6.4776986301369872E-5</v>
      </c>
      <c r="BC45" s="144">
        <f t="shared" si="16"/>
        <v>2.6253731506849314E-9</v>
      </c>
      <c r="BD45" s="158">
        <f t="shared" si="17"/>
        <v>8.7512438356164384E-6</v>
      </c>
      <c r="BE45" s="144">
        <f t="shared" si="18"/>
        <v>1.8718643835616441E-6</v>
      </c>
      <c r="BF45" s="158">
        <f t="shared" si="19"/>
        <v>3.7437287671232881E-4</v>
      </c>
      <c r="BG45" s="144">
        <f t="shared" si="20"/>
        <v>3.1340630136986308E-9</v>
      </c>
      <c r="BH45" s="158">
        <f t="shared" si="21"/>
        <v>6.2681260273972617E-6</v>
      </c>
      <c r="BI45" s="144">
        <f t="shared" si="22"/>
        <v>5.9366202739726028E-7</v>
      </c>
      <c r="BJ45" s="158">
        <f t="shared" si="23"/>
        <v>1.0601107632093934E-4</v>
      </c>
      <c r="BK45" s="144">
        <f t="shared" si="24"/>
        <v>4.7945205479452059E-9</v>
      </c>
      <c r="BL45" s="158">
        <f t="shared" si="25"/>
        <v>1.5981735159817355E-5</v>
      </c>
      <c r="BM45" s="144">
        <f t="shared" si="26"/>
        <v>5.6204673650282034E-9</v>
      </c>
      <c r="BN45" s="158">
        <f t="shared" si="27"/>
        <v>1.6058478185794868E-6</v>
      </c>
      <c r="BO45" s="144">
        <f t="shared" si="28"/>
        <v>5.5519742143432723E-11</v>
      </c>
      <c r="BP45" s="158">
        <f t="shared" si="29"/>
        <v>1.8506580714477576E-7</v>
      </c>
      <c r="BQ45" s="144">
        <f t="shared" si="30"/>
        <v>3.9585012087026591E-8</v>
      </c>
      <c r="BR45" s="158">
        <f t="shared" si="31"/>
        <v>7.9170024174053183E-6</v>
      </c>
      <c r="BS45" s="144">
        <f t="shared" si="32"/>
        <v>6.6277195809830776E-11</v>
      </c>
      <c r="BT45" s="158">
        <f t="shared" si="33"/>
        <v>1.3255439161966154E-7</v>
      </c>
      <c r="BU45" s="144">
        <f t="shared" si="34"/>
        <v>1.2554391619661566E-8</v>
      </c>
      <c r="BV45" s="144">
        <f t="shared" si="35"/>
        <v>2.2418556463681365E-6</v>
      </c>
    </row>
    <row r="46" spans="1:74">
      <c r="A46" s="409" t="s">
        <v>55</v>
      </c>
      <c r="B46" s="411">
        <v>4.6899999999999997E-2</v>
      </c>
      <c r="C46" s="400">
        <v>4.8599999999999997E-3</v>
      </c>
      <c r="D46" s="400">
        <v>6.9999999999999999E-6</v>
      </c>
      <c r="E46" s="400">
        <v>5.1799999999999999E-2</v>
      </c>
      <c r="F46" s="400">
        <v>8.6400000000000001E-3</v>
      </c>
      <c r="G46" s="400">
        <v>6.0000000000000002E-5</v>
      </c>
      <c r="H46" s="400">
        <v>3.0000000000000001E-6</v>
      </c>
      <c r="I46" s="400">
        <v>8.6999999999999994E-3</v>
      </c>
      <c r="J46" s="400">
        <v>1.3599999999999999E-2</v>
      </c>
      <c r="K46" s="400">
        <v>1.9999999999999999E-6</v>
      </c>
      <c r="L46" s="400">
        <v>2.34E-4</v>
      </c>
      <c r="M46" s="400">
        <v>1.38E-2</v>
      </c>
      <c r="N46" s="400">
        <v>3.4799999999999998E-2</v>
      </c>
      <c r="O46" s="400">
        <v>5.0000000000000004E-6</v>
      </c>
      <c r="P46" s="400">
        <v>1.7700000000000001E-3</v>
      </c>
      <c r="Q46" s="402">
        <v>3.6600000000000001E-2</v>
      </c>
      <c r="T46" s="53" t="s">
        <v>167</v>
      </c>
      <c r="U46" s="39" t="s">
        <v>168</v>
      </c>
      <c r="V46" s="155" t="s">
        <v>343</v>
      </c>
      <c r="W46" s="53">
        <v>0.187274</v>
      </c>
      <c r="X46" s="53">
        <v>34.735595000000004</v>
      </c>
      <c r="Y46" s="53" t="s">
        <v>353</v>
      </c>
      <c r="Z46" s="53" t="s">
        <v>330</v>
      </c>
      <c r="AA46" s="116" t="s">
        <v>347</v>
      </c>
      <c r="AB46" s="154" t="s">
        <v>371</v>
      </c>
      <c r="AC46" s="116" t="s">
        <v>687</v>
      </c>
      <c r="AD46" s="53" t="s">
        <v>361</v>
      </c>
      <c r="AE46" s="53" t="s">
        <v>685</v>
      </c>
      <c r="AF46" s="53" t="s">
        <v>690</v>
      </c>
      <c r="AG46" s="156">
        <v>216.6</v>
      </c>
      <c r="AH46" s="157">
        <v>31.9</v>
      </c>
      <c r="AI46" s="162">
        <v>4.4250999999999996</v>
      </c>
      <c r="AJ46" s="157">
        <v>224</v>
      </c>
      <c r="AK46" s="156">
        <v>0.29299999999999998</v>
      </c>
      <c r="AL46" s="157">
        <v>71.64</v>
      </c>
      <c r="AM46" s="144">
        <f t="shared" si="0"/>
        <v>2.9671232876712325E-4</v>
      </c>
      <c r="AN46" s="158">
        <f t="shared" si="6"/>
        <v>0.98904109589041089</v>
      </c>
      <c r="AO46" s="144">
        <f t="shared" si="1"/>
        <v>4.3698630136986299E-5</v>
      </c>
      <c r="AP46" s="158">
        <f t="shared" si="7"/>
        <v>1.2138508371385083E-2</v>
      </c>
      <c r="AQ46" s="144">
        <f t="shared" si="2"/>
        <v>6.0617808219178067E-6</v>
      </c>
      <c r="AR46" s="158">
        <f t="shared" si="8"/>
        <v>2.0205936073059358E-2</v>
      </c>
      <c r="AS46" s="144">
        <f t="shared" si="3"/>
        <v>3.0684931506849315E-4</v>
      </c>
      <c r="AT46" s="158">
        <f t="shared" si="9"/>
        <v>0.10228310502283104</v>
      </c>
      <c r="AU46" s="144">
        <f t="shared" si="4"/>
        <v>4.0136986301369851E-7</v>
      </c>
      <c r="AV46" s="158">
        <f t="shared" si="10"/>
        <v>8.0273972602739696E-4</v>
      </c>
      <c r="AW46" s="144">
        <f t="shared" si="5"/>
        <v>9.8136986301369851E-5</v>
      </c>
      <c r="AX46" s="158">
        <f t="shared" si="11"/>
        <v>4.9068493150684926E-3</v>
      </c>
      <c r="AY46" s="144">
        <f t="shared" si="12"/>
        <v>6.1900126027397259E-5</v>
      </c>
      <c r="AZ46" s="158">
        <f t="shared" si="13"/>
        <v>0.20633375342465754</v>
      </c>
      <c r="BA46" s="144">
        <f t="shared" si="14"/>
        <v>2.0633375342465753E-6</v>
      </c>
      <c r="BB46" s="158">
        <f t="shared" si="15"/>
        <v>5.8952500978473577E-4</v>
      </c>
      <c r="BC46" s="144">
        <f t="shared" si="16"/>
        <v>4.2153623835616429E-8</v>
      </c>
      <c r="BD46" s="158">
        <f t="shared" si="17"/>
        <v>1.4051207945205477E-4</v>
      </c>
      <c r="BE46" s="144">
        <f t="shared" si="18"/>
        <v>2.1338301369863015E-6</v>
      </c>
      <c r="BF46" s="158">
        <f t="shared" si="19"/>
        <v>4.2676602739726032E-4</v>
      </c>
      <c r="BG46" s="144">
        <f t="shared" si="20"/>
        <v>2.79112602739726E-9</v>
      </c>
      <c r="BH46" s="158">
        <f t="shared" si="21"/>
        <v>5.5822520547945201E-6</v>
      </c>
      <c r="BI46" s="144">
        <f t="shared" si="22"/>
        <v>6.8244460273972608E-7</v>
      </c>
      <c r="BJ46" s="158">
        <f t="shared" si="23"/>
        <v>1.2186510763209394E-4</v>
      </c>
      <c r="BK46" s="144">
        <f t="shared" si="24"/>
        <v>4.3634165995165188E-8</v>
      </c>
      <c r="BL46" s="158">
        <f t="shared" si="25"/>
        <v>1.4544721998388397E-4</v>
      </c>
      <c r="BM46" s="144">
        <f t="shared" si="26"/>
        <v>6.4262691377921034E-9</v>
      </c>
      <c r="BN46" s="158">
        <f t="shared" si="27"/>
        <v>1.8360768965120294E-6</v>
      </c>
      <c r="BO46" s="144">
        <f t="shared" si="28"/>
        <v>8.9143835616438346E-10</v>
      </c>
      <c r="BP46" s="158">
        <f t="shared" si="29"/>
        <v>2.9714611872146117E-6</v>
      </c>
      <c r="BQ46" s="144">
        <f t="shared" si="30"/>
        <v>4.5124899274778408E-8</v>
      </c>
      <c r="BR46" s="158">
        <f t="shared" si="31"/>
        <v>9.0249798549556818E-6</v>
      </c>
      <c r="BS46" s="144">
        <f t="shared" si="32"/>
        <v>5.9024979854955675E-11</v>
      </c>
      <c r="BT46" s="158">
        <f t="shared" si="33"/>
        <v>1.1804995970991135E-7</v>
      </c>
      <c r="BU46" s="144">
        <f t="shared" si="34"/>
        <v>1.443190975020145E-8</v>
      </c>
      <c r="BV46" s="144">
        <f t="shared" si="35"/>
        <v>2.5771267411074019E-6</v>
      </c>
    </row>
    <row r="47" spans="1:74" ht="16.5" thickBot="1">
      <c r="A47" s="410"/>
      <c r="B47" s="412"/>
      <c r="C47" s="401"/>
      <c r="D47" s="401"/>
      <c r="E47" s="401"/>
      <c r="F47" s="401"/>
      <c r="G47" s="401"/>
      <c r="H47" s="401"/>
      <c r="I47" s="401"/>
      <c r="J47" s="401"/>
      <c r="K47" s="401"/>
      <c r="L47" s="401"/>
      <c r="M47" s="401"/>
      <c r="N47" s="401"/>
      <c r="O47" s="401"/>
      <c r="P47" s="401"/>
      <c r="Q47" s="403"/>
      <c r="T47" s="53" t="s">
        <v>169</v>
      </c>
      <c r="U47" s="39" t="s">
        <v>170</v>
      </c>
      <c r="V47" s="155" t="s">
        <v>343</v>
      </c>
      <c r="W47" s="53">
        <v>0.18729499999999999</v>
      </c>
      <c r="X47" s="53">
        <v>34.736308999999999</v>
      </c>
      <c r="Y47" s="53" t="s">
        <v>353</v>
      </c>
      <c r="Z47" s="53" t="s">
        <v>330</v>
      </c>
      <c r="AA47" s="116" t="s">
        <v>347</v>
      </c>
      <c r="AB47" s="154" t="s">
        <v>371</v>
      </c>
      <c r="AC47" s="116" t="s">
        <v>687</v>
      </c>
      <c r="AD47" s="53" t="s">
        <v>366</v>
      </c>
      <c r="AE47" s="53" t="s">
        <v>684</v>
      </c>
      <c r="AF47" s="53" t="s">
        <v>683</v>
      </c>
      <c r="AG47" s="156">
        <v>49.2</v>
      </c>
      <c r="AH47" s="157">
        <v>24.9</v>
      </c>
      <c r="AI47" s="162">
        <v>0.35620000000000002</v>
      </c>
      <c r="AJ47" s="157">
        <v>189</v>
      </c>
      <c r="AK47" s="156">
        <v>0.24</v>
      </c>
      <c r="AL47" s="157">
        <v>65.5</v>
      </c>
      <c r="AM47" s="144">
        <f t="shared" si="0"/>
        <v>6.73972602739726E-5</v>
      </c>
      <c r="AN47" s="158">
        <f t="shared" si="6"/>
        <v>0.22465753424657536</v>
      </c>
      <c r="AO47" s="144">
        <f t="shared" si="1"/>
        <v>3.410958904109589E-5</v>
      </c>
      <c r="AP47" s="158">
        <f t="shared" si="7"/>
        <v>9.4748858447488583E-3</v>
      </c>
      <c r="AQ47" s="144">
        <f t="shared" si="2"/>
        <v>4.8794520547945209E-7</v>
      </c>
      <c r="AR47" s="158">
        <f t="shared" si="8"/>
        <v>1.6264840182648405E-3</v>
      </c>
      <c r="AS47" s="144">
        <f t="shared" si="3"/>
        <v>2.5890410958904109E-4</v>
      </c>
      <c r="AT47" s="158">
        <f t="shared" si="9"/>
        <v>8.6301369863013691E-2</v>
      </c>
      <c r="AU47" s="144">
        <f t="shared" si="4"/>
        <v>3.2876712328767123E-7</v>
      </c>
      <c r="AV47" s="158">
        <f t="shared" si="10"/>
        <v>6.5753424657534248E-4</v>
      </c>
      <c r="AW47" s="144">
        <f t="shared" si="5"/>
        <v>8.9726027397260256E-5</v>
      </c>
      <c r="AX47" s="158">
        <f t="shared" si="11"/>
        <v>4.4863013698630124E-3</v>
      </c>
      <c r="AY47" s="144">
        <f t="shared" si="12"/>
        <v>1.4060416438356166E-5</v>
      </c>
      <c r="AZ47" s="158">
        <f t="shared" si="13"/>
        <v>4.686805479452056E-2</v>
      </c>
      <c r="BA47" s="144">
        <f t="shared" si="14"/>
        <v>4.6868054794520545E-7</v>
      </c>
      <c r="BB47" s="158">
        <f t="shared" si="15"/>
        <v>1.339087279843444E-4</v>
      </c>
      <c r="BC47" s="144">
        <f t="shared" si="16"/>
        <v>3.3931709589041097E-9</v>
      </c>
      <c r="BD47" s="158">
        <f t="shared" si="17"/>
        <v>1.1310569863013699E-5</v>
      </c>
      <c r="BE47" s="144">
        <f t="shared" si="18"/>
        <v>1.8004191780821917E-6</v>
      </c>
      <c r="BF47" s="158">
        <f t="shared" si="19"/>
        <v>3.6008383561643832E-4</v>
      </c>
      <c r="BG47" s="144">
        <f t="shared" si="20"/>
        <v>2.2862465753424658E-9</v>
      </c>
      <c r="BH47" s="158">
        <f t="shared" si="21"/>
        <v>4.5724931506849318E-6</v>
      </c>
      <c r="BI47" s="144">
        <f t="shared" si="22"/>
        <v>6.2395479452054801E-7</v>
      </c>
      <c r="BJ47" s="158">
        <f t="shared" si="23"/>
        <v>1.1142049902152643E-4</v>
      </c>
      <c r="BK47" s="144">
        <f t="shared" si="24"/>
        <v>9.9113618049959705E-9</v>
      </c>
      <c r="BL47" s="158">
        <f t="shared" si="25"/>
        <v>3.3037872683319904E-5</v>
      </c>
      <c r="BM47" s="144">
        <f t="shared" si="26"/>
        <v>5.0161160354552778E-9</v>
      </c>
      <c r="BN47" s="158">
        <f t="shared" si="27"/>
        <v>1.4331760101300794E-6</v>
      </c>
      <c r="BO47" s="144">
        <f t="shared" si="28"/>
        <v>7.1756647864625298E-11</v>
      </c>
      <c r="BP47" s="158">
        <f t="shared" si="29"/>
        <v>2.3918882621541767E-7</v>
      </c>
      <c r="BQ47" s="144">
        <f t="shared" si="30"/>
        <v>3.8074133763094278E-8</v>
      </c>
      <c r="BR47" s="158">
        <f t="shared" si="31"/>
        <v>7.6148267526188558E-6</v>
      </c>
      <c r="BS47" s="144">
        <f t="shared" si="32"/>
        <v>4.8348106365834008E-11</v>
      </c>
      <c r="BT47" s="158">
        <f t="shared" si="33"/>
        <v>9.6696212731668009E-8</v>
      </c>
      <c r="BU47" s="144">
        <f t="shared" si="34"/>
        <v>1.3195004029008863E-8</v>
      </c>
      <c r="BV47" s="144">
        <f t="shared" si="35"/>
        <v>2.3562507194658684E-6</v>
      </c>
    </row>
    <row r="48" spans="1:74">
      <c r="A48" s="409" t="s">
        <v>3</v>
      </c>
      <c r="B48" s="411">
        <v>2.4299999999999999E-2</v>
      </c>
      <c r="C48" s="400">
        <v>1.6899999999999999E-4</v>
      </c>
      <c r="D48" s="400">
        <v>3.9999999999999998E-6</v>
      </c>
      <c r="E48" s="400">
        <v>2.4500000000000001E-2</v>
      </c>
      <c r="F48" s="400">
        <v>1.2899999999999999E-3</v>
      </c>
      <c r="G48" s="400">
        <v>9.0000000000000002E-6</v>
      </c>
      <c r="H48" s="400">
        <v>0</v>
      </c>
      <c r="I48" s="400">
        <v>1.2999999999999999E-3</v>
      </c>
      <c r="J48" s="400">
        <v>5.0000000000000001E-3</v>
      </c>
      <c r="K48" s="400">
        <v>9.9999999999999995E-7</v>
      </c>
      <c r="L48" s="400">
        <v>2.24E-4</v>
      </c>
      <c r="M48" s="400">
        <v>5.2300000000000003E-3</v>
      </c>
      <c r="N48" s="400">
        <v>2.47E-2</v>
      </c>
      <c r="O48" s="400">
        <v>3.0000000000000001E-6</v>
      </c>
      <c r="P48" s="400">
        <v>3.8699999999999997E-4</v>
      </c>
      <c r="Q48" s="402">
        <v>2.5100000000000001E-2</v>
      </c>
      <c r="T48" s="53" t="s">
        <v>171</v>
      </c>
      <c r="U48" s="39" t="s">
        <v>172</v>
      </c>
      <c r="V48" s="155" t="s">
        <v>343</v>
      </c>
      <c r="W48" s="53">
        <v>0.187274</v>
      </c>
      <c r="X48" s="53">
        <v>34.735595000000004</v>
      </c>
      <c r="Y48" s="53" t="s">
        <v>353</v>
      </c>
      <c r="Z48" s="53" t="s">
        <v>330</v>
      </c>
      <c r="AA48" s="116" t="s">
        <v>347</v>
      </c>
      <c r="AB48" s="154" t="s">
        <v>371</v>
      </c>
      <c r="AC48" s="116" t="s">
        <v>687</v>
      </c>
      <c r="AD48" s="53" t="s">
        <v>364</v>
      </c>
      <c r="AE48" s="53" t="s">
        <v>685</v>
      </c>
      <c r="AF48" s="53" t="s">
        <v>690</v>
      </c>
      <c r="AG48" s="156">
        <v>74</v>
      </c>
      <c r="AH48" s="157">
        <v>40.200000000000003</v>
      </c>
      <c r="AI48" s="162">
        <v>0.30880000000000002</v>
      </c>
      <c r="AJ48" s="157">
        <v>169.1</v>
      </c>
      <c r="AK48" s="156">
        <v>0.253</v>
      </c>
      <c r="AL48" s="157">
        <v>119.61</v>
      </c>
      <c r="AM48" s="144">
        <f t="shared" si="0"/>
        <v>1.0136986301369863E-4</v>
      </c>
      <c r="AN48" s="158">
        <f t="shared" si="6"/>
        <v>0.33789954337899547</v>
      </c>
      <c r="AO48" s="144">
        <f t="shared" si="1"/>
        <v>5.5068493150684943E-5</v>
      </c>
      <c r="AP48" s="158">
        <f t="shared" si="7"/>
        <v>1.529680365296804E-2</v>
      </c>
      <c r="AQ48" s="144">
        <f t="shared" si="2"/>
        <v>4.2301369863013697E-7</v>
      </c>
      <c r="AR48" s="158">
        <f t="shared" si="8"/>
        <v>1.4100456621004567E-3</v>
      </c>
      <c r="AS48" s="144">
        <f t="shared" si="3"/>
        <v>2.3164383561643834E-4</v>
      </c>
      <c r="AT48" s="158">
        <f t="shared" si="9"/>
        <v>7.7214611872146108E-2</v>
      </c>
      <c r="AU48" s="144">
        <f t="shared" si="4"/>
        <v>3.4657534246575342E-7</v>
      </c>
      <c r="AV48" s="158">
        <f t="shared" si="10"/>
        <v>6.9315068493150682E-4</v>
      </c>
      <c r="AW48" s="144">
        <f t="shared" si="5"/>
        <v>1.6384931506849314E-4</v>
      </c>
      <c r="AX48" s="158">
        <f t="shared" si="11"/>
        <v>8.1924657534246572E-3</v>
      </c>
      <c r="AY48" s="144">
        <f t="shared" si="12"/>
        <v>2.1147780821917807E-5</v>
      </c>
      <c r="AZ48" s="158">
        <f t="shared" si="13"/>
        <v>7.0492602739726032E-2</v>
      </c>
      <c r="BA48" s="144">
        <f t="shared" si="14"/>
        <v>7.0492602739726056E-7</v>
      </c>
      <c r="BB48" s="158">
        <f t="shared" si="15"/>
        <v>2.0140743639921729E-4</v>
      </c>
      <c r="BC48" s="144">
        <f t="shared" si="16"/>
        <v>2.9416372602739725E-9</v>
      </c>
      <c r="BD48" s="158">
        <f t="shared" si="17"/>
        <v>9.8054575342465754E-6</v>
      </c>
      <c r="BE48" s="144">
        <f t="shared" si="18"/>
        <v>1.6108512328767124E-6</v>
      </c>
      <c r="BF48" s="158">
        <f t="shared" si="19"/>
        <v>3.2217024657534249E-4</v>
      </c>
      <c r="BG48" s="144">
        <f t="shared" si="20"/>
        <v>2.4100849315068491E-9</v>
      </c>
      <c r="BH48" s="158">
        <f t="shared" si="21"/>
        <v>4.8201698630136979E-6</v>
      </c>
      <c r="BI48" s="144">
        <f t="shared" si="22"/>
        <v>1.1394081369863012E-6</v>
      </c>
      <c r="BJ48" s="158">
        <f t="shared" si="23"/>
        <v>2.0346573874755378E-4</v>
      </c>
      <c r="BK48" s="144">
        <f t="shared" si="24"/>
        <v>1.4907332796132152E-8</v>
      </c>
      <c r="BL48" s="158">
        <f t="shared" si="25"/>
        <v>4.9691109320440513E-5</v>
      </c>
      <c r="BM48" s="144">
        <f t="shared" si="26"/>
        <v>8.0983078162771952E-9</v>
      </c>
      <c r="BN48" s="158">
        <f t="shared" si="27"/>
        <v>2.3138022332220558E-6</v>
      </c>
      <c r="BO48" s="144">
        <f t="shared" si="28"/>
        <v>6.2207896857373091E-11</v>
      </c>
      <c r="BP48" s="158">
        <f t="shared" si="29"/>
        <v>2.0735965619124365E-7</v>
      </c>
      <c r="BQ48" s="144">
        <f t="shared" si="30"/>
        <v>3.4065269943593873E-8</v>
      </c>
      <c r="BR48" s="158">
        <f t="shared" si="31"/>
        <v>6.8130539887187748E-6</v>
      </c>
      <c r="BS48" s="144">
        <f t="shared" si="32"/>
        <v>5.096696212731669E-11</v>
      </c>
      <c r="BT48" s="158">
        <f t="shared" si="33"/>
        <v>1.0193392425463338E-7</v>
      </c>
      <c r="BU48" s="144">
        <f t="shared" si="34"/>
        <v>2.4095487510072519E-8</v>
      </c>
      <c r="BV48" s="144">
        <f t="shared" si="35"/>
        <v>4.3027656267986641E-6</v>
      </c>
    </row>
    <row r="49" spans="1:74" ht="16.5" thickBot="1">
      <c r="A49" s="410"/>
      <c r="B49" s="412"/>
      <c r="C49" s="401"/>
      <c r="D49" s="401"/>
      <c r="E49" s="401"/>
      <c r="F49" s="401"/>
      <c r="G49" s="401"/>
      <c r="H49" s="401"/>
      <c r="I49" s="401"/>
      <c r="J49" s="401"/>
      <c r="K49" s="401"/>
      <c r="L49" s="401"/>
      <c r="M49" s="401"/>
      <c r="N49" s="401"/>
      <c r="O49" s="401"/>
      <c r="P49" s="401"/>
      <c r="Q49" s="403"/>
      <c r="T49" s="53" t="s">
        <v>173</v>
      </c>
      <c r="U49" s="39" t="s">
        <v>174</v>
      </c>
      <c r="V49" s="155" t="s">
        <v>343</v>
      </c>
      <c r="W49" s="53">
        <v>0.18729000000000001</v>
      </c>
      <c r="X49" s="53">
        <v>34.736308999999999</v>
      </c>
      <c r="Y49" s="53" t="s">
        <v>353</v>
      </c>
      <c r="Z49" s="53" t="s">
        <v>330</v>
      </c>
      <c r="AA49" s="116" t="s">
        <v>347</v>
      </c>
      <c r="AB49" s="154" t="s">
        <v>371</v>
      </c>
      <c r="AC49" s="116" t="s">
        <v>687</v>
      </c>
      <c r="AD49" s="53" t="s">
        <v>361</v>
      </c>
      <c r="AE49" s="53" t="s">
        <v>685</v>
      </c>
      <c r="AF49" s="53" t="s">
        <v>690</v>
      </c>
      <c r="AG49" s="156">
        <v>263.2</v>
      </c>
      <c r="AH49" s="157">
        <v>30</v>
      </c>
      <c r="AI49" s="162">
        <v>1.2711999999999999</v>
      </c>
      <c r="AJ49" s="157">
        <v>192.9</v>
      </c>
      <c r="AK49" s="156">
        <v>0.22500000000000001</v>
      </c>
      <c r="AL49" s="157">
        <v>60.94</v>
      </c>
      <c r="AM49" s="144">
        <f t="shared" si="0"/>
        <v>3.6054794520547949E-4</v>
      </c>
      <c r="AN49" s="158">
        <f t="shared" si="6"/>
        <v>1.2018264840182651</v>
      </c>
      <c r="AO49" s="144">
        <f t="shared" si="1"/>
        <v>4.1095890410958905E-5</v>
      </c>
      <c r="AP49" s="158">
        <f t="shared" si="7"/>
        <v>1.1415525114155252E-2</v>
      </c>
      <c r="AQ49" s="144">
        <f t="shared" si="2"/>
        <v>1.7413698630136987E-6</v>
      </c>
      <c r="AR49" s="158">
        <f t="shared" si="8"/>
        <v>5.8045662100456629E-3</v>
      </c>
      <c r="AS49" s="144">
        <f t="shared" si="3"/>
        <v>2.6424657534246572E-4</v>
      </c>
      <c r="AT49" s="158">
        <f t="shared" si="9"/>
        <v>8.8082191780821897E-2</v>
      </c>
      <c r="AU49" s="144">
        <f t="shared" si="4"/>
        <v>3.0821917808219176E-7</v>
      </c>
      <c r="AV49" s="158">
        <f t="shared" si="10"/>
        <v>6.1643835616438354E-4</v>
      </c>
      <c r="AW49" s="144">
        <f t="shared" si="5"/>
        <v>8.3479452054794508E-5</v>
      </c>
      <c r="AX49" s="158">
        <f t="shared" si="11"/>
        <v>4.1739726027397251E-3</v>
      </c>
      <c r="AY49" s="144">
        <f t="shared" si="12"/>
        <v>7.521751232876712E-5</v>
      </c>
      <c r="AZ49" s="158">
        <f t="shared" si="13"/>
        <v>0.25072504109589044</v>
      </c>
      <c r="BA49" s="144">
        <f t="shared" si="14"/>
        <v>2.507250410958904E-6</v>
      </c>
      <c r="BB49" s="158">
        <f t="shared" si="15"/>
        <v>7.1635726027397255E-4</v>
      </c>
      <c r="BC49" s="144">
        <f t="shared" si="16"/>
        <v>1.2109486027397258E-8</v>
      </c>
      <c r="BD49" s="158">
        <f t="shared" si="17"/>
        <v>4.0364953424657531E-5</v>
      </c>
      <c r="BE49" s="144">
        <f t="shared" si="18"/>
        <v>1.8375706849315069E-6</v>
      </c>
      <c r="BF49" s="158">
        <f t="shared" si="19"/>
        <v>3.6751413698630136E-4</v>
      </c>
      <c r="BG49" s="144">
        <f t="shared" si="20"/>
        <v>2.1433561643835611E-9</v>
      </c>
      <c r="BH49" s="158">
        <f t="shared" si="21"/>
        <v>4.286712328767122E-6</v>
      </c>
      <c r="BI49" s="144">
        <f t="shared" si="22"/>
        <v>5.8051610958904109E-7</v>
      </c>
      <c r="BJ49" s="158">
        <f t="shared" si="23"/>
        <v>1.0366359099804305E-4</v>
      </c>
      <c r="BK49" s="144">
        <f t="shared" si="24"/>
        <v>5.3021756647864623E-8</v>
      </c>
      <c r="BL49" s="158">
        <f t="shared" si="25"/>
        <v>1.7673918882621544E-4</v>
      </c>
      <c r="BM49" s="144">
        <f t="shared" si="26"/>
        <v>6.0435132957292505E-9</v>
      </c>
      <c r="BN49" s="158">
        <f t="shared" si="27"/>
        <v>1.7267180844940716E-6</v>
      </c>
      <c r="BO49" s="144">
        <f t="shared" si="28"/>
        <v>2.5608380338436742E-10</v>
      </c>
      <c r="BP49" s="158">
        <f t="shared" si="29"/>
        <v>8.5361267794789149E-7</v>
      </c>
      <c r="BQ49" s="144">
        <f t="shared" si="30"/>
        <v>3.885979049153908E-8</v>
      </c>
      <c r="BR49" s="158">
        <f t="shared" si="31"/>
        <v>7.7719580983078157E-6</v>
      </c>
      <c r="BS49" s="144">
        <f t="shared" si="32"/>
        <v>4.5326349717969377E-11</v>
      </c>
      <c r="BT49" s="158">
        <f t="shared" si="33"/>
        <v>9.0652699435938759E-8</v>
      </c>
      <c r="BU49" s="144">
        <f t="shared" si="34"/>
        <v>1.2276390008058018E-8</v>
      </c>
      <c r="BV49" s="144">
        <f t="shared" si="35"/>
        <v>2.1922125014389319E-6</v>
      </c>
    </row>
    <row r="50" spans="1:74">
      <c r="A50" s="409" t="s">
        <v>15</v>
      </c>
      <c r="B50" s="411">
        <v>0.14899999999999999</v>
      </c>
      <c r="C50" s="400">
        <v>6.0099999999999997E-4</v>
      </c>
      <c r="D50" s="400">
        <v>2.0000000000000002E-5</v>
      </c>
      <c r="E50" s="400">
        <v>0.15</v>
      </c>
      <c r="F50" s="400">
        <v>6.0199999999999997E-2</v>
      </c>
      <c r="G50" s="400">
        <v>2.4499999999999999E-4</v>
      </c>
      <c r="H50" s="400">
        <v>9.0000000000000002E-6</v>
      </c>
      <c r="I50" s="400">
        <v>6.0499999999999998E-2</v>
      </c>
      <c r="J50" s="400">
        <v>9.2700000000000005E-2</v>
      </c>
      <c r="K50" s="400">
        <v>7.9999999999999996E-6</v>
      </c>
      <c r="L50" s="400">
        <v>7.8100000000000001E-4</v>
      </c>
      <c r="M50" s="400">
        <v>9.35E-2</v>
      </c>
      <c r="N50" s="400">
        <v>0.13800000000000001</v>
      </c>
      <c r="O50" s="400">
        <v>1.2E-5</v>
      </c>
      <c r="P50" s="400">
        <v>1.3500000000000001E-3</v>
      </c>
      <c r="Q50" s="402">
        <v>0.13900000000000001</v>
      </c>
      <c r="T50" s="53" t="s">
        <v>175</v>
      </c>
      <c r="U50" s="39" t="s">
        <v>176</v>
      </c>
      <c r="V50" s="155" t="s">
        <v>343</v>
      </c>
      <c r="W50" s="53">
        <v>0.187274</v>
      </c>
      <c r="X50" s="53">
        <v>34.735595000000004</v>
      </c>
      <c r="Y50" s="53" t="s">
        <v>353</v>
      </c>
      <c r="Z50" s="53" t="s">
        <v>330</v>
      </c>
      <c r="AA50" s="116" t="s">
        <v>347</v>
      </c>
      <c r="AB50" s="154" t="s">
        <v>371</v>
      </c>
      <c r="AC50" s="116" t="s">
        <v>687</v>
      </c>
      <c r="AD50" s="53" t="s">
        <v>367</v>
      </c>
      <c r="AE50" s="53" t="s">
        <v>684</v>
      </c>
      <c r="AF50" s="53" t="s">
        <v>683</v>
      </c>
      <c r="AG50" s="156">
        <v>209.7</v>
      </c>
      <c r="AH50" s="157">
        <v>37.1</v>
      </c>
      <c r="AI50" s="162">
        <v>0.51829999999999998</v>
      </c>
      <c r="AJ50" s="157">
        <v>195.9</v>
      </c>
      <c r="AK50" s="156">
        <v>0.25900000000000001</v>
      </c>
      <c r="AL50" s="157">
        <v>66.92</v>
      </c>
      <c r="AM50" s="144">
        <f t="shared" si="0"/>
        <v>2.8726027397260275E-4</v>
      </c>
      <c r="AN50" s="158">
        <f t="shared" si="6"/>
        <v>0.95753424657534258</v>
      </c>
      <c r="AO50" s="144">
        <f t="shared" si="1"/>
        <v>5.0821917808219175E-5</v>
      </c>
      <c r="AP50" s="158">
        <f t="shared" si="7"/>
        <v>1.4117199391171993E-2</v>
      </c>
      <c r="AQ50" s="144">
        <f t="shared" si="2"/>
        <v>7.0999999999999998E-7</v>
      </c>
      <c r="AR50" s="158">
        <f t="shared" si="8"/>
        <v>2.3666666666666667E-3</v>
      </c>
      <c r="AS50" s="144">
        <f t="shared" si="3"/>
        <v>2.6835616438356164E-4</v>
      </c>
      <c r="AT50" s="158">
        <f t="shared" si="9"/>
        <v>8.945205479452055E-2</v>
      </c>
      <c r="AU50" s="144">
        <f t="shared" si="4"/>
        <v>3.5479452054794519E-7</v>
      </c>
      <c r="AV50" s="158">
        <f t="shared" si="10"/>
        <v>7.0958904109589042E-4</v>
      </c>
      <c r="AW50" s="144">
        <f t="shared" si="5"/>
        <v>9.1671232876712323E-5</v>
      </c>
      <c r="AX50" s="158">
        <f t="shared" si="11"/>
        <v>4.5835616438356158E-3</v>
      </c>
      <c r="AY50" s="144">
        <f t="shared" si="12"/>
        <v>5.9928238356164389E-5</v>
      </c>
      <c r="AZ50" s="158">
        <f t="shared" si="13"/>
        <v>0.19976079452054799</v>
      </c>
      <c r="BA50" s="144">
        <f t="shared" si="14"/>
        <v>1.9976079452054792E-6</v>
      </c>
      <c r="BB50" s="158">
        <f t="shared" si="15"/>
        <v>5.7074512720156547E-4</v>
      </c>
      <c r="BC50" s="144">
        <f t="shared" si="16"/>
        <v>4.9373399999999998E-9</v>
      </c>
      <c r="BD50" s="158">
        <f t="shared" si="17"/>
        <v>1.64578E-5</v>
      </c>
      <c r="BE50" s="144">
        <f t="shared" si="18"/>
        <v>1.8661487671232875E-6</v>
      </c>
      <c r="BF50" s="158">
        <f t="shared" si="19"/>
        <v>3.732297534246575E-4</v>
      </c>
      <c r="BG50" s="144">
        <f t="shared" si="20"/>
        <v>2.4672410958904114E-9</v>
      </c>
      <c r="BH50" s="158">
        <f t="shared" si="21"/>
        <v>4.9344821917808223E-6</v>
      </c>
      <c r="BI50" s="144">
        <f t="shared" si="22"/>
        <v>6.3748175342465755E-7</v>
      </c>
      <c r="BJ50" s="158">
        <f t="shared" si="23"/>
        <v>1.1383602739726028E-4</v>
      </c>
      <c r="BK50" s="144">
        <f t="shared" si="24"/>
        <v>4.2244157937147464E-8</v>
      </c>
      <c r="BL50" s="158">
        <f t="shared" si="25"/>
        <v>1.4081385979049156E-4</v>
      </c>
      <c r="BM50" s="144">
        <f t="shared" si="26"/>
        <v>7.4738114423851737E-9</v>
      </c>
      <c r="BN50" s="158">
        <f t="shared" si="27"/>
        <v>2.1353746978243354E-6</v>
      </c>
      <c r="BO50" s="144">
        <f t="shared" si="28"/>
        <v>1.0441176470588236E-10</v>
      </c>
      <c r="BP50" s="158">
        <f t="shared" si="29"/>
        <v>3.4803921568627456E-7</v>
      </c>
      <c r="BQ50" s="144">
        <f t="shared" si="30"/>
        <v>3.9464141821112009E-8</v>
      </c>
      <c r="BR50" s="158">
        <f t="shared" si="31"/>
        <v>7.8928283642224021E-6</v>
      </c>
      <c r="BS50" s="144">
        <f t="shared" si="32"/>
        <v>5.2175664786462529E-11</v>
      </c>
      <c r="BT50" s="158">
        <f t="shared" si="33"/>
        <v>1.0435132957292506E-7</v>
      </c>
      <c r="BU50" s="144">
        <f t="shared" si="34"/>
        <v>1.348106365834005E-8</v>
      </c>
      <c r="BV50" s="144">
        <f t="shared" si="35"/>
        <v>2.4073327961321517E-6</v>
      </c>
    </row>
    <row r="51" spans="1:74" ht="16.5" thickBot="1">
      <c r="A51" s="410"/>
      <c r="B51" s="412"/>
      <c r="C51" s="401"/>
      <c r="D51" s="401"/>
      <c r="E51" s="401"/>
      <c r="F51" s="401"/>
      <c r="G51" s="401"/>
      <c r="H51" s="401"/>
      <c r="I51" s="401"/>
      <c r="J51" s="401"/>
      <c r="K51" s="401"/>
      <c r="L51" s="401"/>
      <c r="M51" s="401"/>
      <c r="N51" s="401"/>
      <c r="O51" s="401"/>
      <c r="P51" s="401"/>
      <c r="Q51" s="403"/>
      <c r="T51" s="53" t="s">
        <v>177</v>
      </c>
      <c r="U51" s="39" t="s">
        <v>178</v>
      </c>
      <c r="V51" s="155" t="s">
        <v>343</v>
      </c>
      <c r="W51" s="53">
        <v>0.18890100000000001</v>
      </c>
      <c r="X51" s="53">
        <v>34.740020999999999</v>
      </c>
      <c r="Y51" s="53" t="s">
        <v>354</v>
      </c>
      <c r="Z51" s="53" t="s">
        <v>330</v>
      </c>
      <c r="AA51" s="116" t="s">
        <v>347</v>
      </c>
      <c r="AB51" s="154" t="s">
        <v>371</v>
      </c>
      <c r="AC51" s="116" t="s">
        <v>687</v>
      </c>
      <c r="AD51" s="53" t="s">
        <v>364</v>
      </c>
      <c r="AE51" s="53" t="s">
        <v>685</v>
      </c>
      <c r="AF51" s="53" t="s">
        <v>690</v>
      </c>
      <c r="AG51" s="156">
        <v>24.7</v>
      </c>
      <c r="AH51" s="157">
        <v>21</v>
      </c>
      <c r="AI51" s="162">
        <v>1.937705</v>
      </c>
      <c r="AJ51" s="157">
        <v>278</v>
      </c>
      <c r="AK51" s="156">
        <v>9.7000000000000003E-2</v>
      </c>
      <c r="AL51" s="157">
        <v>138.27000000000001</v>
      </c>
      <c r="AM51" s="144">
        <f t="shared" si="0"/>
        <v>3.3835616438356161E-5</v>
      </c>
      <c r="AN51" s="158">
        <f t="shared" si="6"/>
        <v>0.11278538812785388</v>
      </c>
      <c r="AO51" s="144">
        <f t="shared" si="1"/>
        <v>2.8767123287671234E-5</v>
      </c>
      <c r="AP51" s="158">
        <f t="shared" si="7"/>
        <v>7.9908675799086771E-3</v>
      </c>
      <c r="AQ51" s="144">
        <f t="shared" si="2"/>
        <v>2.6543904109589041E-6</v>
      </c>
      <c r="AR51" s="158">
        <f t="shared" si="8"/>
        <v>8.8479680365296815E-3</v>
      </c>
      <c r="AS51" s="144">
        <f t="shared" si="3"/>
        <v>3.8082191780821917E-4</v>
      </c>
      <c r="AT51" s="158">
        <f t="shared" si="9"/>
        <v>0.12694063926940638</v>
      </c>
      <c r="AU51" s="144">
        <f t="shared" si="4"/>
        <v>1.3287671232876712E-7</v>
      </c>
      <c r="AV51" s="158">
        <f t="shared" si="10"/>
        <v>2.6575342465753426E-4</v>
      </c>
      <c r="AW51" s="144">
        <f t="shared" si="5"/>
        <v>1.8941095890410959E-4</v>
      </c>
      <c r="AX51" s="158">
        <f t="shared" si="11"/>
        <v>9.4705479452054792E-3</v>
      </c>
      <c r="AY51" s="144">
        <f t="shared" si="12"/>
        <v>7.0587863013698631E-6</v>
      </c>
      <c r="AZ51" s="158">
        <f t="shared" si="13"/>
        <v>2.3529287671232878E-2</v>
      </c>
      <c r="BA51" s="144">
        <f t="shared" si="14"/>
        <v>2.3529287671232876E-7</v>
      </c>
      <c r="BB51" s="158">
        <f t="shared" si="15"/>
        <v>6.7226536203522498E-5</v>
      </c>
      <c r="BC51" s="144">
        <f t="shared" si="16"/>
        <v>1.8458630917808219E-8</v>
      </c>
      <c r="BD51" s="158">
        <f t="shared" si="17"/>
        <v>6.1528769726027407E-5</v>
      </c>
      <c r="BE51" s="144">
        <f t="shared" si="18"/>
        <v>2.6482356164383556E-6</v>
      </c>
      <c r="BF51" s="158">
        <f t="shared" si="19"/>
        <v>5.2964712328767115E-4</v>
      </c>
      <c r="BG51" s="144">
        <f t="shared" si="20"/>
        <v>9.2402465753424672E-10</v>
      </c>
      <c r="BH51" s="158">
        <f t="shared" si="21"/>
        <v>1.8480493150684934E-6</v>
      </c>
      <c r="BI51" s="144">
        <f t="shared" si="22"/>
        <v>1.3171638082191781E-6</v>
      </c>
      <c r="BJ51" s="158">
        <f t="shared" si="23"/>
        <v>2.352078228962818E-4</v>
      </c>
      <c r="BK51" s="144">
        <f t="shared" si="24"/>
        <v>4.9758259468170827E-9</v>
      </c>
      <c r="BL51" s="158">
        <f t="shared" si="25"/>
        <v>1.6586086489390279E-5</v>
      </c>
      <c r="BM51" s="144">
        <f t="shared" si="26"/>
        <v>4.2304593070104753E-9</v>
      </c>
      <c r="BN51" s="158">
        <f t="shared" si="27"/>
        <v>1.2087026591458502E-6</v>
      </c>
      <c r="BO51" s="144">
        <f t="shared" si="28"/>
        <v>3.9035153102336825E-10</v>
      </c>
      <c r="BP51" s="158">
        <f t="shared" si="29"/>
        <v>1.3011717700778942E-6</v>
      </c>
      <c r="BQ51" s="144">
        <f t="shared" si="30"/>
        <v>5.6003223207091056E-8</v>
      </c>
      <c r="BR51" s="158">
        <f t="shared" si="31"/>
        <v>1.1200644641418211E-5</v>
      </c>
      <c r="BS51" s="144">
        <f t="shared" si="32"/>
        <v>1.9540692989524576E-11</v>
      </c>
      <c r="BT51" s="158">
        <f t="shared" si="33"/>
        <v>3.9081385979049151E-8</v>
      </c>
      <c r="BU51" s="144">
        <f t="shared" si="34"/>
        <v>2.7854552780016117E-8</v>
      </c>
      <c r="BV51" s="144">
        <f t="shared" si="35"/>
        <v>4.9740272821457352E-6</v>
      </c>
    </row>
    <row r="52" spans="1:74">
      <c r="A52" s="409" t="s">
        <v>32</v>
      </c>
      <c r="B52" s="411">
        <v>6.43E-3</v>
      </c>
      <c r="C52" s="400">
        <v>1.0000000000000001E-5</v>
      </c>
      <c r="D52" s="400">
        <v>1.1E-5</v>
      </c>
      <c r="E52" s="400">
        <v>6.45E-3</v>
      </c>
      <c r="F52" s="400">
        <v>1.33E-3</v>
      </c>
      <c r="G52" s="400">
        <v>1.9999999999999999E-6</v>
      </c>
      <c r="H52" s="400">
        <v>3.9999999999999998E-6</v>
      </c>
      <c r="I52" s="400">
        <v>1.34E-3</v>
      </c>
      <c r="J52" s="400">
        <v>2.2599999999999999E-3</v>
      </c>
      <c r="K52" s="400">
        <v>0</v>
      </c>
      <c r="L52" s="400">
        <v>9.0000000000000002E-6</v>
      </c>
      <c r="M52" s="400">
        <v>2.2699999999999999E-3</v>
      </c>
      <c r="N52" s="400">
        <v>6.0200000000000002E-3</v>
      </c>
      <c r="O52" s="400">
        <v>0</v>
      </c>
      <c r="P52" s="400">
        <v>1.5999999999999999E-5</v>
      </c>
      <c r="Q52" s="402">
        <v>6.0400000000000002E-3</v>
      </c>
      <c r="T52" s="53" t="s">
        <v>179</v>
      </c>
      <c r="U52" s="39" t="s">
        <v>180</v>
      </c>
      <c r="V52" s="155" t="s">
        <v>343</v>
      </c>
      <c r="W52" s="53">
        <v>0.18871499999999999</v>
      </c>
      <c r="X52" s="53">
        <v>34.740102</v>
      </c>
      <c r="Y52" s="53" t="s">
        <v>354</v>
      </c>
      <c r="Z52" s="53" t="s">
        <v>330</v>
      </c>
      <c r="AA52" s="116" t="s">
        <v>347</v>
      </c>
      <c r="AB52" s="154" t="s">
        <v>371</v>
      </c>
      <c r="AC52" s="116" t="s">
        <v>687</v>
      </c>
      <c r="AD52" s="53" t="s">
        <v>367</v>
      </c>
      <c r="AE52" s="53" t="s">
        <v>684</v>
      </c>
      <c r="AF52" s="53" t="s">
        <v>683</v>
      </c>
      <c r="AG52" s="156">
        <v>10.6</v>
      </c>
      <c r="AH52" s="157">
        <v>21</v>
      </c>
      <c r="AI52" s="162">
        <v>0.385405</v>
      </c>
      <c r="AJ52" s="157">
        <v>471.8</v>
      </c>
      <c r="AK52" s="156">
        <v>0.159</v>
      </c>
      <c r="AL52" s="157">
        <v>136.09</v>
      </c>
      <c r="AM52" s="144">
        <f t="shared" si="0"/>
        <v>1.4520547945205478E-5</v>
      </c>
      <c r="AN52" s="158">
        <f t="shared" si="6"/>
        <v>4.8401826484018265E-2</v>
      </c>
      <c r="AO52" s="144">
        <f t="shared" si="1"/>
        <v>2.8767123287671234E-5</v>
      </c>
      <c r="AP52" s="158">
        <f t="shared" si="7"/>
        <v>7.9908675799086771E-3</v>
      </c>
      <c r="AQ52" s="144">
        <f t="shared" si="2"/>
        <v>5.2795205479452061E-7</v>
      </c>
      <c r="AR52" s="158">
        <f t="shared" si="8"/>
        <v>1.7598401826484022E-3</v>
      </c>
      <c r="AS52" s="144">
        <f t="shared" si="3"/>
        <v>6.4630136986301365E-4</v>
      </c>
      <c r="AT52" s="158">
        <f t="shared" si="9"/>
        <v>0.21543378995433787</v>
      </c>
      <c r="AU52" s="144">
        <f t="shared" si="4"/>
        <v>2.1780821917808218E-7</v>
      </c>
      <c r="AV52" s="158">
        <f t="shared" si="10"/>
        <v>4.3561643835616435E-4</v>
      </c>
      <c r="AW52" s="144">
        <f t="shared" si="5"/>
        <v>1.8642465753424656E-4</v>
      </c>
      <c r="AX52" s="158">
        <f t="shared" si="11"/>
        <v>9.3212328767123282E-3</v>
      </c>
      <c r="AY52" s="144">
        <f t="shared" si="12"/>
        <v>3.0292767123287667E-6</v>
      </c>
      <c r="AZ52" s="158">
        <f t="shared" si="13"/>
        <v>1.0097589041095889E-2</v>
      </c>
      <c r="BA52" s="144">
        <f t="shared" si="14"/>
        <v>1.0097589041095891E-7</v>
      </c>
      <c r="BB52" s="158">
        <f t="shared" si="15"/>
        <v>2.8850254403131116E-5</v>
      </c>
      <c r="BC52" s="144">
        <f t="shared" si="16"/>
        <v>3.6713785890410962E-9</v>
      </c>
      <c r="BD52" s="158">
        <f t="shared" si="17"/>
        <v>1.2237928630136988E-5</v>
      </c>
      <c r="BE52" s="144">
        <f t="shared" si="18"/>
        <v>4.4943797260273973E-6</v>
      </c>
      <c r="BF52" s="158">
        <f t="shared" si="19"/>
        <v>8.9887594520547947E-4</v>
      </c>
      <c r="BG52" s="144">
        <f t="shared" si="20"/>
        <v>1.5146383561643838E-9</v>
      </c>
      <c r="BH52" s="158">
        <f t="shared" si="21"/>
        <v>3.0292767123287675E-6</v>
      </c>
      <c r="BI52" s="144">
        <f t="shared" si="22"/>
        <v>1.2963970684931508E-6</v>
      </c>
      <c r="BJ52" s="158">
        <f t="shared" si="23"/>
        <v>2.3149947651663407E-4</v>
      </c>
      <c r="BK52" s="144">
        <f t="shared" si="24"/>
        <v>2.1353746978243352E-9</v>
      </c>
      <c r="BL52" s="158">
        <f t="shared" si="25"/>
        <v>7.1179156594144509E-6</v>
      </c>
      <c r="BM52" s="144">
        <f t="shared" si="26"/>
        <v>4.2304593070104753E-9</v>
      </c>
      <c r="BN52" s="158">
        <f t="shared" si="27"/>
        <v>1.2087026591458502E-6</v>
      </c>
      <c r="BO52" s="144">
        <f t="shared" si="28"/>
        <v>7.7640008058017732E-11</v>
      </c>
      <c r="BP52" s="158">
        <f t="shared" si="29"/>
        <v>2.5880002686005915E-7</v>
      </c>
      <c r="BQ52" s="144">
        <f t="shared" si="30"/>
        <v>9.5044319097502009E-8</v>
      </c>
      <c r="BR52" s="158">
        <f t="shared" si="31"/>
        <v>1.9008863819500401E-5</v>
      </c>
      <c r="BS52" s="144">
        <f t="shared" si="32"/>
        <v>3.2030620467365028E-11</v>
      </c>
      <c r="BT52" s="158">
        <f t="shared" si="33"/>
        <v>6.4061240934730058E-8</v>
      </c>
      <c r="BU52" s="144">
        <f t="shared" si="34"/>
        <v>2.7415390813859795E-8</v>
      </c>
      <c r="BV52" s="144">
        <f t="shared" si="35"/>
        <v>4.8956055024749636E-6</v>
      </c>
    </row>
    <row r="53" spans="1:74" ht="16.5" thickBot="1">
      <c r="A53" s="410"/>
      <c r="B53" s="412"/>
      <c r="C53" s="401"/>
      <c r="D53" s="401"/>
      <c r="E53" s="401"/>
      <c r="F53" s="401"/>
      <c r="G53" s="401"/>
      <c r="H53" s="401"/>
      <c r="I53" s="401"/>
      <c r="J53" s="401"/>
      <c r="K53" s="401"/>
      <c r="L53" s="401"/>
      <c r="M53" s="401"/>
      <c r="N53" s="401"/>
      <c r="O53" s="401"/>
      <c r="P53" s="401"/>
      <c r="Q53" s="403"/>
      <c r="T53" s="53" t="s">
        <v>181</v>
      </c>
      <c r="U53" s="39" t="s">
        <v>182</v>
      </c>
      <c r="V53" s="155" t="s">
        <v>343</v>
      </c>
      <c r="W53" s="53">
        <v>0.18934699999999999</v>
      </c>
      <c r="X53" s="53">
        <v>34.740495000000003</v>
      </c>
      <c r="Y53" s="53" t="s">
        <v>354</v>
      </c>
      <c r="Z53" s="53" t="s">
        <v>330</v>
      </c>
      <c r="AA53" s="116" t="s">
        <v>347</v>
      </c>
      <c r="AB53" s="154" t="s">
        <v>371</v>
      </c>
      <c r="AC53" s="116" t="s">
        <v>687</v>
      </c>
      <c r="AD53" s="53" t="s">
        <v>361</v>
      </c>
      <c r="AE53" s="53" t="s">
        <v>685</v>
      </c>
      <c r="AF53" s="53" t="s">
        <v>690</v>
      </c>
      <c r="AG53" s="156">
        <v>102.2</v>
      </c>
      <c r="AH53" s="157">
        <v>28.6</v>
      </c>
      <c r="AI53" s="162">
        <v>0.16346500000000003</v>
      </c>
      <c r="AJ53" s="157">
        <v>241.4</v>
      </c>
      <c r="AK53" s="156">
        <v>0.14099999999999999</v>
      </c>
      <c r="AL53" s="157">
        <v>146.26</v>
      </c>
      <c r="AM53" s="144">
        <f t="shared" si="0"/>
        <v>1.3999999999999999E-4</v>
      </c>
      <c r="AN53" s="158">
        <f t="shared" si="6"/>
        <v>0.46666666666666667</v>
      </c>
      <c r="AO53" s="144">
        <f t="shared" si="1"/>
        <v>3.9178082191780817E-5</v>
      </c>
      <c r="AP53" s="158">
        <f t="shared" si="7"/>
        <v>1.0882800608828005E-2</v>
      </c>
      <c r="AQ53" s="144">
        <f t="shared" si="2"/>
        <v>2.2392465753424659E-7</v>
      </c>
      <c r="AR53" s="158">
        <f t="shared" si="8"/>
        <v>7.4641552511415534E-4</v>
      </c>
      <c r="AS53" s="144">
        <f t="shared" si="3"/>
        <v>3.3068493150684934E-4</v>
      </c>
      <c r="AT53" s="158">
        <f t="shared" si="9"/>
        <v>0.11022831050228311</v>
      </c>
      <c r="AU53" s="144">
        <f t="shared" si="4"/>
        <v>1.931506849315068E-7</v>
      </c>
      <c r="AV53" s="158">
        <f t="shared" si="10"/>
        <v>3.8630136986301362E-4</v>
      </c>
      <c r="AW53" s="144">
        <f t="shared" si="5"/>
        <v>2.0035616438356162E-4</v>
      </c>
      <c r="AX53" s="158">
        <f t="shared" si="11"/>
        <v>1.0017808219178082E-2</v>
      </c>
      <c r="AY53" s="144">
        <f t="shared" si="12"/>
        <v>2.9206799999999986E-5</v>
      </c>
      <c r="AZ53" s="158">
        <f t="shared" si="13"/>
        <v>9.7355999999999956E-2</v>
      </c>
      <c r="BA53" s="144">
        <f t="shared" si="14"/>
        <v>9.7356000000000004E-7</v>
      </c>
      <c r="BB53" s="158">
        <f t="shared" si="15"/>
        <v>2.7816000000000001E-4</v>
      </c>
      <c r="BC53" s="144">
        <f t="shared" si="16"/>
        <v>1.5571720684931508E-9</v>
      </c>
      <c r="BD53" s="158">
        <f t="shared" si="17"/>
        <v>5.1905735616438366E-6</v>
      </c>
      <c r="BE53" s="144">
        <f t="shared" si="18"/>
        <v>2.2995830136986303E-6</v>
      </c>
      <c r="BF53" s="158">
        <f t="shared" si="19"/>
        <v>4.5991660273972607E-4</v>
      </c>
      <c r="BG53" s="144">
        <f t="shared" si="20"/>
        <v>1.3431698630136986E-9</v>
      </c>
      <c r="BH53" s="158">
        <f t="shared" si="21"/>
        <v>2.6863397260273972E-6</v>
      </c>
      <c r="BI53" s="144">
        <f t="shared" si="22"/>
        <v>1.3932767671232875E-6</v>
      </c>
      <c r="BJ53" s="158">
        <f t="shared" si="23"/>
        <v>2.4879942270058706E-4</v>
      </c>
      <c r="BK53" s="144">
        <f t="shared" si="24"/>
        <v>2.0588235294117647E-8</v>
      </c>
      <c r="BL53" s="158">
        <f t="shared" si="25"/>
        <v>6.8627450980392155E-5</v>
      </c>
      <c r="BM53" s="144">
        <f t="shared" si="26"/>
        <v>5.7614826752618852E-9</v>
      </c>
      <c r="BN53" s="158">
        <f t="shared" si="27"/>
        <v>1.6461379072176815E-6</v>
      </c>
      <c r="BO53" s="144">
        <f t="shared" si="28"/>
        <v>3.2930096696212731E-11</v>
      </c>
      <c r="BP53" s="158">
        <f t="shared" si="29"/>
        <v>1.0976698898737579E-7</v>
      </c>
      <c r="BQ53" s="144">
        <f t="shared" si="30"/>
        <v>4.8630136986301373E-8</v>
      </c>
      <c r="BR53" s="158">
        <f t="shared" si="31"/>
        <v>9.7260273972602736E-6</v>
      </c>
      <c r="BS53" s="144">
        <f t="shared" si="32"/>
        <v>2.8404512489927477E-11</v>
      </c>
      <c r="BT53" s="158">
        <f t="shared" si="33"/>
        <v>5.6809024979854957E-8</v>
      </c>
      <c r="BU53" s="144">
        <f t="shared" si="34"/>
        <v>2.9464141821112002E-8</v>
      </c>
      <c r="BV53" s="144">
        <f t="shared" si="35"/>
        <v>5.2614538966271432E-6</v>
      </c>
    </row>
    <row r="54" spans="1:74">
      <c r="A54" s="409" t="s">
        <v>19</v>
      </c>
      <c r="B54" s="411">
        <v>1.7100000000000001E-2</v>
      </c>
      <c r="C54" s="400">
        <v>1.6699999999999999E-4</v>
      </c>
      <c r="D54" s="400">
        <v>2.0999999999999999E-5</v>
      </c>
      <c r="E54" s="400">
        <v>1.7299999999999999E-2</v>
      </c>
      <c r="F54" s="400">
        <v>4.5100000000000001E-3</v>
      </c>
      <c r="G54" s="400">
        <v>7.7999999999999999E-5</v>
      </c>
      <c r="H54" s="400">
        <v>6.0000000000000002E-6</v>
      </c>
      <c r="I54" s="400">
        <v>4.5900000000000003E-3</v>
      </c>
      <c r="J54" s="400">
        <v>7.3400000000000002E-3</v>
      </c>
      <c r="K54" s="400">
        <v>1.9999999999999999E-6</v>
      </c>
      <c r="L54" s="400">
        <v>2.2599999999999999E-4</v>
      </c>
      <c r="M54" s="400">
        <v>7.5700000000000003E-3</v>
      </c>
      <c r="N54" s="400">
        <v>6.7699999999999996E-2</v>
      </c>
      <c r="O54" s="400">
        <v>3.9999999999999998E-6</v>
      </c>
      <c r="P54" s="400">
        <v>4.1100000000000002E-4</v>
      </c>
      <c r="Q54" s="402">
        <v>6.8099999999999994E-2</v>
      </c>
      <c r="T54" s="53" t="s">
        <v>183</v>
      </c>
      <c r="U54" s="39" t="s">
        <v>184</v>
      </c>
      <c r="V54" s="155" t="s">
        <v>343</v>
      </c>
      <c r="W54" s="53">
        <v>0.19486300000000001</v>
      </c>
      <c r="X54" s="53">
        <v>34.750653</v>
      </c>
      <c r="Y54" s="53" t="s">
        <v>355</v>
      </c>
      <c r="Z54" s="53" t="s">
        <v>330</v>
      </c>
      <c r="AA54" s="116" t="s">
        <v>347</v>
      </c>
      <c r="AB54" s="154" t="s">
        <v>371</v>
      </c>
      <c r="AC54" s="116" t="s">
        <v>687</v>
      </c>
      <c r="AD54" s="53" t="s">
        <v>366</v>
      </c>
      <c r="AE54" s="53" t="s">
        <v>684</v>
      </c>
      <c r="AF54" s="53" t="s">
        <v>683</v>
      </c>
      <c r="AG54" s="156">
        <v>190.9</v>
      </c>
      <c r="AH54" s="157">
        <v>50.4</v>
      </c>
      <c r="AI54" s="162">
        <v>6.8764050000000001</v>
      </c>
      <c r="AJ54" s="157">
        <v>106.8</v>
      </c>
      <c r="AK54" s="156">
        <v>0.308</v>
      </c>
      <c r="AL54" s="157">
        <v>25.82</v>
      </c>
      <c r="AM54" s="144">
        <f t="shared" si="0"/>
        <v>2.6150684931506847E-4</v>
      </c>
      <c r="AN54" s="158">
        <f t="shared" si="6"/>
        <v>0.87168949771689497</v>
      </c>
      <c r="AO54" s="144">
        <f t="shared" si="1"/>
        <v>6.9041095890410946E-5</v>
      </c>
      <c r="AP54" s="158">
        <f t="shared" si="7"/>
        <v>1.9178082191780819E-2</v>
      </c>
      <c r="AQ54" s="144">
        <f t="shared" si="2"/>
        <v>9.4197328767123276E-6</v>
      </c>
      <c r="AR54" s="158">
        <f t="shared" si="8"/>
        <v>3.1399109589041095E-2</v>
      </c>
      <c r="AS54" s="144">
        <f t="shared" si="3"/>
        <v>1.4630136986301369E-4</v>
      </c>
      <c r="AT54" s="158">
        <f t="shared" si="9"/>
        <v>4.876712328767123E-2</v>
      </c>
      <c r="AU54" s="144">
        <f t="shared" si="4"/>
        <v>4.2191780821917803E-7</v>
      </c>
      <c r="AV54" s="158">
        <f t="shared" si="10"/>
        <v>8.4383561643835601E-4</v>
      </c>
      <c r="AW54" s="144">
        <f t="shared" si="5"/>
        <v>3.5369863013698624E-5</v>
      </c>
      <c r="AX54" s="158">
        <f t="shared" si="11"/>
        <v>1.7684931506849312E-3</v>
      </c>
      <c r="AY54" s="144">
        <f t="shared" si="12"/>
        <v>5.4555558904109573E-5</v>
      </c>
      <c r="AZ54" s="158">
        <f t="shared" si="13"/>
        <v>0.1818518630136986</v>
      </c>
      <c r="BA54" s="144">
        <f t="shared" si="14"/>
        <v>1.818518630136986E-6</v>
      </c>
      <c r="BB54" s="158">
        <f t="shared" si="15"/>
        <v>5.1957675146771032E-4</v>
      </c>
      <c r="BC54" s="144">
        <f t="shared" si="16"/>
        <v>6.5504822424657552E-8</v>
      </c>
      <c r="BD54" s="158">
        <f t="shared" si="17"/>
        <v>2.1834940808219185E-4</v>
      </c>
      <c r="BE54" s="144">
        <f t="shared" si="18"/>
        <v>1.0173797260273972E-6</v>
      </c>
      <c r="BF54" s="158">
        <f t="shared" si="19"/>
        <v>2.0347594520547945E-4</v>
      </c>
      <c r="BG54" s="144">
        <f t="shared" si="20"/>
        <v>2.9340164383561639E-9</v>
      </c>
      <c r="BH54" s="158">
        <f t="shared" si="21"/>
        <v>5.8680328767123274E-6</v>
      </c>
      <c r="BI54" s="144">
        <f t="shared" si="22"/>
        <v>2.4596202739726026E-7</v>
      </c>
      <c r="BJ54" s="158">
        <f t="shared" si="23"/>
        <v>4.3921790606653619E-5</v>
      </c>
      <c r="BK54" s="144">
        <f t="shared" si="24"/>
        <v>3.845688960515713E-8</v>
      </c>
      <c r="BL54" s="158">
        <f t="shared" si="25"/>
        <v>1.2818963201719044E-4</v>
      </c>
      <c r="BM54" s="144">
        <f t="shared" si="26"/>
        <v>1.0153102336825141E-8</v>
      </c>
      <c r="BN54" s="158">
        <f t="shared" si="27"/>
        <v>2.9008863819500403E-6</v>
      </c>
      <c r="BO54" s="144">
        <f t="shared" si="28"/>
        <v>1.3852548348106367E-9</v>
      </c>
      <c r="BP54" s="158">
        <f t="shared" si="29"/>
        <v>4.6175161160354558E-6</v>
      </c>
      <c r="BQ54" s="144">
        <f t="shared" si="30"/>
        <v>2.1514907332796133E-8</v>
      </c>
      <c r="BR54" s="158">
        <f t="shared" si="31"/>
        <v>4.3029814665592269E-6</v>
      </c>
      <c r="BS54" s="144">
        <f t="shared" si="32"/>
        <v>6.2046736502820306E-11</v>
      </c>
      <c r="BT54" s="158">
        <f t="shared" si="33"/>
        <v>1.240934730056406E-7</v>
      </c>
      <c r="BU54" s="144">
        <f t="shared" si="34"/>
        <v>5.2014504431909753E-9</v>
      </c>
      <c r="BV54" s="144">
        <f t="shared" si="35"/>
        <v>9.2883043628410277E-7</v>
      </c>
    </row>
    <row r="55" spans="1:74" ht="16.5" thickBot="1">
      <c r="A55" s="410"/>
      <c r="B55" s="412"/>
      <c r="C55" s="401"/>
      <c r="D55" s="401"/>
      <c r="E55" s="401"/>
      <c r="F55" s="401"/>
      <c r="G55" s="401"/>
      <c r="H55" s="401"/>
      <c r="I55" s="401"/>
      <c r="J55" s="401"/>
      <c r="K55" s="401"/>
      <c r="L55" s="401"/>
      <c r="M55" s="401"/>
      <c r="N55" s="401"/>
      <c r="O55" s="401"/>
      <c r="P55" s="401"/>
      <c r="Q55" s="403"/>
      <c r="T55" s="53" t="s">
        <v>185</v>
      </c>
      <c r="U55" s="39" t="s">
        <v>186</v>
      </c>
      <c r="V55" s="155" t="s">
        <v>343</v>
      </c>
      <c r="W55" s="53">
        <v>0.19508500000000001</v>
      </c>
      <c r="X55" s="53">
        <v>34.751396</v>
      </c>
      <c r="Y55" s="53" t="s">
        <v>355</v>
      </c>
      <c r="Z55" s="53" t="s">
        <v>330</v>
      </c>
      <c r="AA55" s="116" t="s">
        <v>347</v>
      </c>
      <c r="AB55" s="154" t="s">
        <v>371</v>
      </c>
      <c r="AC55" s="116" t="s">
        <v>687</v>
      </c>
      <c r="AD55" s="53" t="s">
        <v>367</v>
      </c>
      <c r="AE55" s="53" t="s">
        <v>684</v>
      </c>
      <c r="AF55" s="53" t="s">
        <v>683</v>
      </c>
      <c r="AG55" s="156">
        <v>103.2</v>
      </c>
      <c r="AH55" s="157">
        <v>38.799999999999997</v>
      </c>
      <c r="AI55" s="162">
        <v>16.768075</v>
      </c>
      <c r="AJ55" s="157">
        <v>102.1</v>
      </c>
      <c r="AK55" s="156">
        <v>0.26300000000000001</v>
      </c>
      <c r="AL55" s="157">
        <v>44.34</v>
      </c>
      <c r="AM55" s="144">
        <f t="shared" si="0"/>
        <v>1.4136986301369864E-4</v>
      </c>
      <c r="AN55" s="158">
        <f t="shared" si="6"/>
        <v>0.47123287671232883</v>
      </c>
      <c r="AO55" s="144">
        <f t="shared" si="1"/>
        <v>5.3150684931506834E-5</v>
      </c>
      <c r="AP55" s="158">
        <f t="shared" si="7"/>
        <v>1.4764079147640788E-2</v>
      </c>
      <c r="AQ55" s="144">
        <f t="shared" si="2"/>
        <v>2.2969965753424659E-5</v>
      </c>
      <c r="AR55" s="158">
        <f t="shared" si="8"/>
        <v>7.6566552511415531E-2</v>
      </c>
      <c r="AS55" s="144">
        <f t="shared" si="3"/>
        <v>1.3986301369863015E-4</v>
      </c>
      <c r="AT55" s="158">
        <f t="shared" si="9"/>
        <v>4.6621004566210045E-2</v>
      </c>
      <c r="AU55" s="144">
        <f t="shared" si="4"/>
        <v>3.6027397260273974E-7</v>
      </c>
      <c r="AV55" s="158">
        <f t="shared" si="10"/>
        <v>7.2054794520547952E-4</v>
      </c>
      <c r="AW55" s="144">
        <f t="shared" si="5"/>
        <v>6.0739726027397255E-5</v>
      </c>
      <c r="AX55" s="158">
        <f t="shared" si="11"/>
        <v>3.0369863013698629E-3</v>
      </c>
      <c r="AY55" s="144">
        <f t="shared" si="12"/>
        <v>2.9492580821917805E-5</v>
      </c>
      <c r="AZ55" s="158">
        <f t="shared" si="13"/>
        <v>9.8308602739726025E-2</v>
      </c>
      <c r="BA55" s="144">
        <f t="shared" si="14"/>
        <v>9.8308602739726034E-7</v>
      </c>
      <c r="BB55" s="158">
        <f t="shared" si="15"/>
        <v>2.8088172211350297E-4</v>
      </c>
      <c r="BC55" s="144">
        <f t="shared" si="16"/>
        <v>1.5973314184931507E-7</v>
      </c>
      <c r="BD55" s="158">
        <f t="shared" si="17"/>
        <v>5.3244380616438358E-4</v>
      </c>
      <c r="BE55" s="144">
        <f t="shared" si="18"/>
        <v>9.7260739726027401E-7</v>
      </c>
      <c r="BF55" s="158">
        <f t="shared" si="19"/>
        <v>1.9452147945205479E-4</v>
      </c>
      <c r="BG55" s="144">
        <f t="shared" si="20"/>
        <v>2.505345205479452E-9</v>
      </c>
      <c r="BH55" s="158">
        <f t="shared" si="21"/>
        <v>5.0106904109589039E-6</v>
      </c>
      <c r="BI55" s="144">
        <f t="shared" si="22"/>
        <v>4.2238405479452065E-7</v>
      </c>
      <c r="BJ55" s="158">
        <f t="shared" si="23"/>
        <v>7.5425724070450113E-5</v>
      </c>
      <c r="BK55" s="144">
        <f t="shared" si="24"/>
        <v>2.0789685737308622E-8</v>
      </c>
      <c r="BL55" s="158">
        <f t="shared" si="25"/>
        <v>6.9298952457695409E-5</v>
      </c>
      <c r="BM55" s="144">
        <f t="shared" si="26"/>
        <v>7.8162771958098316E-9</v>
      </c>
      <c r="BN55" s="158">
        <f t="shared" si="27"/>
        <v>2.2332220559456663E-6</v>
      </c>
      <c r="BO55" s="144">
        <f t="shared" si="28"/>
        <v>3.3779361402095085E-9</v>
      </c>
      <c r="BP55" s="158">
        <f t="shared" si="29"/>
        <v>1.1259787134031696E-5</v>
      </c>
      <c r="BQ55" s="144">
        <f t="shared" si="30"/>
        <v>2.0568090249798551E-8</v>
      </c>
      <c r="BR55" s="158">
        <f t="shared" si="31"/>
        <v>4.11361804995971E-6</v>
      </c>
      <c r="BS55" s="144">
        <f t="shared" si="32"/>
        <v>5.2981466559226433E-11</v>
      </c>
      <c r="BT55" s="158">
        <f t="shared" si="33"/>
        <v>1.0596293311845286E-7</v>
      </c>
      <c r="BU55" s="144">
        <f t="shared" si="34"/>
        <v>8.9323126510878316E-9</v>
      </c>
      <c r="BV55" s="144">
        <f t="shared" si="35"/>
        <v>1.5950558305513986E-6</v>
      </c>
    </row>
    <row r="56" spans="1:74" ht="16.5" thickBot="1">
      <c r="A56" s="242" t="s">
        <v>914</v>
      </c>
      <c r="B56" s="225">
        <v>10.7</v>
      </c>
      <c r="C56" s="225">
        <v>1.71</v>
      </c>
      <c r="D56" s="226">
        <v>0.157</v>
      </c>
      <c r="E56" s="225">
        <v>12.7</v>
      </c>
      <c r="F56" s="226">
        <v>0.216</v>
      </c>
      <c r="G56" s="226">
        <v>1.9400000000000001E-2</v>
      </c>
      <c r="H56" s="226">
        <v>3.0300000000000001E-3</v>
      </c>
      <c r="I56" s="226">
        <v>0.23799999999999999</v>
      </c>
      <c r="J56" s="226">
        <v>0.58099999999999996</v>
      </c>
      <c r="K56" s="226">
        <v>5.7000000000000003E-5</v>
      </c>
      <c r="L56" s="226">
        <v>0.17399999999999999</v>
      </c>
      <c r="M56" s="226">
        <v>0.755</v>
      </c>
      <c r="N56" s="225">
        <v>3.96</v>
      </c>
      <c r="O56" s="226">
        <v>4.3399999999999998E-4</v>
      </c>
      <c r="P56" s="225">
        <v>1.01</v>
      </c>
      <c r="Q56" s="227">
        <v>4.97</v>
      </c>
      <c r="T56" s="53" t="s">
        <v>187</v>
      </c>
      <c r="U56" s="39" t="s">
        <v>188</v>
      </c>
      <c r="V56" s="155" t="s">
        <v>343</v>
      </c>
      <c r="W56" s="53">
        <v>0.19523199999999999</v>
      </c>
      <c r="X56" s="53">
        <v>34.751345000000001</v>
      </c>
      <c r="Y56" s="53" t="s">
        <v>355</v>
      </c>
      <c r="Z56" s="53" t="s">
        <v>330</v>
      </c>
      <c r="AA56" s="116" t="s">
        <v>347</v>
      </c>
      <c r="AB56" s="154" t="s">
        <v>371</v>
      </c>
      <c r="AC56" s="116" t="s">
        <v>687</v>
      </c>
      <c r="AD56" s="53" t="s">
        <v>361</v>
      </c>
      <c r="AE56" s="53" t="s">
        <v>685</v>
      </c>
      <c r="AF56" s="53" t="s">
        <v>690</v>
      </c>
      <c r="AG56" s="156">
        <v>417.1</v>
      </c>
      <c r="AH56" s="157">
        <v>196.9</v>
      </c>
      <c r="AI56" s="162">
        <v>0.17497499999999999</v>
      </c>
      <c r="AJ56" s="157">
        <v>101.1</v>
      </c>
      <c r="AK56" s="156">
        <v>0.68400000000000005</v>
      </c>
      <c r="AL56" s="157">
        <v>46.71</v>
      </c>
      <c r="AM56" s="144">
        <f t="shared" si="0"/>
        <v>5.7136986301369866E-4</v>
      </c>
      <c r="AN56" s="158">
        <f t="shared" si="6"/>
        <v>1.9045662100456624</v>
      </c>
      <c r="AO56" s="144">
        <f t="shared" si="1"/>
        <v>2.6972602739726027E-4</v>
      </c>
      <c r="AP56" s="158">
        <f t="shared" si="7"/>
        <v>7.4923896499238959E-2</v>
      </c>
      <c r="AQ56" s="144">
        <f t="shared" si="2"/>
        <v>2.3969178082191778E-7</v>
      </c>
      <c r="AR56" s="158">
        <f t="shared" si="8"/>
        <v>7.9897260273972598E-4</v>
      </c>
      <c r="AS56" s="144">
        <f t="shared" si="3"/>
        <v>1.384931506849315E-4</v>
      </c>
      <c r="AT56" s="158">
        <f t="shared" si="9"/>
        <v>4.6164383561643832E-2</v>
      </c>
      <c r="AU56" s="144">
        <f t="shared" si="4"/>
        <v>9.3698630136986313E-7</v>
      </c>
      <c r="AV56" s="158">
        <f t="shared" si="10"/>
        <v>1.8739726027397262E-3</v>
      </c>
      <c r="AW56" s="144">
        <f t="shared" si="5"/>
        <v>6.3986301369863005E-5</v>
      </c>
      <c r="AX56" s="158">
        <f t="shared" si="11"/>
        <v>3.1993150684931503E-3</v>
      </c>
      <c r="AY56" s="144">
        <f t="shared" si="12"/>
        <v>1.191991808219178E-4</v>
      </c>
      <c r="AZ56" s="158">
        <f t="shared" si="13"/>
        <v>0.39733060273972604</v>
      </c>
      <c r="BA56" s="144">
        <f t="shared" si="14"/>
        <v>3.9733060273972607E-6</v>
      </c>
      <c r="BB56" s="158">
        <f t="shared" si="15"/>
        <v>1.1352302935420744E-3</v>
      </c>
      <c r="BC56" s="144">
        <f t="shared" si="16"/>
        <v>1.6668166438356164E-9</v>
      </c>
      <c r="BD56" s="158">
        <f t="shared" si="17"/>
        <v>5.5560554794520556E-6</v>
      </c>
      <c r="BE56" s="144">
        <f t="shared" si="18"/>
        <v>9.630813698630135E-7</v>
      </c>
      <c r="BF56" s="158">
        <f t="shared" si="19"/>
        <v>1.9261627397260269E-4</v>
      </c>
      <c r="BG56" s="144">
        <f t="shared" si="20"/>
        <v>6.5158027397260283E-9</v>
      </c>
      <c r="BH56" s="158">
        <f t="shared" si="21"/>
        <v>1.3031605479452056E-5</v>
      </c>
      <c r="BI56" s="144">
        <f t="shared" si="22"/>
        <v>4.4496073972602742E-7</v>
      </c>
      <c r="BJ56" s="158">
        <f t="shared" si="23"/>
        <v>7.9457274951076333E-5</v>
      </c>
      <c r="BK56" s="144">
        <f t="shared" si="24"/>
        <v>8.4024979854955686E-8</v>
      </c>
      <c r="BL56" s="158">
        <f t="shared" si="25"/>
        <v>2.8008326618318566E-4</v>
      </c>
      <c r="BM56" s="144">
        <f t="shared" si="26"/>
        <v>3.9665592264302981E-8</v>
      </c>
      <c r="BN56" s="158">
        <f t="shared" si="27"/>
        <v>1.1333026361229422E-5</v>
      </c>
      <c r="BO56" s="144">
        <f t="shared" si="28"/>
        <v>3.5248791297340851E-11</v>
      </c>
      <c r="BP56" s="158">
        <f t="shared" si="29"/>
        <v>1.1749597099113618E-7</v>
      </c>
      <c r="BQ56" s="144">
        <f t="shared" si="30"/>
        <v>2.0366639806607576E-8</v>
      </c>
      <c r="BR56" s="158">
        <f t="shared" si="31"/>
        <v>4.0733279613215148E-6</v>
      </c>
      <c r="BS56" s="144">
        <f t="shared" si="32"/>
        <v>1.3779210314262693E-10</v>
      </c>
      <c r="BT56" s="158">
        <f t="shared" si="33"/>
        <v>2.7558420628525385E-7</v>
      </c>
      <c r="BU56" s="144">
        <f t="shared" si="34"/>
        <v>9.409750201450444E-9</v>
      </c>
      <c r="BV56" s="144">
        <f t="shared" si="35"/>
        <v>1.6803125359732937E-6</v>
      </c>
    </row>
    <row r="57" spans="1:74" ht="16.5" thickTop="1">
      <c r="A57" s="239" t="s">
        <v>1162</v>
      </c>
      <c r="T57" s="53" t="s">
        <v>189</v>
      </c>
      <c r="U57" s="39" t="s">
        <v>190</v>
      </c>
      <c r="V57" s="155" t="s">
        <v>343</v>
      </c>
      <c r="W57" s="53">
        <v>0.19523199999999999</v>
      </c>
      <c r="X57" s="53">
        <v>34.751345000000001</v>
      </c>
      <c r="Y57" s="53" t="s">
        <v>355</v>
      </c>
      <c r="Z57" s="53" t="s">
        <v>330</v>
      </c>
      <c r="AA57" s="116" t="s">
        <v>347</v>
      </c>
      <c r="AB57" s="154" t="s">
        <v>371</v>
      </c>
      <c r="AC57" s="116" t="s">
        <v>687</v>
      </c>
      <c r="AD57" s="53" t="s">
        <v>364</v>
      </c>
      <c r="AE57" s="53" t="s">
        <v>685</v>
      </c>
      <c r="AF57" s="53" t="s">
        <v>690</v>
      </c>
      <c r="AG57" s="156">
        <v>424.9</v>
      </c>
      <c r="AH57" s="157">
        <v>258.89999999999998</v>
      </c>
      <c r="AI57" s="162">
        <v>1.7446950000000001</v>
      </c>
      <c r="AJ57" s="157">
        <v>179.7</v>
      </c>
      <c r="AK57" s="156">
        <v>1.3129999999999999</v>
      </c>
      <c r="AL57" s="157">
        <v>94.92</v>
      </c>
      <c r="AM57" s="144">
        <f t="shared" si="0"/>
        <v>5.8205479452054791E-4</v>
      </c>
      <c r="AN57" s="158">
        <f t="shared" si="6"/>
        <v>1.9401826484018265</v>
      </c>
      <c r="AO57" s="144">
        <f t="shared" si="1"/>
        <v>3.5465753424657523E-4</v>
      </c>
      <c r="AP57" s="158">
        <f t="shared" si="7"/>
        <v>9.8515981735159783E-2</v>
      </c>
      <c r="AQ57" s="144">
        <f t="shared" si="2"/>
        <v>2.3899931506849319E-6</v>
      </c>
      <c r="AR57" s="158">
        <f t="shared" si="8"/>
        <v>7.9666438356164413E-3</v>
      </c>
      <c r="AS57" s="144">
        <f t="shared" si="3"/>
        <v>2.4616438356164381E-4</v>
      </c>
      <c r="AT57" s="158">
        <f t="shared" si="9"/>
        <v>8.2054794520547938E-2</v>
      </c>
      <c r="AU57" s="144">
        <f t="shared" si="4"/>
        <v>1.7986301369863009E-6</v>
      </c>
      <c r="AV57" s="158">
        <f t="shared" si="10"/>
        <v>3.5972602739726017E-3</v>
      </c>
      <c r="AW57" s="144">
        <f t="shared" si="5"/>
        <v>1.3002739726027397E-4</v>
      </c>
      <c r="AX57" s="158">
        <f t="shared" si="11"/>
        <v>6.5013698630136986E-3</v>
      </c>
      <c r="AY57" s="144">
        <f t="shared" si="12"/>
        <v>1.2142827123287672E-4</v>
      </c>
      <c r="AZ57" s="158">
        <f t="shared" si="13"/>
        <v>0.40476090410958909</v>
      </c>
      <c r="BA57" s="144">
        <f t="shared" si="14"/>
        <v>4.047609041095891E-6</v>
      </c>
      <c r="BB57" s="158">
        <f t="shared" si="15"/>
        <v>1.1564597260273974E-3</v>
      </c>
      <c r="BC57" s="144">
        <f t="shared" si="16"/>
        <v>1.6620012369863018E-8</v>
      </c>
      <c r="BD57" s="158">
        <f t="shared" si="17"/>
        <v>5.540004123287673E-5</v>
      </c>
      <c r="BE57" s="144">
        <f t="shared" si="18"/>
        <v>1.7118271232876709E-6</v>
      </c>
      <c r="BF57" s="158">
        <f t="shared" si="19"/>
        <v>3.423654246575342E-4</v>
      </c>
      <c r="BG57" s="144">
        <f t="shared" si="20"/>
        <v>1.2507673972602736E-8</v>
      </c>
      <c r="BH57" s="158">
        <f t="shared" si="21"/>
        <v>2.5015347945205471E-5</v>
      </c>
      <c r="BI57" s="144">
        <f t="shared" si="22"/>
        <v>9.0421052054794498E-7</v>
      </c>
      <c r="BJ57" s="158">
        <f t="shared" si="23"/>
        <v>1.6146616438356162E-4</v>
      </c>
      <c r="BK57" s="144">
        <f t="shared" si="24"/>
        <v>8.5596293311845289E-8</v>
      </c>
      <c r="BL57" s="158">
        <f t="shared" si="25"/>
        <v>2.85320977706151E-4</v>
      </c>
      <c r="BM57" s="144">
        <f t="shared" si="26"/>
        <v>5.2155519742143431E-8</v>
      </c>
      <c r="BN57" s="158">
        <f t="shared" si="27"/>
        <v>1.4901577069183837E-5</v>
      </c>
      <c r="BO57" s="144">
        <f t="shared" si="28"/>
        <v>3.5146958098307822E-10</v>
      </c>
      <c r="BP57" s="158">
        <f t="shared" si="29"/>
        <v>1.1715652699435941E-6</v>
      </c>
      <c r="BQ57" s="144">
        <f t="shared" si="30"/>
        <v>3.6200644641418214E-8</v>
      </c>
      <c r="BR57" s="158">
        <f t="shared" si="31"/>
        <v>7.2401289282836428E-6</v>
      </c>
      <c r="BS57" s="144">
        <f t="shared" si="32"/>
        <v>2.6450443190975019E-10</v>
      </c>
      <c r="BT57" s="158">
        <f t="shared" si="33"/>
        <v>5.2900886381950035E-7</v>
      </c>
      <c r="BU57" s="144">
        <f t="shared" si="34"/>
        <v>1.9121676067687349E-8</v>
      </c>
      <c r="BV57" s="144">
        <f t="shared" si="35"/>
        <v>3.4145850120870269E-6</v>
      </c>
    </row>
    <row r="58" spans="1:74">
      <c r="T58" s="53" t="s">
        <v>191</v>
      </c>
      <c r="U58" s="39" t="s">
        <v>192</v>
      </c>
      <c r="V58" s="155" t="s">
        <v>343</v>
      </c>
      <c r="W58" s="53">
        <v>0.19523199999999999</v>
      </c>
      <c r="X58" s="53">
        <v>34.751345000000001</v>
      </c>
      <c r="Y58" s="53" t="s">
        <v>355</v>
      </c>
      <c r="Z58" s="53" t="s">
        <v>330</v>
      </c>
      <c r="AA58" s="116" t="s">
        <v>347</v>
      </c>
      <c r="AB58" s="154" t="s">
        <v>371</v>
      </c>
      <c r="AC58" s="116" t="s">
        <v>687</v>
      </c>
      <c r="AD58" s="53" t="s">
        <v>365</v>
      </c>
      <c r="AE58" s="53" t="s">
        <v>685</v>
      </c>
      <c r="AF58" s="53" t="s">
        <v>691</v>
      </c>
      <c r="AG58" s="156">
        <v>1211.4000000000001</v>
      </c>
      <c r="AH58" s="157">
        <v>224.2</v>
      </c>
      <c r="AI58" s="162">
        <v>3.4227149999999997</v>
      </c>
      <c r="AJ58" s="157">
        <v>273.5</v>
      </c>
      <c r="AK58" s="156">
        <v>0.79800000000000004</v>
      </c>
      <c r="AL58" s="157">
        <v>45.78</v>
      </c>
      <c r="AM58" s="144">
        <f t="shared" si="0"/>
        <v>1.659452054794521E-3</v>
      </c>
      <c r="AN58" s="158">
        <f t="shared" si="6"/>
        <v>5.5315068493150701</v>
      </c>
      <c r="AO58" s="144">
        <f t="shared" si="1"/>
        <v>3.0712328767123288E-4</v>
      </c>
      <c r="AP58" s="158">
        <f t="shared" si="7"/>
        <v>8.5312024353120242E-2</v>
      </c>
      <c r="AQ58" s="144">
        <f t="shared" si="2"/>
        <v>4.6886506849315058E-6</v>
      </c>
      <c r="AR58" s="158">
        <f t="shared" si="8"/>
        <v>1.5628835616438352E-2</v>
      </c>
      <c r="AS58" s="144">
        <f t="shared" si="3"/>
        <v>3.7465753424657534E-4</v>
      </c>
      <c r="AT58" s="158">
        <f t="shared" si="9"/>
        <v>0.12488584474885844</v>
      </c>
      <c r="AU58" s="144">
        <f t="shared" si="4"/>
        <v>1.0931506849315069E-6</v>
      </c>
      <c r="AV58" s="158">
        <f t="shared" si="10"/>
        <v>2.1863013698630138E-3</v>
      </c>
      <c r="AW58" s="144">
        <f t="shared" si="5"/>
        <v>6.2712328767123286E-5</v>
      </c>
      <c r="AX58" s="158">
        <f t="shared" si="11"/>
        <v>3.1356164383561642E-3</v>
      </c>
      <c r="AY58" s="144">
        <f t="shared" si="12"/>
        <v>3.4619488767123293E-4</v>
      </c>
      <c r="AZ58" s="158">
        <f t="shared" si="13"/>
        <v>1.15398295890411</v>
      </c>
      <c r="BA58" s="144">
        <f t="shared" si="14"/>
        <v>1.1539829589041099E-5</v>
      </c>
      <c r="BB58" s="158">
        <f t="shared" si="15"/>
        <v>3.2970941682974571E-3</v>
      </c>
      <c r="BC58" s="144">
        <f t="shared" si="16"/>
        <v>3.2604876863013693E-8</v>
      </c>
      <c r="BD58" s="158">
        <f t="shared" si="17"/>
        <v>1.0868292287671232E-4</v>
      </c>
      <c r="BE58" s="144">
        <f t="shared" si="18"/>
        <v>2.6053684931506851E-6</v>
      </c>
      <c r="BF58" s="158">
        <f t="shared" si="19"/>
        <v>5.2107369863013697E-4</v>
      </c>
      <c r="BG58" s="144">
        <f t="shared" si="20"/>
        <v>7.6017698630136978E-9</v>
      </c>
      <c r="BH58" s="158">
        <f t="shared" si="21"/>
        <v>1.5203539726027395E-5</v>
      </c>
      <c r="BI58" s="144">
        <f t="shared" si="22"/>
        <v>4.3610153424657531E-7</v>
      </c>
      <c r="BJ58" s="158">
        <f t="shared" si="23"/>
        <v>7.7875273972602738E-5</v>
      </c>
      <c r="BK58" s="144">
        <f t="shared" si="24"/>
        <v>2.4403706688154716E-7</v>
      </c>
      <c r="BL58" s="158">
        <f t="shared" si="25"/>
        <v>8.1345688960515728E-4</v>
      </c>
      <c r="BM58" s="144">
        <f t="shared" si="26"/>
        <v>4.5165189363416599E-8</v>
      </c>
      <c r="BN58" s="158">
        <f t="shared" si="27"/>
        <v>1.2904339818119028E-5</v>
      </c>
      <c r="BO58" s="144">
        <f t="shared" si="28"/>
        <v>6.8950745366639798E-10</v>
      </c>
      <c r="BP58" s="158">
        <f t="shared" si="29"/>
        <v>2.2983581788879933E-6</v>
      </c>
      <c r="BQ58" s="144">
        <f t="shared" si="30"/>
        <v>5.5096696212731666E-8</v>
      </c>
      <c r="BR58" s="158">
        <f t="shared" si="31"/>
        <v>1.1019339242546332E-5</v>
      </c>
      <c r="BS58" s="144">
        <f t="shared" si="32"/>
        <v>1.6075745366639807E-10</v>
      </c>
      <c r="BT58" s="158">
        <f t="shared" si="33"/>
        <v>3.2151490733279616E-7</v>
      </c>
      <c r="BU58" s="144">
        <f t="shared" si="34"/>
        <v>9.2224012892828366E-9</v>
      </c>
      <c r="BV58" s="144">
        <f t="shared" si="35"/>
        <v>1.6468573730862209E-6</v>
      </c>
    </row>
    <row r="59" spans="1:74">
      <c r="T59" s="53" t="s">
        <v>193</v>
      </c>
      <c r="U59" s="39" t="s">
        <v>194</v>
      </c>
      <c r="V59" s="155" t="s">
        <v>341</v>
      </c>
      <c r="W59" s="53">
        <v>0.22437199999999999</v>
      </c>
      <c r="X59" s="53">
        <v>34.800359999999998</v>
      </c>
      <c r="Y59" s="53" t="s">
        <v>356</v>
      </c>
      <c r="Z59" s="53" t="s">
        <v>330</v>
      </c>
      <c r="AA59" s="116" t="s">
        <v>347</v>
      </c>
      <c r="AB59" s="154" t="s">
        <v>371</v>
      </c>
      <c r="AC59" s="116" t="s">
        <v>687</v>
      </c>
      <c r="AD59" s="53" t="s">
        <v>364</v>
      </c>
      <c r="AE59" s="53" t="s">
        <v>685</v>
      </c>
      <c r="AF59" s="53" t="s">
        <v>690</v>
      </c>
      <c r="AG59" s="156">
        <v>442.1</v>
      </c>
      <c r="AH59" s="157">
        <v>265.5</v>
      </c>
      <c r="AI59" s="162">
        <v>2.1389849999999999</v>
      </c>
      <c r="AJ59" s="157">
        <v>178.7</v>
      </c>
      <c r="AK59" s="156">
        <v>1.39</v>
      </c>
      <c r="AL59" s="157">
        <v>91.52</v>
      </c>
      <c r="AM59" s="144">
        <f t="shared" si="0"/>
        <v>6.0561643835616431E-4</v>
      </c>
      <c r="AN59" s="158">
        <f t="shared" si="6"/>
        <v>2.0187214611872144</v>
      </c>
      <c r="AO59" s="144">
        <f t="shared" si="1"/>
        <v>3.6369863013698629E-4</v>
      </c>
      <c r="AP59" s="158">
        <f t="shared" si="7"/>
        <v>0.10102739726027397</v>
      </c>
      <c r="AQ59" s="144">
        <f t="shared" si="2"/>
        <v>2.9301164383561636E-6</v>
      </c>
      <c r="AR59" s="158">
        <f t="shared" si="8"/>
        <v>9.7670547945205455E-3</v>
      </c>
      <c r="AS59" s="144">
        <f t="shared" si="3"/>
        <v>2.4479452054794519E-4</v>
      </c>
      <c r="AT59" s="158">
        <f t="shared" si="9"/>
        <v>8.1598173515981726E-2</v>
      </c>
      <c r="AU59" s="144">
        <f t="shared" si="4"/>
        <v>1.904109589041096E-6</v>
      </c>
      <c r="AV59" s="158">
        <f t="shared" si="10"/>
        <v>3.8082191780821921E-3</v>
      </c>
      <c r="AW59" s="144">
        <f t="shared" si="5"/>
        <v>1.2536986301369863E-4</v>
      </c>
      <c r="AX59" s="158">
        <f t="shared" si="11"/>
        <v>6.2684931506849315E-3</v>
      </c>
      <c r="AY59" s="144">
        <f t="shared" si="12"/>
        <v>1.2634370136986302E-4</v>
      </c>
      <c r="AZ59" s="158">
        <f t="shared" si="13"/>
        <v>0.42114567123287677</v>
      </c>
      <c r="BA59" s="144">
        <f t="shared" si="14"/>
        <v>4.2114567123287673E-6</v>
      </c>
      <c r="BB59" s="158">
        <f t="shared" si="15"/>
        <v>1.2032733463796478E-3</v>
      </c>
      <c r="BC59" s="144">
        <f t="shared" si="16"/>
        <v>2.0376029712328761E-8</v>
      </c>
      <c r="BD59" s="158">
        <f t="shared" si="17"/>
        <v>6.7920099041095881E-5</v>
      </c>
      <c r="BE59" s="144">
        <f t="shared" si="18"/>
        <v>1.7023010958904104E-6</v>
      </c>
      <c r="BF59" s="158">
        <f t="shared" si="19"/>
        <v>3.4046021917808205E-4</v>
      </c>
      <c r="BG59" s="144">
        <f t="shared" si="20"/>
        <v>1.3241178082191779E-8</v>
      </c>
      <c r="BH59" s="158">
        <f t="shared" si="21"/>
        <v>2.6482356164383557E-5</v>
      </c>
      <c r="BI59" s="144">
        <f t="shared" si="22"/>
        <v>8.7182202739726017E-7</v>
      </c>
      <c r="BJ59" s="158">
        <f t="shared" si="23"/>
        <v>1.5568250489236788E-4</v>
      </c>
      <c r="BK59" s="144">
        <f t="shared" si="24"/>
        <v>8.9061240934730056E-8</v>
      </c>
      <c r="BL59" s="158">
        <f t="shared" si="25"/>
        <v>2.9687080311576689E-4</v>
      </c>
      <c r="BM59" s="144">
        <f t="shared" si="26"/>
        <v>5.3485092667203871E-8</v>
      </c>
      <c r="BN59" s="158">
        <f t="shared" si="27"/>
        <v>1.5281455047772536E-5</v>
      </c>
      <c r="BO59" s="144">
        <f t="shared" si="28"/>
        <v>4.308994762288477E-10</v>
      </c>
      <c r="BP59" s="158">
        <f t="shared" si="29"/>
        <v>1.4363315874294925E-6</v>
      </c>
      <c r="BQ59" s="144">
        <f t="shared" si="30"/>
        <v>3.5999194198227235E-8</v>
      </c>
      <c r="BR59" s="158">
        <f t="shared" si="31"/>
        <v>7.1998388396454468E-6</v>
      </c>
      <c r="BS59" s="144">
        <f t="shared" si="32"/>
        <v>2.8001611603545522E-10</v>
      </c>
      <c r="BT59" s="158">
        <f t="shared" si="33"/>
        <v>5.6003223207091039E-7</v>
      </c>
      <c r="BU59" s="144">
        <f t="shared" si="34"/>
        <v>1.8436744560838033E-8</v>
      </c>
      <c r="BV59" s="144">
        <f t="shared" si="35"/>
        <v>3.292275814435363E-6</v>
      </c>
    </row>
    <row r="60" spans="1:74">
      <c r="A60" s="107" t="s">
        <v>972</v>
      </c>
      <c r="B60" s="80"/>
      <c r="C60" s="80"/>
      <c r="D60" s="80"/>
      <c r="E60" s="80"/>
      <c r="F60" s="80"/>
      <c r="G60" s="80"/>
      <c r="H60" s="80"/>
      <c r="I60" s="80"/>
      <c r="J60" s="80"/>
      <c r="K60" s="80"/>
      <c r="L60" s="80"/>
      <c r="M60" s="80"/>
      <c r="N60" s="80"/>
      <c r="O60" s="80"/>
      <c r="P60" s="80"/>
      <c r="Q60" s="80"/>
      <c r="R60" s="80"/>
      <c r="S60" s="80"/>
      <c r="T60" s="53" t="s">
        <v>195</v>
      </c>
      <c r="U60" s="39" t="s">
        <v>196</v>
      </c>
      <c r="V60" s="155" t="s">
        <v>341</v>
      </c>
      <c r="W60" s="53">
        <v>0.22437199999999999</v>
      </c>
      <c r="X60" s="53">
        <v>34.800359999999998</v>
      </c>
      <c r="Y60" s="53" t="s">
        <v>356</v>
      </c>
      <c r="Z60" s="53" t="s">
        <v>330</v>
      </c>
      <c r="AA60" s="116" t="s">
        <v>347</v>
      </c>
      <c r="AB60" s="154" t="s">
        <v>371</v>
      </c>
      <c r="AC60" s="116" t="s">
        <v>687</v>
      </c>
      <c r="AD60" s="53" t="s">
        <v>367</v>
      </c>
      <c r="AE60" s="53" t="s">
        <v>684</v>
      </c>
      <c r="AF60" s="53" t="s">
        <v>683</v>
      </c>
      <c r="AG60" s="156">
        <v>39.299999999999997</v>
      </c>
      <c r="AH60" s="157">
        <v>18.100000000000001</v>
      </c>
      <c r="AI60" s="162">
        <v>0.24368499999999998</v>
      </c>
      <c r="AJ60" s="157">
        <v>319.7</v>
      </c>
      <c r="AK60" s="156">
        <v>0.17399999999999999</v>
      </c>
      <c r="AL60" s="157">
        <v>76.709999999999994</v>
      </c>
      <c r="AM60" s="144">
        <f t="shared" si="0"/>
        <v>5.3835616438356153E-5</v>
      </c>
      <c r="AN60" s="158">
        <f t="shared" si="6"/>
        <v>0.17945205479452053</v>
      </c>
      <c r="AO60" s="144">
        <f t="shared" si="1"/>
        <v>2.479452054794521E-5</v>
      </c>
      <c r="AP60" s="158">
        <f t="shared" si="7"/>
        <v>6.8873668188736692E-3</v>
      </c>
      <c r="AQ60" s="144">
        <f t="shared" si="2"/>
        <v>3.3381506849315059E-7</v>
      </c>
      <c r="AR60" s="158">
        <f t="shared" si="8"/>
        <v>1.1127168949771687E-3</v>
      </c>
      <c r="AS60" s="144">
        <f t="shared" si="3"/>
        <v>4.3794520547945205E-4</v>
      </c>
      <c r="AT60" s="158">
        <f t="shared" si="9"/>
        <v>0.14598173515981736</v>
      </c>
      <c r="AU60" s="144">
        <f t="shared" si="4"/>
        <v>2.3835616438356162E-7</v>
      </c>
      <c r="AV60" s="158">
        <f t="shared" si="10"/>
        <v>4.7671232876712324E-4</v>
      </c>
      <c r="AW60" s="144">
        <f t="shared" si="5"/>
        <v>1.0508219178082189E-4</v>
      </c>
      <c r="AX60" s="158">
        <f t="shared" si="11"/>
        <v>5.2541095890410944E-3</v>
      </c>
      <c r="AY60" s="144">
        <f t="shared" si="12"/>
        <v>1.1231186301369864E-5</v>
      </c>
      <c r="AZ60" s="158">
        <f t="shared" si="13"/>
        <v>3.7437287671232881E-2</v>
      </c>
      <c r="BA60" s="144">
        <f t="shared" si="14"/>
        <v>3.743728767123287E-7</v>
      </c>
      <c r="BB60" s="158">
        <f t="shared" si="15"/>
        <v>1.0696367906066534E-4</v>
      </c>
      <c r="BC60" s="144">
        <f t="shared" si="16"/>
        <v>2.3213499863013701E-9</v>
      </c>
      <c r="BD60" s="158">
        <f t="shared" si="17"/>
        <v>7.7378332876712346E-6</v>
      </c>
      <c r="BE60" s="144">
        <f t="shared" si="18"/>
        <v>3.0454709589041092E-6</v>
      </c>
      <c r="BF60" s="158">
        <f t="shared" si="19"/>
        <v>6.0909419178082182E-4</v>
      </c>
      <c r="BG60" s="144">
        <f t="shared" si="20"/>
        <v>1.6575287671232872E-9</v>
      </c>
      <c r="BH60" s="158">
        <f t="shared" si="21"/>
        <v>3.3150575342465744E-6</v>
      </c>
      <c r="BI60" s="144">
        <f t="shared" si="22"/>
        <v>7.3074156164383561E-7</v>
      </c>
      <c r="BJ60" s="158">
        <f t="shared" si="23"/>
        <v>1.3048956457925636E-4</v>
      </c>
      <c r="BK60" s="144">
        <f t="shared" si="24"/>
        <v>7.9170024174053175E-9</v>
      </c>
      <c r="BL60" s="158">
        <f t="shared" si="25"/>
        <v>2.6390008058017727E-5</v>
      </c>
      <c r="BM60" s="144">
        <f t="shared" si="26"/>
        <v>3.646253021756648E-9</v>
      </c>
      <c r="BN60" s="158">
        <f t="shared" si="27"/>
        <v>1.0417865776447566E-6</v>
      </c>
      <c r="BO60" s="144">
        <f t="shared" si="28"/>
        <v>4.9090451248992748E-11</v>
      </c>
      <c r="BP60" s="158">
        <f t="shared" si="29"/>
        <v>1.6363483749664251E-7</v>
      </c>
      <c r="BQ60" s="144">
        <f t="shared" si="30"/>
        <v>6.4403706688154717E-8</v>
      </c>
      <c r="BR60" s="158">
        <f t="shared" si="31"/>
        <v>1.2880741337630944E-5</v>
      </c>
      <c r="BS60" s="144">
        <f t="shared" si="32"/>
        <v>3.5052377115229646E-11</v>
      </c>
      <c r="BT60" s="158">
        <f t="shared" si="33"/>
        <v>7.0104754230459294E-8</v>
      </c>
      <c r="BU60" s="144">
        <f t="shared" si="34"/>
        <v>1.545326349717969E-8</v>
      </c>
      <c r="BV60" s="144">
        <f t="shared" si="35"/>
        <v>2.7595113387820878E-6</v>
      </c>
    </row>
    <row r="61" spans="1:74" ht="16.5" thickBot="1">
      <c r="A61" s="242"/>
      <c r="B61" s="406" t="s">
        <v>882</v>
      </c>
      <c r="C61" s="407"/>
      <c r="D61" s="407"/>
      <c r="E61" s="408"/>
      <c r="F61" s="406" t="s">
        <v>1013</v>
      </c>
      <c r="G61" s="407"/>
      <c r="H61" s="407"/>
      <c r="I61" s="408"/>
      <c r="J61" s="406" t="s">
        <v>970</v>
      </c>
      <c r="K61" s="407"/>
      <c r="L61" s="407"/>
      <c r="M61" s="408"/>
      <c r="N61" s="406" t="s">
        <v>1014</v>
      </c>
      <c r="O61" s="407"/>
      <c r="P61" s="407"/>
      <c r="Q61" s="407"/>
      <c r="T61" s="53" t="s">
        <v>197</v>
      </c>
      <c r="U61" s="39" t="s">
        <v>198</v>
      </c>
      <c r="V61" s="155" t="s">
        <v>341</v>
      </c>
      <c r="W61" s="53">
        <v>0.224914</v>
      </c>
      <c r="X61" s="53">
        <v>34.799691000000003</v>
      </c>
      <c r="Y61" s="53" t="s">
        <v>356</v>
      </c>
      <c r="Z61" s="53" t="s">
        <v>330</v>
      </c>
      <c r="AA61" s="116" t="s">
        <v>347</v>
      </c>
      <c r="AB61" s="154" t="s">
        <v>371</v>
      </c>
      <c r="AC61" s="116" t="s">
        <v>687</v>
      </c>
      <c r="AD61" s="53" t="s">
        <v>366</v>
      </c>
      <c r="AE61" s="53" t="s">
        <v>684</v>
      </c>
      <c r="AF61" s="53" t="s">
        <v>683</v>
      </c>
      <c r="AG61" s="156">
        <v>36.799999999999997</v>
      </c>
      <c r="AH61" s="157">
        <v>8.5</v>
      </c>
      <c r="AI61" s="162">
        <v>5.1894999999999997E-2</v>
      </c>
      <c r="AJ61" s="157">
        <v>190.6</v>
      </c>
      <c r="AK61" s="156">
        <v>8.5000000000000006E-2</v>
      </c>
      <c r="AL61" s="157">
        <v>95.66</v>
      </c>
      <c r="AM61" s="144">
        <f t="shared" si="0"/>
        <v>5.0410958904109579E-5</v>
      </c>
      <c r="AN61" s="158">
        <f t="shared" si="6"/>
        <v>0.16803652968036528</v>
      </c>
      <c r="AO61" s="144">
        <f t="shared" si="1"/>
        <v>1.1643835616438355E-5</v>
      </c>
      <c r="AP61" s="158">
        <f t="shared" si="7"/>
        <v>3.2343987823439876E-3</v>
      </c>
      <c r="AQ61" s="144">
        <f t="shared" si="2"/>
        <v>7.1089041095890402E-8</v>
      </c>
      <c r="AR61" s="158">
        <f t="shared" si="8"/>
        <v>2.3696347031963469E-4</v>
      </c>
      <c r="AS61" s="144">
        <f t="shared" si="3"/>
        <v>2.6109589041095892E-4</v>
      </c>
      <c r="AT61" s="158">
        <f t="shared" si="9"/>
        <v>8.7031963470319634E-2</v>
      </c>
      <c r="AU61" s="144">
        <f t="shared" si="4"/>
        <v>1.1643835616438356E-7</v>
      </c>
      <c r="AV61" s="158">
        <f t="shared" si="10"/>
        <v>2.3287671232876712E-4</v>
      </c>
      <c r="AW61" s="144">
        <f t="shared" si="5"/>
        <v>1.3104109589041096E-4</v>
      </c>
      <c r="AX61" s="158">
        <f t="shared" si="11"/>
        <v>6.5520547945205482E-3</v>
      </c>
      <c r="AY61" s="144">
        <f t="shared" si="12"/>
        <v>1.0516734246575338E-5</v>
      </c>
      <c r="AZ61" s="158">
        <f t="shared" si="13"/>
        <v>3.5055780821917799E-2</v>
      </c>
      <c r="BA61" s="144">
        <f t="shared" si="14"/>
        <v>3.5055780821917801E-7</v>
      </c>
      <c r="BB61" s="158">
        <f t="shared" si="15"/>
        <v>1.00159373776908E-4</v>
      </c>
      <c r="BC61" s="144">
        <f t="shared" si="16"/>
        <v>4.9435319178082194E-10</v>
      </c>
      <c r="BD61" s="158">
        <f t="shared" si="17"/>
        <v>1.6478439726027399E-6</v>
      </c>
      <c r="BE61" s="144">
        <f t="shared" si="18"/>
        <v>1.8156608219178082E-6</v>
      </c>
      <c r="BF61" s="158">
        <f t="shared" si="19"/>
        <v>3.6313216438356162E-4</v>
      </c>
      <c r="BG61" s="144">
        <f t="shared" si="20"/>
        <v>8.0971232876712341E-10</v>
      </c>
      <c r="BH61" s="158">
        <f t="shared" si="21"/>
        <v>1.6194246575342469E-6</v>
      </c>
      <c r="BI61" s="144">
        <f t="shared" si="22"/>
        <v>9.1125978082191786E-7</v>
      </c>
      <c r="BJ61" s="158">
        <f t="shared" si="23"/>
        <v>1.6272496086105676E-4</v>
      </c>
      <c r="BK61" s="144">
        <f t="shared" si="24"/>
        <v>7.4133763094278811E-9</v>
      </c>
      <c r="BL61" s="158">
        <f t="shared" si="25"/>
        <v>2.4711254364759607E-5</v>
      </c>
      <c r="BM61" s="144">
        <f t="shared" si="26"/>
        <v>1.7123287671232876E-9</v>
      </c>
      <c r="BN61" s="158">
        <f t="shared" si="27"/>
        <v>4.8923679060665363E-7</v>
      </c>
      <c r="BO61" s="144">
        <f t="shared" si="28"/>
        <v>1.0454270749395649E-11</v>
      </c>
      <c r="BP61" s="158">
        <f t="shared" si="29"/>
        <v>3.4847569164652167E-8</v>
      </c>
      <c r="BQ61" s="144">
        <f t="shared" si="30"/>
        <v>3.8396454472199839E-8</v>
      </c>
      <c r="BR61" s="158">
        <f t="shared" si="31"/>
        <v>7.6792908944399672E-6</v>
      </c>
      <c r="BS61" s="144">
        <f t="shared" si="32"/>
        <v>1.7123287671232881E-11</v>
      </c>
      <c r="BT61" s="158">
        <f t="shared" si="33"/>
        <v>3.4246575342465759E-8</v>
      </c>
      <c r="BU61" s="144">
        <f t="shared" si="34"/>
        <v>1.9270749395648667E-8</v>
      </c>
      <c r="BV61" s="144">
        <f t="shared" si="35"/>
        <v>3.4412052492229764E-6</v>
      </c>
    </row>
    <row r="62" spans="1:74" ht="17.25" thickTop="1" thickBot="1">
      <c r="A62" s="242" t="s">
        <v>844</v>
      </c>
      <c r="B62" s="242" t="s">
        <v>1015</v>
      </c>
      <c r="C62" s="242" t="s">
        <v>1016</v>
      </c>
      <c r="D62" s="242" t="s">
        <v>1017</v>
      </c>
      <c r="E62" s="242" t="s">
        <v>1018</v>
      </c>
      <c r="F62" s="242" t="s">
        <v>1015</v>
      </c>
      <c r="G62" s="242" t="s">
        <v>1016</v>
      </c>
      <c r="H62" s="242" t="s">
        <v>1017</v>
      </c>
      <c r="I62" s="242" t="s">
        <v>1018</v>
      </c>
      <c r="J62" s="242" t="s">
        <v>1015</v>
      </c>
      <c r="K62" s="242" t="s">
        <v>1016</v>
      </c>
      <c r="L62" s="242" t="s">
        <v>1017</v>
      </c>
      <c r="M62" s="242" t="s">
        <v>1018</v>
      </c>
      <c r="N62" s="242" t="s">
        <v>1015</v>
      </c>
      <c r="O62" s="242" t="s">
        <v>1016</v>
      </c>
      <c r="P62" s="242" t="s">
        <v>1017</v>
      </c>
      <c r="Q62" s="241" t="s">
        <v>1018</v>
      </c>
      <c r="T62" s="53" t="s">
        <v>199</v>
      </c>
      <c r="U62" s="39" t="s">
        <v>200</v>
      </c>
      <c r="V62" s="155" t="s">
        <v>341</v>
      </c>
      <c r="W62" s="53">
        <v>0.224914</v>
      </c>
      <c r="X62" s="53">
        <v>34.799691000000003</v>
      </c>
      <c r="Y62" s="53" t="s">
        <v>356</v>
      </c>
      <c r="Z62" s="53" t="s">
        <v>330</v>
      </c>
      <c r="AA62" s="116" t="s">
        <v>347</v>
      </c>
      <c r="AB62" s="154" t="s">
        <v>371</v>
      </c>
      <c r="AC62" s="116" t="s">
        <v>687</v>
      </c>
      <c r="AD62" s="53" t="s">
        <v>367</v>
      </c>
      <c r="AE62" s="53" t="s">
        <v>684</v>
      </c>
      <c r="AF62" s="53" t="s">
        <v>683</v>
      </c>
      <c r="AG62" s="156">
        <v>45.5</v>
      </c>
      <c r="AH62" s="157">
        <v>8.6</v>
      </c>
      <c r="AI62" s="162">
        <v>7.5795000000000001E-2</v>
      </c>
      <c r="AJ62" s="157">
        <v>210.8</v>
      </c>
      <c r="AK62" s="156">
        <v>7.1999999999999995E-2</v>
      </c>
      <c r="AL62" s="157">
        <v>93.97</v>
      </c>
      <c r="AM62" s="144">
        <f t="shared" si="0"/>
        <v>6.2328767123287667E-5</v>
      </c>
      <c r="AN62" s="158">
        <f t="shared" si="6"/>
        <v>0.20776255707762559</v>
      </c>
      <c r="AO62" s="144">
        <f t="shared" si="1"/>
        <v>1.1780821917808218E-5</v>
      </c>
      <c r="AP62" s="158">
        <f t="shared" si="7"/>
        <v>3.2724505327245052E-3</v>
      </c>
      <c r="AQ62" s="144">
        <f t="shared" si="2"/>
        <v>1.0382876712328768E-7</v>
      </c>
      <c r="AR62" s="158">
        <f t="shared" si="8"/>
        <v>3.4609589041095898E-4</v>
      </c>
      <c r="AS62" s="144">
        <f t="shared" si="3"/>
        <v>2.8876712328767125E-4</v>
      </c>
      <c r="AT62" s="158">
        <f t="shared" si="9"/>
        <v>9.6255707762557083E-2</v>
      </c>
      <c r="AU62" s="144">
        <f t="shared" si="4"/>
        <v>9.8630136986301357E-8</v>
      </c>
      <c r="AV62" s="158">
        <f t="shared" si="10"/>
        <v>1.9726027397260271E-4</v>
      </c>
      <c r="AW62" s="144">
        <f t="shared" si="5"/>
        <v>1.2872602739726026E-4</v>
      </c>
      <c r="AX62" s="158">
        <f t="shared" si="11"/>
        <v>6.4363013698630128E-3</v>
      </c>
      <c r="AY62" s="144">
        <f t="shared" si="12"/>
        <v>1.3003027397260273E-5</v>
      </c>
      <c r="AZ62" s="158">
        <f t="shared" si="13"/>
        <v>4.3343424657534248E-2</v>
      </c>
      <c r="BA62" s="144">
        <f t="shared" si="14"/>
        <v>4.334342465753425E-7</v>
      </c>
      <c r="BB62" s="158">
        <f t="shared" si="15"/>
        <v>1.2383835616438358E-4</v>
      </c>
      <c r="BC62" s="144">
        <f t="shared" si="16"/>
        <v>7.2202524657534258E-10</v>
      </c>
      <c r="BD62" s="158">
        <f t="shared" si="17"/>
        <v>2.4067508219178087E-6</v>
      </c>
      <c r="BE62" s="144">
        <f t="shared" si="18"/>
        <v>2.008086575342466E-6</v>
      </c>
      <c r="BF62" s="158">
        <f t="shared" si="19"/>
        <v>4.0161731506849321E-4</v>
      </c>
      <c r="BG62" s="144">
        <f t="shared" si="20"/>
        <v>6.8587397260273965E-10</v>
      </c>
      <c r="BH62" s="158">
        <f t="shared" si="21"/>
        <v>1.3717479452054793E-6</v>
      </c>
      <c r="BI62" s="144">
        <f t="shared" si="22"/>
        <v>8.951607945205478E-7</v>
      </c>
      <c r="BJ62" s="158">
        <f t="shared" si="23"/>
        <v>1.5985014187866925E-4</v>
      </c>
      <c r="BK62" s="144">
        <f t="shared" si="24"/>
        <v>9.1659951651893638E-9</v>
      </c>
      <c r="BL62" s="158">
        <f t="shared" si="25"/>
        <v>3.0553317217297884E-5</v>
      </c>
      <c r="BM62" s="144">
        <f t="shared" si="26"/>
        <v>1.7324738114423852E-9</v>
      </c>
      <c r="BN62" s="158">
        <f t="shared" si="27"/>
        <v>4.9499251755496718E-7</v>
      </c>
      <c r="BO62" s="144">
        <f t="shared" si="28"/>
        <v>1.5268936341659952E-11</v>
      </c>
      <c r="BP62" s="158">
        <f t="shared" si="29"/>
        <v>5.0896454472199845E-8</v>
      </c>
      <c r="BQ62" s="144">
        <f t="shared" si="30"/>
        <v>4.2465753424657535E-8</v>
      </c>
      <c r="BR62" s="158">
        <f t="shared" si="31"/>
        <v>8.4931506849315072E-6</v>
      </c>
      <c r="BS62" s="144">
        <f t="shared" si="32"/>
        <v>1.4504431909750202E-11</v>
      </c>
      <c r="BT62" s="158">
        <f t="shared" si="33"/>
        <v>2.9008863819500404E-8</v>
      </c>
      <c r="BU62" s="144">
        <f t="shared" si="34"/>
        <v>1.8930298146655924E-8</v>
      </c>
      <c r="BV62" s="144">
        <f t="shared" si="35"/>
        <v>3.3804103833314151E-6</v>
      </c>
    </row>
    <row r="63" spans="1:74" ht="17.25" thickTop="1" thickBot="1">
      <c r="A63" s="240" t="s">
        <v>23</v>
      </c>
      <c r="B63" s="228">
        <v>81.7</v>
      </c>
      <c r="C63" s="228">
        <v>1.36</v>
      </c>
      <c r="D63" s="221">
        <v>0.69799999999999995</v>
      </c>
      <c r="E63" s="228">
        <v>83.8</v>
      </c>
      <c r="F63" s="228">
        <v>1.03</v>
      </c>
      <c r="G63" s="221">
        <v>1.6E-2</v>
      </c>
      <c r="H63" s="221">
        <v>2.3E-2</v>
      </c>
      <c r="I63" s="228">
        <v>1.07</v>
      </c>
      <c r="J63" s="228">
        <v>2.96</v>
      </c>
      <c r="K63" s="221">
        <v>8.0000000000000007E-5</v>
      </c>
      <c r="L63" s="221">
        <v>0.14000000000000001</v>
      </c>
      <c r="M63" s="228">
        <v>3.1</v>
      </c>
      <c r="N63" s="228">
        <v>26.9</v>
      </c>
      <c r="O63" s="221">
        <v>7.2999999999999996E-4</v>
      </c>
      <c r="P63" s="221">
        <v>0.81899999999999995</v>
      </c>
      <c r="Q63" s="222">
        <v>27.7</v>
      </c>
      <c r="T63" s="53" t="s">
        <v>201</v>
      </c>
      <c r="U63" s="39" t="s">
        <v>202</v>
      </c>
      <c r="V63" s="155" t="s">
        <v>341</v>
      </c>
      <c r="W63" s="53">
        <v>0.21770700000000001</v>
      </c>
      <c r="X63" s="53">
        <v>34.802644000000001</v>
      </c>
      <c r="Y63" s="53" t="s">
        <v>356</v>
      </c>
      <c r="Z63" s="53" t="s">
        <v>330</v>
      </c>
      <c r="AA63" s="116" t="s">
        <v>347</v>
      </c>
      <c r="AB63" s="154" t="s">
        <v>371</v>
      </c>
      <c r="AC63" s="116" t="s">
        <v>687</v>
      </c>
      <c r="AD63" s="53" t="s">
        <v>365</v>
      </c>
      <c r="AE63" s="53" t="s">
        <v>685</v>
      </c>
      <c r="AF63" s="53" t="s">
        <v>691</v>
      </c>
      <c r="AG63" s="156">
        <v>51.4</v>
      </c>
      <c r="AH63" s="157">
        <v>27.8</v>
      </c>
      <c r="AI63" s="162">
        <v>0.35456499999999996</v>
      </c>
      <c r="AJ63" s="157">
        <v>67.099999999999994</v>
      </c>
      <c r="AK63" s="156">
        <v>0.127</v>
      </c>
      <c r="AL63" s="157">
        <v>9.07</v>
      </c>
      <c r="AM63" s="144">
        <f t="shared" si="0"/>
        <v>7.0410958904109584E-5</v>
      </c>
      <c r="AN63" s="158">
        <f t="shared" si="6"/>
        <v>0.23470319634703196</v>
      </c>
      <c r="AO63" s="144">
        <f t="shared" si="1"/>
        <v>3.8082191780821915E-5</v>
      </c>
      <c r="AP63" s="158">
        <f t="shared" si="7"/>
        <v>1.0578386605783866E-2</v>
      </c>
      <c r="AQ63" s="144">
        <f t="shared" si="2"/>
        <v>4.8570547945205475E-7</v>
      </c>
      <c r="AR63" s="158">
        <f t="shared" si="8"/>
        <v>1.6190182648401826E-3</v>
      </c>
      <c r="AS63" s="144">
        <f t="shared" si="3"/>
        <v>9.191780821917806E-5</v>
      </c>
      <c r="AT63" s="158">
        <f t="shared" si="9"/>
        <v>3.0639269406392687E-2</v>
      </c>
      <c r="AU63" s="144">
        <f t="shared" si="4"/>
        <v>1.7397260273972603E-7</v>
      </c>
      <c r="AV63" s="158">
        <f t="shared" si="10"/>
        <v>3.4794520547945203E-4</v>
      </c>
      <c r="AW63" s="144">
        <f t="shared" si="5"/>
        <v>1.2424657534246576E-5</v>
      </c>
      <c r="AX63" s="158">
        <f t="shared" si="11"/>
        <v>6.2123287671232881E-4</v>
      </c>
      <c r="AY63" s="144">
        <f t="shared" si="12"/>
        <v>1.4689134246575339E-5</v>
      </c>
      <c r="AZ63" s="158">
        <f t="shared" si="13"/>
        <v>4.8963780821917803E-2</v>
      </c>
      <c r="BA63" s="144">
        <f t="shared" si="14"/>
        <v>4.8963780821917801E-7</v>
      </c>
      <c r="BB63" s="158">
        <f t="shared" si="15"/>
        <v>1.3989651663405086E-4</v>
      </c>
      <c r="BC63" s="144">
        <f t="shared" si="16"/>
        <v>3.3775959041095891E-9</v>
      </c>
      <c r="BD63" s="158">
        <f t="shared" si="17"/>
        <v>1.1258653013698631E-5</v>
      </c>
      <c r="BE63" s="144">
        <f t="shared" si="18"/>
        <v>6.3919643835616428E-7</v>
      </c>
      <c r="BF63" s="158">
        <f t="shared" si="19"/>
        <v>1.2783928767123284E-4</v>
      </c>
      <c r="BG63" s="144">
        <f t="shared" si="20"/>
        <v>1.2098054794520548E-9</v>
      </c>
      <c r="BH63" s="158">
        <f t="shared" si="21"/>
        <v>2.4196109589041097E-6</v>
      </c>
      <c r="BI63" s="144">
        <f t="shared" si="22"/>
        <v>8.6401068493150697E-8</v>
      </c>
      <c r="BJ63" s="158">
        <f t="shared" si="23"/>
        <v>1.5428762230919768E-5</v>
      </c>
      <c r="BK63" s="144">
        <f t="shared" si="24"/>
        <v>1.0354552780016116E-8</v>
      </c>
      <c r="BL63" s="158">
        <f t="shared" si="25"/>
        <v>3.4515175933387058E-5</v>
      </c>
      <c r="BM63" s="144">
        <f t="shared" si="26"/>
        <v>5.6003223207091059E-9</v>
      </c>
      <c r="BN63" s="158">
        <f t="shared" si="27"/>
        <v>1.6000920916311731E-6</v>
      </c>
      <c r="BO63" s="144">
        <f t="shared" si="28"/>
        <v>7.1427276390008056E-11</v>
      </c>
      <c r="BP63" s="158">
        <f t="shared" si="29"/>
        <v>2.3809092130002687E-7</v>
      </c>
      <c r="BQ63" s="144">
        <f t="shared" si="30"/>
        <v>1.3517324738114423E-8</v>
      </c>
      <c r="BR63" s="158">
        <f t="shared" si="31"/>
        <v>2.7034649476228848E-6</v>
      </c>
      <c r="BS63" s="144">
        <f t="shared" si="32"/>
        <v>2.5584206285253827E-11</v>
      </c>
      <c r="BT63" s="158">
        <f t="shared" si="33"/>
        <v>5.1168412570507651E-8</v>
      </c>
      <c r="BU63" s="144">
        <f t="shared" si="34"/>
        <v>1.8271555197421434E-9</v>
      </c>
      <c r="BV63" s="144">
        <f t="shared" si="35"/>
        <v>3.2627777138252563E-7</v>
      </c>
    </row>
    <row r="64" spans="1:74" ht="16.5" thickBot="1">
      <c r="A64" s="240" t="s">
        <v>55</v>
      </c>
      <c r="B64" s="221">
        <v>0.42899999999999999</v>
      </c>
      <c r="C64" s="221">
        <v>2.6200000000000003E-4</v>
      </c>
      <c r="D64" s="221">
        <v>1.4100000000000001E-4</v>
      </c>
      <c r="E64" s="221">
        <v>0.42899999999999999</v>
      </c>
      <c r="F64" s="221">
        <v>7.5800000000000006E-2</v>
      </c>
      <c r="G64" s="221">
        <v>4.5000000000000003E-5</v>
      </c>
      <c r="H64" s="221">
        <v>3.8999999999999999E-5</v>
      </c>
      <c r="I64" s="221">
        <v>7.5899999999999995E-2</v>
      </c>
      <c r="J64" s="221">
        <v>0.11799999999999999</v>
      </c>
      <c r="K64" s="221">
        <v>3.0000000000000001E-5</v>
      </c>
      <c r="L64" s="221">
        <v>1.15E-4</v>
      </c>
      <c r="M64" s="221">
        <v>0.11799999999999999</v>
      </c>
      <c r="N64" s="221">
        <v>0.313</v>
      </c>
      <c r="O64" s="221">
        <v>9.0000000000000002E-6</v>
      </c>
      <c r="P64" s="221">
        <v>2.8299999999999999E-4</v>
      </c>
      <c r="Q64" s="222">
        <v>0.313</v>
      </c>
      <c r="T64" s="53" t="s">
        <v>203</v>
      </c>
      <c r="U64" s="39" t="s">
        <v>204</v>
      </c>
      <c r="V64" s="155" t="s">
        <v>341</v>
      </c>
      <c r="W64" s="53">
        <v>0.21768199999999999</v>
      </c>
      <c r="X64" s="53">
        <v>34.802346</v>
      </c>
      <c r="Y64" s="53" t="s">
        <v>356</v>
      </c>
      <c r="Z64" s="53" t="s">
        <v>330</v>
      </c>
      <c r="AA64" s="116" t="s">
        <v>347</v>
      </c>
      <c r="AB64" s="154" t="s">
        <v>371</v>
      </c>
      <c r="AC64" s="116" t="s">
        <v>687</v>
      </c>
      <c r="AD64" s="53" t="s">
        <v>367</v>
      </c>
      <c r="AE64" s="53" t="s">
        <v>684</v>
      </c>
      <c r="AF64" s="53" t="s">
        <v>683</v>
      </c>
      <c r="AG64" s="156">
        <v>11.5</v>
      </c>
      <c r="AH64" s="157">
        <v>17.100000000000001</v>
      </c>
      <c r="AI64" s="162">
        <v>0.45981499999999997</v>
      </c>
      <c r="AJ64" s="157">
        <v>55.5</v>
      </c>
      <c r="AK64" s="156">
        <v>9.2999999999999999E-2</v>
      </c>
      <c r="AL64" s="157">
        <v>15.18</v>
      </c>
      <c r="AM64" s="144">
        <f t="shared" si="0"/>
        <v>1.5753424657534245E-5</v>
      </c>
      <c r="AN64" s="158">
        <f t="shared" si="6"/>
        <v>5.2511415525114152E-2</v>
      </c>
      <c r="AO64" s="144">
        <f t="shared" si="1"/>
        <v>2.3424657534246579E-5</v>
      </c>
      <c r="AP64" s="158">
        <f t="shared" si="7"/>
        <v>6.5068493150684942E-3</v>
      </c>
      <c r="AQ64" s="144">
        <f t="shared" si="2"/>
        <v>6.2988356164383554E-7</v>
      </c>
      <c r="AR64" s="158">
        <f t="shared" si="8"/>
        <v>2.0996118721461187E-3</v>
      </c>
      <c r="AS64" s="144">
        <f t="shared" si="3"/>
        <v>7.6027397260273975E-5</v>
      </c>
      <c r="AT64" s="158">
        <f t="shared" si="9"/>
        <v>2.5342465753424658E-2</v>
      </c>
      <c r="AU64" s="144">
        <f t="shared" si="4"/>
        <v>1.2739726027397262E-7</v>
      </c>
      <c r="AV64" s="158">
        <f t="shared" si="10"/>
        <v>2.5479452054794522E-4</v>
      </c>
      <c r="AW64" s="144">
        <f t="shared" si="5"/>
        <v>2.0794520547945204E-5</v>
      </c>
      <c r="AX64" s="158">
        <f t="shared" si="11"/>
        <v>1.0397260273972602E-3</v>
      </c>
      <c r="AY64" s="144">
        <f t="shared" si="12"/>
        <v>3.2864794520547944E-6</v>
      </c>
      <c r="AZ64" s="158">
        <f t="shared" si="13"/>
        <v>1.0954931506849315E-2</v>
      </c>
      <c r="BA64" s="144">
        <f t="shared" si="14"/>
        <v>1.0954931506849315E-7</v>
      </c>
      <c r="BB64" s="158">
        <f t="shared" si="15"/>
        <v>3.1299804305283758E-5</v>
      </c>
      <c r="BC64" s="144">
        <f t="shared" si="16"/>
        <v>4.380210287671233E-9</v>
      </c>
      <c r="BD64" s="158">
        <f t="shared" si="17"/>
        <v>1.4600700958904111E-5</v>
      </c>
      <c r="BE64" s="144">
        <f t="shared" si="18"/>
        <v>5.2869452054794523E-7</v>
      </c>
      <c r="BF64" s="158">
        <f t="shared" si="19"/>
        <v>1.0573890410958904E-4</v>
      </c>
      <c r="BG64" s="144">
        <f t="shared" si="20"/>
        <v>8.8592054794520534E-10</v>
      </c>
      <c r="BH64" s="158">
        <f t="shared" si="21"/>
        <v>1.7718410958904106E-6</v>
      </c>
      <c r="BI64" s="144">
        <f t="shared" si="22"/>
        <v>1.4460509589041098E-7</v>
      </c>
      <c r="BJ64" s="158">
        <f t="shared" si="23"/>
        <v>2.5822338551859105E-5</v>
      </c>
      <c r="BK64" s="144">
        <f t="shared" si="24"/>
        <v>2.3166800966962129E-9</v>
      </c>
      <c r="BL64" s="158">
        <f t="shared" si="25"/>
        <v>7.7222669889873777E-6</v>
      </c>
      <c r="BM64" s="144">
        <f t="shared" si="26"/>
        <v>3.4448025785656728E-9</v>
      </c>
      <c r="BN64" s="158">
        <f t="shared" si="27"/>
        <v>9.8422930816162071E-7</v>
      </c>
      <c r="BO64" s="144">
        <f t="shared" si="28"/>
        <v>9.2629935535858162E-11</v>
      </c>
      <c r="BP64" s="158">
        <f t="shared" si="29"/>
        <v>3.0876645178619393E-7</v>
      </c>
      <c r="BQ64" s="144">
        <f t="shared" si="30"/>
        <v>1.1180499597099114E-8</v>
      </c>
      <c r="BR64" s="158">
        <f t="shared" si="31"/>
        <v>2.2360999194198229E-6</v>
      </c>
      <c r="BS64" s="144">
        <f t="shared" si="32"/>
        <v>1.8734891216760678E-11</v>
      </c>
      <c r="BT64" s="158">
        <f t="shared" si="33"/>
        <v>3.7469782433521356E-8</v>
      </c>
      <c r="BU64" s="144">
        <f t="shared" si="34"/>
        <v>3.0580177276390013E-9</v>
      </c>
      <c r="BV64" s="144">
        <f t="shared" si="35"/>
        <v>5.460745942212502E-7</v>
      </c>
    </row>
    <row r="65" spans="1:74" ht="16.5" thickBot="1">
      <c r="A65" s="240" t="s">
        <v>3</v>
      </c>
      <c r="B65" s="221">
        <v>0.22700000000000001</v>
      </c>
      <c r="C65" s="221">
        <v>1.36E-4</v>
      </c>
      <c r="D65" s="221">
        <v>1.65E-4</v>
      </c>
      <c r="E65" s="221">
        <v>0.22700000000000001</v>
      </c>
      <c r="F65" s="221">
        <v>1.2E-2</v>
      </c>
      <c r="G65" s="221">
        <v>6.9999999999999999E-6</v>
      </c>
      <c r="H65" s="221">
        <v>7.7999999999999999E-5</v>
      </c>
      <c r="I65" s="221">
        <v>1.21E-2</v>
      </c>
      <c r="J65" s="221">
        <v>4.6699999999999998E-2</v>
      </c>
      <c r="K65" s="221">
        <v>5.0000000000000002E-5</v>
      </c>
      <c r="L65" s="221">
        <v>1.7899999999999999E-4</v>
      </c>
      <c r="M65" s="221">
        <v>4.6899999999999997E-2</v>
      </c>
      <c r="N65" s="221">
        <v>0.17899999999999999</v>
      </c>
      <c r="O65" s="221">
        <v>1.7E-5</v>
      </c>
      <c r="P65" s="221">
        <v>3.1100000000000002E-4</v>
      </c>
      <c r="Q65" s="222">
        <v>0.17899999999999999</v>
      </c>
      <c r="T65" s="53" t="s">
        <v>205</v>
      </c>
      <c r="U65" s="39" t="s">
        <v>206</v>
      </c>
      <c r="V65" s="155" t="s">
        <v>341</v>
      </c>
      <c r="W65" s="53">
        <v>0.21768199999999999</v>
      </c>
      <c r="X65" s="53">
        <v>34.802346</v>
      </c>
      <c r="Y65" s="53" t="s">
        <v>356</v>
      </c>
      <c r="Z65" s="53" t="s">
        <v>330</v>
      </c>
      <c r="AA65" s="116" t="s">
        <v>347</v>
      </c>
      <c r="AB65" s="154" t="s">
        <v>371</v>
      </c>
      <c r="AC65" s="116" t="s">
        <v>687</v>
      </c>
      <c r="AD65" s="53" t="s">
        <v>361</v>
      </c>
      <c r="AE65" s="53" t="s">
        <v>685</v>
      </c>
      <c r="AF65" s="53" t="s">
        <v>690</v>
      </c>
      <c r="AG65" s="156">
        <v>44.5</v>
      </c>
      <c r="AH65" s="157">
        <v>36.299999999999997</v>
      </c>
      <c r="AI65" s="162">
        <v>1.5039950000000002</v>
      </c>
      <c r="AJ65" s="157">
        <v>112.5</v>
      </c>
      <c r="AK65" s="156">
        <v>0.11600000000000001</v>
      </c>
      <c r="AL65" s="157">
        <v>17.73</v>
      </c>
      <c r="AM65" s="144">
        <f t="shared" si="0"/>
        <v>6.0958904109589042E-5</v>
      </c>
      <c r="AN65" s="158">
        <f t="shared" si="6"/>
        <v>0.20319634703196349</v>
      </c>
      <c r="AO65" s="144">
        <f t="shared" si="1"/>
        <v>4.972602739726026E-5</v>
      </c>
      <c r="AP65" s="158">
        <f t="shared" si="7"/>
        <v>1.381278538812785E-2</v>
      </c>
      <c r="AQ65" s="144">
        <f t="shared" si="2"/>
        <v>2.0602671232876713E-6</v>
      </c>
      <c r="AR65" s="158">
        <f t="shared" si="8"/>
        <v>6.8675570776255716E-3</v>
      </c>
      <c r="AS65" s="144">
        <f t="shared" si="3"/>
        <v>1.5410958904109589E-4</v>
      </c>
      <c r="AT65" s="158">
        <f t="shared" si="9"/>
        <v>5.1369863013698627E-2</v>
      </c>
      <c r="AU65" s="144">
        <f t="shared" si="4"/>
        <v>1.5890410958904111E-7</v>
      </c>
      <c r="AV65" s="158">
        <f t="shared" si="10"/>
        <v>3.178082191780822E-4</v>
      </c>
      <c r="AW65" s="144">
        <f t="shared" si="5"/>
        <v>2.4287671232876712E-5</v>
      </c>
      <c r="AX65" s="158">
        <f t="shared" si="11"/>
        <v>1.2143835616438355E-3</v>
      </c>
      <c r="AY65" s="144">
        <f t="shared" si="12"/>
        <v>1.2717246575342466E-5</v>
      </c>
      <c r="AZ65" s="158">
        <f t="shared" si="13"/>
        <v>4.239082191780822E-2</v>
      </c>
      <c r="BA65" s="144">
        <f t="shared" si="14"/>
        <v>4.2390821917808221E-7</v>
      </c>
      <c r="BB65" s="158">
        <f t="shared" si="15"/>
        <v>1.2111663405088063E-4</v>
      </c>
      <c r="BC65" s="144">
        <f t="shared" si="16"/>
        <v>1.432709757534247E-8</v>
      </c>
      <c r="BD65" s="158">
        <f t="shared" si="17"/>
        <v>4.7756991917808241E-5</v>
      </c>
      <c r="BE65" s="144">
        <f t="shared" si="18"/>
        <v>1.0716780821917809E-6</v>
      </c>
      <c r="BF65" s="158">
        <f t="shared" si="19"/>
        <v>2.1433561643835618E-4</v>
      </c>
      <c r="BG65" s="144">
        <f t="shared" si="20"/>
        <v>1.1050191780821919E-9</v>
      </c>
      <c r="BH65" s="158">
        <f t="shared" si="21"/>
        <v>2.2100383561643839E-6</v>
      </c>
      <c r="BI65" s="144">
        <f t="shared" si="22"/>
        <v>1.6889646575342466E-7</v>
      </c>
      <c r="BJ65" s="158">
        <f t="shared" si="23"/>
        <v>3.0160083170254405E-5</v>
      </c>
      <c r="BK65" s="144">
        <f t="shared" si="24"/>
        <v>8.9645447219983886E-9</v>
      </c>
      <c r="BL65" s="158">
        <f t="shared" si="25"/>
        <v>2.9881815739994631E-5</v>
      </c>
      <c r="BM65" s="144">
        <f t="shared" si="26"/>
        <v>7.3126510878323935E-9</v>
      </c>
      <c r="BN65" s="158">
        <f t="shared" si="27"/>
        <v>2.0893288822378265E-6</v>
      </c>
      <c r="BO65" s="144">
        <f t="shared" si="28"/>
        <v>3.0298045930701047E-10</v>
      </c>
      <c r="BP65" s="158">
        <f t="shared" si="29"/>
        <v>1.0099348643567016E-6</v>
      </c>
      <c r="BQ65" s="144">
        <f t="shared" si="30"/>
        <v>2.266317485898469E-8</v>
      </c>
      <c r="BR65" s="158">
        <f t="shared" si="31"/>
        <v>4.5326349717969381E-6</v>
      </c>
      <c r="BS65" s="144">
        <f t="shared" si="32"/>
        <v>2.3368251410153107E-11</v>
      </c>
      <c r="BT65" s="158">
        <f t="shared" si="33"/>
        <v>4.6736502820306216E-8</v>
      </c>
      <c r="BU65" s="144">
        <f t="shared" si="34"/>
        <v>3.5717163577759877E-9</v>
      </c>
      <c r="BV65" s="144">
        <f t="shared" si="35"/>
        <v>6.3780649245999776E-7</v>
      </c>
    </row>
    <row r="66" spans="1:74" ht="16.5" thickBot="1">
      <c r="A66" s="240" t="s">
        <v>15</v>
      </c>
      <c r="B66" s="228">
        <v>1.36</v>
      </c>
      <c r="C66" s="221">
        <v>4.8200000000000001E-4</v>
      </c>
      <c r="D66" s="221">
        <v>4.28E-3</v>
      </c>
      <c r="E66" s="228">
        <v>1.36</v>
      </c>
      <c r="F66" s="221">
        <v>0.55200000000000005</v>
      </c>
      <c r="G66" s="221">
        <v>1.9599999999999999E-4</v>
      </c>
      <c r="H66" s="221">
        <v>1.72E-3</v>
      </c>
      <c r="I66" s="221">
        <v>0.55400000000000005</v>
      </c>
      <c r="J66" s="221">
        <v>0.83699999999999997</v>
      </c>
      <c r="K66" s="221">
        <v>2.33E-3</v>
      </c>
      <c r="L66" s="221">
        <v>6.2699999999999995E-4</v>
      </c>
      <c r="M66" s="221">
        <v>0.84</v>
      </c>
      <c r="N66" s="228">
        <v>1.27</v>
      </c>
      <c r="O66" s="221">
        <v>3.5400000000000002E-3</v>
      </c>
      <c r="P66" s="221">
        <v>1.09E-3</v>
      </c>
      <c r="Q66" s="222">
        <v>1.27</v>
      </c>
      <c r="T66" s="53" t="s">
        <v>207</v>
      </c>
      <c r="U66" s="39" t="s">
        <v>208</v>
      </c>
      <c r="V66" s="155" t="s">
        <v>341</v>
      </c>
      <c r="W66" s="53">
        <v>0.21768199999999999</v>
      </c>
      <c r="X66" s="53">
        <v>34.802346</v>
      </c>
      <c r="Y66" s="53" t="s">
        <v>356</v>
      </c>
      <c r="Z66" s="53" t="s">
        <v>330</v>
      </c>
      <c r="AA66" s="116" t="s">
        <v>347</v>
      </c>
      <c r="AB66" s="154" t="s">
        <v>371</v>
      </c>
      <c r="AC66" s="116" t="s">
        <v>687</v>
      </c>
      <c r="AD66" s="53" t="s">
        <v>366</v>
      </c>
      <c r="AE66" s="53" t="s">
        <v>684</v>
      </c>
      <c r="AF66" s="53" t="s">
        <v>683</v>
      </c>
      <c r="AG66" s="156">
        <v>57.9</v>
      </c>
      <c r="AH66" s="157">
        <v>28.7</v>
      </c>
      <c r="AI66" s="162">
        <v>0.55713499999999994</v>
      </c>
      <c r="AJ66" s="157">
        <v>72.599999999999994</v>
      </c>
      <c r="AK66" s="156">
        <v>0.36799999999999999</v>
      </c>
      <c r="AL66" s="157">
        <v>12.14</v>
      </c>
      <c r="AM66" s="144">
        <f t="shared" si="0"/>
        <v>7.9315068493150681E-5</v>
      </c>
      <c r="AN66" s="158">
        <f t="shared" si="6"/>
        <v>0.26438356164383564</v>
      </c>
      <c r="AO66" s="144">
        <f t="shared" si="1"/>
        <v>3.9315068493150684E-5</v>
      </c>
      <c r="AP66" s="158">
        <f t="shared" si="7"/>
        <v>1.0920852359208524E-2</v>
      </c>
      <c r="AQ66" s="144">
        <f t="shared" si="2"/>
        <v>7.6319863013698615E-7</v>
      </c>
      <c r="AR66" s="158">
        <f t="shared" si="8"/>
        <v>2.5439954337899539E-3</v>
      </c>
      <c r="AS66" s="144">
        <f t="shared" si="3"/>
        <v>9.945205479452052E-5</v>
      </c>
      <c r="AT66" s="158">
        <f t="shared" si="9"/>
        <v>3.3150684931506837E-2</v>
      </c>
      <c r="AU66" s="144">
        <f t="shared" si="4"/>
        <v>5.0410958904109573E-7</v>
      </c>
      <c r="AV66" s="158">
        <f t="shared" si="10"/>
        <v>1.0082191780821914E-3</v>
      </c>
      <c r="AW66" s="144">
        <f t="shared" si="5"/>
        <v>1.663013698630137E-5</v>
      </c>
      <c r="AX66" s="158">
        <f t="shared" si="11"/>
        <v>8.3150684931506845E-4</v>
      </c>
      <c r="AY66" s="144">
        <f t="shared" si="12"/>
        <v>1.6546709589041097E-5</v>
      </c>
      <c r="AZ66" s="158">
        <f t="shared" si="13"/>
        <v>5.5155698630136994E-2</v>
      </c>
      <c r="BA66" s="144">
        <f t="shared" si="14"/>
        <v>5.5155698630136995E-7</v>
      </c>
      <c r="BB66" s="158">
        <f t="shared" si="15"/>
        <v>1.5758771037181998E-4</v>
      </c>
      <c r="BC66" s="144">
        <f t="shared" si="16"/>
        <v>5.3072832739726017E-9</v>
      </c>
      <c r="BD66" s="158">
        <f t="shared" si="17"/>
        <v>1.769094424657534E-5</v>
      </c>
      <c r="BE66" s="144">
        <f t="shared" si="18"/>
        <v>6.9158958904109571E-7</v>
      </c>
      <c r="BF66" s="158">
        <f t="shared" si="19"/>
        <v>1.3831791780821915E-4</v>
      </c>
      <c r="BG66" s="144">
        <f t="shared" si="20"/>
        <v>3.5055780821917804E-9</v>
      </c>
      <c r="BH66" s="158">
        <f t="shared" si="21"/>
        <v>7.0111561643835608E-6</v>
      </c>
      <c r="BI66" s="144">
        <f t="shared" si="22"/>
        <v>1.1564597260273972E-7</v>
      </c>
      <c r="BJ66" s="158">
        <f t="shared" si="23"/>
        <v>2.0651066536203521E-5</v>
      </c>
      <c r="BK66" s="144">
        <f t="shared" si="24"/>
        <v>1.1663980660757453E-8</v>
      </c>
      <c r="BL66" s="158">
        <f t="shared" si="25"/>
        <v>3.8879935535858178E-5</v>
      </c>
      <c r="BM66" s="144">
        <f t="shared" si="26"/>
        <v>5.7816277195809828E-9</v>
      </c>
      <c r="BN66" s="158">
        <f t="shared" si="27"/>
        <v>1.651893634165995E-6</v>
      </c>
      <c r="BO66" s="144">
        <f t="shared" si="28"/>
        <v>1.1223509266720385E-10</v>
      </c>
      <c r="BP66" s="158">
        <f t="shared" si="29"/>
        <v>3.741169755573462E-7</v>
      </c>
      <c r="BQ66" s="144">
        <f t="shared" si="30"/>
        <v>1.4625302175664787E-8</v>
      </c>
      <c r="BR66" s="158">
        <f t="shared" si="31"/>
        <v>2.9250604351329574E-6</v>
      </c>
      <c r="BS66" s="144">
        <f t="shared" si="32"/>
        <v>7.4133763094278803E-11</v>
      </c>
      <c r="BT66" s="158">
        <f t="shared" si="33"/>
        <v>1.482675261885576E-7</v>
      </c>
      <c r="BU66" s="144">
        <f t="shared" si="34"/>
        <v>2.4456083803384368E-9</v>
      </c>
      <c r="BV66" s="144">
        <f t="shared" si="35"/>
        <v>4.3671578220329231E-7</v>
      </c>
    </row>
    <row r="67" spans="1:74" ht="16.5" thickBot="1">
      <c r="A67" s="240" t="s">
        <v>32</v>
      </c>
      <c r="B67" s="221">
        <v>2.5700000000000001E-2</v>
      </c>
      <c r="C67" s="221">
        <v>7.9999999999999996E-6</v>
      </c>
      <c r="D67" s="221">
        <v>3.1000000000000001E-5</v>
      </c>
      <c r="E67" s="221">
        <v>2.5700000000000001E-2</v>
      </c>
      <c r="F67" s="221">
        <v>5.2399999999999999E-3</v>
      </c>
      <c r="G67" s="221">
        <v>1.9999999999999999E-6</v>
      </c>
      <c r="H67" s="221">
        <v>6.9999999999999999E-6</v>
      </c>
      <c r="I67" s="221">
        <v>5.2500000000000003E-3</v>
      </c>
      <c r="J67" s="221">
        <v>6.2100000000000002E-3</v>
      </c>
      <c r="K67" s="221">
        <v>9.9999999999999995E-7</v>
      </c>
      <c r="L67" s="221">
        <v>9.0000000000000002E-6</v>
      </c>
      <c r="M67" s="221">
        <v>6.2199999999999998E-3</v>
      </c>
      <c r="N67" s="221">
        <v>1.1900000000000001E-2</v>
      </c>
      <c r="O67" s="221">
        <v>1.9999999999999999E-6</v>
      </c>
      <c r="P67" s="221">
        <v>1.4E-5</v>
      </c>
      <c r="Q67" s="222">
        <v>1.1900000000000001E-2</v>
      </c>
      <c r="T67" s="53" t="s">
        <v>209</v>
      </c>
      <c r="U67" s="39" t="s">
        <v>210</v>
      </c>
      <c r="V67" s="155" t="s">
        <v>341</v>
      </c>
      <c r="W67" s="53">
        <v>0.16381399999999999</v>
      </c>
      <c r="X67" s="53">
        <v>34.761139</v>
      </c>
      <c r="Y67" s="53" t="s">
        <v>357</v>
      </c>
      <c r="Z67" s="53" t="s">
        <v>330</v>
      </c>
      <c r="AA67" s="116" t="s">
        <v>347</v>
      </c>
      <c r="AB67" s="154" t="s">
        <v>371</v>
      </c>
      <c r="AC67" s="116" t="s">
        <v>687</v>
      </c>
      <c r="AD67" s="53" t="s">
        <v>361</v>
      </c>
      <c r="AE67" s="53" t="s">
        <v>685</v>
      </c>
      <c r="AF67" s="53" t="s">
        <v>690</v>
      </c>
      <c r="AG67" s="156">
        <v>57.8</v>
      </c>
      <c r="AH67" s="157">
        <v>18.600000000000001</v>
      </c>
      <c r="AI67" s="162">
        <v>0.13077499999999997</v>
      </c>
      <c r="AJ67" s="157">
        <v>207.7</v>
      </c>
      <c r="AK67" s="156">
        <v>9.2999999999999999E-2</v>
      </c>
      <c r="AL67" s="157">
        <v>66.37</v>
      </c>
      <c r="AM67" s="144">
        <f t="shared" si="0"/>
        <v>7.9178082191780813E-5</v>
      </c>
      <c r="AN67" s="158">
        <f t="shared" si="6"/>
        <v>0.26392694063926941</v>
      </c>
      <c r="AO67" s="144">
        <f t="shared" si="1"/>
        <v>2.5479452054794522E-5</v>
      </c>
      <c r="AP67" s="158">
        <f t="shared" si="7"/>
        <v>7.0776255707762558E-3</v>
      </c>
      <c r="AQ67" s="144">
        <f t="shared" si="2"/>
        <v>1.791438356164383E-7</v>
      </c>
      <c r="AR67" s="158">
        <f t="shared" si="8"/>
        <v>5.9714611872146105E-4</v>
      </c>
      <c r="AS67" s="144">
        <f t="shared" si="3"/>
        <v>2.8452054794520545E-4</v>
      </c>
      <c r="AT67" s="158">
        <f t="shared" si="9"/>
        <v>9.4840182648401813E-2</v>
      </c>
      <c r="AU67" s="144">
        <f t="shared" si="4"/>
        <v>1.2739726027397262E-7</v>
      </c>
      <c r="AV67" s="158">
        <f t="shared" si="10"/>
        <v>2.5479452054794522E-4</v>
      </c>
      <c r="AW67" s="144">
        <f t="shared" si="5"/>
        <v>9.0917808219178063E-5</v>
      </c>
      <c r="AX67" s="158">
        <f t="shared" si="11"/>
        <v>4.5458904109589027E-3</v>
      </c>
      <c r="AY67" s="144">
        <f t="shared" si="12"/>
        <v>1.6518131506849311E-5</v>
      </c>
      <c r="AZ67" s="158">
        <f t="shared" si="13"/>
        <v>5.5060438356164379E-2</v>
      </c>
      <c r="BA67" s="144">
        <f t="shared" si="14"/>
        <v>5.5060438356164382E-7</v>
      </c>
      <c r="BB67" s="158">
        <f t="shared" si="15"/>
        <v>1.5731553816046966E-4</v>
      </c>
      <c r="BC67" s="144">
        <f t="shared" si="16"/>
        <v>1.2457662328767122E-9</v>
      </c>
      <c r="BD67" s="158">
        <f t="shared" si="17"/>
        <v>4.1525541095890413E-6</v>
      </c>
      <c r="BE67" s="144">
        <f t="shared" si="18"/>
        <v>1.9785558904109591E-6</v>
      </c>
      <c r="BF67" s="158">
        <f t="shared" si="19"/>
        <v>3.9571117808219182E-4</v>
      </c>
      <c r="BG67" s="144">
        <f t="shared" si="20"/>
        <v>8.8592054794520534E-10</v>
      </c>
      <c r="BH67" s="158">
        <f t="shared" si="21"/>
        <v>1.7718410958904106E-6</v>
      </c>
      <c r="BI67" s="144">
        <f t="shared" si="22"/>
        <v>6.3224243835616439E-7</v>
      </c>
      <c r="BJ67" s="158">
        <f t="shared" si="23"/>
        <v>1.1290043542074364E-4</v>
      </c>
      <c r="BK67" s="144">
        <f t="shared" si="24"/>
        <v>1.1643835616438356E-8</v>
      </c>
      <c r="BL67" s="158">
        <f t="shared" si="25"/>
        <v>3.8812785388127858E-5</v>
      </c>
      <c r="BM67" s="144">
        <f t="shared" si="26"/>
        <v>3.7469782433521356E-9</v>
      </c>
      <c r="BN67" s="158">
        <f t="shared" si="27"/>
        <v>1.0705652123863245E-6</v>
      </c>
      <c r="BO67" s="144">
        <f t="shared" si="28"/>
        <v>2.6344681708299754E-11</v>
      </c>
      <c r="BP67" s="158">
        <f t="shared" si="29"/>
        <v>8.7815605694332514E-8</v>
      </c>
      <c r="BQ67" s="144">
        <f t="shared" si="30"/>
        <v>4.1841257050765513E-8</v>
      </c>
      <c r="BR67" s="158">
        <f t="shared" si="31"/>
        <v>8.3682514101531026E-6</v>
      </c>
      <c r="BS67" s="144">
        <f t="shared" si="32"/>
        <v>1.8734891216760678E-11</v>
      </c>
      <c r="BT67" s="158">
        <f t="shared" si="33"/>
        <v>3.7469782433521356E-8</v>
      </c>
      <c r="BU67" s="144">
        <f t="shared" si="34"/>
        <v>1.3370265914585014E-8</v>
      </c>
      <c r="BV67" s="144">
        <f t="shared" si="35"/>
        <v>2.3875474847473239E-6</v>
      </c>
    </row>
    <row r="68" spans="1:74" ht="16.5" thickBot="1">
      <c r="A68" s="240" t="s">
        <v>19</v>
      </c>
      <c r="B68" s="221">
        <v>8.8200000000000001E-2</v>
      </c>
      <c r="C68" s="221">
        <v>1.34E-4</v>
      </c>
      <c r="D68" s="221">
        <v>1.5899999999999999E-4</v>
      </c>
      <c r="E68" s="221">
        <v>8.8499999999999995E-2</v>
      </c>
      <c r="F68" s="221">
        <v>3.27E-2</v>
      </c>
      <c r="G68" s="221">
        <v>6.3E-5</v>
      </c>
      <c r="H68" s="221">
        <v>3.8000000000000002E-5</v>
      </c>
      <c r="I68" s="221">
        <v>3.2800000000000003E-2</v>
      </c>
      <c r="J68" s="221">
        <v>4.4900000000000002E-2</v>
      </c>
      <c r="K68" s="221">
        <v>9.9999999999999995E-7</v>
      </c>
      <c r="L68" s="221">
        <v>1.8200000000000001E-4</v>
      </c>
      <c r="M68" s="221">
        <v>4.5100000000000001E-2</v>
      </c>
      <c r="N68" s="221">
        <v>7.6799999999999993E-2</v>
      </c>
      <c r="O68" s="221">
        <v>1.9999999999999999E-6</v>
      </c>
      <c r="P68" s="221">
        <v>3.3100000000000002E-4</v>
      </c>
      <c r="Q68" s="222">
        <v>7.7100000000000002E-2</v>
      </c>
      <c r="T68" s="53" t="s">
        <v>211</v>
      </c>
      <c r="U68" s="39" t="s">
        <v>212</v>
      </c>
      <c r="V68" s="155" t="s">
        <v>341</v>
      </c>
      <c r="W68" s="53">
        <v>0.16381399999999999</v>
      </c>
      <c r="X68" s="53">
        <v>34.761139</v>
      </c>
      <c r="Y68" s="53" t="s">
        <v>357</v>
      </c>
      <c r="Z68" s="53" t="s">
        <v>330</v>
      </c>
      <c r="AA68" s="116" t="s">
        <v>347</v>
      </c>
      <c r="AB68" s="154" t="s">
        <v>371</v>
      </c>
      <c r="AC68" s="116" t="s">
        <v>687</v>
      </c>
      <c r="AD68" s="53" t="s">
        <v>367</v>
      </c>
      <c r="AE68" s="53" t="s">
        <v>684</v>
      </c>
      <c r="AF68" s="53" t="s">
        <v>683</v>
      </c>
      <c r="AG68" s="156">
        <v>55</v>
      </c>
      <c r="AH68" s="157">
        <v>23.5</v>
      </c>
      <c r="AI68" s="162">
        <v>0.46534500000000001</v>
      </c>
      <c r="AJ68" s="157">
        <v>135.19999999999999</v>
      </c>
      <c r="AK68" s="156">
        <v>0.06</v>
      </c>
      <c r="AL68" s="157">
        <v>40.54</v>
      </c>
      <c r="AM68" s="144">
        <f t="shared" si="0"/>
        <v>7.5342465753424663E-5</v>
      </c>
      <c r="AN68" s="158">
        <f t="shared" si="6"/>
        <v>0.25114155251141557</v>
      </c>
      <c r="AO68" s="144">
        <f t="shared" si="1"/>
        <v>3.2191780821917801E-5</v>
      </c>
      <c r="AP68" s="158">
        <f t="shared" si="7"/>
        <v>8.9421613394216112E-3</v>
      </c>
      <c r="AQ68" s="144">
        <f t="shared" si="2"/>
        <v>6.3745890410958895E-7</v>
      </c>
      <c r="AR68" s="158">
        <f t="shared" si="8"/>
        <v>2.1248630136986302E-3</v>
      </c>
      <c r="AS68" s="144">
        <f t="shared" si="3"/>
        <v>1.8520547945205472E-4</v>
      </c>
      <c r="AT68" s="158">
        <f t="shared" si="9"/>
        <v>6.1735159817351573E-2</v>
      </c>
      <c r="AU68" s="144">
        <f t="shared" si="4"/>
        <v>8.2191780821917807E-8</v>
      </c>
      <c r="AV68" s="158">
        <f t="shared" si="10"/>
        <v>1.6438356164383562E-4</v>
      </c>
      <c r="AW68" s="144">
        <f t="shared" si="5"/>
        <v>5.5534246575342468E-5</v>
      </c>
      <c r="AX68" s="158">
        <f t="shared" si="11"/>
        <v>2.7767123287671235E-3</v>
      </c>
      <c r="AY68" s="144">
        <f t="shared" si="12"/>
        <v>1.5717945205479446E-5</v>
      </c>
      <c r="AZ68" s="158">
        <f t="shared" si="13"/>
        <v>5.2393150684931493E-2</v>
      </c>
      <c r="BA68" s="144">
        <f t="shared" si="14"/>
        <v>5.2393150684931508E-7</v>
      </c>
      <c r="BB68" s="158">
        <f t="shared" si="15"/>
        <v>1.4969471624266145E-4</v>
      </c>
      <c r="BC68" s="144">
        <f t="shared" si="16"/>
        <v>4.4328892191780817E-9</v>
      </c>
      <c r="BD68" s="158">
        <f t="shared" si="17"/>
        <v>1.4776297397260273E-5</v>
      </c>
      <c r="BE68" s="144">
        <f t="shared" si="18"/>
        <v>1.2879189041095886E-6</v>
      </c>
      <c r="BF68" s="158">
        <f t="shared" si="19"/>
        <v>2.5758378082191773E-4</v>
      </c>
      <c r="BG68" s="144">
        <f t="shared" si="20"/>
        <v>5.7156164383561645E-10</v>
      </c>
      <c r="BH68" s="158">
        <f t="shared" si="21"/>
        <v>1.1431232876712329E-6</v>
      </c>
      <c r="BI68" s="144">
        <f t="shared" si="22"/>
        <v>3.8618515068493152E-7</v>
      </c>
      <c r="BJ68" s="158">
        <f t="shared" si="23"/>
        <v>6.8961634050880626E-5</v>
      </c>
      <c r="BK68" s="144">
        <f t="shared" si="24"/>
        <v>1.1079774375503627E-8</v>
      </c>
      <c r="BL68" s="158">
        <f t="shared" si="25"/>
        <v>3.6932581251678758E-5</v>
      </c>
      <c r="BM68" s="144">
        <f t="shared" si="26"/>
        <v>4.7340854149879133E-9</v>
      </c>
      <c r="BN68" s="158">
        <f t="shared" si="27"/>
        <v>1.3525958328536895E-6</v>
      </c>
      <c r="BO68" s="144">
        <f t="shared" si="28"/>
        <v>9.3743956486704284E-11</v>
      </c>
      <c r="BP68" s="158">
        <f t="shared" si="29"/>
        <v>3.1247985495568097E-7</v>
      </c>
      <c r="BQ68" s="144">
        <f t="shared" si="30"/>
        <v>2.7236099919419822E-8</v>
      </c>
      <c r="BR68" s="158">
        <f t="shared" si="31"/>
        <v>5.4472199838839639E-6</v>
      </c>
      <c r="BS68" s="144">
        <f t="shared" si="32"/>
        <v>1.2087026591458502E-11</v>
      </c>
      <c r="BT68" s="158">
        <f t="shared" si="33"/>
        <v>2.4174053182917002E-8</v>
      </c>
      <c r="BU68" s="144">
        <f t="shared" si="34"/>
        <v>8.1668009669621274E-9</v>
      </c>
      <c r="BV68" s="144">
        <f t="shared" si="35"/>
        <v>1.4583573155289513E-6</v>
      </c>
    </row>
    <row r="69" spans="1:74" ht="16.5" thickBot="1">
      <c r="A69" s="242" t="s">
        <v>914</v>
      </c>
      <c r="B69" s="225">
        <v>83.8</v>
      </c>
      <c r="C69" s="225">
        <v>1.36</v>
      </c>
      <c r="D69" s="226">
        <v>0.70299999999999996</v>
      </c>
      <c r="E69" s="225">
        <v>85.9</v>
      </c>
      <c r="F69" s="225">
        <v>1.71</v>
      </c>
      <c r="G69" s="226">
        <v>1.6299999999999999E-2</v>
      </c>
      <c r="H69" s="224">
        <v>2.4899999999999999E-2</v>
      </c>
      <c r="I69" s="225">
        <v>1.75</v>
      </c>
      <c r="J69" s="225">
        <v>4.01</v>
      </c>
      <c r="K69" s="226">
        <v>2.49E-3</v>
      </c>
      <c r="L69" s="226">
        <v>0.14099999999999999</v>
      </c>
      <c r="M69" s="225">
        <v>4.16</v>
      </c>
      <c r="N69" s="225">
        <v>28.8</v>
      </c>
      <c r="O69" s="226">
        <v>4.3E-3</v>
      </c>
      <c r="P69" s="226">
        <v>0.82099999999999995</v>
      </c>
      <c r="Q69" s="227">
        <v>29.6</v>
      </c>
      <c r="T69" s="53" t="s">
        <v>213</v>
      </c>
      <c r="U69" s="39" t="s">
        <v>214</v>
      </c>
      <c r="V69" s="155" t="s">
        <v>341</v>
      </c>
      <c r="W69" s="53">
        <v>0.16381399999999999</v>
      </c>
      <c r="X69" s="53">
        <v>34.761139</v>
      </c>
      <c r="Y69" s="53" t="s">
        <v>357</v>
      </c>
      <c r="Z69" s="53" t="s">
        <v>330</v>
      </c>
      <c r="AA69" s="116" t="s">
        <v>347</v>
      </c>
      <c r="AB69" s="154" t="s">
        <v>371</v>
      </c>
      <c r="AC69" s="116" t="s">
        <v>687</v>
      </c>
      <c r="AD69" s="53" t="s">
        <v>365</v>
      </c>
      <c r="AE69" s="53" t="s">
        <v>685</v>
      </c>
      <c r="AF69" s="53" t="s">
        <v>691</v>
      </c>
      <c r="AG69" s="156">
        <v>19.3</v>
      </c>
      <c r="AH69" s="157">
        <v>17.399999999999999</v>
      </c>
      <c r="AI69" s="162">
        <v>7.3565000000000005E-2</v>
      </c>
      <c r="AJ69" s="157">
        <v>141.69999999999999</v>
      </c>
      <c r="AK69" s="156">
        <v>4.4999999999999998E-2</v>
      </c>
      <c r="AL69" s="157">
        <v>54.66</v>
      </c>
      <c r="AM69" s="144">
        <f t="shared" si="0"/>
        <v>2.6438356164383563E-5</v>
      </c>
      <c r="AN69" s="158">
        <f t="shared" si="6"/>
        <v>8.8127853881278556E-2</v>
      </c>
      <c r="AO69" s="144">
        <f t="shared" si="1"/>
        <v>2.3835616438356159E-5</v>
      </c>
      <c r="AP69" s="158">
        <f t="shared" si="7"/>
        <v>6.6210045662100439E-3</v>
      </c>
      <c r="AQ69" s="144">
        <f t="shared" si="2"/>
        <v>1.0077397260273973E-7</v>
      </c>
      <c r="AR69" s="158">
        <f t="shared" si="8"/>
        <v>3.3591324200913248E-4</v>
      </c>
      <c r="AS69" s="144">
        <f t="shared" si="3"/>
        <v>1.9410958904109586E-4</v>
      </c>
      <c r="AT69" s="158">
        <f t="shared" si="9"/>
        <v>6.4703196347031949E-2</v>
      </c>
      <c r="AU69" s="144">
        <f t="shared" si="4"/>
        <v>6.1643835616438355E-8</v>
      </c>
      <c r="AV69" s="158">
        <f t="shared" si="10"/>
        <v>1.2328767123287671E-4</v>
      </c>
      <c r="AW69" s="144">
        <f t="shared" si="5"/>
        <v>7.4876712328767118E-5</v>
      </c>
      <c r="AX69" s="158">
        <f t="shared" si="11"/>
        <v>3.7438356164383557E-3</v>
      </c>
      <c r="AY69" s="144">
        <f t="shared" si="12"/>
        <v>5.5155698630136989E-6</v>
      </c>
      <c r="AZ69" s="158">
        <f t="shared" si="13"/>
        <v>1.8385232876712333E-2</v>
      </c>
      <c r="BA69" s="144">
        <f t="shared" si="14"/>
        <v>1.8385232876712327E-7</v>
      </c>
      <c r="BB69" s="158">
        <f t="shared" si="15"/>
        <v>5.2529236790606645E-5</v>
      </c>
      <c r="BC69" s="144">
        <f t="shared" si="16"/>
        <v>7.0078220547945222E-10</v>
      </c>
      <c r="BD69" s="158">
        <f t="shared" si="17"/>
        <v>2.3359406849315077E-6</v>
      </c>
      <c r="BE69" s="144">
        <f t="shared" si="18"/>
        <v>1.3498380821917806E-6</v>
      </c>
      <c r="BF69" s="158">
        <f t="shared" si="19"/>
        <v>2.6996761643835612E-4</v>
      </c>
      <c r="BG69" s="144">
        <f t="shared" si="20"/>
        <v>4.2867123287671231E-10</v>
      </c>
      <c r="BH69" s="158">
        <f t="shared" si="21"/>
        <v>8.573424657534246E-7</v>
      </c>
      <c r="BI69" s="144">
        <f t="shared" si="22"/>
        <v>5.2069265753424664E-7</v>
      </c>
      <c r="BJ69" s="158">
        <f t="shared" si="23"/>
        <v>9.2980831702544042E-5</v>
      </c>
      <c r="BK69" s="144">
        <f t="shared" si="24"/>
        <v>3.8879935535858183E-9</v>
      </c>
      <c r="BL69" s="158">
        <f t="shared" si="25"/>
        <v>1.2959978511952728E-5</v>
      </c>
      <c r="BM69" s="144">
        <f t="shared" si="26"/>
        <v>3.5052377115229654E-9</v>
      </c>
      <c r="BN69" s="158">
        <f t="shared" si="27"/>
        <v>1.0014964890065615E-6</v>
      </c>
      <c r="BO69" s="144">
        <f t="shared" si="28"/>
        <v>1.4819701853344079E-11</v>
      </c>
      <c r="BP69" s="158">
        <f t="shared" si="29"/>
        <v>4.9399006177813603E-8</v>
      </c>
      <c r="BQ69" s="144">
        <f t="shared" si="30"/>
        <v>2.8545527800161159E-8</v>
      </c>
      <c r="BR69" s="158">
        <f t="shared" si="31"/>
        <v>5.7091055600322321E-6</v>
      </c>
      <c r="BS69" s="144">
        <f t="shared" si="32"/>
        <v>9.0652699435938745E-12</v>
      </c>
      <c r="BT69" s="158">
        <f t="shared" si="33"/>
        <v>1.8130539887187749E-8</v>
      </c>
      <c r="BU69" s="144">
        <f t="shared" si="34"/>
        <v>1.1011281224818693E-8</v>
      </c>
      <c r="BV69" s="144">
        <f t="shared" si="35"/>
        <v>1.9663002187176235E-6</v>
      </c>
    </row>
    <row r="70" spans="1:74" ht="16.5" thickTop="1">
      <c r="A70" s="239" t="s">
        <v>1162</v>
      </c>
      <c r="T70" s="53" t="s">
        <v>215</v>
      </c>
      <c r="U70" s="39" t="s">
        <v>216</v>
      </c>
      <c r="V70" s="155" t="s">
        <v>341</v>
      </c>
      <c r="W70" s="53">
        <v>0.16381399999999999</v>
      </c>
      <c r="X70" s="53">
        <v>34.761139</v>
      </c>
      <c r="Y70" s="53" t="s">
        <v>357</v>
      </c>
      <c r="Z70" s="53" t="s">
        <v>330</v>
      </c>
      <c r="AA70" s="116" t="s">
        <v>347</v>
      </c>
      <c r="AB70" s="154" t="s">
        <v>371</v>
      </c>
      <c r="AC70" s="116" t="s">
        <v>687</v>
      </c>
      <c r="AD70" s="53" t="s">
        <v>364</v>
      </c>
      <c r="AE70" s="53" t="s">
        <v>685</v>
      </c>
      <c r="AF70" s="53" t="s">
        <v>690</v>
      </c>
      <c r="AG70" s="156">
        <v>8.6999999999999993</v>
      </c>
      <c r="AH70" s="157">
        <v>6.8</v>
      </c>
      <c r="AI70" s="162">
        <v>0.16572500000000001</v>
      </c>
      <c r="AJ70" s="157">
        <v>208.7</v>
      </c>
      <c r="AK70" s="156">
        <v>3.1E-2</v>
      </c>
      <c r="AL70" s="157">
        <v>44.84</v>
      </c>
      <c r="AM70" s="144">
        <f t="shared" si="0"/>
        <v>1.1917808219178079E-5</v>
      </c>
      <c r="AN70" s="158">
        <f t="shared" si="6"/>
        <v>3.972602739726027E-2</v>
      </c>
      <c r="AO70" s="144">
        <f t="shared" si="1"/>
        <v>9.3150684931506837E-6</v>
      </c>
      <c r="AP70" s="158">
        <f t="shared" si="7"/>
        <v>2.5875190258751899E-3</v>
      </c>
      <c r="AQ70" s="144">
        <f t="shared" si="2"/>
        <v>2.2702054794520552E-7</v>
      </c>
      <c r="AR70" s="158">
        <f t="shared" si="8"/>
        <v>7.5673515981735187E-4</v>
      </c>
      <c r="AS70" s="144">
        <f t="shared" si="3"/>
        <v>2.8589041095890408E-4</v>
      </c>
      <c r="AT70" s="158">
        <f t="shared" si="9"/>
        <v>9.5296803652968026E-2</v>
      </c>
      <c r="AU70" s="144">
        <f t="shared" si="4"/>
        <v>4.2465753424657528E-8</v>
      </c>
      <c r="AV70" s="158">
        <f t="shared" si="10"/>
        <v>8.4931506849315059E-5</v>
      </c>
      <c r="AW70" s="144">
        <f t="shared" si="5"/>
        <v>6.1424657534246574E-5</v>
      </c>
      <c r="AX70" s="158">
        <f t="shared" si="11"/>
        <v>3.0712328767123287E-3</v>
      </c>
      <c r="AY70" s="144">
        <f t="shared" si="12"/>
        <v>2.4862931506849313E-6</v>
      </c>
      <c r="AZ70" s="158">
        <f t="shared" si="13"/>
        <v>8.2876438356164379E-3</v>
      </c>
      <c r="BA70" s="144">
        <f t="shared" si="14"/>
        <v>8.2876438356164379E-8</v>
      </c>
      <c r="BB70" s="158">
        <f t="shared" si="15"/>
        <v>2.3678982387475536E-5</v>
      </c>
      <c r="BC70" s="144">
        <f t="shared" si="16"/>
        <v>1.578700890410959E-9</v>
      </c>
      <c r="BD70" s="158">
        <f t="shared" si="17"/>
        <v>5.2623363013698636E-6</v>
      </c>
      <c r="BE70" s="144">
        <f t="shared" si="18"/>
        <v>1.9880819178082194E-6</v>
      </c>
      <c r="BF70" s="158">
        <f t="shared" si="19"/>
        <v>3.9761638356164387E-4</v>
      </c>
      <c r="BG70" s="144">
        <f t="shared" si="20"/>
        <v>2.9530684931506852E-10</v>
      </c>
      <c r="BH70" s="158">
        <f t="shared" si="21"/>
        <v>5.9061369863013707E-7</v>
      </c>
      <c r="BI70" s="144">
        <f t="shared" si="22"/>
        <v>4.271470684931507E-7</v>
      </c>
      <c r="BJ70" s="158">
        <f t="shared" si="23"/>
        <v>7.6276262230919772E-5</v>
      </c>
      <c r="BK70" s="144">
        <f t="shared" si="24"/>
        <v>1.7526188557614827E-9</v>
      </c>
      <c r="BL70" s="158">
        <f t="shared" si="25"/>
        <v>5.8420628525382757E-6</v>
      </c>
      <c r="BM70" s="144">
        <f t="shared" si="26"/>
        <v>1.3698630136986302E-9</v>
      </c>
      <c r="BN70" s="158">
        <f t="shared" si="27"/>
        <v>3.913894324853229E-7</v>
      </c>
      <c r="BO70" s="144">
        <f t="shared" si="28"/>
        <v>3.3385374697824337E-11</v>
      </c>
      <c r="BP70" s="158">
        <f t="shared" si="29"/>
        <v>1.1128458232608113E-7</v>
      </c>
      <c r="BQ70" s="144">
        <f t="shared" si="30"/>
        <v>4.2042707493956485E-8</v>
      </c>
      <c r="BR70" s="158">
        <f t="shared" si="31"/>
        <v>8.4085414987912969E-6</v>
      </c>
      <c r="BS70" s="144">
        <f t="shared" si="32"/>
        <v>6.2449637389202253E-12</v>
      </c>
      <c r="BT70" s="158">
        <f t="shared" si="33"/>
        <v>1.248992747784045E-8</v>
      </c>
      <c r="BU70" s="144">
        <f t="shared" si="34"/>
        <v>9.0330378726833192E-9</v>
      </c>
      <c r="BV70" s="144">
        <f t="shared" si="35"/>
        <v>1.6130424772648785E-6</v>
      </c>
    </row>
    <row r="71" spans="1:74">
      <c r="T71" s="53" t="s">
        <v>217</v>
      </c>
      <c r="U71" s="39" t="s">
        <v>218</v>
      </c>
      <c r="V71" s="155" t="s">
        <v>341</v>
      </c>
      <c r="W71" s="53">
        <v>0.17374600000000001</v>
      </c>
      <c r="X71" s="53">
        <v>34.768698000000001</v>
      </c>
      <c r="Y71" s="53" t="s">
        <v>358</v>
      </c>
      <c r="Z71" s="53" t="s">
        <v>330</v>
      </c>
      <c r="AA71" s="116" t="s">
        <v>347</v>
      </c>
      <c r="AB71" s="154" t="s">
        <v>371</v>
      </c>
      <c r="AC71" s="116" t="s">
        <v>687</v>
      </c>
      <c r="AD71" s="53" t="s">
        <v>365</v>
      </c>
      <c r="AE71" s="53" t="s">
        <v>685</v>
      </c>
      <c r="AF71" s="53" t="s">
        <v>691</v>
      </c>
      <c r="AG71" s="156">
        <v>251.9</v>
      </c>
      <c r="AH71" s="157">
        <v>11.6</v>
      </c>
      <c r="AI71" s="162">
        <v>0.30123499999999998</v>
      </c>
      <c r="AJ71" s="157">
        <v>427.2</v>
      </c>
      <c r="AK71" s="156">
        <v>0.14899999999999999</v>
      </c>
      <c r="AL71" s="157">
        <v>173.06</v>
      </c>
      <c r="AM71" s="144">
        <f t="shared" si="0"/>
        <v>3.4506849315068492E-4</v>
      </c>
      <c r="AN71" s="158">
        <f t="shared" si="6"/>
        <v>1.1502283105022832</v>
      </c>
      <c r="AO71" s="144">
        <f t="shared" si="1"/>
        <v>1.5890410958904109E-5</v>
      </c>
      <c r="AP71" s="158">
        <f t="shared" si="7"/>
        <v>4.4140030441400307E-3</v>
      </c>
      <c r="AQ71" s="144">
        <f t="shared" si="2"/>
        <v>4.1265068493150672E-7</v>
      </c>
      <c r="AR71" s="158">
        <f t="shared" si="8"/>
        <v>1.3755022831050225E-3</v>
      </c>
      <c r="AS71" s="144">
        <f t="shared" si="3"/>
        <v>5.8520547945205476E-4</v>
      </c>
      <c r="AT71" s="158">
        <f t="shared" si="9"/>
        <v>0.19506849315068492</v>
      </c>
      <c r="AU71" s="144">
        <f t="shared" si="4"/>
        <v>2.0410958904109583E-7</v>
      </c>
      <c r="AV71" s="158">
        <f t="shared" si="10"/>
        <v>4.0821917808219166E-4</v>
      </c>
      <c r="AW71" s="144">
        <f t="shared" si="5"/>
        <v>2.3706849315068492E-4</v>
      </c>
      <c r="AX71" s="158">
        <f t="shared" si="11"/>
        <v>1.1853424657534245E-2</v>
      </c>
      <c r="AY71" s="144">
        <f t="shared" si="12"/>
        <v>7.1988189041095904E-5</v>
      </c>
      <c r="AZ71" s="158">
        <f t="shared" si="13"/>
        <v>0.23996063013698637</v>
      </c>
      <c r="BA71" s="144">
        <f t="shared" si="14"/>
        <v>2.399606301369863E-6</v>
      </c>
      <c r="BB71" s="158">
        <f t="shared" si="15"/>
        <v>6.8560180039138943E-4</v>
      </c>
      <c r="BC71" s="144">
        <f t="shared" si="16"/>
        <v>2.8695728630136981E-9</v>
      </c>
      <c r="BD71" s="158">
        <f t="shared" si="17"/>
        <v>9.5652428767123272E-6</v>
      </c>
      <c r="BE71" s="144">
        <f t="shared" si="18"/>
        <v>4.0695189041095888E-6</v>
      </c>
      <c r="BF71" s="158">
        <f t="shared" si="19"/>
        <v>8.139037808219178E-4</v>
      </c>
      <c r="BG71" s="144">
        <f t="shared" si="20"/>
        <v>1.4193780821917807E-9</v>
      </c>
      <c r="BH71" s="158">
        <f t="shared" si="21"/>
        <v>2.8387561643835616E-6</v>
      </c>
      <c r="BI71" s="144">
        <f t="shared" si="22"/>
        <v>1.6485743013698629E-6</v>
      </c>
      <c r="BJ71" s="158">
        <f t="shared" si="23"/>
        <v>2.9438826810176125E-4</v>
      </c>
      <c r="BK71" s="144">
        <f t="shared" si="24"/>
        <v>5.0745366639806608E-8</v>
      </c>
      <c r="BL71" s="158">
        <f t="shared" si="25"/>
        <v>1.6915122213268872E-4</v>
      </c>
      <c r="BM71" s="144">
        <f t="shared" si="26"/>
        <v>2.3368251410153104E-9</v>
      </c>
      <c r="BN71" s="158">
        <f t="shared" si="27"/>
        <v>6.6766432600437435E-7</v>
      </c>
      <c r="BO71" s="144">
        <f t="shared" si="28"/>
        <v>6.0683924254633342E-11</v>
      </c>
      <c r="BP71" s="158">
        <f t="shared" si="29"/>
        <v>2.022797475154445E-7</v>
      </c>
      <c r="BQ71" s="144">
        <f t="shared" si="30"/>
        <v>8.6059629331184531E-8</v>
      </c>
      <c r="BR71" s="158">
        <f t="shared" si="31"/>
        <v>1.7211925866236907E-5</v>
      </c>
      <c r="BS71" s="144">
        <f t="shared" si="32"/>
        <v>3.0016116035455278E-11</v>
      </c>
      <c r="BT71" s="158">
        <f t="shared" si="33"/>
        <v>6.0032232070910553E-8</v>
      </c>
      <c r="BU71" s="144">
        <f t="shared" si="34"/>
        <v>3.4863013698630135E-8</v>
      </c>
      <c r="BV71" s="144">
        <f t="shared" si="35"/>
        <v>6.2255381604696674E-6</v>
      </c>
    </row>
    <row r="72" spans="1:74">
      <c r="T72" s="53" t="s">
        <v>219</v>
      </c>
      <c r="U72" s="39" t="s">
        <v>220</v>
      </c>
      <c r="V72" s="155" t="s">
        <v>341</v>
      </c>
      <c r="W72" s="53">
        <v>0.17374600000000001</v>
      </c>
      <c r="X72" s="53">
        <v>34.768698000000001</v>
      </c>
      <c r="Y72" s="53" t="s">
        <v>358</v>
      </c>
      <c r="Z72" s="53" t="s">
        <v>330</v>
      </c>
      <c r="AA72" s="116" t="s">
        <v>347</v>
      </c>
      <c r="AB72" s="154" t="s">
        <v>371</v>
      </c>
      <c r="AC72" s="116" t="s">
        <v>687</v>
      </c>
      <c r="AD72" s="53" t="s">
        <v>364</v>
      </c>
      <c r="AE72" s="53" t="s">
        <v>685</v>
      </c>
      <c r="AF72" s="53" t="s">
        <v>690</v>
      </c>
      <c r="AG72" s="156">
        <v>97.4</v>
      </c>
      <c r="AH72" s="157">
        <v>91.6</v>
      </c>
      <c r="AI72" s="162">
        <v>8.9385000000000006E-2</v>
      </c>
      <c r="AJ72" s="157">
        <v>280.2</v>
      </c>
      <c r="AK72" s="156">
        <v>7.5999999999999998E-2</v>
      </c>
      <c r="AL72" s="157">
        <v>65.91</v>
      </c>
      <c r="AM72" s="144">
        <f t="shared" ref="AM72:AM119" si="36">(AG72*100*350*30*0.000001)/(70*30*365)</f>
        <v>1.3342465753424658E-4</v>
      </c>
      <c r="AN72" s="158">
        <f t="shared" si="6"/>
        <v>0.44474885844748863</v>
      </c>
      <c r="AO72" s="144">
        <f t="shared" ref="AO72:AO119" si="37">(AH72*100*350*30*0.000001)/(70*30*365)</f>
        <v>1.2547945205479451E-4</v>
      </c>
      <c r="AP72" s="158">
        <f t="shared" si="7"/>
        <v>3.4855403348554033E-2</v>
      </c>
      <c r="AQ72" s="144">
        <f t="shared" ref="AQ72:AQ119" si="38">(AI72*100*350*30*0.000001)/(70*30*365)</f>
        <v>1.2244520547945208E-7</v>
      </c>
      <c r="AR72" s="158">
        <f t="shared" si="8"/>
        <v>4.0815068493150699E-4</v>
      </c>
      <c r="AS72" s="144">
        <f t="shared" ref="AS72:AS119" si="39">(AJ72*100*350*30*0.000001)/(70*30*365)</f>
        <v>3.8383561643835616E-4</v>
      </c>
      <c r="AT72" s="158">
        <f t="shared" si="9"/>
        <v>0.12794520547945204</v>
      </c>
      <c r="AU72" s="144">
        <f t="shared" ref="AU72:AU119" si="40">(AK72*100*350*30*0.000001)/(70*30*365)</f>
        <v>1.0410958904109588E-7</v>
      </c>
      <c r="AV72" s="158">
        <f t="shared" si="10"/>
        <v>2.0821917808219175E-4</v>
      </c>
      <c r="AW72" s="144">
        <f t="shared" ref="AW72:AW119" si="41">(AL72*100*350*30*0.000001)/(70*30*365)</f>
        <v>9.028767123287672E-5</v>
      </c>
      <c r="AX72" s="158">
        <f t="shared" si="11"/>
        <v>4.5143835616438359E-3</v>
      </c>
      <c r="AY72" s="144">
        <f t="shared" si="12"/>
        <v>2.7835052054794523E-5</v>
      </c>
      <c r="AZ72" s="158">
        <f t="shared" si="13"/>
        <v>9.2783506849315092E-2</v>
      </c>
      <c r="BA72" s="144">
        <f t="shared" si="14"/>
        <v>9.2783506849315082E-7</v>
      </c>
      <c r="BB72" s="158">
        <f t="shared" si="15"/>
        <v>2.6509573385518595E-4</v>
      </c>
      <c r="BC72" s="144">
        <f t="shared" si="16"/>
        <v>8.5148395890410977E-10</v>
      </c>
      <c r="BD72" s="158">
        <f t="shared" si="17"/>
        <v>2.8382798630136994E-6</v>
      </c>
      <c r="BE72" s="144">
        <f t="shared" si="18"/>
        <v>2.6691928767123291E-6</v>
      </c>
      <c r="BF72" s="158">
        <f t="shared" si="19"/>
        <v>5.3383857534246586E-4</v>
      </c>
      <c r="BG72" s="144">
        <f t="shared" si="20"/>
        <v>7.2397808219178082E-10</v>
      </c>
      <c r="BH72" s="158">
        <f t="shared" si="21"/>
        <v>1.4479561643835617E-6</v>
      </c>
      <c r="BI72" s="144">
        <f t="shared" si="22"/>
        <v>6.2786046575342469E-7</v>
      </c>
      <c r="BJ72" s="158">
        <f t="shared" si="23"/>
        <v>1.1211794031311155E-4</v>
      </c>
      <c r="BK72" s="144">
        <f t="shared" si="24"/>
        <v>1.9621273166800966E-8</v>
      </c>
      <c r="BL72" s="158">
        <f t="shared" si="25"/>
        <v>6.5404243889336555E-5</v>
      </c>
      <c r="BM72" s="144">
        <f t="shared" si="26"/>
        <v>1.8452860596293313E-8</v>
      </c>
      <c r="BN72" s="158">
        <f t="shared" si="27"/>
        <v>5.2722458846552318E-6</v>
      </c>
      <c r="BO72" s="144">
        <f t="shared" si="28"/>
        <v>1.8006647864625306E-11</v>
      </c>
      <c r="BP72" s="158">
        <f t="shared" si="29"/>
        <v>6.0022159548751024E-8</v>
      </c>
      <c r="BQ72" s="144">
        <f t="shared" si="30"/>
        <v>5.6446414182111198E-8</v>
      </c>
      <c r="BR72" s="158">
        <f t="shared" si="31"/>
        <v>1.128928283642224E-5</v>
      </c>
      <c r="BS72" s="144">
        <f t="shared" si="32"/>
        <v>1.5310233682514102E-11</v>
      </c>
      <c r="BT72" s="158">
        <f t="shared" si="33"/>
        <v>3.0620467365028206E-8</v>
      </c>
      <c r="BU72" s="144">
        <f t="shared" si="34"/>
        <v>1.3277598710717161E-8</v>
      </c>
      <c r="BV72" s="144">
        <f t="shared" si="35"/>
        <v>2.3709997697709217E-6</v>
      </c>
    </row>
    <row r="73" spans="1:74">
      <c r="T73" s="53" t="s">
        <v>221</v>
      </c>
      <c r="U73" s="39" t="s">
        <v>222</v>
      </c>
      <c r="V73" s="155" t="s">
        <v>341</v>
      </c>
      <c r="W73" s="53">
        <v>0.17374600000000001</v>
      </c>
      <c r="X73" s="53">
        <v>34.768698000000001</v>
      </c>
      <c r="Y73" s="53" t="s">
        <v>358</v>
      </c>
      <c r="Z73" s="53" t="s">
        <v>330</v>
      </c>
      <c r="AA73" s="116" t="s">
        <v>347</v>
      </c>
      <c r="AB73" s="154" t="s">
        <v>371</v>
      </c>
      <c r="AC73" s="116" t="s">
        <v>687</v>
      </c>
      <c r="AD73" s="53" t="s">
        <v>361</v>
      </c>
      <c r="AE73" s="53" t="s">
        <v>685</v>
      </c>
      <c r="AF73" s="53" t="s">
        <v>690</v>
      </c>
      <c r="AG73" s="156">
        <v>145.30000000000001</v>
      </c>
      <c r="AH73" s="157">
        <v>29</v>
      </c>
      <c r="AI73" s="162">
        <v>0.450735</v>
      </c>
      <c r="AJ73" s="157">
        <v>574.79999999999995</v>
      </c>
      <c r="AK73" s="156">
        <v>0.14499999999999999</v>
      </c>
      <c r="AL73" s="157">
        <v>357.86</v>
      </c>
      <c r="AM73" s="144">
        <f t="shared" si="36"/>
        <v>1.9904109589041099E-4</v>
      </c>
      <c r="AN73" s="158">
        <f t="shared" ref="AN73:AN130" si="42">AM73/0.0003</f>
        <v>0.66347031963470338</v>
      </c>
      <c r="AO73" s="144">
        <f t="shared" si="37"/>
        <v>3.9726027397260274E-5</v>
      </c>
      <c r="AP73" s="158">
        <f t="shared" ref="AP73:AP130" si="43">AO73/0.0036</f>
        <v>1.1035007610350077E-2</v>
      </c>
      <c r="AQ73" s="144">
        <f t="shared" si="38"/>
        <v>6.1744520547945208E-7</v>
      </c>
      <c r="AR73" s="158">
        <f t="shared" ref="AR73:AR130" si="44">AQ73/0.0003</f>
        <v>2.0581506849315073E-3</v>
      </c>
      <c r="AS73" s="144">
        <f t="shared" si="39"/>
        <v>7.8739726027397241E-4</v>
      </c>
      <c r="AT73" s="158">
        <f t="shared" ref="AT73:AT130" si="45">AS73/0.003</f>
        <v>0.26246575342465744</v>
      </c>
      <c r="AU73" s="144">
        <f t="shared" si="40"/>
        <v>1.9863013698630133E-7</v>
      </c>
      <c r="AV73" s="158">
        <f t="shared" ref="AV73:AV130" si="46">AU73/0.0005</f>
        <v>3.9726027397260266E-4</v>
      </c>
      <c r="AW73" s="144">
        <f t="shared" si="41"/>
        <v>4.9021917808219175E-4</v>
      </c>
      <c r="AX73" s="158">
        <f t="shared" ref="AX73:AX130" si="47">AW73/0.02</f>
        <v>2.4510958904109589E-2</v>
      </c>
      <c r="AY73" s="144">
        <f t="shared" ref="AY73:AY130" si="48">(AG73*5700*0.61*0.2*0.03*350*30*0.000001)/(70*30*365)</f>
        <v>4.1523953424657531E-5</v>
      </c>
      <c r="AZ73" s="158">
        <f t="shared" ref="AZ73:AZ130" si="49">AY73/0.0003</f>
        <v>0.13841317808219178</v>
      </c>
      <c r="BA73" s="144">
        <f t="shared" ref="BA73:BA130" si="50">(AG73*5700*0.61*0.2*0.001*350*30*0.000001)/(70*30*365)</f>
        <v>1.3841317808219177E-6</v>
      </c>
      <c r="BB73" s="158">
        <f t="shared" ref="BB73:BB130" si="51">BA73/0.0035</f>
        <v>3.9546622309197645E-4</v>
      </c>
      <c r="BC73" s="144">
        <f t="shared" ref="BC73:BC130" si="52">(AI73*5700*0.61*0.2*0.001*350*30*0.000001)/(70*30*365)</f>
        <v>4.2937139589041105E-9</v>
      </c>
      <c r="BD73" s="158">
        <f t="shared" ref="BD73:BD130" si="53">BC73/0.0003</f>
        <v>1.4312379863013702E-5</v>
      </c>
      <c r="BE73" s="144">
        <f t="shared" ref="BE73:BE130" si="54">(AJ73*5700*0.61*0.2*0.001*350*30*0.000001)/(70*30*365)</f>
        <v>5.4755605479452039E-6</v>
      </c>
      <c r="BF73" s="158">
        <f t="shared" ref="BF73:BF130" si="55">BE73/0.005</f>
        <v>1.0951121095890408E-3</v>
      </c>
      <c r="BG73" s="144">
        <f t="shared" ref="BG73:BG130" si="56">(AK73*5700*0.61*0.2*0.001*350*30*0.000001)/(70*30*365)</f>
        <v>1.3812739726027393E-9</v>
      </c>
      <c r="BH73" s="158">
        <f t="shared" ref="BH73:BH130" si="57">BG73/0.0005</f>
        <v>2.7625479452054787E-6</v>
      </c>
      <c r="BI73" s="144">
        <f t="shared" ref="BI73:BI130" si="58">(AL73*5700*0.61*0.2*0.001*350*30*0.000001)/(70*30*365)</f>
        <v>3.4089841643835615E-6</v>
      </c>
      <c r="BJ73" s="158">
        <f t="shared" ref="BJ73:BJ130" si="59">BI73/0.0056</f>
        <v>6.087471722113503E-4</v>
      </c>
      <c r="BK73" s="144">
        <f t="shared" ref="BK73:BK130" si="60">(AG73*20*350*30)/(70*30*365*1360000000)</f>
        <v>2.927074939564867E-8</v>
      </c>
      <c r="BL73" s="158">
        <f t="shared" ref="BL73:BL130" si="61">BK73/0.0003</f>
        <v>9.7569164652162239E-5</v>
      </c>
      <c r="BM73" s="144">
        <f t="shared" ref="BM73:BM130" si="62">(AH73*20*350*30)/(70*30*365*1360000000)</f>
        <v>5.8420628525382753E-9</v>
      </c>
      <c r="BN73" s="158">
        <f t="shared" ref="BN73:BN130" si="63">BM73/0.0035</f>
        <v>1.6691608150109357E-6</v>
      </c>
      <c r="BO73" s="144">
        <f t="shared" ref="BO73:BO130" si="64">(AI73*20*350*30)/(70*30*365*1360000000)</f>
        <v>9.0800765511684125E-11</v>
      </c>
      <c r="BP73" s="158">
        <f t="shared" ref="BP73:BP130" si="65">BO73/0.0003</f>
        <v>3.0266921837228042E-7</v>
      </c>
      <c r="BQ73" s="144">
        <f t="shared" ref="BQ73:BQ130" si="66">(AJ73*20*350*30)/(70*30*365*1360000000)</f>
        <v>1.1579371474617244E-7</v>
      </c>
      <c r="BR73" s="158">
        <f t="shared" ref="BR73:BR130" si="67">BQ73/0.005</f>
        <v>2.3158742949234486E-5</v>
      </c>
      <c r="BS73" s="144">
        <f t="shared" ref="BS73:BS130" si="68">(AK73*20*350*30)/(70*30*365*1360000000)</f>
        <v>2.9210314262691381E-11</v>
      </c>
      <c r="BT73" s="158">
        <f t="shared" ref="BT73:BT130" si="69">BS73/0.0005</f>
        <v>5.8420628525382758E-8</v>
      </c>
      <c r="BU73" s="144">
        <f t="shared" ref="BU73:BU130" si="70">(AL73*20*350*30)/(70*30*365*1360000000)</f>
        <v>7.209105560032234E-8</v>
      </c>
      <c r="BV73" s="144">
        <f t="shared" ref="BV73:BV130" si="71">BU73/0.0056</f>
        <v>1.2873402785771847E-5</v>
      </c>
    </row>
    <row r="74" spans="1:74">
      <c r="T74" s="53" t="s">
        <v>223</v>
      </c>
      <c r="U74" s="39" t="s">
        <v>224</v>
      </c>
      <c r="V74" s="155" t="s">
        <v>341</v>
      </c>
      <c r="W74" s="53">
        <v>0.17374600000000001</v>
      </c>
      <c r="X74" s="53">
        <v>34.768698000000001</v>
      </c>
      <c r="Y74" s="53" t="s">
        <v>358</v>
      </c>
      <c r="Z74" s="53" t="s">
        <v>330</v>
      </c>
      <c r="AA74" s="116" t="s">
        <v>347</v>
      </c>
      <c r="AB74" s="154" t="s">
        <v>371</v>
      </c>
      <c r="AC74" s="116" t="s">
        <v>687</v>
      </c>
      <c r="AD74" s="53" t="s">
        <v>366</v>
      </c>
      <c r="AE74" s="53" t="s">
        <v>684</v>
      </c>
      <c r="AF74" s="53" t="s">
        <v>683</v>
      </c>
      <c r="AG74" s="156">
        <v>42.2</v>
      </c>
      <c r="AH74" s="157">
        <v>24.2</v>
      </c>
      <c r="AI74" s="162">
        <v>1.6044850000000002</v>
      </c>
      <c r="AJ74" s="157">
        <v>648.6</v>
      </c>
      <c r="AK74" s="156">
        <v>0.16800000000000001</v>
      </c>
      <c r="AL74" s="157">
        <v>375.29</v>
      </c>
      <c r="AM74" s="144">
        <f t="shared" si="36"/>
        <v>5.7808219178082184E-5</v>
      </c>
      <c r="AN74" s="158">
        <f t="shared" si="42"/>
        <v>0.19269406392694063</v>
      </c>
      <c r="AO74" s="144">
        <f t="shared" si="37"/>
        <v>3.3150684931506849E-5</v>
      </c>
      <c r="AP74" s="158">
        <f t="shared" si="43"/>
        <v>9.2085235920852365E-3</v>
      </c>
      <c r="AQ74" s="144">
        <f t="shared" si="38"/>
        <v>2.1979246575342467E-6</v>
      </c>
      <c r="AR74" s="158">
        <f t="shared" si="44"/>
        <v>7.3264155251141563E-3</v>
      </c>
      <c r="AS74" s="144">
        <f t="shared" si="39"/>
        <v>8.8849315068493151E-4</v>
      </c>
      <c r="AT74" s="158">
        <f t="shared" si="45"/>
        <v>0.29616438356164382</v>
      </c>
      <c r="AU74" s="144">
        <f t="shared" si="40"/>
        <v>2.3013698630136987E-7</v>
      </c>
      <c r="AV74" s="158">
        <f t="shared" si="46"/>
        <v>4.6027397260273975E-4</v>
      </c>
      <c r="AW74" s="144">
        <f t="shared" si="41"/>
        <v>5.1409589041095884E-4</v>
      </c>
      <c r="AX74" s="158">
        <f t="shared" si="47"/>
        <v>2.5704794520547941E-2</v>
      </c>
      <c r="AY74" s="144">
        <f t="shared" si="48"/>
        <v>1.2059950684931508E-5</v>
      </c>
      <c r="AZ74" s="158">
        <f t="shared" si="49"/>
        <v>4.0199835616438362E-2</v>
      </c>
      <c r="BA74" s="144">
        <f t="shared" si="50"/>
        <v>4.0199835616438362E-7</v>
      </c>
      <c r="BB74" s="158">
        <f t="shared" si="51"/>
        <v>1.1485667318982389E-4</v>
      </c>
      <c r="BC74" s="144">
        <f t="shared" si="52"/>
        <v>1.528436806849315E-8</v>
      </c>
      <c r="BD74" s="158">
        <f t="shared" si="53"/>
        <v>5.0947893561643839E-5</v>
      </c>
      <c r="BE74" s="144">
        <f t="shared" si="54"/>
        <v>6.1785813698630123E-6</v>
      </c>
      <c r="BF74" s="158">
        <f t="shared" si="55"/>
        <v>1.2357162739726024E-3</v>
      </c>
      <c r="BG74" s="144">
        <f t="shared" si="56"/>
        <v>1.6003726027397261E-9</v>
      </c>
      <c r="BH74" s="158">
        <f t="shared" si="57"/>
        <v>3.2007452054794521E-6</v>
      </c>
      <c r="BI74" s="144">
        <f t="shared" si="58"/>
        <v>3.5750228219178086E-6</v>
      </c>
      <c r="BJ74" s="158">
        <f t="shared" si="59"/>
        <v>6.3839693248532296E-4</v>
      </c>
      <c r="BK74" s="144">
        <f t="shared" si="60"/>
        <v>8.5012087026591456E-9</v>
      </c>
      <c r="BL74" s="158">
        <f t="shared" si="61"/>
        <v>2.8337362342197154E-5</v>
      </c>
      <c r="BM74" s="144">
        <f t="shared" si="62"/>
        <v>4.8751007252215951E-9</v>
      </c>
      <c r="BN74" s="158">
        <f t="shared" si="63"/>
        <v>1.3928859214918842E-6</v>
      </c>
      <c r="BO74" s="144">
        <f t="shared" si="64"/>
        <v>3.2322421434327159E-10</v>
      </c>
      <c r="BP74" s="158">
        <f t="shared" si="65"/>
        <v>1.0774140478109054E-6</v>
      </c>
      <c r="BQ74" s="144">
        <f t="shared" si="66"/>
        <v>1.306607574536664E-7</v>
      </c>
      <c r="BR74" s="158">
        <f t="shared" si="67"/>
        <v>2.6132151490733281E-5</v>
      </c>
      <c r="BS74" s="144">
        <f t="shared" si="68"/>
        <v>3.3843674456083806E-11</v>
      </c>
      <c r="BT74" s="158">
        <f t="shared" si="69"/>
        <v>6.7687348912167605E-8</v>
      </c>
      <c r="BU74" s="144">
        <f t="shared" si="70"/>
        <v>7.5602336825141016E-8</v>
      </c>
      <c r="BV74" s="144">
        <f t="shared" si="71"/>
        <v>1.3500417290203752E-5</v>
      </c>
    </row>
    <row r="75" spans="1:74">
      <c r="T75" s="53" t="s">
        <v>225</v>
      </c>
      <c r="U75" s="39" t="s">
        <v>226</v>
      </c>
      <c r="V75" s="155" t="s">
        <v>341</v>
      </c>
      <c r="W75" s="53">
        <v>0.17394000000000001</v>
      </c>
      <c r="X75" s="53">
        <v>34.769052000000002</v>
      </c>
      <c r="Y75" s="53" t="s">
        <v>358</v>
      </c>
      <c r="Z75" s="53" t="s">
        <v>330</v>
      </c>
      <c r="AA75" s="116" t="s">
        <v>347</v>
      </c>
      <c r="AB75" s="154" t="s">
        <v>371</v>
      </c>
      <c r="AC75" s="116" t="s">
        <v>687</v>
      </c>
      <c r="AD75" s="53" t="s">
        <v>367</v>
      </c>
      <c r="AE75" s="53" t="s">
        <v>684</v>
      </c>
      <c r="AF75" s="53" t="s">
        <v>683</v>
      </c>
      <c r="AG75" s="156">
        <v>31.3</v>
      </c>
      <c r="AH75" s="157">
        <v>38.799999999999997</v>
      </c>
      <c r="AI75" s="162">
        <v>1.0580050000000001</v>
      </c>
      <c r="AJ75" s="157">
        <v>748.3</v>
      </c>
      <c r="AK75" s="156">
        <v>0.29799999999999999</v>
      </c>
      <c r="AL75" s="157">
        <v>459.85</v>
      </c>
      <c r="AM75" s="144">
        <f t="shared" si="36"/>
        <v>4.2876712328767126E-5</v>
      </c>
      <c r="AN75" s="158">
        <f t="shared" si="42"/>
        <v>0.14292237442922376</v>
      </c>
      <c r="AO75" s="144">
        <f t="shared" si="37"/>
        <v>5.3150684931506834E-5</v>
      </c>
      <c r="AP75" s="158">
        <f t="shared" si="43"/>
        <v>1.4764079147640788E-2</v>
      </c>
      <c r="AQ75" s="144">
        <f t="shared" si="38"/>
        <v>1.449321917808219E-6</v>
      </c>
      <c r="AR75" s="158">
        <f t="shared" si="44"/>
        <v>4.8310730593607307E-3</v>
      </c>
      <c r="AS75" s="144">
        <f t="shared" si="39"/>
        <v>1.0250684931506849E-3</v>
      </c>
      <c r="AT75" s="158">
        <f t="shared" si="45"/>
        <v>0.34168949771689494</v>
      </c>
      <c r="AU75" s="144">
        <f t="shared" si="40"/>
        <v>4.0821917808219165E-7</v>
      </c>
      <c r="AV75" s="158">
        <f t="shared" si="46"/>
        <v>8.1643835616438331E-4</v>
      </c>
      <c r="AW75" s="144">
        <f t="shared" si="41"/>
        <v>6.2993150684931504E-4</v>
      </c>
      <c r="AX75" s="158">
        <f t="shared" si="47"/>
        <v>3.1496575342465749E-2</v>
      </c>
      <c r="AY75" s="144">
        <f t="shared" si="48"/>
        <v>8.9449397260273973E-6</v>
      </c>
      <c r="AZ75" s="158">
        <f t="shared" si="49"/>
        <v>2.981646575342466E-2</v>
      </c>
      <c r="BA75" s="144">
        <f t="shared" si="50"/>
        <v>2.9816465753424652E-7</v>
      </c>
      <c r="BB75" s="158">
        <f t="shared" si="51"/>
        <v>8.5189902152641857E-5</v>
      </c>
      <c r="BC75" s="144">
        <f t="shared" si="52"/>
        <v>1.0078584616438357E-8</v>
      </c>
      <c r="BD75" s="158">
        <f t="shared" si="53"/>
        <v>3.3595282054794525E-5</v>
      </c>
      <c r="BE75" s="144">
        <f t="shared" si="54"/>
        <v>7.1283263013698633E-6</v>
      </c>
      <c r="BF75" s="158">
        <f t="shared" si="55"/>
        <v>1.4256652602739727E-3</v>
      </c>
      <c r="BG75" s="144">
        <f t="shared" si="56"/>
        <v>2.8387561643835614E-9</v>
      </c>
      <c r="BH75" s="158">
        <f t="shared" si="57"/>
        <v>5.6775123287671231E-6</v>
      </c>
      <c r="BI75" s="144">
        <f t="shared" si="58"/>
        <v>4.380543698630138E-6</v>
      </c>
      <c r="BJ75" s="158">
        <f t="shared" si="59"/>
        <v>7.8223994618395324E-4</v>
      </c>
      <c r="BK75" s="144">
        <f t="shared" si="60"/>
        <v>6.3053988718775183E-9</v>
      </c>
      <c r="BL75" s="158">
        <f t="shared" si="61"/>
        <v>2.1017996239591729E-5</v>
      </c>
      <c r="BM75" s="144">
        <f t="shared" si="62"/>
        <v>7.8162771958098316E-9</v>
      </c>
      <c r="BN75" s="158">
        <f t="shared" si="63"/>
        <v>2.2332220559456663E-6</v>
      </c>
      <c r="BO75" s="144">
        <f t="shared" si="64"/>
        <v>2.131355761482675E-10</v>
      </c>
      <c r="BP75" s="158">
        <f t="shared" si="65"/>
        <v>7.1045192049422508E-7</v>
      </c>
      <c r="BQ75" s="144">
        <f t="shared" si="66"/>
        <v>1.507453666398066E-7</v>
      </c>
      <c r="BR75" s="158">
        <f t="shared" si="67"/>
        <v>3.014907332796132E-5</v>
      </c>
      <c r="BS75" s="144">
        <f t="shared" si="68"/>
        <v>6.0032232070910557E-11</v>
      </c>
      <c r="BT75" s="158">
        <f t="shared" si="69"/>
        <v>1.2006446414182111E-7</v>
      </c>
      <c r="BU75" s="144">
        <f t="shared" si="70"/>
        <v>9.2636986301369862E-8</v>
      </c>
      <c r="BV75" s="144">
        <f t="shared" si="71"/>
        <v>1.6542318982387476E-5</v>
      </c>
    </row>
    <row r="76" spans="1:74">
      <c r="T76" s="53" t="s">
        <v>227</v>
      </c>
      <c r="U76" s="39" t="s">
        <v>228</v>
      </c>
      <c r="V76" s="155" t="s">
        <v>341</v>
      </c>
      <c r="W76" s="53">
        <v>0.10542700000000001</v>
      </c>
      <c r="X76" s="53">
        <v>34.698397999999997</v>
      </c>
      <c r="Y76" s="53" t="s">
        <v>359</v>
      </c>
      <c r="Z76" s="53" t="s">
        <v>334</v>
      </c>
      <c r="AA76" s="116" t="s">
        <v>347</v>
      </c>
      <c r="AB76" s="154" t="s">
        <v>371</v>
      </c>
      <c r="AC76" s="116" t="s">
        <v>687</v>
      </c>
      <c r="AD76" s="53" t="s">
        <v>364</v>
      </c>
      <c r="AE76" s="53" t="s">
        <v>685</v>
      </c>
      <c r="AF76" s="53" t="s">
        <v>690</v>
      </c>
      <c r="AG76" s="156">
        <v>847.1</v>
      </c>
      <c r="AH76" s="157">
        <v>290.39999999999998</v>
      </c>
      <c r="AI76" s="162">
        <v>3.3985000000000001E-2</v>
      </c>
      <c r="AJ76" s="157">
        <v>250.7</v>
      </c>
      <c r="AK76" s="156">
        <v>0.753</v>
      </c>
      <c r="AL76" s="157">
        <v>124.68</v>
      </c>
      <c r="AM76" s="144">
        <f t="shared" si="36"/>
        <v>1.1604109589041095E-3</v>
      </c>
      <c r="AN76" s="158">
        <f t="shared" si="42"/>
        <v>3.8680365296803654</v>
      </c>
      <c r="AO76" s="144">
        <f t="shared" si="37"/>
        <v>3.9780821917808208E-4</v>
      </c>
      <c r="AP76" s="158">
        <f t="shared" si="43"/>
        <v>0.1105022831050228</v>
      </c>
      <c r="AQ76" s="144">
        <f t="shared" si="38"/>
        <v>4.6554794520547952E-8</v>
      </c>
      <c r="AR76" s="158">
        <f t="shared" si="44"/>
        <v>1.5518264840182653E-4</v>
      </c>
      <c r="AS76" s="144">
        <f t="shared" si="39"/>
        <v>3.4342465753424661E-4</v>
      </c>
      <c r="AT76" s="158">
        <f t="shared" si="45"/>
        <v>0.11447488584474887</v>
      </c>
      <c r="AU76" s="144">
        <f t="shared" si="40"/>
        <v>1.0315068493150685E-6</v>
      </c>
      <c r="AV76" s="158">
        <f t="shared" si="46"/>
        <v>2.0630136986301371E-3</v>
      </c>
      <c r="AW76" s="144">
        <f t="shared" si="41"/>
        <v>1.7079452054794518E-4</v>
      </c>
      <c r="AX76" s="158">
        <f t="shared" si="47"/>
        <v>8.539726027397259E-3</v>
      </c>
      <c r="AY76" s="144">
        <f t="shared" si="48"/>
        <v>2.4208493424657533E-4</v>
      </c>
      <c r="AZ76" s="158">
        <f t="shared" si="49"/>
        <v>0.80694978082191782</v>
      </c>
      <c r="BA76" s="144">
        <f t="shared" si="50"/>
        <v>8.0694978082191783E-6</v>
      </c>
      <c r="BB76" s="158">
        <f t="shared" si="51"/>
        <v>2.3055708023483365E-3</v>
      </c>
      <c r="BC76" s="144">
        <f t="shared" si="52"/>
        <v>3.2374204109589049E-10</v>
      </c>
      <c r="BD76" s="158">
        <f t="shared" si="53"/>
        <v>1.0791401369863018E-6</v>
      </c>
      <c r="BE76" s="144">
        <f t="shared" si="54"/>
        <v>2.3881750684931511E-6</v>
      </c>
      <c r="BF76" s="158">
        <f t="shared" si="55"/>
        <v>4.7763501369863019E-4</v>
      </c>
      <c r="BG76" s="144">
        <f t="shared" si="56"/>
        <v>7.1730986301369872E-9</v>
      </c>
      <c r="BH76" s="158">
        <f t="shared" si="57"/>
        <v>1.4346197260273973E-5</v>
      </c>
      <c r="BI76" s="144">
        <f t="shared" si="58"/>
        <v>1.187705095890411E-6</v>
      </c>
      <c r="BJ76" s="158">
        <f t="shared" si="59"/>
        <v>2.1209019569471625E-4</v>
      </c>
      <c r="BK76" s="144">
        <f t="shared" si="60"/>
        <v>1.7064867042707494E-7</v>
      </c>
      <c r="BL76" s="158">
        <f t="shared" si="61"/>
        <v>5.6882890142358319E-4</v>
      </c>
      <c r="BM76" s="144">
        <f t="shared" si="62"/>
        <v>5.8501208702659148E-8</v>
      </c>
      <c r="BN76" s="158">
        <f t="shared" si="63"/>
        <v>1.6714631057902612E-5</v>
      </c>
      <c r="BO76" s="144">
        <f t="shared" si="64"/>
        <v>6.8462933118452855E-12</v>
      </c>
      <c r="BP76" s="158">
        <f t="shared" si="65"/>
        <v>2.2820977706150952E-8</v>
      </c>
      <c r="BQ76" s="144">
        <f t="shared" si="66"/>
        <v>5.0503626107977437E-8</v>
      </c>
      <c r="BR76" s="158">
        <f t="shared" si="67"/>
        <v>1.0100725221595487E-5</v>
      </c>
      <c r="BS76" s="144">
        <f t="shared" si="68"/>
        <v>1.5169218372280419E-10</v>
      </c>
      <c r="BT76" s="158">
        <f t="shared" si="69"/>
        <v>3.0338436744560838E-7</v>
      </c>
      <c r="BU76" s="144">
        <f t="shared" si="70"/>
        <v>2.5116841257050767E-8</v>
      </c>
      <c r="BV76" s="144">
        <f t="shared" si="71"/>
        <v>4.4851502244733514E-6</v>
      </c>
    </row>
    <row r="77" spans="1:74">
      <c r="T77" s="53" t="s">
        <v>229</v>
      </c>
      <c r="U77" s="39" t="s">
        <v>230</v>
      </c>
      <c r="V77" s="155" t="s">
        <v>341</v>
      </c>
      <c r="W77" s="53">
        <v>0.10542700000000001</v>
      </c>
      <c r="X77" s="53">
        <v>34.698397999999997</v>
      </c>
      <c r="Y77" s="53" t="s">
        <v>359</v>
      </c>
      <c r="Z77" s="53" t="s">
        <v>334</v>
      </c>
      <c r="AA77" s="116" t="s">
        <v>347</v>
      </c>
      <c r="AB77" s="154" t="s">
        <v>371</v>
      </c>
      <c r="AC77" s="116" t="s">
        <v>687</v>
      </c>
      <c r="AD77" s="53" t="s">
        <v>361</v>
      </c>
      <c r="AE77" s="53" t="s">
        <v>685</v>
      </c>
      <c r="AF77" s="53" t="s">
        <v>690</v>
      </c>
      <c r="AG77" s="156">
        <v>575.70000000000005</v>
      </c>
      <c r="AH77" s="157">
        <v>140.19999999999999</v>
      </c>
      <c r="AI77" s="162">
        <v>0.159215</v>
      </c>
      <c r="AJ77" s="157">
        <v>248.5</v>
      </c>
      <c r="AK77" s="156">
        <v>0.45800000000000002</v>
      </c>
      <c r="AL77" s="157">
        <v>105.19</v>
      </c>
      <c r="AM77" s="144">
        <f t="shared" si="36"/>
        <v>7.8863013698630155E-4</v>
      </c>
      <c r="AN77" s="158">
        <f t="shared" si="42"/>
        <v>2.6287671232876719</v>
      </c>
      <c r="AO77" s="144">
        <f t="shared" si="37"/>
        <v>1.9205479452054789E-4</v>
      </c>
      <c r="AP77" s="158">
        <f t="shared" si="43"/>
        <v>5.3348554033485526E-2</v>
      </c>
      <c r="AQ77" s="144">
        <f t="shared" si="38"/>
        <v>2.1810273972602737E-7</v>
      </c>
      <c r="AR77" s="158">
        <f t="shared" si="44"/>
        <v>7.2700913242009131E-4</v>
      </c>
      <c r="AS77" s="144">
        <f t="shared" si="39"/>
        <v>3.4041095890410963E-4</v>
      </c>
      <c r="AT77" s="158">
        <f t="shared" si="45"/>
        <v>0.11347031963470321</v>
      </c>
      <c r="AU77" s="144">
        <f t="shared" si="40"/>
        <v>6.2739726027397263E-7</v>
      </c>
      <c r="AV77" s="158">
        <f t="shared" si="46"/>
        <v>1.2547945205479453E-3</v>
      </c>
      <c r="AW77" s="144">
        <f t="shared" si="41"/>
        <v>1.4409589041095889E-4</v>
      </c>
      <c r="AX77" s="158">
        <f t="shared" si="47"/>
        <v>7.2047945205479446E-3</v>
      </c>
      <c r="AY77" s="144">
        <f t="shared" si="48"/>
        <v>1.6452401917808218E-4</v>
      </c>
      <c r="AZ77" s="158">
        <f t="shared" si="49"/>
        <v>0.54841339726027394</v>
      </c>
      <c r="BA77" s="144">
        <f t="shared" si="50"/>
        <v>5.4841339726027399E-6</v>
      </c>
      <c r="BB77" s="158">
        <f t="shared" si="51"/>
        <v>1.56689542074364E-3</v>
      </c>
      <c r="BC77" s="144">
        <f t="shared" si="52"/>
        <v>1.5166864520547946E-9</v>
      </c>
      <c r="BD77" s="158">
        <f t="shared" si="53"/>
        <v>5.0556215068493159E-6</v>
      </c>
      <c r="BE77" s="144">
        <f t="shared" si="54"/>
        <v>2.367217808219178E-6</v>
      </c>
      <c r="BF77" s="158">
        <f t="shared" si="55"/>
        <v>4.7344356164383559E-4</v>
      </c>
      <c r="BG77" s="144">
        <f t="shared" si="56"/>
        <v>4.362920547945205E-9</v>
      </c>
      <c r="BH77" s="158">
        <f t="shared" si="57"/>
        <v>8.7258410958904104E-6</v>
      </c>
      <c r="BI77" s="144">
        <f t="shared" si="58"/>
        <v>1.0020428219178082E-6</v>
      </c>
      <c r="BJ77" s="158">
        <f t="shared" si="59"/>
        <v>1.7893621819960859E-4</v>
      </c>
      <c r="BK77" s="144">
        <f t="shared" si="60"/>
        <v>1.1597502014504432E-7</v>
      </c>
      <c r="BL77" s="158">
        <f t="shared" si="61"/>
        <v>3.8658340048348109E-4</v>
      </c>
      <c r="BM77" s="144">
        <f t="shared" si="62"/>
        <v>2.8243352135374698E-8</v>
      </c>
      <c r="BN77" s="158">
        <f t="shared" si="63"/>
        <v>8.0695291815356275E-6</v>
      </c>
      <c r="BO77" s="144">
        <f t="shared" si="64"/>
        <v>3.2073932312651085E-11</v>
      </c>
      <c r="BP77" s="158">
        <f t="shared" si="65"/>
        <v>1.0691310770883696E-7</v>
      </c>
      <c r="BQ77" s="144">
        <f t="shared" si="66"/>
        <v>5.0060435132957295E-8</v>
      </c>
      <c r="BR77" s="158">
        <f t="shared" si="67"/>
        <v>1.0012087026591459E-5</v>
      </c>
      <c r="BS77" s="144">
        <f t="shared" si="68"/>
        <v>9.2264302981466562E-11</v>
      </c>
      <c r="BT77" s="158">
        <f t="shared" si="69"/>
        <v>1.8452860596293312E-7</v>
      </c>
      <c r="BU77" s="144">
        <f t="shared" si="70"/>
        <v>2.1190572119258666E-8</v>
      </c>
      <c r="BV77" s="144">
        <f t="shared" si="71"/>
        <v>3.7840307355819048E-6</v>
      </c>
    </row>
    <row r="78" spans="1:74">
      <c r="T78" s="53" t="s">
        <v>231</v>
      </c>
      <c r="U78" s="39" t="s">
        <v>232</v>
      </c>
      <c r="V78" s="155" t="s">
        <v>341</v>
      </c>
      <c r="W78" s="53">
        <v>0.105117</v>
      </c>
      <c r="X78" s="53">
        <v>34.698954000000001</v>
      </c>
      <c r="Y78" s="53" t="s">
        <v>359</v>
      </c>
      <c r="Z78" s="53" t="s">
        <v>334</v>
      </c>
      <c r="AA78" s="116" t="s">
        <v>347</v>
      </c>
      <c r="AB78" s="154" t="s">
        <v>371</v>
      </c>
      <c r="AC78" s="116" t="s">
        <v>687</v>
      </c>
      <c r="AD78" s="53" t="s">
        <v>366</v>
      </c>
      <c r="AE78" s="53" t="s">
        <v>684</v>
      </c>
      <c r="AF78" s="53" t="s">
        <v>683</v>
      </c>
      <c r="AG78" s="156">
        <v>1347.5</v>
      </c>
      <c r="AH78" s="157">
        <v>148.9</v>
      </c>
      <c r="AI78" s="162">
        <v>1.294535</v>
      </c>
      <c r="AJ78" s="157">
        <v>191.6</v>
      </c>
      <c r="AK78" s="156">
        <v>0.67700000000000005</v>
      </c>
      <c r="AL78" s="157">
        <v>72.87</v>
      </c>
      <c r="AM78" s="144">
        <f t="shared" si="36"/>
        <v>1.845890410958904E-3</v>
      </c>
      <c r="AN78" s="158">
        <f t="shared" si="42"/>
        <v>6.1529680365296811</v>
      </c>
      <c r="AO78" s="144">
        <f t="shared" si="37"/>
        <v>2.0397260273972601E-4</v>
      </c>
      <c r="AP78" s="158">
        <f t="shared" si="43"/>
        <v>5.6659056316590559E-2</v>
      </c>
      <c r="AQ78" s="144">
        <f t="shared" si="38"/>
        <v>1.7733356164383561E-6</v>
      </c>
      <c r="AR78" s="158">
        <f t="shared" si="44"/>
        <v>5.9111187214611876E-3</v>
      </c>
      <c r="AS78" s="144">
        <f t="shared" si="39"/>
        <v>2.6246575342465749E-4</v>
      </c>
      <c r="AT78" s="158">
        <f t="shared" si="45"/>
        <v>8.7488584474885833E-2</v>
      </c>
      <c r="AU78" s="144">
        <f t="shared" si="40"/>
        <v>9.2739726027397261E-7</v>
      </c>
      <c r="AV78" s="158">
        <f t="shared" si="46"/>
        <v>1.8547945205479451E-3</v>
      </c>
      <c r="AW78" s="144">
        <f t="shared" si="41"/>
        <v>9.9821917808219174E-5</v>
      </c>
      <c r="AX78" s="158">
        <f t="shared" si="47"/>
        <v>4.9910958904109586E-3</v>
      </c>
      <c r="AY78" s="144">
        <f t="shared" si="48"/>
        <v>3.8508965753424659E-4</v>
      </c>
      <c r="AZ78" s="158">
        <f t="shared" si="49"/>
        <v>1.283632191780822</v>
      </c>
      <c r="BA78" s="144">
        <f t="shared" si="50"/>
        <v>1.2836321917808217E-5</v>
      </c>
      <c r="BB78" s="158">
        <f t="shared" si="51"/>
        <v>3.6675205479452049E-3</v>
      </c>
      <c r="BC78" s="144">
        <f t="shared" si="52"/>
        <v>1.2331775876712329E-8</v>
      </c>
      <c r="BD78" s="158">
        <f t="shared" si="53"/>
        <v>4.1105919589041098E-5</v>
      </c>
      <c r="BE78" s="144">
        <f t="shared" si="54"/>
        <v>1.825186849315068E-6</v>
      </c>
      <c r="BF78" s="158">
        <f t="shared" si="55"/>
        <v>3.6503736986301361E-4</v>
      </c>
      <c r="BG78" s="144">
        <f t="shared" si="56"/>
        <v>6.4491205479452064E-9</v>
      </c>
      <c r="BH78" s="158">
        <f t="shared" si="57"/>
        <v>1.2898241095890413E-5</v>
      </c>
      <c r="BI78" s="144">
        <f t="shared" si="58"/>
        <v>6.9416161643835623E-7</v>
      </c>
      <c r="BJ78" s="158">
        <f t="shared" si="59"/>
        <v>1.2395743150684933E-4</v>
      </c>
      <c r="BK78" s="144">
        <f t="shared" si="60"/>
        <v>2.7145447219983882E-7</v>
      </c>
      <c r="BL78" s="158">
        <f t="shared" si="61"/>
        <v>9.0484824066612948E-4</v>
      </c>
      <c r="BM78" s="144">
        <f t="shared" si="62"/>
        <v>2.9995970991136177E-8</v>
      </c>
      <c r="BN78" s="158">
        <f t="shared" si="63"/>
        <v>8.5702774260389076E-6</v>
      </c>
      <c r="BO78" s="144">
        <f t="shared" si="64"/>
        <v>2.6078464947622881E-10</v>
      </c>
      <c r="BP78" s="158">
        <f t="shared" si="65"/>
        <v>8.692821649207628E-7</v>
      </c>
      <c r="BQ78" s="144">
        <f t="shared" si="66"/>
        <v>3.8597904915390811E-8</v>
      </c>
      <c r="BR78" s="158">
        <f t="shared" si="67"/>
        <v>7.7195809830781616E-6</v>
      </c>
      <c r="BS78" s="144">
        <f t="shared" si="68"/>
        <v>1.3638195004029008E-10</v>
      </c>
      <c r="BT78" s="158">
        <f t="shared" si="69"/>
        <v>2.7276390008058018E-7</v>
      </c>
      <c r="BU78" s="144">
        <f t="shared" si="70"/>
        <v>1.4679693795326352E-8</v>
      </c>
      <c r="BV78" s="144">
        <f t="shared" si="71"/>
        <v>2.621373892022563E-6</v>
      </c>
    </row>
    <row r="79" spans="1:74">
      <c r="T79" s="53" t="s">
        <v>233</v>
      </c>
      <c r="U79" s="39" t="s">
        <v>234</v>
      </c>
      <c r="V79" s="155" t="s">
        <v>341</v>
      </c>
      <c r="W79" s="53">
        <v>0.105117</v>
      </c>
      <c r="X79" s="53">
        <v>34.698954000000001</v>
      </c>
      <c r="Y79" s="53" t="s">
        <v>359</v>
      </c>
      <c r="Z79" s="53" t="s">
        <v>334</v>
      </c>
      <c r="AA79" s="116" t="s">
        <v>347</v>
      </c>
      <c r="AB79" s="154" t="s">
        <v>371</v>
      </c>
      <c r="AC79" s="116" t="s">
        <v>687</v>
      </c>
      <c r="AD79" s="53" t="s">
        <v>367</v>
      </c>
      <c r="AE79" s="53" t="s">
        <v>684</v>
      </c>
      <c r="AF79" s="53" t="s">
        <v>683</v>
      </c>
      <c r="AG79" s="156">
        <v>435.3</v>
      </c>
      <c r="AH79" s="157">
        <v>52</v>
      </c>
      <c r="AI79" s="162">
        <v>0.83558500000000002</v>
      </c>
      <c r="AJ79" s="157">
        <v>177.4</v>
      </c>
      <c r="AK79" s="156">
        <v>0.22500000000000001</v>
      </c>
      <c r="AL79" s="157">
        <v>56.1</v>
      </c>
      <c r="AM79" s="144">
        <f t="shared" si="36"/>
        <v>5.9630136986301373E-4</v>
      </c>
      <c r="AN79" s="158">
        <f t="shared" si="42"/>
        <v>1.9876712328767125</v>
      </c>
      <c r="AO79" s="144">
        <f t="shared" si="37"/>
        <v>7.1232876712328764E-5</v>
      </c>
      <c r="AP79" s="158">
        <f t="shared" si="43"/>
        <v>1.9786910197869101E-2</v>
      </c>
      <c r="AQ79" s="144">
        <f t="shared" si="38"/>
        <v>1.14463698630137E-6</v>
      </c>
      <c r="AR79" s="158">
        <f t="shared" si="44"/>
        <v>3.8154566210045673E-3</v>
      </c>
      <c r="AS79" s="144">
        <f t="shared" si="39"/>
        <v>2.4301369863013696E-4</v>
      </c>
      <c r="AT79" s="158">
        <f t="shared" si="45"/>
        <v>8.1004566210045648E-2</v>
      </c>
      <c r="AU79" s="144">
        <f t="shared" si="40"/>
        <v>3.0821917808219176E-7</v>
      </c>
      <c r="AV79" s="158">
        <f t="shared" si="46"/>
        <v>6.1643835616438354E-4</v>
      </c>
      <c r="AW79" s="144">
        <f t="shared" si="41"/>
        <v>7.6849315068493141E-5</v>
      </c>
      <c r="AX79" s="158">
        <f t="shared" si="47"/>
        <v>3.8424657534246571E-3</v>
      </c>
      <c r="AY79" s="144">
        <f t="shared" si="48"/>
        <v>1.2440039178082191E-4</v>
      </c>
      <c r="AZ79" s="158">
        <f t="shared" si="49"/>
        <v>0.41466797260273974</v>
      </c>
      <c r="BA79" s="144">
        <f t="shared" si="50"/>
        <v>4.1466797260273973E-6</v>
      </c>
      <c r="BB79" s="158">
        <f t="shared" si="51"/>
        <v>1.1847656360078277E-3</v>
      </c>
      <c r="BC79" s="144">
        <f t="shared" si="52"/>
        <v>7.9598056027397255E-9</v>
      </c>
      <c r="BD79" s="158">
        <f t="shared" si="53"/>
        <v>2.6532685342465754E-5</v>
      </c>
      <c r="BE79" s="144">
        <f t="shared" si="54"/>
        <v>1.6899172602739726E-6</v>
      </c>
      <c r="BF79" s="158">
        <f t="shared" si="55"/>
        <v>3.3798345205479451E-4</v>
      </c>
      <c r="BG79" s="144">
        <f t="shared" si="56"/>
        <v>2.1433561643835611E-9</v>
      </c>
      <c r="BH79" s="158">
        <f t="shared" si="57"/>
        <v>4.286712328767122E-6</v>
      </c>
      <c r="BI79" s="144">
        <f t="shared" si="58"/>
        <v>5.3441013698630131E-7</v>
      </c>
      <c r="BJ79" s="158">
        <f t="shared" si="59"/>
        <v>9.5430381604696667E-5</v>
      </c>
      <c r="BK79" s="144">
        <f t="shared" si="60"/>
        <v>8.7691377921031432E-8</v>
      </c>
      <c r="BL79" s="158">
        <f t="shared" si="61"/>
        <v>2.9230459307010481E-4</v>
      </c>
      <c r="BM79" s="144">
        <f t="shared" si="62"/>
        <v>1.0475423045930701E-8</v>
      </c>
      <c r="BN79" s="158">
        <f t="shared" si="63"/>
        <v>2.9929780131230575E-6</v>
      </c>
      <c r="BO79" s="144">
        <f t="shared" si="64"/>
        <v>1.6832896857373087E-10</v>
      </c>
      <c r="BP79" s="158">
        <f t="shared" si="65"/>
        <v>5.6109656191243631E-7</v>
      </c>
      <c r="BQ79" s="144">
        <f t="shared" si="66"/>
        <v>3.5737308622078966E-8</v>
      </c>
      <c r="BR79" s="158">
        <f t="shared" si="67"/>
        <v>7.1474617244157935E-6</v>
      </c>
      <c r="BS79" s="144">
        <f t="shared" si="68"/>
        <v>4.5326349717969377E-11</v>
      </c>
      <c r="BT79" s="158">
        <f t="shared" si="69"/>
        <v>9.0652699435938759E-8</v>
      </c>
      <c r="BU79" s="144">
        <f t="shared" si="70"/>
        <v>1.1301369863013699E-8</v>
      </c>
      <c r="BV79" s="144">
        <f t="shared" si="71"/>
        <v>2.0181017612524465E-6</v>
      </c>
    </row>
    <row r="80" spans="1:74">
      <c r="T80" s="53" t="s">
        <v>235</v>
      </c>
      <c r="U80" s="39" t="s">
        <v>236</v>
      </c>
      <c r="V80" s="155" t="s">
        <v>341</v>
      </c>
      <c r="W80" s="53">
        <v>0.105629</v>
      </c>
      <c r="X80" s="53">
        <v>34.699337</v>
      </c>
      <c r="Y80" s="53" t="s">
        <v>359</v>
      </c>
      <c r="Z80" s="53" t="s">
        <v>334</v>
      </c>
      <c r="AA80" s="116" t="s">
        <v>347</v>
      </c>
      <c r="AB80" s="154" t="s">
        <v>371</v>
      </c>
      <c r="AC80" s="116" t="s">
        <v>687</v>
      </c>
      <c r="AD80" s="53" t="s">
        <v>361</v>
      </c>
      <c r="AE80" s="53" t="s">
        <v>685</v>
      </c>
      <c r="AF80" s="53" t="s">
        <v>690</v>
      </c>
      <c r="AG80" s="156">
        <v>3405.1</v>
      </c>
      <c r="AH80" s="157">
        <v>141.1</v>
      </c>
      <c r="AI80" s="162">
        <v>9.0802549999999993</v>
      </c>
      <c r="AJ80" s="157">
        <v>237.8</v>
      </c>
      <c r="AK80" s="156">
        <v>0.95899999999999996</v>
      </c>
      <c r="AL80" s="157">
        <v>98.85</v>
      </c>
      <c r="AM80" s="144">
        <f t="shared" si="36"/>
        <v>4.6645205479452058E-3</v>
      </c>
      <c r="AN80" s="158">
        <f t="shared" si="42"/>
        <v>15.548401826484021</v>
      </c>
      <c r="AO80" s="144">
        <f t="shared" si="37"/>
        <v>1.932876712328767E-4</v>
      </c>
      <c r="AP80" s="158">
        <f t="shared" si="43"/>
        <v>5.3691019786910196E-2</v>
      </c>
      <c r="AQ80" s="144">
        <f t="shared" si="38"/>
        <v>1.2438705479452055E-5</v>
      </c>
      <c r="AR80" s="158">
        <f t="shared" si="44"/>
        <v>4.1462351598173519E-2</v>
      </c>
      <c r="AS80" s="144">
        <f t="shared" si="39"/>
        <v>3.2575342465753426E-4</v>
      </c>
      <c r="AT80" s="158">
        <f t="shared" si="45"/>
        <v>0.10858447488584475</v>
      </c>
      <c r="AU80" s="144">
        <f t="shared" si="40"/>
        <v>1.3136986301369863E-6</v>
      </c>
      <c r="AV80" s="158">
        <f t="shared" si="46"/>
        <v>2.6273972602739726E-3</v>
      </c>
      <c r="AW80" s="144">
        <f t="shared" si="41"/>
        <v>1.3541095890410958E-4</v>
      </c>
      <c r="AX80" s="158">
        <f t="shared" si="47"/>
        <v>6.770547945205479E-3</v>
      </c>
      <c r="AY80" s="144">
        <f t="shared" si="48"/>
        <v>9.7311227671232866E-4</v>
      </c>
      <c r="AZ80" s="158">
        <f t="shared" si="49"/>
        <v>3.243707589041096</v>
      </c>
      <c r="BA80" s="144">
        <f t="shared" si="50"/>
        <v>3.2437075890410954E-5</v>
      </c>
      <c r="BB80" s="158">
        <f t="shared" si="51"/>
        <v>9.2677359686888436E-3</v>
      </c>
      <c r="BC80" s="144">
        <f t="shared" si="52"/>
        <v>8.6498757904109579E-8</v>
      </c>
      <c r="BD80" s="158">
        <f t="shared" si="53"/>
        <v>2.8832919301369859E-4</v>
      </c>
      <c r="BE80" s="144">
        <f t="shared" si="54"/>
        <v>2.2652893150684928E-6</v>
      </c>
      <c r="BF80" s="158">
        <f t="shared" si="55"/>
        <v>4.5305786301369857E-4</v>
      </c>
      <c r="BG80" s="144">
        <f t="shared" si="56"/>
        <v>9.1354602739726031E-9</v>
      </c>
      <c r="BH80" s="158">
        <f t="shared" si="57"/>
        <v>1.8270920547945207E-5</v>
      </c>
      <c r="BI80" s="144">
        <f t="shared" si="58"/>
        <v>9.4164780821917825E-7</v>
      </c>
      <c r="BJ80" s="158">
        <f t="shared" si="59"/>
        <v>1.6815139432485327E-4</v>
      </c>
      <c r="BK80" s="144">
        <f t="shared" si="60"/>
        <v>6.8595890410958899E-7</v>
      </c>
      <c r="BL80" s="158">
        <f t="shared" si="61"/>
        <v>2.2865296803652969E-3</v>
      </c>
      <c r="BM80" s="144">
        <f t="shared" si="62"/>
        <v>2.8424657534246574E-8</v>
      </c>
      <c r="BN80" s="158">
        <f t="shared" si="63"/>
        <v>8.12133072407045E-6</v>
      </c>
      <c r="BO80" s="144">
        <f t="shared" si="64"/>
        <v>1.8292213940370668E-9</v>
      </c>
      <c r="BP80" s="158">
        <f t="shared" si="65"/>
        <v>6.0974046467902228E-6</v>
      </c>
      <c r="BQ80" s="144">
        <f t="shared" si="66"/>
        <v>4.7904915390813862E-8</v>
      </c>
      <c r="BR80" s="158">
        <f t="shared" si="67"/>
        <v>9.5809830781627727E-6</v>
      </c>
      <c r="BS80" s="144">
        <f t="shared" si="68"/>
        <v>1.9319097502014504E-10</v>
      </c>
      <c r="BT80" s="158">
        <f t="shared" si="69"/>
        <v>3.8638195004029005E-7</v>
      </c>
      <c r="BU80" s="144">
        <f t="shared" si="70"/>
        <v>1.9913376309427881E-8</v>
      </c>
      <c r="BV80" s="144">
        <f t="shared" si="71"/>
        <v>3.5559600552549789E-6</v>
      </c>
    </row>
    <row r="81" spans="20:74">
      <c r="T81" s="53" t="s">
        <v>237</v>
      </c>
      <c r="U81" s="39" t="s">
        <v>238</v>
      </c>
      <c r="V81" s="155" t="s">
        <v>341</v>
      </c>
      <c r="W81" s="53">
        <v>0.105629</v>
      </c>
      <c r="X81" s="53">
        <v>34.699337</v>
      </c>
      <c r="Y81" s="53" t="s">
        <v>359</v>
      </c>
      <c r="Z81" s="53" t="s">
        <v>334</v>
      </c>
      <c r="AA81" s="116" t="s">
        <v>347</v>
      </c>
      <c r="AB81" s="154" t="s">
        <v>371</v>
      </c>
      <c r="AC81" s="116" t="s">
        <v>687</v>
      </c>
      <c r="AD81" s="53" t="s">
        <v>368</v>
      </c>
      <c r="AE81" s="53" t="s">
        <v>684</v>
      </c>
      <c r="AF81" s="53" t="s">
        <v>683</v>
      </c>
      <c r="AG81" s="156">
        <v>1615.5</v>
      </c>
      <c r="AH81" s="157">
        <v>99.2</v>
      </c>
      <c r="AI81" s="74">
        <v>2.3111900000000003</v>
      </c>
      <c r="AJ81" s="157">
        <v>148.19999999999999</v>
      </c>
      <c r="AK81" s="156">
        <v>0.53200000000000003</v>
      </c>
      <c r="AL81" s="157">
        <v>58.89</v>
      </c>
      <c r="AM81" s="144">
        <f t="shared" si="36"/>
        <v>2.2130136986301366E-3</v>
      </c>
      <c r="AN81" s="158">
        <f t="shared" si="42"/>
        <v>7.3767123287671224</v>
      </c>
      <c r="AO81" s="144">
        <f t="shared" si="37"/>
        <v>1.3589041095890412E-4</v>
      </c>
      <c r="AP81" s="158">
        <f t="shared" si="43"/>
        <v>3.7747336377473364E-2</v>
      </c>
      <c r="AQ81" s="144">
        <f t="shared" si="38"/>
        <v>3.1660136986301376E-6</v>
      </c>
      <c r="AR81" s="158">
        <f t="shared" si="44"/>
        <v>1.0553378995433793E-2</v>
      </c>
      <c r="AS81" s="144">
        <f t="shared" si="39"/>
        <v>2.0301369863013694E-4</v>
      </c>
      <c r="AT81" s="158">
        <f t="shared" si="45"/>
        <v>6.7671232876712312E-2</v>
      </c>
      <c r="AU81" s="144">
        <f t="shared" si="40"/>
        <v>7.2876712328767121E-7</v>
      </c>
      <c r="AV81" s="158">
        <f t="shared" si="46"/>
        <v>1.4575342465753423E-3</v>
      </c>
      <c r="AW81" s="144">
        <f t="shared" si="41"/>
        <v>8.0671232876712326E-5</v>
      </c>
      <c r="AX81" s="158">
        <f t="shared" si="47"/>
        <v>4.0335616438356165E-3</v>
      </c>
      <c r="AY81" s="144">
        <f t="shared" si="48"/>
        <v>4.6167891780821911E-4</v>
      </c>
      <c r="AZ81" s="158">
        <f t="shared" si="49"/>
        <v>1.5389297260273971</v>
      </c>
      <c r="BA81" s="144">
        <f t="shared" si="50"/>
        <v>1.5389297260273974E-5</v>
      </c>
      <c r="BB81" s="158">
        <f t="shared" si="51"/>
        <v>4.3969420743639924E-3</v>
      </c>
      <c r="BC81" s="144">
        <f t="shared" si="52"/>
        <v>2.2016459260273972E-8</v>
      </c>
      <c r="BD81" s="158">
        <f t="shared" si="53"/>
        <v>7.3388197534246578E-5</v>
      </c>
      <c r="BE81" s="144">
        <f t="shared" si="54"/>
        <v>1.4117572602739721E-6</v>
      </c>
      <c r="BF81" s="158">
        <f t="shared" si="55"/>
        <v>2.8235145205479444E-4</v>
      </c>
      <c r="BG81" s="144">
        <f t="shared" si="56"/>
        <v>5.0678465753424658E-9</v>
      </c>
      <c r="BH81" s="158">
        <f t="shared" si="57"/>
        <v>1.0135693150684931E-5</v>
      </c>
      <c r="BI81" s="144">
        <f t="shared" si="58"/>
        <v>5.6098775342465748E-7</v>
      </c>
      <c r="BJ81" s="158">
        <f t="shared" si="59"/>
        <v>1.0017638454011741E-4</v>
      </c>
      <c r="BK81" s="144">
        <f t="shared" si="60"/>
        <v>3.2544319097502017E-7</v>
      </c>
      <c r="BL81" s="158">
        <f t="shared" si="61"/>
        <v>1.0848106365834006E-3</v>
      </c>
      <c r="BM81" s="144">
        <f t="shared" si="62"/>
        <v>1.9983883964544721E-8</v>
      </c>
      <c r="BN81" s="158">
        <f t="shared" si="63"/>
        <v>5.7096811327270629E-6</v>
      </c>
      <c r="BO81" s="144">
        <f t="shared" si="64"/>
        <v>4.6559024979854959E-10</v>
      </c>
      <c r="BP81" s="158">
        <f t="shared" si="65"/>
        <v>1.5519674993284987E-6</v>
      </c>
      <c r="BQ81" s="144">
        <f t="shared" si="66"/>
        <v>2.9854955680902496E-8</v>
      </c>
      <c r="BR81" s="158">
        <f t="shared" si="67"/>
        <v>5.9709911361804995E-6</v>
      </c>
      <c r="BS81" s="144">
        <f t="shared" si="68"/>
        <v>1.0717163577759871E-10</v>
      </c>
      <c r="BT81" s="158">
        <f t="shared" si="69"/>
        <v>2.1434327155519741E-7</v>
      </c>
      <c r="BU81" s="144">
        <f t="shared" si="70"/>
        <v>1.1863416599516518E-8</v>
      </c>
      <c r="BV81" s="144">
        <f t="shared" si="71"/>
        <v>2.1184672499136642E-6</v>
      </c>
    </row>
    <row r="82" spans="20:74">
      <c r="T82" s="53" t="s">
        <v>239</v>
      </c>
      <c r="U82" s="39" t="s">
        <v>240</v>
      </c>
      <c r="V82" s="155" t="s">
        <v>341</v>
      </c>
      <c r="W82" s="53">
        <v>0.10542700000000001</v>
      </c>
      <c r="X82" s="53">
        <v>34.698397999999997</v>
      </c>
      <c r="Y82" s="53" t="s">
        <v>359</v>
      </c>
      <c r="Z82" s="53" t="s">
        <v>334</v>
      </c>
      <c r="AA82" s="116" t="s">
        <v>347</v>
      </c>
      <c r="AB82" s="154" t="s">
        <v>371</v>
      </c>
      <c r="AC82" s="116" t="s">
        <v>687</v>
      </c>
      <c r="AD82" s="53" t="s">
        <v>365</v>
      </c>
      <c r="AE82" s="53" t="s">
        <v>685</v>
      </c>
      <c r="AF82" s="53" t="s">
        <v>691</v>
      </c>
      <c r="AG82" s="156">
        <v>4071.7</v>
      </c>
      <c r="AH82" s="157">
        <v>224.7</v>
      </c>
      <c r="AI82" s="74">
        <v>5.1827399999999999</v>
      </c>
      <c r="AJ82" s="157">
        <v>186.3</v>
      </c>
      <c r="AK82" s="156">
        <v>2.0920000000000001</v>
      </c>
      <c r="AL82" s="157">
        <v>56.3</v>
      </c>
      <c r="AM82" s="144">
        <f t="shared" si="36"/>
        <v>5.577671232876712E-3</v>
      </c>
      <c r="AN82" s="158">
        <f t="shared" si="42"/>
        <v>18.592237442922375</v>
      </c>
      <c r="AO82" s="144">
        <f t="shared" si="37"/>
        <v>3.0780821917808217E-4</v>
      </c>
      <c r="AP82" s="158">
        <f t="shared" si="43"/>
        <v>8.5502283105022822E-2</v>
      </c>
      <c r="AQ82" s="144">
        <f t="shared" si="38"/>
        <v>7.099643835616438E-6</v>
      </c>
      <c r="AR82" s="158">
        <f t="shared" si="44"/>
        <v>2.3665479452054796E-2</v>
      </c>
      <c r="AS82" s="144">
        <f t="shared" si="39"/>
        <v>2.5520547945205477E-4</v>
      </c>
      <c r="AT82" s="158">
        <f t="shared" si="45"/>
        <v>8.5068493150684918E-2</v>
      </c>
      <c r="AU82" s="144">
        <f t="shared" si="40"/>
        <v>2.8657534246575345E-6</v>
      </c>
      <c r="AV82" s="158">
        <f t="shared" si="46"/>
        <v>5.7315068493150687E-3</v>
      </c>
      <c r="AW82" s="144">
        <f t="shared" si="41"/>
        <v>7.7123287671232863E-5</v>
      </c>
      <c r="AX82" s="158">
        <f t="shared" si="47"/>
        <v>3.856164383561643E-3</v>
      </c>
      <c r="AY82" s="144">
        <f t="shared" si="48"/>
        <v>1.1636137726027396E-3</v>
      </c>
      <c r="AZ82" s="158">
        <f t="shared" si="49"/>
        <v>3.8787125753424654</v>
      </c>
      <c r="BA82" s="144">
        <f t="shared" si="50"/>
        <v>3.8787125753424655E-5</v>
      </c>
      <c r="BB82" s="158">
        <f t="shared" si="51"/>
        <v>1.1082035929549901E-2</v>
      </c>
      <c r="BC82" s="144">
        <f t="shared" si="52"/>
        <v>4.9370923232876698E-8</v>
      </c>
      <c r="BD82" s="158">
        <f t="shared" si="53"/>
        <v>1.6456974410958901E-4</v>
      </c>
      <c r="BE82" s="144">
        <f t="shared" si="54"/>
        <v>1.7746989041095889E-6</v>
      </c>
      <c r="BF82" s="158">
        <f t="shared" si="55"/>
        <v>3.5493978082191778E-4</v>
      </c>
      <c r="BG82" s="144">
        <f t="shared" si="56"/>
        <v>1.9928449315068495E-8</v>
      </c>
      <c r="BH82" s="158">
        <f t="shared" si="57"/>
        <v>3.985689863013699E-5</v>
      </c>
      <c r="BI82" s="144">
        <f t="shared" si="58"/>
        <v>5.3631534246575347E-7</v>
      </c>
      <c r="BJ82" s="158">
        <f t="shared" si="59"/>
        <v>9.5770596868884544E-5</v>
      </c>
      <c r="BK82" s="144">
        <f t="shared" si="60"/>
        <v>8.2024576954069301E-7</v>
      </c>
      <c r="BL82" s="158">
        <f t="shared" si="61"/>
        <v>2.7341525651356437E-3</v>
      </c>
      <c r="BM82" s="144">
        <f t="shared" si="62"/>
        <v>4.5265914585012089E-8</v>
      </c>
      <c r="BN82" s="158">
        <f t="shared" si="63"/>
        <v>1.2933118452860596E-5</v>
      </c>
      <c r="BO82" s="144">
        <f t="shared" si="64"/>
        <v>1.0440652699435938E-9</v>
      </c>
      <c r="BP82" s="158">
        <f t="shared" si="65"/>
        <v>3.4802175664786466E-6</v>
      </c>
      <c r="BQ82" s="144">
        <f t="shared" si="66"/>
        <v>3.7530217566478647E-8</v>
      </c>
      <c r="BR82" s="158">
        <f t="shared" si="67"/>
        <v>7.5060435132957293E-6</v>
      </c>
      <c r="BS82" s="144">
        <f t="shared" si="68"/>
        <v>4.2143432715551981E-10</v>
      </c>
      <c r="BT82" s="158">
        <f t="shared" si="69"/>
        <v>8.4286865431103962E-7</v>
      </c>
      <c r="BU82" s="144">
        <f t="shared" si="70"/>
        <v>1.1341659951651894E-8</v>
      </c>
      <c r="BV82" s="144">
        <f t="shared" si="71"/>
        <v>2.0252964199378384E-6</v>
      </c>
    </row>
    <row r="83" spans="20:74">
      <c r="T83" s="53" t="s">
        <v>241</v>
      </c>
      <c r="U83" s="39" t="s">
        <v>242</v>
      </c>
      <c r="V83" s="155" t="s">
        <v>341</v>
      </c>
      <c r="W83" s="53">
        <v>0.105629</v>
      </c>
      <c r="X83" s="53">
        <v>34.699337</v>
      </c>
      <c r="Y83" s="53" t="s">
        <v>359</v>
      </c>
      <c r="Z83" s="53" t="s">
        <v>334</v>
      </c>
      <c r="AA83" s="116" t="s">
        <v>347</v>
      </c>
      <c r="AB83" s="154" t="s">
        <v>371</v>
      </c>
      <c r="AC83" s="116" t="s">
        <v>687</v>
      </c>
      <c r="AD83" s="53" t="s">
        <v>367</v>
      </c>
      <c r="AE83" s="53" t="s">
        <v>684</v>
      </c>
      <c r="AF83" s="53" t="s">
        <v>683</v>
      </c>
      <c r="AG83" s="156">
        <v>668.9</v>
      </c>
      <c r="AH83" s="157">
        <v>153.9</v>
      </c>
      <c r="AI83" s="74">
        <v>2.6561400000000002</v>
      </c>
      <c r="AJ83" s="157">
        <v>197.5</v>
      </c>
      <c r="AK83" s="156">
        <v>1.0369999999999999</v>
      </c>
      <c r="AL83" s="157">
        <v>54.39</v>
      </c>
      <c r="AM83" s="144">
        <f t="shared" si="36"/>
        <v>9.163013698630136E-4</v>
      </c>
      <c r="AN83" s="158">
        <f t="shared" si="42"/>
        <v>3.0543378995433788</v>
      </c>
      <c r="AO83" s="144">
        <f t="shared" si="37"/>
        <v>2.1082191780821919E-4</v>
      </c>
      <c r="AP83" s="158">
        <f t="shared" si="43"/>
        <v>5.8561643835616441E-2</v>
      </c>
      <c r="AQ83" s="144">
        <f t="shared" si="38"/>
        <v>3.6385479452054798E-6</v>
      </c>
      <c r="AR83" s="158">
        <f t="shared" si="44"/>
        <v>1.2128493150684934E-2</v>
      </c>
      <c r="AS83" s="144">
        <f t="shared" si="39"/>
        <v>2.7054794520547947E-4</v>
      </c>
      <c r="AT83" s="158">
        <f t="shared" si="45"/>
        <v>9.0182648401826493E-2</v>
      </c>
      <c r="AU83" s="144">
        <f t="shared" si="40"/>
        <v>1.4205479452054789E-6</v>
      </c>
      <c r="AV83" s="158">
        <f t="shared" si="46"/>
        <v>2.8410958904109577E-3</v>
      </c>
      <c r="AW83" s="144">
        <f t="shared" si="41"/>
        <v>7.4506849315068491E-5</v>
      </c>
      <c r="AX83" s="158">
        <f t="shared" si="47"/>
        <v>3.7253424657534245E-3</v>
      </c>
      <c r="AY83" s="144">
        <f t="shared" si="48"/>
        <v>1.9115879178082193E-4</v>
      </c>
      <c r="AZ83" s="158">
        <f t="shared" si="49"/>
        <v>0.63719597260273986</v>
      </c>
      <c r="BA83" s="144">
        <f t="shared" si="50"/>
        <v>6.3719597260273964E-6</v>
      </c>
      <c r="BB83" s="158">
        <f t="shared" si="51"/>
        <v>1.8205599217221132E-3</v>
      </c>
      <c r="BC83" s="144">
        <f t="shared" si="52"/>
        <v>2.5302462410958908E-8</v>
      </c>
      <c r="BD83" s="158">
        <f t="shared" si="53"/>
        <v>8.4341541369863039E-5</v>
      </c>
      <c r="BE83" s="144">
        <f t="shared" si="54"/>
        <v>1.881390410958904E-6</v>
      </c>
      <c r="BF83" s="158">
        <f t="shared" si="55"/>
        <v>3.762780821917808E-4</v>
      </c>
      <c r="BG83" s="144">
        <f t="shared" si="56"/>
        <v>9.878490410958904E-9</v>
      </c>
      <c r="BH83" s="158">
        <f t="shared" si="57"/>
        <v>1.9756980821917806E-5</v>
      </c>
      <c r="BI83" s="144">
        <f t="shared" si="58"/>
        <v>5.1812063013698645E-7</v>
      </c>
      <c r="BJ83" s="158">
        <f t="shared" si="59"/>
        <v>9.2521541095890442E-5</v>
      </c>
      <c r="BK83" s="144">
        <f t="shared" si="60"/>
        <v>1.347502014504432E-7</v>
      </c>
      <c r="BL83" s="158">
        <f t="shared" si="61"/>
        <v>4.4916733816814403E-4</v>
      </c>
      <c r="BM83" s="144">
        <f t="shared" si="62"/>
        <v>3.1003223207091057E-8</v>
      </c>
      <c r="BN83" s="158">
        <f t="shared" si="63"/>
        <v>8.8580637734545879E-6</v>
      </c>
      <c r="BO83" s="144">
        <f t="shared" si="64"/>
        <v>5.3508058017727657E-10</v>
      </c>
      <c r="BP83" s="158">
        <f t="shared" si="65"/>
        <v>1.7836019339242553E-6</v>
      </c>
      <c r="BQ83" s="144">
        <f t="shared" si="66"/>
        <v>3.9786462530217569E-8</v>
      </c>
      <c r="BR83" s="158">
        <f t="shared" si="67"/>
        <v>7.9572925060435144E-6</v>
      </c>
      <c r="BS83" s="144">
        <f t="shared" si="68"/>
        <v>2.0890410958904106E-10</v>
      </c>
      <c r="BT83" s="158">
        <f t="shared" si="69"/>
        <v>4.1780821917808212E-7</v>
      </c>
      <c r="BU83" s="144">
        <f t="shared" si="70"/>
        <v>1.0956889605157132E-8</v>
      </c>
      <c r="BV83" s="144">
        <f t="shared" si="71"/>
        <v>1.9565874294923447E-6</v>
      </c>
    </row>
    <row r="84" spans="20:74">
      <c r="T84" s="53" t="s">
        <v>243</v>
      </c>
      <c r="U84" s="39" t="s">
        <v>244</v>
      </c>
      <c r="V84" s="155" t="s">
        <v>341</v>
      </c>
      <c r="W84" s="53">
        <v>0.105629</v>
      </c>
      <c r="X84" s="53">
        <v>34.699337</v>
      </c>
      <c r="Y84" s="53" t="s">
        <v>359</v>
      </c>
      <c r="Z84" s="53" t="s">
        <v>334</v>
      </c>
      <c r="AA84" s="116" t="s">
        <v>347</v>
      </c>
      <c r="AB84" s="154" t="s">
        <v>371</v>
      </c>
      <c r="AC84" s="116" t="s">
        <v>687</v>
      </c>
      <c r="AD84" s="53" t="s">
        <v>361</v>
      </c>
      <c r="AE84" s="53" t="s">
        <v>685</v>
      </c>
      <c r="AF84" s="53" t="s">
        <v>690</v>
      </c>
      <c r="AG84" s="156">
        <v>1730.2</v>
      </c>
      <c r="AH84" s="157">
        <v>115.1</v>
      </c>
      <c r="AI84" s="74">
        <v>2.89608</v>
      </c>
      <c r="AJ84" s="157">
        <v>224.1</v>
      </c>
      <c r="AK84" s="156">
        <v>1.1439999999999999</v>
      </c>
      <c r="AL84" s="157">
        <v>83.07</v>
      </c>
      <c r="AM84" s="144">
        <f t="shared" si="36"/>
        <v>2.3701369863013697E-3</v>
      </c>
      <c r="AN84" s="158">
        <f t="shared" si="42"/>
        <v>7.9004566210045661</v>
      </c>
      <c r="AO84" s="144">
        <f t="shared" si="37"/>
        <v>1.5767123287671231E-4</v>
      </c>
      <c r="AP84" s="158">
        <f t="shared" si="43"/>
        <v>4.3797564687975646E-2</v>
      </c>
      <c r="AQ84" s="144">
        <f t="shared" si="38"/>
        <v>3.9672328767123286E-6</v>
      </c>
      <c r="AR84" s="158">
        <f t="shared" si="44"/>
        <v>1.3224109589041097E-2</v>
      </c>
      <c r="AS84" s="144">
        <f t="shared" si="39"/>
        <v>3.0698630136986296E-4</v>
      </c>
      <c r="AT84" s="158">
        <f t="shared" si="45"/>
        <v>0.10232876712328765</v>
      </c>
      <c r="AU84" s="144">
        <f t="shared" si="40"/>
        <v>1.567123287671233E-6</v>
      </c>
      <c r="AV84" s="158">
        <f t="shared" si="46"/>
        <v>3.1342465753424662E-3</v>
      </c>
      <c r="AW84" s="144">
        <f t="shared" si="41"/>
        <v>1.137945205479452E-4</v>
      </c>
      <c r="AX84" s="158">
        <f t="shared" si="47"/>
        <v>5.6897260273972598E-3</v>
      </c>
      <c r="AY84" s="144">
        <f t="shared" si="48"/>
        <v>4.9445797808219153E-4</v>
      </c>
      <c r="AZ84" s="158">
        <f t="shared" si="49"/>
        <v>1.6481932602739719</v>
      </c>
      <c r="BA84" s="144">
        <f t="shared" si="50"/>
        <v>1.6481932602739724E-5</v>
      </c>
      <c r="BB84" s="158">
        <f t="shared" si="51"/>
        <v>4.7091236007827785E-3</v>
      </c>
      <c r="BC84" s="144">
        <f t="shared" si="52"/>
        <v>2.7588137424657535E-8</v>
      </c>
      <c r="BD84" s="158">
        <f t="shared" si="53"/>
        <v>9.1960458082191788E-5</v>
      </c>
      <c r="BE84" s="144">
        <f t="shared" si="54"/>
        <v>2.1347827397260267E-6</v>
      </c>
      <c r="BF84" s="158">
        <f t="shared" si="55"/>
        <v>4.2695654794520536E-4</v>
      </c>
      <c r="BG84" s="144">
        <f t="shared" si="56"/>
        <v>1.0897775342465756E-8</v>
      </c>
      <c r="BH84" s="158">
        <f t="shared" si="57"/>
        <v>2.1795550684931511E-5</v>
      </c>
      <c r="BI84" s="144">
        <f t="shared" si="58"/>
        <v>7.9132709589041086E-7</v>
      </c>
      <c r="BJ84" s="158">
        <f t="shared" si="59"/>
        <v>1.413084099804305E-4</v>
      </c>
      <c r="BK84" s="144">
        <f t="shared" si="60"/>
        <v>3.48549556809025E-7</v>
      </c>
      <c r="BL84" s="158">
        <f t="shared" si="61"/>
        <v>1.1618318560300835E-3</v>
      </c>
      <c r="BM84" s="144">
        <f t="shared" si="62"/>
        <v>2.3186946011281225E-8</v>
      </c>
      <c r="BN84" s="158">
        <f t="shared" si="63"/>
        <v>6.6248417175089212E-6</v>
      </c>
      <c r="BO84" s="144">
        <f t="shared" si="64"/>
        <v>5.8341659951651892E-10</v>
      </c>
      <c r="BP84" s="158">
        <f t="shared" si="65"/>
        <v>1.9447219983883965E-6</v>
      </c>
      <c r="BQ84" s="144">
        <f t="shared" si="66"/>
        <v>4.51450443190975E-8</v>
      </c>
      <c r="BR84" s="158">
        <f t="shared" si="67"/>
        <v>9.0290088638195001E-6</v>
      </c>
      <c r="BS84" s="144">
        <f t="shared" si="68"/>
        <v>2.3045930701047543E-10</v>
      </c>
      <c r="BT84" s="158">
        <f t="shared" si="69"/>
        <v>4.6091861402095086E-7</v>
      </c>
      <c r="BU84" s="144">
        <f t="shared" si="70"/>
        <v>1.6734488315874295E-8</v>
      </c>
      <c r="BV84" s="144">
        <f t="shared" si="71"/>
        <v>2.9883014849775528E-6</v>
      </c>
    </row>
    <row r="85" spans="20:74">
      <c r="T85" s="53" t="s">
        <v>245</v>
      </c>
      <c r="U85" s="39" t="s">
        <v>246</v>
      </c>
      <c r="V85" s="155" t="s">
        <v>341</v>
      </c>
      <c r="W85" s="53">
        <v>0.105629</v>
      </c>
      <c r="X85" s="53">
        <v>34.699337</v>
      </c>
      <c r="Y85" s="53" t="s">
        <v>359</v>
      </c>
      <c r="Z85" s="53" t="s">
        <v>334</v>
      </c>
      <c r="AA85" s="116" t="s">
        <v>347</v>
      </c>
      <c r="AB85" s="154" t="s">
        <v>371</v>
      </c>
      <c r="AC85" s="116" t="s">
        <v>687</v>
      </c>
      <c r="AD85" s="53" t="s">
        <v>365</v>
      </c>
      <c r="AE85" s="53" t="s">
        <v>685</v>
      </c>
      <c r="AF85" s="53" t="s">
        <v>691</v>
      </c>
      <c r="AG85" s="156">
        <v>95239.4</v>
      </c>
      <c r="AH85" s="157">
        <v>6453.5</v>
      </c>
      <c r="AI85" s="74">
        <v>144.67769999999999</v>
      </c>
      <c r="AJ85" s="157">
        <v>385.2</v>
      </c>
      <c r="AK85" s="156">
        <v>14.455</v>
      </c>
      <c r="AL85" s="157">
        <v>641.96</v>
      </c>
      <c r="AM85" s="144">
        <f t="shared" si="36"/>
        <v>0.13046493150684932</v>
      </c>
      <c r="AN85" s="158">
        <f t="shared" si="42"/>
        <v>434.8831050228311</v>
      </c>
      <c r="AO85" s="144">
        <f t="shared" si="37"/>
        <v>8.8404109589041088E-3</v>
      </c>
      <c r="AP85" s="158">
        <f t="shared" si="43"/>
        <v>2.4556697108066969</v>
      </c>
      <c r="AQ85" s="144">
        <f t="shared" si="38"/>
        <v>1.9818863013698626E-4</v>
      </c>
      <c r="AR85" s="158">
        <f t="shared" si="44"/>
        <v>0.66062876712328755</v>
      </c>
      <c r="AS85" s="144">
        <f t="shared" si="39"/>
        <v>5.2767123287671234E-4</v>
      </c>
      <c r="AT85" s="158">
        <f t="shared" si="45"/>
        <v>0.17589041095890412</v>
      </c>
      <c r="AU85" s="144">
        <f t="shared" si="40"/>
        <v>1.9801369863013699E-5</v>
      </c>
      <c r="AV85" s="158">
        <f t="shared" si="46"/>
        <v>3.9602739726027396E-2</v>
      </c>
      <c r="AW85" s="144">
        <f t="shared" si="41"/>
        <v>8.7939726027397259E-4</v>
      </c>
      <c r="AX85" s="158">
        <f t="shared" si="47"/>
        <v>4.396986301369863E-2</v>
      </c>
      <c r="AY85" s="144">
        <f t="shared" si="48"/>
        <v>2.7217594010958905E-2</v>
      </c>
      <c r="AZ85" s="158">
        <f t="shared" si="49"/>
        <v>90.725313369863031</v>
      </c>
      <c r="BA85" s="144">
        <f t="shared" si="50"/>
        <v>9.072531336986303E-4</v>
      </c>
      <c r="BB85" s="158">
        <f t="shared" si="51"/>
        <v>0.25921518105675151</v>
      </c>
      <c r="BC85" s="144">
        <f t="shared" si="52"/>
        <v>1.3782037339726027E-6</v>
      </c>
      <c r="BD85" s="158">
        <f t="shared" si="53"/>
        <v>4.5940124465753424E-3</v>
      </c>
      <c r="BE85" s="144">
        <f t="shared" si="54"/>
        <v>3.669425753424658E-6</v>
      </c>
      <c r="BF85" s="158">
        <f t="shared" si="55"/>
        <v>7.3388515068493153E-4</v>
      </c>
      <c r="BG85" s="144">
        <f t="shared" si="56"/>
        <v>1.3769872602739723E-7</v>
      </c>
      <c r="BH85" s="158">
        <f t="shared" si="57"/>
        <v>2.7539745205479446E-4</v>
      </c>
      <c r="BI85" s="144">
        <f t="shared" si="58"/>
        <v>6.1153285479452058E-6</v>
      </c>
      <c r="BJ85" s="158">
        <f t="shared" si="59"/>
        <v>1.0920229549902154E-3</v>
      </c>
      <c r="BK85" s="144">
        <f t="shared" si="60"/>
        <v>1.9186019339242548E-5</v>
      </c>
      <c r="BL85" s="158">
        <f t="shared" si="61"/>
        <v>6.3953397797475164E-2</v>
      </c>
      <c r="BM85" s="144">
        <f t="shared" si="62"/>
        <v>1.3000604351329573E-6</v>
      </c>
      <c r="BN85" s="158">
        <f t="shared" si="63"/>
        <v>3.7144583860941637E-4</v>
      </c>
      <c r="BO85" s="144">
        <f t="shared" si="64"/>
        <v>2.9145386784850923E-8</v>
      </c>
      <c r="BP85" s="158">
        <f t="shared" si="65"/>
        <v>9.715128928283642E-5</v>
      </c>
      <c r="BQ85" s="144">
        <f t="shared" si="66"/>
        <v>7.7598710717163578E-8</v>
      </c>
      <c r="BR85" s="158">
        <f t="shared" si="67"/>
        <v>1.5519742143432715E-5</v>
      </c>
      <c r="BS85" s="144">
        <f t="shared" si="68"/>
        <v>2.9119661563255443E-9</v>
      </c>
      <c r="BT85" s="158">
        <f t="shared" si="69"/>
        <v>5.8239323126510886E-6</v>
      </c>
      <c r="BU85" s="144">
        <f t="shared" si="70"/>
        <v>1.2932312651087832E-7</v>
      </c>
      <c r="BV85" s="144">
        <f t="shared" si="71"/>
        <v>2.309341544837113E-5</v>
      </c>
    </row>
    <row r="86" spans="20:74">
      <c r="T86" s="53" t="s">
        <v>247</v>
      </c>
      <c r="U86" s="39" t="s">
        <v>248</v>
      </c>
      <c r="V86" s="155" t="s">
        <v>341</v>
      </c>
      <c r="W86" s="53">
        <v>0.105629</v>
      </c>
      <c r="X86" s="53">
        <v>34.699337</v>
      </c>
      <c r="Y86" s="53" t="s">
        <v>359</v>
      </c>
      <c r="Z86" s="53" t="s">
        <v>334</v>
      </c>
      <c r="AA86" s="116" t="s">
        <v>347</v>
      </c>
      <c r="AB86" s="154" t="s">
        <v>371</v>
      </c>
      <c r="AC86" s="116" t="s">
        <v>687</v>
      </c>
      <c r="AD86" s="53" t="s">
        <v>364</v>
      </c>
      <c r="AE86" s="53" t="s">
        <v>685</v>
      </c>
      <c r="AF86" s="53" t="s">
        <v>690</v>
      </c>
      <c r="AG86" s="156">
        <v>420.1</v>
      </c>
      <c r="AH86" s="157">
        <v>71.3</v>
      </c>
      <c r="AI86" s="74">
        <v>9.3579999999999997E-2</v>
      </c>
      <c r="AJ86" s="157">
        <v>257</v>
      </c>
      <c r="AK86" s="156">
        <v>0.23699999999999999</v>
      </c>
      <c r="AL86" s="157">
        <v>103.2</v>
      </c>
      <c r="AM86" s="144">
        <f t="shared" si="36"/>
        <v>5.7547945205479447E-4</v>
      </c>
      <c r="AN86" s="158">
        <f t="shared" si="42"/>
        <v>1.9182648401826483</v>
      </c>
      <c r="AO86" s="144">
        <f t="shared" si="37"/>
        <v>9.7671232876712319E-5</v>
      </c>
      <c r="AP86" s="158">
        <f t="shared" si="43"/>
        <v>2.7130898021308979E-2</v>
      </c>
      <c r="AQ86" s="144">
        <f t="shared" si="38"/>
        <v>1.281917808219178E-7</v>
      </c>
      <c r="AR86" s="158">
        <f t="shared" si="44"/>
        <v>4.2730593607305935E-4</v>
      </c>
      <c r="AS86" s="144">
        <f t="shared" si="39"/>
        <v>3.5205479452054791E-4</v>
      </c>
      <c r="AT86" s="158">
        <f t="shared" si="45"/>
        <v>0.11735159817351597</v>
      </c>
      <c r="AU86" s="144">
        <f t="shared" si="40"/>
        <v>3.2465753424657531E-7</v>
      </c>
      <c r="AV86" s="158">
        <f t="shared" si="46"/>
        <v>6.4931506849315063E-4</v>
      </c>
      <c r="AW86" s="144">
        <f t="shared" si="41"/>
        <v>1.4136986301369864E-4</v>
      </c>
      <c r="AX86" s="158">
        <f t="shared" si="47"/>
        <v>7.0684931506849319E-3</v>
      </c>
      <c r="AY86" s="144">
        <f t="shared" si="48"/>
        <v>1.200565232876712E-4</v>
      </c>
      <c r="AZ86" s="158">
        <f t="shared" si="49"/>
        <v>0.40018841095890406</v>
      </c>
      <c r="BA86" s="144">
        <f t="shared" si="50"/>
        <v>4.0018841095890407E-6</v>
      </c>
      <c r="BB86" s="158">
        <f t="shared" si="51"/>
        <v>1.1433954598825829E-3</v>
      </c>
      <c r="BC86" s="144">
        <f t="shared" si="52"/>
        <v>8.9144564383561621E-10</v>
      </c>
      <c r="BD86" s="158">
        <f t="shared" si="53"/>
        <v>2.9714854794520545E-6</v>
      </c>
      <c r="BE86" s="144">
        <f t="shared" si="54"/>
        <v>2.4481890410958906E-6</v>
      </c>
      <c r="BF86" s="158">
        <f t="shared" si="55"/>
        <v>4.8963780821917812E-4</v>
      </c>
      <c r="BG86" s="144">
        <f t="shared" si="56"/>
        <v>2.2576684931506849E-9</v>
      </c>
      <c r="BH86" s="158">
        <f t="shared" si="57"/>
        <v>4.51533698630137E-6</v>
      </c>
      <c r="BI86" s="144">
        <f t="shared" si="58"/>
        <v>9.8308602739726034E-7</v>
      </c>
      <c r="BJ86" s="158">
        <f t="shared" si="59"/>
        <v>1.7555107632093934E-4</v>
      </c>
      <c r="BK86" s="144">
        <f t="shared" si="60"/>
        <v>8.4629331184528608E-8</v>
      </c>
      <c r="BL86" s="158">
        <f t="shared" si="61"/>
        <v>2.8209777061509537E-4</v>
      </c>
      <c r="BM86" s="144">
        <f t="shared" si="62"/>
        <v>1.4363416599516519E-8</v>
      </c>
      <c r="BN86" s="158">
        <f t="shared" si="63"/>
        <v>4.1038333141475768E-6</v>
      </c>
      <c r="BO86" s="144">
        <f t="shared" si="64"/>
        <v>1.8851732473811442E-11</v>
      </c>
      <c r="BP86" s="158">
        <f t="shared" si="65"/>
        <v>6.2839108246038142E-8</v>
      </c>
      <c r="BQ86" s="144">
        <f t="shared" si="66"/>
        <v>5.177276390008058E-8</v>
      </c>
      <c r="BR86" s="158">
        <f t="shared" si="67"/>
        <v>1.0354552780016115E-5</v>
      </c>
      <c r="BS86" s="144">
        <f t="shared" si="68"/>
        <v>4.7743755036261082E-11</v>
      </c>
      <c r="BT86" s="158">
        <f t="shared" si="69"/>
        <v>9.5487510072522164E-8</v>
      </c>
      <c r="BU86" s="144">
        <f t="shared" si="70"/>
        <v>2.0789685737308622E-8</v>
      </c>
      <c r="BV86" s="144">
        <f t="shared" si="71"/>
        <v>3.712443881662254E-6</v>
      </c>
    </row>
    <row r="87" spans="20:74">
      <c r="T87" s="53" t="s">
        <v>249</v>
      </c>
      <c r="U87" s="39" t="s">
        <v>250</v>
      </c>
      <c r="V87" s="155" t="s">
        <v>341</v>
      </c>
      <c r="W87" s="53">
        <v>0.105629</v>
      </c>
      <c r="X87" s="53">
        <v>34.699337</v>
      </c>
      <c r="Y87" s="53" t="s">
        <v>359</v>
      </c>
      <c r="Z87" s="53" t="s">
        <v>334</v>
      </c>
      <c r="AA87" s="116" t="s">
        <v>347</v>
      </c>
      <c r="AB87" s="154" t="s">
        <v>371</v>
      </c>
      <c r="AC87" s="116" t="s">
        <v>687</v>
      </c>
      <c r="AD87" s="53" t="s">
        <v>366</v>
      </c>
      <c r="AE87" s="53" t="s">
        <v>684</v>
      </c>
      <c r="AF87" s="53" t="s">
        <v>683</v>
      </c>
      <c r="AG87" s="156">
        <v>8567.4</v>
      </c>
      <c r="AH87" s="157">
        <v>181.4</v>
      </c>
      <c r="AI87" s="74">
        <v>5.7652700000000001</v>
      </c>
      <c r="AJ87" s="157">
        <v>120.8</v>
      </c>
      <c r="AK87" s="156">
        <v>1.0309999999999999</v>
      </c>
      <c r="AL87" s="157">
        <v>61.82</v>
      </c>
      <c r="AM87" s="144">
        <f t="shared" si="36"/>
        <v>1.1736164383561645E-2</v>
      </c>
      <c r="AN87" s="158">
        <f t="shared" si="42"/>
        <v>39.120547945205487</v>
      </c>
      <c r="AO87" s="144">
        <f t="shared" si="37"/>
        <v>2.4849315068493151E-4</v>
      </c>
      <c r="AP87" s="158">
        <f t="shared" si="43"/>
        <v>6.9025875190258754E-2</v>
      </c>
      <c r="AQ87" s="144">
        <f t="shared" si="38"/>
        <v>7.8976301369863009E-6</v>
      </c>
      <c r="AR87" s="158">
        <f t="shared" si="44"/>
        <v>2.6325433789954337E-2</v>
      </c>
      <c r="AS87" s="144">
        <f t="shared" si="39"/>
        <v>1.6547945205479451E-4</v>
      </c>
      <c r="AT87" s="158">
        <f t="shared" si="45"/>
        <v>5.5159817351598167E-2</v>
      </c>
      <c r="AU87" s="144">
        <f t="shared" si="40"/>
        <v>1.4123287671232876E-6</v>
      </c>
      <c r="AV87" s="158">
        <f t="shared" si="46"/>
        <v>2.8246575342465753E-3</v>
      </c>
      <c r="AW87" s="144">
        <f t="shared" si="41"/>
        <v>8.4684931506849321E-5</v>
      </c>
      <c r="AX87" s="158">
        <f t="shared" si="47"/>
        <v>4.234246575342466E-3</v>
      </c>
      <c r="AY87" s="144">
        <f t="shared" si="48"/>
        <v>2.4483986136986302E-3</v>
      </c>
      <c r="AZ87" s="158">
        <f t="shared" si="49"/>
        <v>8.1613287123287677</v>
      </c>
      <c r="BA87" s="144">
        <f t="shared" si="50"/>
        <v>8.161328712328769E-5</v>
      </c>
      <c r="BB87" s="158">
        <f t="shared" si="51"/>
        <v>2.3318082035225052E-2</v>
      </c>
      <c r="BC87" s="144">
        <f t="shared" si="52"/>
        <v>5.4920119972602723E-8</v>
      </c>
      <c r="BD87" s="158">
        <f t="shared" si="53"/>
        <v>1.8306706657534243E-4</v>
      </c>
      <c r="BE87" s="144">
        <f t="shared" si="54"/>
        <v>1.1507441095890412E-6</v>
      </c>
      <c r="BF87" s="158">
        <f t="shared" si="55"/>
        <v>2.3014882191780823E-4</v>
      </c>
      <c r="BG87" s="144">
        <f t="shared" si="56"/>
        <v>9.8213342465753421E-9</v>
      </c>
      <c r="BH87" s="158">
        <f t="shared" si="57"/>
        <v>1.9642668493150683E-5</v>
      </c>
      <c r="BI87" s="144">
        <f t="shared" si="58"/>
        <v>5.8889901369863003E-7</v>
      </c>
      <c r="BJ87" s="158">
        <f t="shared" si="59"/>
        <v>1.0516053816046965E-4</v>
      </c>
      <c r="BK87" s="144">
        <f t="shared" si="60"/>
        <v>1.7259065269943593E-6</v>
      </c>
      <c r="BL87" s="158">
        <f t="shared" si="61"/>
        <v>5.7530217566478647E-3</v>
      </c>
      <c r="BM87" s="144">
        <f t="shared" si="62"/>
        <v>3.6543110394842867E-8</v>
      </c>
      <c r="BN87" s="158">
        <f t="shared" si="63"/>
        <v>1.0440888684240819E-5</v>
      </c>
      <c r="BO87" s="144">
        <f t="shared" si="64"/>
        <v>1.1614161966156324E-9</v>
      </c>
      <c r="BP87" s="158">
        <f t="shared" si="65"/>
        <v>3.8713873220521081E-6</v>
      </c>
      <c r="BQ87" s="144">
        <f t="shared" si="66"/>
        <v>2.4335213537469782E-8</v>
      </c>
      <c r="BR87" s="158">
        <f t="shared" si="67"/>
        <v>4.8670427074939568E-6</v>
      </c>
      <c r="BS87" s="144">
        <f t="shared" si="68"/>
        <v>2.0769540692989521E-10</v>
      </c>
      <c r="BT87" s="158">
        <f t="shared" si="69"/>
        <v>4.1539081385979043E-7</v>
      </c>
      <c r="BU87" s="144">
        <f t="shared" si="70"/>
        <v>1.2453666398066078E-8</v>
      </c>
      <c r="BV87" s="144">
        <f t="shared" si="71"/>
        <v>2.2238689996546568E-6</v>
      </c>
    </row>
    <row r="88" spans="20:74">
      <c r="T88" s="53" t="s">
        <v>251</v>
      </c>
      <c r="U88" s="39" t="s">
        <v>252</v>
      </c>
      <c r="V88" s="155" t="s">
        <v>341</v>
      </c>
      <c r="W88" s="53">
        <v>0.105494</v>
      </c>
      <c r="X88" s="53">
        <v>34.699541000000004</v>
      </c>
      <c r="Y88" s="53" t="s">
        <v>359</v>
      </c>
      <c r="Z88" s="53" t="s">
        <v>334</v>
      </c>
      <c r="AA88" s="116" t="s">
        <v>347</v>
      </c>
      <c r="AB88" s="154" t="s">
        <v>371</v>
      </c>
      <c r="AC88" s="39" t="s">
        <v>688</v>
      </c>
      <c r="AD88" s="53" t="s">
        <v>369</v>
      </c>
      <c r="AE88" s="53" t="s">
        <v>685</v>
      </c>
      <c r="AF88" s="53" t="s">
        <v>691</v>
      </c>
      <c r="AG88" s="156">
        <v>3694.8</v>
      </c>
      <c r="AH88" s="157">
        <v>204.5</v>
      </c>
      <c r="AI88" s="74">
        <v>7.8705299999999996</v>
      </c>
      <c r="AJ88" s="157">
        <v>188.7</v>
      </c>
      <c r="AK88" s="156">
        <v>2.1360000000000001</v>
      </c>
      <c r="AL88" s="157">
        <v>57.71</v>
      </c>
      <c r="AM88" s="144">
        <f t="shared" si="36"/>
        <v>5.0613698630136983E-3</v>
      </c>
      <c r="AN88" s="158">
        <f t="shared" si="42"/>
        <v>16.87123287671233</v>
      </c>
      <c r="AO88" s="144">
        <f t="shared" si="37"/>
        <v>2.8013698630136984E-4</v>
      </c>
      <c r="AP88" s="158">
        <f t="shared" si="43"/>
        <v>7.7815829528158298E-2</v>
      </c>
      <c r="AQ88" s="144">
        <f t="shared" si="38"/>
        <v>1.0781547945205477E-5</v>
      </c>
      <c r="AR88" s="158">
        <f t="shared" si="44"/>
        <v>3.5938493150684925E-2</v>
      </c>
      <c r="AS88" s="144">
        <f t="shared" si="39"/>
        <v>2.5849315068493149E-4</v>
      </c>
      <c r="AT88" s="158">
        <f t="shared" si="45"/>
        <v>8.6164383561643826E-2</v>
      </c>
      <c r="AU88" s="144">
        <f t="shared" si="40"/>
        <v>2.9260273972602744E-6</v>
      </c>
      <c r="AV88" s="158">
        <f t="shared" si="46"/>
        <v>5.8520547945205489E-3</v>
      </c>
      <c r="AW88" s="144">
        <f t="shared" si="41"/>
        <v>7.9054794520547938E-5</v>
      </c>
      <c r="AX88" s="158">
        <f t="shared" si="47"/>
        <v>3.9527397260273964E-3</v>
      </c>
      <c r="AY88" s="144">
        <f t="shared" si="48"/>
        <v>1.0559029808219177E-3</v>
      </c>
      <c r="AZ88" s="158">
        <f t="shared" si="49"/>
        <v>3.5196766027397257</v>
      </c>
      <c r="BA88" s="144">
        <f t="shared" si="50"/>
        <v>3.5196766027397262E-5</v>
      </c>
      <c r="BB88" s="158">
        <f t="shared" si="51"/>
        <v>1.0056218864970646E-2</v>
      </c>
      <c r="BC88" s="144">
        <f t="shared" si="52"/>
        <v>7.4974884410958903E-8</v>
      </c>
      <c r="BD88" s="158">
        <f t="shared" si="53"/>
        <v>2.4991628136986305E-4</v>
      </c>
      <c r="BE88" s="144">
        <f t="shared" si="54"/>
        <v>1.7975613698630136E-6</v>
      </c>
      <c r="BF88" s="158">
        <f t="shared" si="55"/>
        <v>3.5951227397260273E-4</v>
      </c>
      <c r="BG88" s="144">
        <f t="shared" si="56"/>
        <v>2.0347594520547947E-8</v>
      </c>
      <c r="BH88" s="158">
        <f t="shared" si="57"/>
        <v>4.069518904109589E-5</v>
      </c>
      <c r="BI88" s="144">
        <f t="shared" si="58"/>
        <v>5.4974704109589035E-7</v>
      </c>
      <c r="BJ88" s="158">
        <f t="shared" si="59"/>
        <v>9.8169114481408987E-5</v>
      </c>
      <c r="BK88" s="144">
        <f t="shared" si="60"/>
        <v>7.4431909750201455E-7</v>
      </c>
      <c r="BL88" s="158">
        <f t="shared" si="61"/>
        <v>2.4810636583400486E-3</v>
      </c>
      <c r="BM88" s="144">
        <f t="shared" si="62"/>
        <v>4.1196615632554393E-8</v>
      </c>
      <c r="BN88" s="158">
        <f t="shared" si="63"/>
        <v>1.1770461609301255E-5</v>
      </c>
      <c r="BO88" s="144">
        <f t="shared" si="64"/>
        <v>1.5855217566478647E-9</v>
      </c>
      <c r="BP88" s="158">
        <f t="shared" si="65"/>
        <v>5.2850725221595493E-6</v>
      </c>
      <c r="BQ88" s="144">
        <f t="shared" si="66"/>
        <v>3.8013698630136988E-8</v>
      </c>
      <c r="BR88" s="158">
        <f t="shared" si="67"/>
        <v>7.6027397260273977E-6</v>
      </c>
      <c r="BS88" s="144">
        <f t="shared" si="68"/>
        <v>4.3029814665592264E-10</v>
      </c>
      <c r="BT88" s="158">
        <f t="shared" si="69"/>
        <v>8.6059629331184531E-7</v>
      </c>
      <c r="BU88" s="144">
        <f t="shared" si="70"/>
        <v>1.1625705076551168E-8</v>
      </c>
      <c r="BV88" s="144">
        <f t="shared" si="71"/>
        <v>2.0760187636698515E-6</v>
      </c>
    </row>
    <row r="89" spans="20:74">
      <c r="T89" s="53" t="s">
        <v>253</v>
      </c>
      <c r="U89" s="39" t="s">
        <v>254</v>
      </c>
      <c r="V89" s="155" t="s">
        <v>341</v>
      </c>
      <c r="W89" s="53">
        <v>0.105494</v>
      </c>
      <c r="X89" s="53">
        <v>34.699541000000004</v>
      </c>
      <c r="Y89" s="53" t="s">
        <v>359</v>
      </c>
      <c r="Z89" s="53" t="s">
        <v>334</v>
      </c>
      <c r="AA89" s="116" t="s">
        <v>347</v>
      </c>
      <c r="AB89" s="154" t="s">
        <v>371</v>
      </c>
      <c r="AC89" s="116" t="s">
        <v>687</v>
      </c>
      <c r="AD89" s="53" t="s">
        <v>365</v>
      </c>
      <c r="AE89" s="53" t="s">
        <v>685</v>
      </c>
      <c r="AF89" s="53" t="s">
        <v>691</v>
      </c>
      <c r="AG89" s="156">
        <v>2492.6</v>
      </c>
      <c r="AH89" s="157">
        <v>262.10000000000002</v>
      </c>
      <c r="AI89" s="74">
        <v>70.893924999999996</v>
      </c>
      <c r="AJ89" s="157">
        <v>205.9</v>
      </c>
      <c r="AK89" s="156">
        <v>2.2000000000000002</v>
      </c>
      <c r="AL89" s="157">
        <v>72.430000000000007</v>
      </c>
      <c r="AM89" s="144">
        <f t="shared" si="36"/>
        <v>3.4145205479452056E-3</v>
      </c>
      <c r="AN89" s="158">
        <f t="shared" si="42"/>
        <v>11.381735159817353</v>
      </c>
      <c r="AO89" s="144">
        <f t="shared" si="37"/>
        <v>3.59041095890411E-4</v>
      </c>
      <c r="AP89" s="158">
        <f t="shared" si="43"/>
        <v>9.9733637747336387E-2</v>
      </c>
      <c r="AQ89" s="144">
        <f t="shared" si="38"/>
        <v>9.7114965753424651E-5</v>
      </c>
      <c r="AR89" s="158">
        <f t="shared" si="44"/>
        <v>0.32371655251141551</v>
      </c>
      <c r="AS89" s="144">
        <f t="shared" si="39"/>
        <v>2.8205479452054794E-4</v>
      </c>
      <c r="AT89" s="158">
        <f t="shared" si="45"/>
        <v>9.401826484018265E-2</v>
      </c>
      <c r="AU89" s="144">
        <f t="shared" si="40"/>
        <v>3.0136986301369868E-6</v>
      </c>
      <c r="AV89" s="158">
        <f t="shared" si="46"/>
        <v>6.0273972602739737E-3</v>
      </c>
      <c r="AW89" s="144">
        <f t="shared" si="41"/>
        <v>9.9219178082191802E-5</v>
      </c>
      <c r="AX89" s="158">
        <f t="shared" si="47"/>
        <v>4.9609589041095898E-3</v>
      </c>
      <c r="AY89" s="144">
        <f t="shared" si="48"/>
        <v>7.1233727671232878E-4</v>
      </c>
      <c r="AZ89" s="158">
        <f t="shared" si="49"/>
        <v>2.3744575890410959</v>
      </c>
      <c r="BA89" s="144">
        <f t="shared" si="50"/>
        <v>2.3744575890410959E-5</v>
      </c>
      <c r="BB89" s="158">
        <f t="shared" si="51"/>
        <v>6.7841645401174166E-3</v>
      </c>
      <c r="BC89" s="144">
        <f t="shared" si="52"/>
        <v>6.7533747184931506E-7</v>
      </c>
      <c r="BD89" s="158">
        <f t="shared" si="53"/>
        <v>2.2511249061643837E-3</v>
      </c>
      <c r="BE89" s="144">
        <f t="shared" si="54"/>
        <v>1.9614090410958901E-6</v>
      </c>
      <c r="BF89" s="158">
        <f t="shared" si="55"/>
        <v>3.9228180821917802E-4</v>
      </c>
      <c r="BG89" s="144">
        <f t="shared" si="56"/>
        <v>2.0957260273972602E-8</v>
      </c>
      <c r="BH89" s="158">
        <f t="shared" si="57"/>
        <v>4.1914520547945202E-5</v>
      </c>
      <c r="BI89" s="144">
        <f t="shared" si="58"/>
        <v>6.8997016438356176E-7</v>
      </c>
      <c r="BJ89" s="158">
        <f t="shared" si="59"/>
        <v>1.2320895792563603E-4</v>
      </c>
      <c r="BK89" s="144">
        <f t="shared" si="60"/>
        <v>5.021353746978243E-7</v>
      </c>
      <c r="BL89" s="158">
        <f t="shared" si="61"/>
        <v>1.6737845823260812E-3</v>
      </c>
      <c r="BM89" s="144">
        <f t="shared" si="62"/>
        <v>5.2800161160354552E-8</v>
      </c>
      <c r="BN89" s="158">
        <f t="shared" si="63"/>
        <v>1.5085760331529872E-5</v>
      </c>
      <c r="BO89" s="144">
        <f t="shared" si="64"/>
        <v>1.4281612610797742E-8</v>
      </c>
      <c r="BP89" s="158">
        <f t="shared" si="65"/>
        <v>4.7605375369325808E-5</v>
      </c>
      <c r="BQ89" s="144">
        <f t="shared" si="66"/>
        <v>4.1478646253021755E-8</v>
      </c>
      <c r="BR89" s="158">
        <f t="shared" si="67"/>
        <v>8.2957292506043504E-6</v>
      </c>
      <c r="BS89" s="144">
        <f t="shared" si="68"/>
        <v>4.4319097502014505E-10</v>
      </c>
      <c r="BT89" s="158">
        <f t="shared" si="69"/>
        <v>8.8638195004029013E-7</v>
      </c>
      <c r="BU89" s="144">
        <f t="shared" si="70"/>
        <v>1.4591055600322322E-8</v>
      </c>
      <c r="BV89" s="144">
        <f t="shared" si="71"/>
        <v>2.6055456429147003E-6</v>
      </c>
    </row>
    <row r="90" spans="20:74">
      <c r="T90" s="53" t="s">
        <v>255</v>
      </c>
      <c r="U90" s="39" t="s">
        <v>256</v>
      </c>
      <c r="V90" s="155" t="s">
        <v>342</v>
      </c>
      <c r="W90" s="53">
        <v>0.10229199999999999</v>
      </c>
      <c r="X90" s="53">
        <v>34.713501999999998</v>
      </c>
      <c r="Y90" s="53" t="s">
        <v>335</v>
      </c>
      <c r="Z90" s="53" t="s">
        <v>334</v>
      </c>
      <c r="AA90" s="116" t="s">
        <v>347</v>
      </c>
      <c r="AB90" s="154" t="s">
        <v>371</v>
      </c>
      <c r="AC90" s="116" t="s">
        <v>687</v>
      </c>
      <c r="AD90" s="53" t="s">
        <v>365</v>
      </c>
      <c r="AE90" s="53" t="s">
        <v>685</v>
      </c>
      <c r="AF90" s="53" t="s">
        <v>691</v>
      </c>
      <c r="AG90" s="156">
        <v>10005.1</v>
      </c>
      <c r="AH90" s="157">
        <v>24.2</v>
      </c>
      <c r="AI90" s="74">
        <v>0.89992500000000009</v>
      </c>
      <c r="AJ90" s="157">
        <v>137.4</v>
      </c>
      <c r="AK90" s="156">
        <v>0.32400000000000001</v>
      </c>
      <c r="AL90" s="157">
        <v>76.260000000000005</v>
      </c>
      <c r="AM90" s="144">
        <f t="shared" si="36"/>
        <v>1.3705616438356164E-2</v>
      </c>
      <c r="AN90" s="158">
        <f t="shared" si="42"/>
        <v>45.685388127853884</v>
      </c>
      <c r="AO90" s="144">
        <f t="shared" si="37"/>
        <v>3.3150684931506849E-5</v>
      </c>
      <c r="AP90" s="158">
        <f t="shared" si="43"/>
        <v>9.2085235920852365E-3</v>
      </c>
      <c r="AQ90" s="144">
        <f t="shared" si="38"/>
        <v>1.2327739726027399E-6</v>
      </c>
      <c r="AR90" s="158">
        <f t="shared" si="44"/>
        <v>4.1092465753424668E-3</v>
      </c>
      <c r="AS90" s="144">
        <f t="shared" si="39"/>
        <v>1.8821917808219176E-4</v>
      </c>
      <c r="AT90" s="158">
        <f t="shared" si="45"/>
        <v>6.2739726027397247E-2</v>
      </c>
      <c r="AU90" s="144">
        <f t="shared" si="40"/>
        <v>4.4383561643835619E-7</v>
      </c>
      <c r="AV90" s="158">
        <f t="shared" si="46"/>
        <v>8.876712328767123E-4</v>
      </c>
      <c r="AW90" s="144">
        <f t="shared" si="41"/>
        <v>1.0446575342465754E-4</v>
      </c>
      <c r="AX90" s="158">
        <f t="shared" si="47"/>
        <v>5.2232876712328766E-3</v>
      </c>
      <c r="AY90" s="144">
        <f t="shared" si="48"/>
        <v>2.8592657013698621E-3</v>
      </c>
      <c r="AZ90" s="158">
        <f t="shared" si="49"/>
        <v>9.5308856712328751</v>
      </c>
      <c r="BA90" s="144">
        <f t="shared" si="50"/>
        <v>9.5308856712328767E-5</v>
      </c>
      <c r="BB90" s="158">
        <f t="shared" si="51"/>
        <v>2.7231101917808219E-2</v>
      </c>
      <c r="BC90" s="144">
        <f t="shared" si="52"/>
        <v>8.5727102054794515E-9</v>
      </c>
      <c r="BD90" s="158">
        <f t="shared" si="53"/>
        <v>2.8575700684931507E-5</v>
      </c>
      <c r="BE90" s="144">
        <f t="shared" si="54"/>
        <v>1.3088761643835615E-6</v>
      </c>
      <c r="BF90" s="158">
        <f t="shared" si="55"/>
        <v>2.6177523287671228E-4</v>
      </c>
      <c r="BG90" s="144">
        <f t="shared" si="56"/>
        <v>3.086432876712329E-9</v>
      </c>
      <c r="BH90" s="158">
        <f t="shared" si="57"/>
        <v>6.1728657534246578E-6</v>
      </c>
      <c r="BI90" s="144">
        <f t="shared" si="58"/>
        <v>7.2645484931506869E-7</v>
      </c>
      <c r="BJ90" s="158">
        <f t="shared" si="59"/>
        <v>1.297240802348337E-4</v>
      </c>
      <c r="BK90" s="144">
        <f t="shared" si="60"/>
        <v>2.0155318291700242E-6</v>
      </c>
      <c r="BL90" s="158">
        <f t="shared" si="61"/>
        <v>6.7184394305667477E-3</v>
      </c>
      <c r="BM90" s="144">
        <f t="shared" si="62"/>
        <v>4.8751007252215951E-9</v>
      </c>
      <c r="BN90" s="158">
        <f t="shared" si="63"/>
        <v>1.3928859214918842E-6</v>
      </c>
      <c r="BO90" s="144">
        <f t="shared" si="64"/>
        <v>1.8129029008863819E-10</v>
      </c>
      <c r="BP90" s="158">
        <f t="shared" si="65"/>
        <v>6.0430096696212735E-7</v>
      </c>
      <c r="BQ90" s="144">
        <f t="shared" si="66"/>
        <v>2.7679290894439968E-8</v>
      </c>
      <c r="BR90" s="158">
        <f t="shared" si="67"/>
        <v>5.5358581788879933E-6</v>
      </c>
      <c r="BS90" s="144">
        <f t="shared" si="68"/>
        <v>6.5269943593875908E-11</v>
      </c>
      <c r="BT90" s="158">
        <f t="shared" si="69"/>
        <v>1.305398871877518E-7</v>
      </c>
      <c r="BU90" s="144">
        <f t="shared" si="70"/>
        <v>1.5362610797743754E-8</v>
      </c>
      <c r="BV90" s="144">
        <f t="shared" si="71"/>
        <v>2.7433233567399562E-6</v>
      </c>
    </row>
    <row r="91" spans="20:74">
      <c r="T91" s="53" t="s">
        <v>257</v>
      </c>
      <c r="U91" s="39" t="s">
        <v>258</v>
      </c>
      <c r="V91" s="155" t="s">
        <v>342</v>
      </c>
      <c r="W91" s="53">
        <v>0.10229199999999999</v>
      </c>
      <c r="X91" s="53">
        <v>34.713501999999998</v>
      </c>
      <c r="Y91" s="53" t="s">
        <v>335</v>
      </c>
      <c r="Z91" s="53" t="s">
        <v>334</v>
      </c>
      <c r="AA91" s="116" t="s">
        <v>347</v>
      </c>
      <c r="AB91" s="154" t="s">
        <v>371</v>
      </c>
      <c r="AC91" s="116" t="s">
        <v>687</v>
      </c>
      <c r="AD91" s="53" t="s">
        <v>361</v>
      </c>
      <c r="AE91" s="53" t="s">
        <v>685</v>
      </c>
      <c r="AF91" s="53" t="s">
        <v>690</v>
      </c>
      <c r="AG91" s="156">
        <v>5348.2</v>
      </c>
      <c r="AH91" s="157">
        <v>105.9</v>
      </c>
      <c r="AI91" s="74">
        <v>88.313275000000004</v>
      </c>
      <c r="AJ91" s="157">
        <v>128.30000000000001</v>
      </c>
      <c r="AK91" s="156">
        <v>0.90300000000000002</v>
      </c>
      <c r="AL91" s="157">
        <v>81.83</v>
      </c>
      <c r="AM91" s="144">
        <f t="shared" si="36"/>
        <v>7.326301369863013E-3</v>
      </c>
      <c r="AN91" s="158">
        <f t="shared" si="42"/>
        <v>24.421004566210044</v>
      </c>
      <c r="AO91" s="144">
        <f t="shared" si="37"/>
        <v>1.4506849315068493E-4</v>
      </c>
      <c r="AP91" s="158">
        <f t="shared" si="43"/>
        <v>4.029680365296804E-2</v>
      </c>
      <c r="AQ91" s="144">
        <f t="shared" si="38"/>
        <v>1.2097708904109591E-4</v>
      </c>
      <c r="AR91" s="158">
        <f t="shared" si="44"/>
        <v>0.40325696347031975</v>
      </c>
      <c r="AS91" s="144">
        <f t="shared" si="39"/>
        <v>1.757534246575343E-4</v>
      </c>
      <c r="AT91" s="158">
        <f t="shared" si="45"/>
        <v>5.8584474885844763E-2</v>
      </c>
      <c r="AU91" s="144">
        <f t="shared" si="40"/>
        <v>1.236986301369863E-6</v>
      </c>
      <c r="AV91" s="158">
        <f t="shared" si="46"/>
        <v>2.4739726027397258E-3</v>
      </c>
      <c r="AW91" s="144">
        <f t="shared" si="41"/>
        <v>1.120958904109589E-4</v>
      </c>
      <c r="AX91" s="158">
        <f t="shared" si="47"/>
        <v>5.6047945205479448E-3</v>
      </c>
      <c r="AY91" s="144">
        <f t="shared" si="48"/>
        <v>1.5284129917808216E-3</v>
      </c>
      <c r="AZ91" s="158">
        <f t="shared" si="49"/>
        <v>5.0947099726027387</v>
      </c>
      <c r="BA91" s="144">
        <f t="shared" si="50"/>
        <v>5.0947099726027395E-5</v>
      </c>
      <c r="BB91" s="158">
        <f t="shared" si="51"/>
        <v>1.4556314207436399E-2</v>
      </c>
      <c r="BC91" s="144">
        <f t="shared" si="52"/>
        <v>8.412746771917809E-7</v>
      </c>
      <c r="BD91" s="158">
        <f t="shared" si="53"/>
        <v>2.8042489239726034E-3</v>
      </c>
      <c r="BE91" s="144">
        <f t="shared" si="54"/>
        <v>1.2221893150684932E-6</v>
      </c>
      <c r="BF91" s="158">
        <f t="shared" si="55"/>
        <v>2.4443786301369866E-4</v>
      </c>
      <c r="BG91" s="144">
        <f t="shared" si="56"/>
        <v>8.6020027397260279E-9</v>
      </c>
      <c r="BH91" s="158">
        <f t="shared" si="57"/>
        <v>1.7204005479452056E-5</v>
      </c>
      <c r="BI91" s="144">
        <f t="shared" si="58"/>
        <v>7.7951482191780826E-7</v>
      </c>
      <c r="BJ91" s="158">
        <f t="shared" si="59"/>
        <v>1.3919907534246575E-4</v>
      </c>
      <c r="BK91" s="144">
        <f t="shared" si="60"/>
        <v>1.0773972602739727E-6</v>
      </c>
      <c r="BL91" s="158">
        <f t="shared" si="61"/>
        <v>3.5913242009132425E-3</v>
      </c>
      <c r="BM91" s="144">
        <f t="shared" si="62"/>
        <v>2.1333601933924253E-8</v>
      </c>
      <c r="BN91" s="158">
        <f t="shared" si="63"/>
        <v>6.0953148382640724E-6</v>
      </c>
      <c r="BO91" s="144">
        <f t="shared" si="64"/>
        <v>1.7790748388396455E-8</v>
      </c>
      <c r="BP91" s="158">
        <f t="shared" si="65"/>
        <v>5.9302494627988188E-5</v>
      </c>
      <c r="BQ91" s="144">
        <f t="shared" si="66"/>
        <v>2.5846091861402095E-8</v>
      </c>
      <c r="BR91" s="158">
        <f t="shared" si="67"/>
        <v>5.1692183722804184E-6</v>
      </c>
      <c r="BS91" s="144">
        <f t="shared" si="68"/>
        <v>1.8190975020145047E-10</v>
      </c>
      <c r="BT91" s="158">
        <f t="shared" si="69"/>
        <v>3.6381950040290093E-7</v>
      </c>
      <c r="BU91" s="144">
        <f t="shared" si="70"/>
        <v>1.6484689766317485E-8</v>
      </c>
      <c r="BV91" s="144">
        <f t="shared" si="71"/>
        <v>2.9436946011281223E-6</v>
      </c>
    </row>
    <row r="92" spans="20:74">
      <c r="T92" s="53" t="s">
        <v>259</v>
      </c>
      <c r="U92" s="39" t="s">
        <v>260</v>
      </c>
      <c r="V92" s="155" t="s">
        <v>342</v>
      </c>
      <c r="W92" s="53">
        <v>0.10333000000000001</v>
      </c>
      <c r="X92" s="53">
        <v>34.713628999999997</v>
      </c>
      <c r="Y92" s="53" t="s">
        <v>335</v>
      </c>
      <c r="Z92" s="53" t="s">
        <v>334</v>
      </c>
      <c r="AA92" s="116" t="s">
        <v>347</v>
      </c>
      <c r="AB92" s="154" t="s">
        <v>371</v>
      </c>
      <c r="AC92" s="116" t="s">
        <v>687</v>
      </c>
      <c r="AD92" s="53" t="s">
        <v>365</v>
      </c>
      <c r="AE92" s="53" t="s">
        <v>685</v>
      </c>
      <c r="AF92" s="53" t="s">
        <v>691</v>
      </c>
      <c r="AG92" s="156">
        <v>7897.1</v>
      </c>
      <c r="AH92" s="157">
        <v>68.900000000000006</v>
      </c>
      <c r="AI92" s="74">
        <v>15.309225000000001</v>
      </c>
      <c r="AJ92" s="157">
        <v>73.599999999999994</v>
      </c>
      <c r="AK92" s="156">
        <v>0.78400000000000003</v>
      </c>
      <c r="AL92" s="157">
        <v>50.31</v>
      </c>
      <c r="AM92" s="144">
        <f t="shared" si="36"/>
        <v>1.0817945205479452E-2</v>
      </c>
      <c r="AN92" s="158">
        <f t="shared" si="42"/>
        <v>36.059817351598177</v>
      </c>
      <c r="AO92" s="144">
        <f t="shared" si="37"/>
        <v>9.4383561643835627E-5</v>
      </c>
      <c r="AP92" s="158">
        <f t="shared" si="43"/>
        <v>2.6217656012176564E-2</v>
      </c>
      <c r="AQ92" s="144">
        <f t="shared" si="38"/>
        <v>2.0971541095890411E-5</v>
      </c>
      <c r="AR92" s="158">
        <f t="shared" si="44"/>
        <v>6.9905136986301381E-2</v>
      </c>
      <c r="AS92" s="144">
        <f t="shared" si="39"/>
        <v>1.0082191780821916E-4</v>
      </c>
      <c r="AT92" s="158">
        <f t="shared" si="45"/>
        <v>3.3607305936073049E-2</v>
      </c>
      <c r="AU92" s="144">
        <f t="shared" si="40"/>
        <v>1.0739726027397261E-6</v>
      </c>
      <c r="AV92" s="158">
        <f t="shared" si="46"/>
        <v>2.1479452054794521E-3</v>
      </c>
      <c r="AW92" s="144">
        <f t="shared" si="41"/>
        <v>6.8917808219178084E-5</v>
      </c>
      <c r="AX92" s="158">
        <f t="shared" si="47"/>
        <v>3.4458904109589041E-3</v>
      </c>
      <c r="AY92" s="144">
        <f t="shared" si="48"/>
        <v>2.2568397287671231E-3</v>
      </c>
      <c r="AZ92" s="158">
        <f t="shared" si="49"/>
        <v>7.5227990958904112</v>
      </c>
      <c r="BA92" s="144">
        <f t="shared" si="50"/>
        <v>7.5227990958904103E-5</v>
      </c>
      <c r="BB92" s="158">
        <f t="shared" si="51"/>
        <v>2.1493711702544029E-2</v>
      </c>
      <c r="BC92" s="144">
        <f t="shared" si="52"/>
        <v>1.4583609678082193E-7</v>
      </c>
      <c r="BD92" s="158">
        <f t="shared" si="53"/>
        <v>4.8612032260273981E-4</v>
      </c>
      <c r="BE92" s="144">
        <f t="shared" si="54"/>
        <v>7.0111561643835601E-7</v>
      </c>
      <c r="BF92" s="158">
        <f t="shared" si="55"/>
        <v>1.402231232876712E-4</v>
      </c>
      <c r="BG92" s="144">
        <f t="shared" si="56"/>
        <v>7.468405479452054E-9</v>
      </c>
      <c r="BH92" s="158">
        <f t="shared" si="57"/>
        <v>1.4936810958904109E-5</v>
      </c>
      <c r="BI92" s="144">
        <f t="shared" si="58"/>
        <v>4.7925443835616434E-7</v>
      </c>
      <c r="BJ92" s="158">
        <f t="shared" si="59"/>
        <v>8.5581149706457916E-5</v>
      </c>
      <c r="BK92" s="144">
        <f t="shared" si="60"/>
        <v>1.5908742949234489E-6</v>
      </c>
      <c r="BL92" s="158">
        <f t="shared" si="61"/>
        <v>5.3029143164114965E-3</v>
      </c>
      <c r="BM92" s="144">
        <f t="shared" si="62"/>
        <v>1.3879935535858179E-8</v>
      </c>
      <c r="BN92" s="158">
        <f t="shared" si="63"/>
        <v>3.9656958673880507E-6</v>
      </c>
      <c r="BO92" s="144">
        <f t="shared" si="64"/>
        <v>3.0840501611603551E-9</v>
      </c>
      <c r="BP92" s="158">
        <f t="shared" si="65"/>
        <v>1.028016720386785E-5</v>
      </c>
      <c r="BQ92" s="144">
        <f t="shared" si="66"/>
        <v>1.4826752618855762E-8</v>
      </c>
      <c r="BR92" s="158">
        <f t="shared" si="67"/>
        <v>2.9653505237711526E-6</v>
      </c>
      <c r="BS92" s="144">
        <f t="shared" si="68"/>
        <v>1.5793714746172442E-10</v>
      </c>
      <c r="BT92" s="158">
        <f t="shared" si="69"/>
        <v>3.1587429492344887E-7</v>
      </c>
      <c r="BU92" s="144">
        <f t="shared" si="70"/>
        <v>1.0134971796937953E-8</v>
      </c>
      <c r="BV92" s="144">
        <f t="shared" si="71"/>
        <v>1.8098163923103488E-6</v>
      </c>
    </row>
    <row r="93" spans="20:74">
      <c r="T93" s="53" t="s">
        <v>261</v>
      </c>
      <c r="U93" s="39" t="s">
        <v>262</v>
      </c>
      <c r="V93" s="155" t="s">
        <v>342</v>
      </c>
      <c r="W93" s="53">
        <v>0.10229199999999999</v>
      </c>
      <c r="X93" s="53">
        <v>34.713501999999998</v>
      </c>
      <c r="Y93" s="53" t="s">
        <v>335</v>
      </c>
      <c r="Z93" s="53" t="s">
        <v>334</v>
      </c>
      <c r="AA93" s="116" t="s">
        <v>347</v>
      </c>
      <c r="AB93" s="154" t="s">
        <v>371</v>
      </c>
      <c r="AC93" s="116" t="s">
        <v>687</v>
      </c>
      <c r="AD93" s="53" t="s">
        <v>364</v>
      </c>
      <c r="AE93" s="53" t="s">
        <v>685</v>
      </c>
      <c r="AF93" s="53" t="s">
        <v>690</v>
      </c>
      <c r="AG93" s="156">
        <v>10325.700000000001</v>
      </c>
      <c r="AH93" s="157">
        <v>26.6</v>
      </c>
      <c r="AI93" s="74">
        <v>8.342625</v>
      </c>
      <c r="AJ93" s="157">
        <v>167.4</v>
      </c>
      <c r="AK93" s="156">
        <v>0.38100000000000001</v>
      </c>
      <c r="AL93" s="157">
        <v>78.48</v>
      </c>
      <c r="AM93" s="144">
        <f t="shared" si="36"/>
        <v>1.4144794520547945E-2</v>
      </c>
      <c r="AN93" s="158">
        <f t="shared" si="42"/>
        <v>47.149315068493159</v>
      </c>
      <c r="AO93" s="144">
        <f t="shared" si="37"/>
        <v>3.6438356164383562E-5</v>
      </c>
      <c r="AP93" s="158">
        <f t="shared" si="43"/>
        <v>1.0121765601217657E-2</v>
      </c>
      <c r="AQ93" s="144">
        <f t="shared" si="38"/>
        <v>1.1428253424657532E-5</v>
      </c>
      <c r="AR93" s="158">
        <f t="shared" si="44"/>
        <v>3.8094178082191781E-2</v>
      </c>
      <c r="AS93" s="144">
        <f t="shared" si="39"/>
        <v>2.2931506849315067E-4</v>
      </c>
      <c r="AT93" s="158">
        <f t="shared" si="45"/>
        <v>7.6438356164383547E-2</v>
      </c>
      <c r="AU93" s="144">
        <f t="shared" si="40"/>
        <v>5.2191780821917808E-7</v>
      </c>
      <c r="AV93" s="158">
        <f t="shared" si="46"/>
        <v>1.0438356164383562E-3</v>
      </c>
      <c r="AW93" s="144">
        <f t="shared" si="41"/>
        <v>1.0750684931506849E-4</v>
      </c>
      <c r="AX93" s="158">
        <f t="shared" si="47"/>
        <v>5.3753424657534245E-3</v>
      </c>
      <c r="AY93" s="144">
        <f t="shared" si="48"/>
        <v>2.9508870328767128E-3</v>
      </c>
      <c r="AZ93" s="158">
        <f t="shared" si="49"/>
        <v>9.8362901095890436</v>
      </c>
      <c r="BA93" s="144">
        <f t="shared" si="50"/>
        <v>9.8362901095890414E-5</v>
      </c>
      <c r="BB93" s="158">
        <f t="shared" si="51"/>
        <v>2.8103686027397261E-2</v>
      </c>
      <c r="BC93" s="144">
        <f t="shared" si="52"/>
        <v>7.9472074315068505E-8</v>
      </c>
      <c r="BD93" s="158">
        <f t="shared" si="53"/>
        <v>2.6490691438356168E-4</v>
      </c>
      <c r="BE93" s="144">
        <f t="shared" si="54"/>
        <v>1.5946569863013696E-6</v>
      </c>
      <c r="BF93" s="158">
        <f t="shared" si="55"/>
        <v>3.1893139726027394E-4</v>
      </c>
      <c r="BG93" s="144">
        <f t="shared" si="56"/>
        <v>3.6294164383561642E-9</v>
      </c>
      <c r="BH93" s="158">
        <f t="shared" si="57"/>
        <v>7.2588328767123286E-6</v>
      </c>
      <c r="BI93" s="144">
        <f t="shared" si="58"/>
        <v>7.4760263013698636E-7</v>
      </c>
      <c r="BJ93" s="158">
        <f t="shared" si="59"/>
        <v>1.33500469667319E-4</v>
      </c>
      <c r="BK93" s="144">
        <f t="shared" si="60"/>
        <v>2.0801168412570506E-6</v>
      </c>
      <c r="BL93" s="158">
        <f t="shared" si="61"/>
        <v>6.9337228041901691E-3</v>
      </c>
      <c r="BM93" s="144">
        <f t="shared" si="62"/>
        <v>5.3585817888799356E-9</v>
      </c>
      <c r="BN93" s="158">
        <f t="shared" si="63"/>
        <v>1.5310233682514101E-6</v>
      </c>
      <c r="BO93" s="144">
        <f t="shared" si="64"/>
        <v>1.680625503626108E-9</v>
      </c>
      <c r="BP93" s="158">
        <f t="shared" si="65"/>
        <v>5.6020850120870271E-6</v>
      </c>
      <c r="BQ93" s="144">
        <f t="shared" si="66"/>
        <v>3.3722804190169221E-8</v>
      </c>
      <c r="BR93" s="158">
        <f t="shared" si="67"/>
        <v>6.7445608380338443E-6</v>
      </c>
      <c r="BS93" s="144">
        <f t="shared" si="68"/>
        <v>7.6752618855761479E-11</v>
      </c>
      <c r="BT93" s="158">
        <f t="shared" si="69"/>
        <v>1.5350523771152296E-7</v>
      </c>
      <c r="BU93" s="144">
        <f t="shared" si="70"/>
        <v>1.5809830781627719E-8</v>
      </c>
      <c r="BV93" s="144">
        <f t="shared" si="71"/>
        <v>2.823184068147807E-6</v>
      </c>
    </row>
    <row r="94" spans="20:74">
      <c r="T94" s="53" t="s">
        <v>263</v>
      </c>
      <c r="U94" s="39" t="s">
        <v>264</v>
      </c>
      <c r="V94" s="155" t="s">
        <v>342</v>
      </c>
      <c r="W94" s="53">
        <v>0.1033</v>
      </c>
      <c r="X94" s="53">
        <v>34.713628999999997</v>
      </c>
      <c r="Y94" s="53" t="s">
        <v>335</v>
      </c>
      <c r="Z94" s="53" t="s">
        <v>334</v>
      </c>
      <c r="AA94" s="116" t="s">
        <v>347</v>
      </c>
      <c r="AB94" s="154" t="s">
        <v>371</v>
      </c>
      <c r="AC94" s="116" t="s">
        <v>687</v>
      </c>
      <c r="AD94" s="53" t="s">
        <v>366</v>
      </c>
      <c r="AE94" s="53" t="s">
        <v>684</v>
      </c>
      <c r="AF94" s="53" t="s">
        <v>683</v>
      </c>
      <c r="AG94" s="156">
        <v>994</v>
      </c>
      <c r="AH94" s="157">
        <v>38</v>
      </c>
      <c r="AI94" s="74">
        <v>5.6278050000000004</v>
      </c>
      <c r="AJ94" s="157">
        <v>99.7</v>
      </c>
      <c r="AK94" s="156">
        <v>0.26500000000000001</v>
      </c>
      <c r="AL94" s="157">
        <v>33.380000000000003</v>
      </c>
      <c r="AM94" s="144">
        <f t="shared" si="36"/>
        <v>1.3616438356164385E-3</v>
      </c>
      <c r="AN94" s="158">
        <f t="shared" si="42"/>
        <v>4.5388127853881288</v>
      </c>
      <c r="AO94" s="144">
        <f t="shared" si="37"/>
        <v>5.2054794520547945E-5</v>
      </c>
      <c r="AP94" s="158">
        <f t="shared" si="43"/>
        <v>1.4459665144596652E-2</v>
      </c>
      <c r="AQ94" s="144">
        <f t="shared" si="38"/>
        <v>7.70932191780822E-6</v>
      </c>
      <c r="AR94" s="158">
        <f t="shared" si="44"/>
        <v>2.5697739726027402E-2</v>
      </c>
      <c r="AS94" s="144">
        <f t="shared" si="39"/>
        <v>1.3657534246575343E-4</v>
      </c>
      <c r="AT94" s="158">
        <f t="shared" si="45"/>
        <v>4.5525114155251144E-2</v>
      </c>
      <c r="AU94" s="144">
        <f t="shared" si="40"/>
        <v>3.6301369863013697E-7</v>
      </c>
      <c r="AV94" s="158">
        <f t="shared" si="46"/>
        <v>7.260273972602739E-4</v>
      </c>
      <c r="AW94" s="144">
        <f t="shared" si="41"/>
        <v>4.5726027397260285E-5</v>
      </c>
      <c r="AX94" s="158">
        <f t="shared" si="47"/>
        <v>2.286301369863014E-3</v>
      </c>
      <c r="AY94" s="144">
        <f t="shared" si="48"/>
        <v>2.840661369863014E-4</v>
      </c>
      <c r="AZ94" s="158">
        <f t="shared" si="49"/>
        <v>0.94688712328767144</v>
      </c>
      <c r="BA94" s="144">
        <f t="shared" si="50"/>
        <v>9.4688712328767121E-6</v>
      </c>
      <c r="BB94" s="158">
        <f t="shared" si="51"/>
        <v>2.7053917808219177E-3</v>
      </c>
      <c r="BC94" s="144">
        <f t="shared" si="52"/>
        <v>5.3610624616438374E-8</v>
      </c>
      <c r="BD94" s="158">
        <f t="shared" si="53"/>
        <v>1.7870208205479458E-4</v>
      </c>
      <c r="BE94" s="144">
        <f t="shared" si="54"/>
        <v>9.497449315068493E-7</v>
      </c>
      <c r="BF94" s="158">
        <f t="shared" si="55"/>
        <v>1.8994898630136985E-4</v>
      </c>
      <c r="BG94" s="144">
        <f t="shared" si="56"/>
        <v>2.5243972602739729E-9</v>
      </c>
      <c r="BH94" s="158">
        <f t="shared" si="57"/>
        <v>5.0487945205479459E-6</v>
      </c>
      <c r="BI94" s="144">
        <f t="shared" si="58"/>
        <v>3.1797879452054803E-7</v>
      </c>
      <c r="BJ94" s="158">
        <f t="shared" si="59"/>
        <v>5.6781927592955006E-5</v>
      </c>
      <c r="BK94" s="144">
        <f t="shared" si="60"/>
        <v>2.0024174053182918E-7</v>
      </c>
      <c r="BL94" s="158">
        <f t="shared" si="61"/>
        <v>6.674724684394307E-4</v>
      </c>
      <c r="BM94" s="144">
        <f t="shared" si="62"/>
        <v>7.6551168412570514E-9</v>
      </c>
      <c r="BN94" s="158">
        <f t="shared" si="63"/>
        <v>2.1871762403591574E-6</v>
      </c>
      <c r="BO94" s="144">
        <f t="shared" si="64"/>
        <v>1.1337238114423851E-9</v>
      </c>
      <c r="BP94" s="158">
        <f t="shared" si="65"/>
        <v>3.7790793714746173E-6</v>
      </c>
      <c r="BQ94" s="144">
        <f t="shared" si="66"/>
        <v>2.008460918614021E-8</v>
      </c>
      <c r="BR94" s="158">
        <f t="shared" si="67"/>
        <v>4.0169218372280424E-6</v>
      </c>
      <c r="BS94" s="144">
        <f t="shared" si="68"/>
        <v>5.3384367445608388E-11</v>
      </c>
      <c r="BT94" s="158">
        <f t="shared" si="69"/>
        <v>1.0676873489121678E-7</v>
      </c>
      <c r="BU94" s="144">
        <f t="shared" si="70"/>
        <v>6.7244157937147464E-9</v>
      </c>
      <c r="BV94" s="144">
        <f t="shared" si="71"/>
        <v>1.200788534591919E-6</v>
      </c>
    </row>
    <row r="95" spans="20:74">
      <c r="T95" s="53" t="s">
        <v>265</v>
      </c>
      <c r="U95" s="39" t="s">
        <v>266</v>
      </c>
      <c r="V95" s="155" t="s">
        <v>342</v>
      </c>
      <c r="W95" s="53">
        <v>0.15733900000000001</v>
      </c>
      <c r="X95" s="53">
        <v>34.817802</v>
      </c>
      <c r="Y95" s="53" t="s">
        <v>679</v>
      </c>
      <c r="Z95" s="53" t="s">
        <v>334</v>
      </c>
      <c r="AA95" s="116" t="s">
        <v>347</v>
      </c>
      <c r="AB95" s="154" t="s">
        <v>371</v>
      </c>
      <c r="AC95" s="116" t="s">
        <v>687</v>
      </c>
      <c r="AD95" s="53" t="s">
        <v>364</v>
      </c>
      <c r="AE95" s="53" t="s">
        <v>685</v>
      </c>
      <c r="AF95" s="53" t="s">
        <v>690</v>
      </c>
      <c r="AG95" s="156">
        <v>632.29999999999995</v>
      </c>
      <c r="AH95" s="157">
        <v>36.6</v>
      </c>
      <c r="AI95" s="74">
        <v>0.45077499999999998</v>
      </c>
      <c r="AJ95" s="157">
        <v>123.9</v>
      </c>
      <c r="AK95" s="156">
        <v>0.29599999999999999</v>
      </c>
      <c r="AL95" s="157">
        <v>99.52</v>
      </c>
      <c r="AM95" s="144">
        <f t="shared" si="36"/>
        <v>8.661643835616436E-4</v>
      </c>
      <c r="AN95" s="158">
        <f t="shared" si="42"/>
        <v>2.8872146118721456</v>
      </c>
      <c r="AO95" s="144">
        <f t="shared" si="37"/>
        <v>5.0136986301369863E-5</v>
      </c>
      <c r="AP95" s="158">
        <f t="shared" si="43"/>
        <v>1.3926940639269407E-2</v>
      </c>
      <c r="AQ95" s="144">
        <f t="shared" si="38"/>
        <v>6.1750000000000002E-7</v>
      </c>
      <c r="AR95" s="158">
        <f t="shared" si="44"/>
        <v>2.0583333333333335E-3</v>
      </c>
      <c r="AS95" s="144">
        <f t="shared" si="39"/>
        <v>1.6972602739726028E-4</v>
      </c>
      <c r="AT95" s="158">
        <f t="shared" si="45"/>
        <v>5.6575342465753423E-2</v>
      </c>
      <c r="AU95" s="144">
        <f t="shared" si="40"/>
        <v>4.0547945205479448E-7</v>
      </c>
      <c r="AV95" s="158">
        <f t="shared" si="46"/>
        <v>8.1095890410958892E-4</v>
      </c>
      <c r="AW95" s="144">
        <f t="shared" si="41"/>
        <v>1.3632876712328768E-4</v>
      </c>
      <c r="AX95" s="158">
        <f t="shared" si="47"/>
        <v>6.8164383561643838E-3</v>
      </c>
      <c r="AY95" s="144">
        <f t="shared" si="48"/>
        <v>1.8069921369863009E-4</v>
      </c>
      <c r="AZ95" s="158">
        <f t="shared" si="49"/>
        <v>0.602330712328767</v>
      </c>
      <c r="BA95" s="144">
        <f t="shared" si="50"/>
        <v>6.0233071232876703E-6</v>
      </c>
      <c r="BB95" s="158">
        <f t="shared" si="51"/>
        <v>1.7209448923679058E-3</v>
      </c>
      <c r="BC95" s="144">
        <f t="shared" si="52"/>
        <v>4.2940950000000008E-9</v>
      </c>
      <c r="BD95" s="158">
        <f t="shared" si="53"/>
        <v>1.4313650000000003E-5</v>
      </c>
      <c r="BE95" s="144">
        <f t="shared" si="54"/>
        <v>1.1802747945205479E-6</v>
      </c>
      <c r="BF95" s="158">
        <f t="shared" si="55"/>
        <v>2.3605495890410957E-4</v>
      </c>
      <c r="BG95" s="144">
        <f t="shared" si="56"/>
        <v>2.819704109589041E-9</v>
      </c>
      <c r="BH95" s="158">
        <f t="shared" si="57"/>
        <v>5.6394082191780819E-6</v>
      </c>
      <c r="BI95" s="144">
        <f t="shared" si="58"/>
        <v>9.4803024657534246E-7</v>
      </c>
      <c r="BJ95" s="158">
        <f t="shared" si="59"/>
        <v>1.6929111545988258E-4</v>
      </c>
      <c r="BK95" s="144">
        <f t="shared" si="60"/>
        <v>1.2737711522965351E-7</v>
      </c>
      <c r="BL95" s="158">
        <f t="shared" si="61"/>
        <v>4.245903840988451E-4</v>
      </c>
      <c r="BM95" s="144">
        <f t="shared" si="62"/>
        <v>7.3730862207896861E-9</v>
      </c>
      <c r="BN95" s="158">
        <f t="shared" si="63"/>
        <v>2.1065960630827675E-6</v>
      </c>
      <c r="BO95" s="144">
        <f t="shared" si="64"/>
        <v>9.0808823529411754E-11</v>
      </c>
      <c r="BP95" s="158">
        <f t="shared" si="65"/>
        <v>3.0269607843137254E-7</v>
      </c>
      <c r="BQ95" s="144">
        <f t="shared" si="66"/>
        <v>2.4959709911361804E-8</v>
      </c>
      <c r="BR95" s="158">
        <f t="shared" si="67"/>
        <v>4.9919419822723605E-6</v>
      </c>
      <c r="BS95" s="144">
        <f t="shared" si="68"/>
        <v>5.9629331184528601E-11</v>
      </c>
      <c r="BT95" s="158">
        <f t="shared" si="69"/>
        <v>1.1925866236905719E-7</v>
      </c>
      <c r="BU95" s="144">
        <f t="shared" si="70"/>
        <v>2.0048348106365835E-8</v>
      </c>
      <c r="BV95" s="144">
        <f t="shared" si="71"/>
        <v>3.5800621618510421E-6</v>
      </c>
    </row>
    <row r="96" spans="20:74">
      <c r="T96" s="53" t="s">
        <v>267</v>
      </c>
      <c r="U96" s="39" t="s">
        <v>268</v>
      </c>
      <c r="V96" s="155" t="s">
        <v>342</v>
      </c>
      <c r="W96" s="53">
        <v>0.15733900000000001</v>
      </c>
      <c r="X96" s="53">
        <v>34.817802</v>
      </c>
      <c r="Y96" s="53" t="s">
        <v>360</v>
      </c>
      <c r="Z96" s="53" t="s">
        <v>334</v>
      </c>
      <c r="AA96" s="116" t="s">
        <v>347</v>
      </c>
      <c r="AB96" s="154" t="s">
        <v>371</v>
      </c>
      <c r="AC96" s="116" t="s">
        <v>687</v>
      </c>
      <c r="AD96" s="53" t="s">
        <v>365</v>
      </c>
      <c r="AE96" s="53" t="s">
        <v>685</v>
      </c>
      <c r="AF96" s="53" t="s">
        <v>691</v>
      </c>
      <c r="AG96" s="156">
        <v>27.3</v>
      </c>
      <c r="AH96" s="157">
        <v>8.1999999999999993</v>
      </c>
      <c r="AI96" s="74">
        <v>1.075005</v>
      </c>
      <c r="AJ96" s="157">
        <v>245.1</v>
      </c>
      <c r="AK96" s="156">
        <v>3.5000000000000003E-2</v>
      </c>
      <c r="AL96" s="157">
        <v>13.43</v>
      </c>
      <c r="AM96" s="144">
        <f t="shared" si="36"/>
        <v>3.7397260273972603E-5</v>
      </c>
      <c r="AN96" s="158">
        <f t="shared" si="42"/>
        <v>0.12465753424657536</v>
      </c>
      <c r="AO96" s="144">
        <f t="shared" si="37"/>
        <v>1.1232876712328764E-5</v>
      </c>
      <c r="AP96" s="158">
        <f t="shared" si="43"/>
        <v>3.1202435312024344E-3</v>
      </c>
      <c r="AQ96" s="144">
        <f t="shared" si="38"/>
        <v>1.472609589041096E-6</v>
      </c>
      <c r="AR96" s="158">
        <f t="shared" si="44"/>
        <v>4.9086986301369873E-3</v>
      </c>
      <c r="AS96" s="144">
        <f t="shared" si="39"/>
        <v>3.3575342465753418E-4</v>
      </c>
      <c r="AT96" s="158">
        <f t="shared" si="45"/>
        <v>0.11191780821917806</v>
      </c>
      <c r="AU96" s="144">
        <f t="shared" si="40"/>
        <v>4.7945205479452061E-8</v>
      </c>
      <c r="AV96" s="158">
        <f t="shared" si="46"/>
        <v>9.5890410958904119E-5</v>
      </c>
      <c r="AW96" s="144">
        <f t="shared" si="41"/>
        <v>1.8397260273972602E-5</v>
      </c>
      <c r="AX96" s="158">
        <f t="shared" si="47"/>
        <v>9.1986301369863005E-4</v>
      </c>
      <c r="AY96" s="144">
        <f t="shared" si="48"/>
        <v>7.8018164383561631E-6</v>
      </c>
      <c r="AZ96" s="158">
        <f t="shared" si="49"/>
        <v>2.6006054794520547E-2</v>
      </c>
      <c r="BA96" s="144">
        <f t="shared" si="50"/>
        <v>2.6006054794520548E-7</v>
      </c>
      <c r="BB96" s="158">
        <f t="shared" si="51"/>
        <v>7.4303013698630131E-5</v>
      </c>
      <c r="BC96" s="144">
        <f t="shared" si="52"/>
        <v>1.0240527082191781E-8</v>
      </c>
      <c r="BD96" s="158">
        <f t="shared" si="53"/>
        <v>3.4135090273972607E-5</v>
      </c>
      <c r="BE96" s="144">
        <f t="shared" si="54"/>
        <v>2.334829315068493E-6</v>
      </c>
      <c r="BF96" s="158">
        <f t="shared" si="55"/>
        <v>4.669658630136986E-4</v>
      </c>
      <c r="BG96" s="144">
        <f t="shared" si="56"/>
        <v>3.3341095890410964E-10</v>
      </c>
      <c r="BH96" s="158">
        <f t="shared" si="57"/>
        <v>6.6682191780821925E-7</v>
      </c>
      <c r="BI96" s="144">
        <f t="shared" si="58"/>
        <v>1.2793454794520545E-7</v>
      </c>
      <c r="BJ96" s="158">
        <f t="shared" si="59"/>
        <v>2.2845454990215259E-5</v>
      </c>
      <c r="BK96" s="144">
        <f t="shared" si="60"/>
        <v>5.4995970991136183E-9</v>
      </c>
      <c r="BL96" s="158">
        <f t="shared" si="61"/>
        <v>1.8331990330378729E-5</v>
      </c>
      <c r="BM96" s="144">
        <f t="shared" si="62"/>
        <v>1.6518936341659951E-9</v>
      </c>
      <c r="BN96" s="158">
        <f t="shared" si="63"/>
        <v>4.7196960976171288E-7</v>
      </c>
      <c r="BO96" s="144">
        <f t="shared" si="64"/>
        <v>2.1656023368251409E-10</v>
      </c>
      <c r="BP96" s="158">
        <f t="shared" si="65"/>
        <v>7.2186744560838034E-7</v>
      </c>
      <c r="BQ96" s="144">
        <f t="shared" si="66"/>
        <v>4.9375503626107976E-8</v>
      </c>
      <c r="BR96" s="158">
        <f t="shared" si="67"/>
        <v>9.8751007252215945E-6</v>
      </c>
      <c r="BS96" s="144">
        <f t="shared" si="68"/>
        <v>7.0507655116841266E-12</v>
      </c>
      <c r="BT96" s="158">
        <f t="shared" si="69"/>
        <v>1.4101531023368253E-8</v>
      </c>
      <c r="BU96" s="144">
        <f t="shared" si="70"/>
        <v>2.7054794520547951E-9</v>
      </c>
      <c r="BV96" s="144">
        <f t="shared" si="71"/>
        <v>4.8312133072407051E-7</v>
      </c>
    </row>
    <row r="97" spans="20:74">
      <c r="T97" s="53" t="s">
        <v>269</v>
      </c>
      <c r="U97" s="39" t="s">
        <v>270</v>
      </c>
      <c r="V97" s="155" t="s">
        <v>342</v>
      </c>
      <c r="W97" s="53">
        <v>0.15733900000000001</v>
      </c>
      <c r="X97" s="53">
        <v>34.817802</v>
      </c>
      <c r="Y97" s="53" t="s">
        <v>679</v>
      </c>
      <c r="Z97" s="53" t="s">
        <v>334</v>
      </c>
      <c r="AA97" s="116" t="s">
        <v>347</v>
      </c>
      <c r="AB97" s="154" t="s">
        <v>371</v>
      </c>
      <c r="AC97" s="116" t="s">
        <v>687</v>
      </c>
      <c r="AD97" s="53" t="s">
        <v>361</v>
      </c>
      <c r="AE97" s="53" t="s">
        <v>685</v>
      </c>
      <c r="AF97" s="53" t="s">
        <v>690</v>
      </c>
      <c r="AG97" s="156">
        <v>507.7</v>
      </c>
      <c r="AH97" s="157">
        <v>28.1</v>
      </c>
      <c r="AI97" s="74">
        <v>3.6753849999999999</v>
      </c>
      <c r="AJ97" s="157">
        <v>133.69999999999999</v>
      </c>
      <c r="AK97" s="156">
        <v>0.185</v>
      </c>
      <c r="AL97" s="157">
        <v>27.95</v>
      </c>
      <c r="AM97" s="144">
        <f t="shared" si="36"/>
        <v>6.9547945205479446E-4</v>
      </c>
      <c r="AN97" s="158">
        <f t="shared" si="42"/>
        <v>2.3182648401826484</v>
      </c>
      <c r="AO97" s="144">
        <f t="shared" si="37"/>
        <v>3.8493150684931505E-5</v>
      </c>
      <c r="AP97" s="158">
        <f t="shared" si="43"/>
        <v>1.0692541856925418E-2</v>
      </c>
      <c r="AQ97" s="144">
        <f t="shared" si="38"/>
        <v>5.0347739726027398E-6</v>
      </c>
      <c r="AR97" s="158">
        <f t="shared" si="44"/>
        <v>1.67825799086758E-2</v>
      </c>
      <c r="AS97" s="144">
        <f t="shared" si="39"/>
        <v>1.8315068493150681E-4</v>
      </c>
      <c r="AT97" s="158">
        <f t="shared" si="45"/>
        <v>6.1050228310502268E-2</v>
      </c>
      <c r="AU97" s="144">
        <f t="shared" si="40"/>
        <v>2.5342465753424656E-7</v>
      </c>
      <c r="AV97" s="158">
        <f t="shared" si="46"/>
        <v>5.0684931506849308E-4</v>
      </c>
      <c r="AW97" s="144">
        <f t="shared" si="41"/>
        <v>3.828767123287671E-5</v>
      </c>
      <c r="AX97" s="158">
        <f t="shared" si="47"/>
        <v>1.9143835616438354E-3</v>
      </c>
      <c r="AY97" s="144">
        <f t="shared" si="48"/>
        <v>1.4509092328767121E-4</v>
      </c>
      <c r="AZ97" s="158">
        <f t="shared" si="49"/>
        <v>0.48363641095890408</v>
      </c>
      <c r="BA97" s="144">
        <f t="shared" si="50"/>
        <v>4.8363641095890412E-6</v>
      </c>
      <c r="BB97" s="158">
        <f t="shared" si="51"/>
        <v>1.3818183170254403E-3</v>
      </c>
      <c r="BC97" s="144">
        <f t="shared" si="52"/>
        <v>3.5011818205479444E-8</v>
      </c>
      <c r="BD97" s="158">
        <f t="shared" si="53"/>
        <v>1.1670606068493149E-4</v>
      </c>
      <c r="BE97" s="144">
        <f t="shared" si="54"/>
        <v>1.2736298630136984E-6</v>
      </c>
      <c r="BF97" s="158">
        <f t="shared" si="55"/>
        <v>2.5472597260273969E-4</v>
      </c>
      <c r="BG97" s="144">
        <f t="shared" si="56"/>
        <v>1.7623150684931506E-9</v>
      </c>
      <c r="BH97" s="158">
        <f t="shared" si="57"/>
        <v>3.5246301369863014E-6</v>
      </c>
      <c r="BI97" s="144">
        <f t="shared" si="58"/>
        <v>2.6625246575342462E-7</v>
      </c>
      <c r="BJ97" s="158">
        <f t="shared" si="59"/>
        <v>4.7545083170254395E-5</v>
      </c>
      <c r="BK97" s="144">
        <f t="shared" si="60"/>
        <v>1.0227639000805802E-7</v>
      </c>
      <c r="BL97" s="158">
        <f t="shared" si="61"/>
        <v>3.4092130002686007E-4</v>
      </c>
      <c r="BM97" s="144">
        <f t="shared" si="62"/>
        <v>5.6607574536663985E-9</v>
      </c>
      <c r="BN97" s="158">
        <f t="shared" si="63"/>
        <v>1.6173592724761139E-6</v>
      </c>
      <c r="BO97" s="144">
        <f t="shared" si="64"/>
        <v>7.4040793714746172E-10</v>
      </c>
      <c r="BP97" s="158">
        <f t="shared" si="65"/>
        <v>2.4680264571582059E-6</v>
      </c>
      <c r="BQ97" s="144">
        <f t="shared" si="66"/>
        <v>2.6933924254633361E-8</v>
      </c>
      <c r="BR97" s="158">
        <f t="shared" si="67"/>
        <v>5.3867848509266724E-6</v>
      </c>
      <c r="BS97" s="144">
        <f t="shared" si="68"/>
        <v>3.7268331990330379E-11</v>
      </c>
      <c r="BT97" s="158">
        <f t="shared" si="69"/>
        <v>7.4536663980660755E-8</v>
      </c>
      <c r="BU97" s="144">
        <f t="shared" si="70"/>
        <v>5.6305398871877522E-9</v>
      </c>
      <c r="BV97" s="144">
        <f t="shared" si="71"/>
        <v>1.0054535512835272E-6</v>
      </c>
    </row>
    <row r="98" spans="20:74">
      <c r="T98" s="53" t="s">
        <v>271</v>
      </c>
      <c r="U98" s="39" t="s">
        <v>272</v>
      </c>
      <c r="V98" s="155" t="s">
        <v>342</v>
      </c>
      <c r="W98" s="53">
        <v>0.156809</v>
      </c>
      <c r="X98" s="53">
        <v>34.818221000000001</v>
      </c>
      <c r="Y98" s="53" t="s">
        <v>679</v>
      </c>
      <c r="Z98" s="53" t="s">
        <v>334</v>
      </c>
      <c r="AA98" s="116" t="s">
        <v>347</v>
      </c>
      <c r="AB98" s="154" t="s">
        <v>371</v>
      </c>
      <c r="AC98" s="116" t="s">
        <v>687</v>
      </c>
      <c r="AD98" s="53" t="s">
        <v>361</v>
      </c>
      <c r="AE98" s="53" t="s">
        <v>685</v>
      </c>
      <c r="AF98" s="53" t="s">
        <v>690</v>
      </c>
      <c r="AG98" s="156">
        <v>197.5</v>
      </c>
      <c r="AH98" s="157">
        <v>36.4</v>
      </c>
      <c r="AI98" s="74">
        <v>0.92200500000000007</v>
      </c>
      <c r="AJ98" s="157">
        <v>80.2</v>
      </c>
      <c r="AK98" s="156">
        <v>8.7999999999999995E-2</v>
      </c>
      <c r="AL98" s="157">
        <v>24.18</v>
      </c>
      <c r="AM98" s="144">
        <f t="shared" si="36"/>
        <v>2.7054794520547947E-4</v>
      </c>
      <c r="AN98" s="158">
        <f t="shared" si="42"/>
        <v>0.90182648401826504</v>
      </c>
      <c r="AO98" s="144">
        <f t="shared" si="37"/>
        <v>4.9863013698630135E-5</v>
      </c>
      <c r="AP98" s="158">
        <f t="shared" si="43"/>
        <v>1.3850837138508371E-2</v>
      </c>
      <c r="AQ98" s="144">
        <f t="shared" si="38"/>
        <v>1.2630205479452055E-6</v>
      </c>
      <c r="AR98" s="158">
        <f t="shared" si="44"/>
        <v>4.2100684931506852E-3</v>
      </c>
      <c r="AS98" s="144">
        <f t="shared" si="39"/>
        <v>1.0986301369863012E-4</v>
      </c>
      <c r="AT98" s="158">
        <f t="shared" si="45"/>
        <v>3.6621004566210043E-2</v>
      </c>
      <c r="AU98" s="144">
        <f t="shared" si="40"/>
        <v>1.2054794520547943E-7</v>
      </c>
      <c r="AV98" s="158">
        <f t="shared" si="46"/>
        <v>2.4109589041095887E-4</v>
      </c>
      <c r="AW98" s="144">
        <f t="shared" si="41"/>
        <v>3.3123287671232878E-5</v>
      </c>
      <c r="AX98" s="158">
        <f t="shared" si="47"/>
        <v>1.6561643835616439E-3</v>
      </c>
      <c r="AY98" s="144">
        <f t="shared" si="48"/>
        <v>5.6441712328767122E-5</v>
      </c>
      <c r="AZ98" s="158">
        <f t="shared" si="49"/>
        <v>0.18813904109589041</v>
      </c>
      <c r="BA98" s="144">
        <f t="shared" si="50"/>
        <v>1.881390410958904E-6</v>
      </c>
      <c r="BB98" s="158">
        <f t="shared" si="51"/>
        <v>5.3754011741682971E-4</v>
      </c>
      <c r="BC98" s="144">
        <f t="shared" si="52"/>
        <v>8.7830448904109594E-9</v>
      </c>
      <c r="BD98" s="158">
        <f t="shared" si="53"/>
        <v>2.9276816301369868E-5</v>
      </c>
      <c r="BE98" s="144">
        <f t="shared" si="54"/>
        <v>7.6398739726027388E-7</v>
      </c>
      <c r="BF98" s="158">
        <f t="shared" si="55"/>
        <v>1.5279747945205478E-4</v>
      </c>
      <c r="BG98" s="144">
        <f t="shared" si="56"/>
        <v>8.3829041095890403E-10</v>
      </c>
      <c r="BH98" s="158">
        <f t="shared" si="57"/>
        <v>1.676580821917808E-6</v>
      </c>
      <c r="BI98" s="144">
        <f t="shared" si="58"/>
        <v>2.3033934246575346E-7</v>
      </c>
      <c r="BJ98" s="158">
        <f t="shared" si="59"/>
        <v>4.1132025440313117E-5</v>
      </c>
      <c r="BK98" s="144">
        <f t="shared" si="60"/>
        <v>3.9786462530217569E-8</v>
      </c>
      <c r="BL98" s="158">
        <f t="shared" si="61"/>
        <v>1.3262154176739191E-4</v>
      </c>
      <c r="BM98" s="144">
        <f t="shared" si="62"/>
        <v>7.3327961321514911E-9</v>
      </c>
      <c r="BN98" s="158">
        <f t="shared" si="63"/>
        <v>2.0950846091861402E-6</v>
      </c>
      <c r="BO98" s="144">
        <f t="shared" si="64"/>
        <v>1.8573831587429495E-10</v>
      </c>
      <c r="BP98" s="158">
        <f t="shared" si="65"/>
        <v>6.1912771958098318E-7</v>
      </c>
      <c r="BQ98" s="144">
        <f t="shared" si="66"/>
        <v>1.6156325543916195E-8</v>
      </c>
      <c r="BR98" s="158">
        <f t="shared" si="67"/>
        <v>3.231265108783239E-6</v>
      </c>
      <c r="BS98" s="144">
        <f t="shared" si="68"/>
        <v>1.7727639000805797E-11</v>
      </c>
      <c r="BT98" s="158">
        <f t="shared" si="69"/>
        <v>3.5455278001611591E-8</v>
      </c>
      <c r="BU98" s="144">
        <f t="shared" si="70"/>
        <v>4.8710717163577761E-9</v>
      </c>
      <c r="BV98" s="144">
        <f t="shared" si="71"/>
        <v>8.6983423506388864E-7</v>
      </c>
    </row>
    <row r="99" spans="20:74">
      <c r="T99" s="53" t="s">
        <v>273</v>
      </c>
      <c r="U99" s="39" t="s">
        <v>274</v>
      </c>
      <c r="V99" s="155" t="s">
        <v>342</v>
      </c>
      <c r="W99" s="53">
        <v>0.156809</v>
      </c>
      <c r="X99" s="53">
        <v>34.818221000000001</v>
      </c>
      <c r="Y99" s="53" t="s">
        <v>679</v>
      </c>
      <c r="Z99" s="53" t="s">
        <v>334</v>
      </c>
      <c r="AA99" s="116" t="s">
        <v>347</v>
      </c>
      <c r="AB99" s="154" t="s">
        <v>371</v>
      </c>
      <c r="AC99" s="116" t="s">
        <v>687</v>
      </c>
      <c r="AD99" s="53" t="s">
        <v>365</v>
      </c>
      <c r="AE99" s="53" t="s">
        <v>685</v>
      </c>
      <c r="AF99" s="53" t="s">
        <v>691</v>
      </c>
      <c r="AG99" s="156">
        <v>1283.7</v>
      </c>
      <c r="AH99" s="157">
        <v>40.5</v>
      </c>
      <c r="AI99" s="74">
        <v>0.257525</v>
      </c>
      <c r="AJ99" s="157">
        <v>170.1</v>
      </c>
      <c r="AK99" s="156">
        <v>0.17199999999999999</v>
      </c>
      <c r="AL99" s="157">
        <v>17.170000000000002</v>
      </c>
      <c r="AM99" s="144">
        <f t="shared" si="36"/>
        <v>1.7584931506849314E-3</v>
      </c>
      <c r="AN99" s="158">
        <f t="shared" si="42"/>
        <v>5.8616438356164382</v>
      </c>
      <c r="AO99" s="144">
        <f t="shared" si="37"/>
        <v>5.5479452054794519E-5</v>
      </c>
      <c r="AP99" s="158">
        <f t="shared" si="43"/>
        <v>1.5410958904109588E-2</v>
      </c>
      <c r="AQ99" s="144">
        <f t="shared" si="38"/>
        <v>3.5277397260273971E-7</v>
      </c>
      <c r="AR99" s="158">
        <f t="shared" si="44"/>
        <v>1.1759132420091326E-3</v>
      </c>
      <c r="AS99" s="144">
        <f t="shared" si="39"/>
        <v>2.3301369863013696E-4</v>
      </c>
      <c r="AT99" s="158">
        <f t="shared" si="45"/>
        <v>7.7671232876712321E-2</v>
      </c>
      <c r="AU99" s="144">
        <f t="shared" si="40"/>
        <v>2.3561643835616437E-7</v>
      </c>
      <c r="AV99" s="158">
        <f t="shared" si="46"/>
        <v>4.7123287671232874E-4</v>
      </c>
      <c r="AW99" s="144">
        <f t="shared" si="41"/>
        <v>2.3520547945205487E-5</v>
      </c>
      <c r="AX99" s="158">
        <f t="shared" si="47"/>
        <v>1.1760273972602742E-3</v>
      </c>
      <c r="AY99" s="144">
        <f t="shared" si="48"/>
        <v>3.6685684109589035E-4</v>
      </c>
      <c r="AZ99" s="158">
        <f t="shared" si="49"/>
        <v>1.2228561369863014</v>
      </c>
      <c r="BA99" s="144">
        <f t="shared" si="50"/>
        <v>1.2228561369863015E-5</v>
      </c>
      <c r="BB99" s="158">
        <f t="shared" si="51"/>
        <v>3.4938746771037183E-3</v>
      </c>
      <c r="BC99" s="144">
        <f t="shared" si="52"/>
        <v>2.4531902054794519E-9</v>
      </c>
      <c r="BD99" s="158">
        <f t="shared" si="53"/>
        <v>8.1773006849315075E-6</v>
      </c>
      <c r="BE99" s="144">
        <f t="shared" si="54"/>
        <v>1.6203772602739725E-6</v>
      </c>
      <c r="BF99" s="158">
        <f t="shared" si="55"/>
        <v>3.2407545205479448E-4</v>
      </c>
      <c r="BG99" s="144">
        <f t="shared" si="56"/>
        <v>1.6384767123287673E-9</v>
      </c>
      <c r="BH99" s="158">
        <f t="shared" si="57"/>
        <v>3.2769534246575345E-6</v>
      </c>
      <c r="BI99" s="144">
        <f t="shared" si="58"/>
        <v>1.6356189041095894E-7</v>
      </c>
      <c r="BJ99" s="158">
        <f t="shared" si="59"/>
        <v>2.9207480430528382E-5</v>
      </c>
      <c r="BK99" s="144">
        <f t="shared" si="60"/>
        <v>2.5860193392425464E-7</v>
      </c>
      <c r="BL99" s="158">
        <f t="shared" si="61"/>
        <v>8.6200644641418222E-4</v>
      </c>
      <c r="BM99" s="144">
        <f t="shared" si="62"/>
        <v>8.1587429492344878E-9</v>
      </c>
      <c r="BN99" s="158">
        <f t="shared" si="63"/>
        <v>2.3310694140669963E-6</v>
      </c>
      <c r="BO99" s="144">
        <f t="shared" si="64"/>
        <v>5.1878525382755845E-11</v>
      </c>
      <c r="BP99" s="158">
        <f t="shared" si="65"/>
        <v>1.729284179425195E-7</v>
      </c>
      <c r="BQ99" s="144">
        <f t="shared" si="66"/>
        <v>3.4266720386784852E-8</v>
      </c>
      <c r="BR99" s="158">
        <f t="shared" si="67"/>
        <v>6.85334407735697E-6</v>
      </c>
      <c r="BS99" s="144">
        <f t="shared" si="68"/>
        <v>3.4649476228847697E-11</v>
      </c>
      <c r="BT99" s="158">
        <f t="shared" si="69"/>
        <v>6.9298952457695393E-8</v>
      </c>
      <c r="BU99" s="144">
        <f t="shared" si="70"/>
        <v>3.4589041095890414E-9</v>
      </c>
      <c r="BV99" s="144">
        <f t="shared" si="71"/>
        <v>6.1766144814090028E-7</v>
      </c>
    </row>
    <row r="100" spans="20:74">
      <c r="T100" s="53" t="s">
        <v>275</v>
      </c>
      <c r="U100" s="39" t="s">
        <v>276</v>
      </c>
      <c r="V100" s="155" t="s">
        <v>342</v>
      </c>
      <c r="W100" s="53">
        <v>0.156809</v>
      </c>
      <c r="X100" s="53">
        <v>34.818221000000001</v>
      </c>
      <c r="Y100" s="53" t="s">
        <v>679</v>
      </c>
      <c r="Z100" s="53" t="s">
        <v>334</v>
      </c>
      <c r="AA100" s="116" t="s">
        <v>347</v>
      </c>
      <c r="AB100" s="154" t="s">
        <v>371</v>
      </c>
      <c r="AC100" s="116" t="s">
        <v>687</v>
      </c>
      <c r="AD100" s="53" t="s">
        <v>364</v>
      </c>
      <c r="AE100" s="53" t="s">
        <v>685</v>
      </c>
      <c r="AF100" s="53" t="s">
        <v>690</v>
      </c>
      <c r="AG100" s="156">
        <v>56.7</v>
      </c>
      <c r="AH100" s="157">
        <v>10.8</v>
      </c>
      <c r="AI100" s="74">
        <v>0.136435</v>
      </c>
      <c r="AJ100" s="157">
        <v>103.2</v>
      </c>
      <c r="AK100" s="156">
        <v>1.2E-2</v>
      </c>
      <c r="AL100" s="157">
        <v>5.39</v>
      </c>
      <c r="AM100" s="144">
        <f t="shared" si="36"/>
        <v>7.7671232876712321E-5</v>
      </c>
      <c r="AN100" s="158">
        <f t="shared" si="42"/>
        <v>0.25890410958904109</v>
      </c>
      <c r="AO100" s="144">
        <f t="shared" si="37"/>
        <v>1.4794520547945205E-5</v>
      </c>
      <c r="AP100" s="158">
        <f t="shared" si="43"/>
        <v>4.1095890410958909E-3</v>
      </c>
      <c r="AQ100" s="144">
        <f t="shared" si="38"/>
        <v>1.8689726027397254E-7</v>
      </c>
      <c r="AR100" s="158">
        <f t="shared" si="44"/>
        <v>6.2299086757990855E-4</v>
      </c>
      <c r="AS100" s="144">
        <f t="shared" si="39"/>
        <v>1.4136986301369864E-4</v>
      </c>
      <c r="AT100" s="158">
        <f t="shared" si="45"/>
        <v>4.7123287671232882E-2</v>
      </c>
      <c r="AU100" s="144">
        <f t="shared" si="40"/>
        <v>1.6438356164383561E-8</v>
      </c>
      <c r="AV100" s="158">
        <f t="shared" si="46"/>
        <v>3.287671232876712E-5</v>
      </c>
      <c r="AW100" s="144">
        <f t="shared" si="41"/>
        <v>7.3835616438356156E-6</v>
      </c>
      <c r="AX100" s="158">
        <f t="shared" si="47"/>
        <v>3.6917808219178079E-4</v>
      </c>
      <c r="AY100" s="144">
        <f t="shared" si="48"/>
        <v>1.6203772602739723E-5</v>
      </c>
      <c r="AZ100" s="158">
        <f t="shared" si="49"/>
        <v>5.401257534246575E-2</v>
      </c>
      <c r="BA100" s="144">
        <f t="shared" si="50"/>
        <v>5.4012575342465759E-7</v>
      </c>
      <c r="BB100" s="158">
        <f t="shared" si="51"/>
        <v>1.5432164383561646E-4</v>
      </c>
      <c r="BC100" s="144">
        <f t="shared" si="52"/>
        <v>1.2996835479452055E-9</v>
      </c>
      <c r="BD100" s="158">
        <f t="shared" si="53"/>
        <v>4.3322784931506853E-6</v>
      </c>
      <c r="BE100" s="144">
        <f t="shared" si="54"/>
        <v>9.8308602739726034E-7</v>
      </c>
      <c r="BF100" s="158">
        <f t="shared" si="55"/>
        <v>1.9661720547945206E-4</v>
      </c>
      <c r="BG100" s="144">
        <f t="shared" si="56"/>
        <v>1.1431232876712331E-10</v>
      </c>
      <c r="BH100" s="158">
        <f t="shared" si="57"/>
        <v>2.2862465753424663E-7</v>
      </c>
      <c r="BI100" s="144">
        <f t="shared" si="58"/>
        <v>5.1345287671232877E-8</v>
      </c>
      <c r="BJ100" s="158">
        <f t="shared" si="59"/>
        <v>9.1688013698630135E-6</v>
      </c>
      <c r="BK100" s="144">
        <f t="shared" si="60"/>
        <v>1.1422240128928283E-8</v>
      </c>
      <c r="BL100" s="158">
        <f t="shared" si="61"/>
        <v>3.8074133763094278E-5</v>
      </c>
      <c r="BM100" s="144">
        <f t="shared" si="62"/>
        <v>2.1756647864625302E-9</v>
      </c>
      <c r="BN100" s="158">
        <f t="shared" si="63"/>
        <v>6.2161851041786573E-7</v>
      </c>
      <c r="BO100" s="144">
        <f t="shared" si="64"/>
        <v>2.7484891216760674E-11</v>
      </c>
      <c r="BP100" s="158">
        <f t="shared" si="65"/>
        <v>9.1616304055868926E-8</v>
      </c>
      <c r="BQ100" s="144">
        <f t="shared" si="66"/>
        <v>2.0789685737308622E-8</v>
      </c>
      <c r="BR100" s="158">
        <f t="shared" si="67"/>
        <v>4.1579371474617242E-6</v>
      </c>
      <c r="BS100" s="144">
        <f t="shared" si="68"/>
        <v>2.4174053182917002E-12</v>
      </c>
      <c r="BT100" s="158">
        <f t="shared" si="69"/>
        <v>4.8348106365834001E-9</v>
      </c>
      <c r="BU100" s="144">
        <f t="shared" si="70"/>
        <v>1.0858178887993554E-9</v>
      </c>
      <c r="BV100" s="144">
        <f t="shared" si="71"/>
        <v>1.9389605157131346E-7</v>
      </c>
    </row>
    <row r="101" spans="20:74">
      <c r="T101" s="53" t="s">
        <v>277</v>
      </c>
      <c r="U101" s="39" t="s">
        <v>278</v>
      </c>
      <c r="V101" s="155" t="s">
        <v>342</v>
      </c>
      <c r="W101" s="53">
        <v>0.156392</v>
      </c>
      <c r="X101" s="53">
        <v>34.817486000000002</v>
      </c>
      <c r="Y101" s="53" t="s">
        <v>679</v>
      </c>
      <c r="Z101" s="53" t="s">
        <v>334</v>
      </c>
      <c r="AA101" s="116" t="s">
        <v>347</v>
      </c>
      <c r="AB101" s="154" t="s">
        <v>371</v>
      </c>
      <c r="AC101" s="116" t="s">
        <v>687</v>
      </c>
      <c r="AD101" s="53" t="s">
        <v>367</v>
      </c>
      <c r="AE101" s="53" t="s">
        <v>684</v>
      </c>
      <c r="AF101" s="53" t="s">
        <v>683</v>
      </c>
      <c r="AG101" s="156">
        <v>15.7</v>
      </c>
      <c r="AH101" s="157">
        <v>24.4</v>
      </c>
      <c r="AI101" s="74">
        <v>0.22564500000000001</v>
      </c>
      <c r="AJ101" s="157">
        <v>115.1</v>
      </c>
      <c r="AK101" s="156">
        <v>5.6000000000000001E-2</v>
      </c>
      <c r="AL101" s="157">
        <v>36.33</v>
      </c>
      <c r="AM101" s="144">
        <f t="shared" si="36"/>
        <v>2.1506849315068494E-5</v>
      </c>
      <c r="AN101" s="158">
        <f t="shared" si="42"/>
        <v>7.1689497716894979E-2</v>
      </c>
      <c r="AO101" s="144">
        <f t="shared" si="37"/>
        <v>3.3424657534246571E-5</v>
      </c>
      <c r="AP101" s="158">
        <f t="shared" si="43"/>
        <v>9.2846270928462708E-3</v>
      </c>
      <c r="AQ101" s="144">
        <f t="shared" si="38"/>
        <v>3.0910273972602743E-7</v>
      </c>
      <c r="AR101" s="158">
        <f t="shared" si="44"/>
        <v>1.0303424657534248E-3</v>
      </c>
      <c r="AS101" s="144">
        <f t="shared" si="39"/>
        <v>1.5767123287671231E-4</v>
      </c>
      <c r="AT101" s="158">
        <f t="shared" si="45"/>
        <v>5.2557077625570769E-2</v>
      </c>
      <c r="AU101" s="144">
        <f t="shared" si="40"/>
        <v>7.6712328767123294E-8</v>
      </c>
      <c r="AV101" s="158">
        <f t="shared" si="46"/>
        <v>1.5342465753424657E-4</v>
      </c>
      <c r="AW101" s="144">
        <f t="shared" si="41"/>
        <v>4.976712328767123E-5</v>
      </c>
      <c r="AX101" s="158">
        <f t="shared" si="47"/>
        <v>2.4883561643835616E-3</v>
      </c>
      <c r="AY101" s="144">
        <f t="shared" si="48"/>
        <v>4.4867589041095899E-6</v>
      </c>
      <c r="AZ101" s="158">
        <f t="shared" si="49"/>
        <v>1.4955863013698634E-2</v>
      </c>
      <c r="BA101" s="144">
        <f t="shared" si="50"/>
        <v>1.495586301369863E-7</v>
      </c>
      <c r="BB101" s="158">
        <f t="shared" si="51"/>
        <v>4.2731037181996083E-5</v>
      </c>
      <c r="BC101" s="144">
        <f t="shared" si="52"/>
        <v>2.1495004520547946E-9</v>
      </c>
      <c r="BD101" s="158">
        <f t="shared" si="53"/>
        <v>7.1650015068493159E-6</v>
      </c>
      <c r="BE101" s="144">
        <f t="shared" si="54"/>
        <v>1.0964457534246575E-6</v>
      </c>
      <c r="BF101" s="158">
        <f t="shared" si="55"/>
        <v>2.192891506849315E-4</v>
      </c>
      <c r="BG101" s="144">
        <f t="shared" si="56"/>
        <v>5.3345753424657538E-10</v>
      </c>
      <c r="BH101" s="158">
        <f t="shared" si="57"/>
        <v>1.0669150684931508E-6</v>
      </c>
      <c r="BI101" s="144">
        <f t="shared" si="58"/>
        <v>3.460805753424657E-7</v>
      </c>
      <c r="BJ101" s="158">
        <f t="shared" si="59"/>
        <v>6.1800102739726013E-5</v>
      </c>
      <c r="BK101" s="144">
        <f t="shared" si="60"/>
        <v>3.1627719580983079E-9</v>
      </c>
      <c r="BL101" s="158">
        <f t="shared" si="61"/>
        <v>1.0542573193661028E-5</v>
      </c>
      <c r="BM101" s="144">
        <f t="shared" si="62"/>
        <v>4.9153908138597902E-9</v>
      </c>
      <c r="BN101" s="158">
        <f t="shared" si="63"/>
        <v>1.4043973753885115E-6</v>
      </c>
      <c r="BO101" s="144">
        <f t="shared" si="64"/>
        <v>4.5456285253827562E-11</v>
      </c>
      <c r="BP101" s="158">
        <f t="shared" si="65"/>
        <v>1.5152095084609189E-7</v>
      </c>
      <c r="BQ101" s="144">
        <f t="shared" si="66"/>
        <v>2.3186946011281225E-8</v>
      </c>
      <c r="BR101" s="158">
        <f t="shared" si="67"/>
        <v>4.6373892022562447E-6</v>
      </c>
      <c r="BS101" s="144">
        <f t="shared" si="68"/>
        <v>1.1281224818694603E-11</v>
      </c>
      <c r="BT101" s="158">
        <f t="shared" si="69"/>
        <v>2.2562449637389207E-8</v>
      </c>
      <c r="BU101" s="144">
        <f t="shared" si="70"/>
        <v>7.3186946011281216E-9</v>
      </c>
      <c r="BV101" s="144">
        <f t="shared" si="71"/>
        <v>1.3069097502014502E-6</v>
      </c>
    </row>
    <row r="102" spans="20:74">
      <c r="T102" s="53" t="s">
        <v>279</v>
      </c>
      <c r="U102" s="39" t="s">
        <v>280</v>
      </c>
      <c r="V102" s="155" t="s">
        <v>342</v>
      </c>
      <c r="W102" s="53">
        <v>0.156392</v>
      </c>
      <c r="X102" s="53">
        <v>34.817486000000002</v>
      </c>
      <c r="Y102" s="53" t="s">
        <v>679</v>
      </c>
      <c r="Z102" s="53" t="s">
        <v>334</v>
      </c>
      <c r="AA102" s="116" t="s">
        <v>347</v>
      </c>
      <c r="AB102" s="154" t="s">
        <v>371</v>
      </c>
      <c r="AC102" s="116" t="s">
        <v>687</v>
      </c>
      <c r="AD102" s="53" t="s">
        <v>361</v>
      </c>
      <c r="AE102" s="53" t="s">
        <v>685</v>
      </c>
      <c r="AF102" s="53" t="s">
        <v>690</v>
      </c>
      <c r="AG102" s="156">
        <v>1662.2</v>
      </c>
      <c r="AH102" s="157">
        <v>63.9</v>
      </c>
      <c r="AI102" s="74">
        <v>4.1999950000000004</v>
      </c>
      <c r="AJ102" s="157">
        <v>190.4</v>
      </c>
      <c r="AK102" s="156">
        <v>0.219</v>
      </c>
      <c r="AL102" s="157">
        <v>16.37</v>
      </c>
      <c r="AM102" s="144">
        <f t="shared" si="36"/>
        <v>2.276986301369863E-3</v>
      </c>
      <c r="AN102" s="158">
        <f t="shared" si="42"/>
        <v>7.5899543378995444</v>
      </c>
      <c r="AO102" s="144">
        <f t="shared" si="37"/>
        <v>8.7534246575342466E-5</v>
      </c>
      <c r="AP102" s="158">
        <f t="shared" si="43"/>
        <v>2.4315068493150686E-2</v>
      </c>
      <c r="AQ102" s="144">
        <f t="shared" si="38"/>
        <v>5.7534178082191783E-6</v>
      </c>
      <c r="AR102" s="158">
        <f t="shared" si="44"/>
        <v>1.9178059360730595E-2</v>
      </c>
      <c r="AS102" s="144">
        <f t="shared" si="39"/>
        <v>2.6082191780821918E-4</v>
      </c>
      <c r="AT102" s="158">
        <f t="shared" si="45"/>
        <v>8.6940639269406386E-2</v>
      </c>
      <c r="AU102" s="144">
        <f t="shared" si="40"/>
        <v>2.9999999999999993E-7</v>
      </c>
      <c r="AV102" s="158">
        <f t="shared" si="46"/>
        <v>5.9999999999999984E-4</v>
      </c>
      <c r="AW102" s="144">
        <f t="shared" si="41"/>
        <v>2.2424657534246571E-5</v>
      </c>
      <c r="AX102" s="158">
        <f t="shared" si="47"/>
        <v>1.1212328767123286E-3</v>
      </c>
      <c r="AY102" s="144">
        <f t="shared" si="48"/>
        <v>4.7502488219178067E-4</v>
      </c>
      <c r="AZ102" s="158">
        <f t="shared" si="49"/>
        <v>1.5834162739726023</v>
      </c>
      <c r="BA102" s="144">
        <f t="shared" si="50"/>
        <v>1.5834162739726027E-5</v>
      </c>
      <c r="BB102" s="158">
        <f t="shared" si="51"/>
        <v>4.5240464970645791E-3</v>
      </c>
      <c r="BC102" s="144">
        <f t="shared" si="52"/>
        <v>4.0009267438356173E-8</v>
      </c>
      <c r="BD102" s="158">
        <f t="shared" si="53"/>
        <v>1.3336422479452058E-4</v>
      </c>
      <c r="BE102" s="144">
        <f t="shared" si="54"/>
        <v>1.8137556164383565E-6</v>
      </c>
      <c r="BF102" s="158">
        <f t="shared" si="55"/>
        <v>3.6275112328767127E-4</v>
      </c>
      <c r="BG102" s="144">
        <f t="shared" si="56"/>
        <v>2.0861999999999997E-9</v>
      </c>
      <c r="BH102" s="158">
        <f t="shared" si="57"/>
        <v>4.1723999999999992E-6</v>
      </c>
      <c r="BI102" s="144">
        <f t="shared" si="58"/>
        <v>1.559410684931507E-7</v>
      </c>
      <c r="BJ102" s="158">
        <f t="shared" si="59"/>
        <v>2.7846619373776911E-5</v>
      </c>
      <c r="BK102" s="144">
        <f t="shared" si="60"/>
        <v>3.3485092667203867E-7</v>
      </c>
      <c r="BL102" s="158">
        <f t="shared" si="61"/>
        <v>1.1161697555734623E-3</v>
      </c>
      <c r="BM102" s="144">
        <f t="shared" si="62"/>
        <v>1.2872683319903304E-8</v>
      </c>
      <c r="BN102" s="158">
        <f t="shared" si="63"/>
        <v>3.6779095199723725E-6</v>
      </c>
      <c r="BO102" s="144">
        <f t="shared" si="64"/>
        <v>8.4609085414987919E-10</v>
      </c>
      <c r="BP102" s="158">
        <f t="shared" si="65"/>
        <v>2.8203028471662643E-6</v>
      </c>
      <c r="BQ102" s="144">
        <f t="shared" si="66"/>
        <v>3.8356164383561647E-8</v>
      </c>
      <c r="BR102" s="158">
        <f t="shared" si="67"/>
        <v>7.671232876712329E-6</v>
      </c>
      <c r="BS102" s="144">
        <f t="shared" si="68"/>
        <v>4.4117647058823531E-11</v>
      </c>
      <c r="BT102" s="158">
        <f t="shared" si="69"/>
        <v>8.8235294117647056E-8</v>
      </c>
      <c r="BU102" s="144">
        <f t="shared" si="70"/>
        <v>3.2977437550362616E-9</v>
      </c>
      <c r="BV102" s="144">
        <f t="shared" si="71"/>
        <v>5.8888281339933242E-7</v>
      </c>
    </row>
    <row r="103" spans="20:74">
      <c r="T103" s="53" t="s">
        <v>281</v>
      </c>
      <c r="U103" s="39" t="s">
        <v>282</v>
      </c>
      <c r="V103" s="155" t="s">
        <v>342</v>
      </c>
      <c r="W103" s="53">
        <v>0.156392</v>
      </c>
      <c r="X103" s="53">
        <v>34.817486000000002</v>
      </c>
      <c r="Y103" s="53" t="s">
        <v>679</v>
      </c>
      <c r="Z103" s="53" t="s">
        <v>334</v>
      </c>
      <c r="AA103" s="116" t="s">
        <v>347</v>
      </c>
      <c r="AB103" s="154" t="s">
        <v>371</v>
      </c>
      <c r="AC103" s="116" t="s">
        <v>687</v>
      </c>
      <c r="AD103" s="53" t="s">
        <v>365</v>
      </c>
      <c r="AE103" s="53" t="s">
        <v>685</v>
      </c>
      <c r="AF103" s="53" t="s">
        <v>691</v>
      </c>
      <c r="AG103" s="156">
        <v>531.9</v>
      </c>
      <c r="AH103" s="157">
        <v>29.6</v>
      </c>
      <c r="AI103" s="74">
        <v>3.6206849999999999</v>
      </c>
      <c r="AJ103" s="157">
        <v>75.7</v>
      </c>
      <c r="AK103" s="156">
        <v>0.14199999999999999</v>
      </c>
      <c r="AL103" s="157">
        <v>7.12</v>
      </c>
      <c r="AM103" s="144">
        <f t="shared" si="36"/>
        <v>7.2863013698630139E-4</v>
      </c>
      <c r="AN103" s="158">
        <f t="shared" si="42"/>
        <v>2.4287671232876713</v>
      </c>
      <c r="AO103" s="144">
        <f t="shared" si="37"/>
        <v>4.0547945205479447E-5</v>
      </c>
      <c r="AP103" s="158">
        <f t="shared" si="43"/>
        <v>1.126331811263318E-2</v>
      </c>
      <c r="AQ103" s="144">
        <f t="shared" si="38"/>
        <v>4.9598424657534237E-6</v>
      </c>
      <c r="AR103" s="158">
        <f t="shared" si="44"/>
        <v>1.6532808219178081E-2</v>
      </c>
      <c r="AS103" s="144">
        <f t="shared" si="39"/>
        <v>1.036986301369863E-4</v>
      </c>
      <c r="AT103" s="158">
        <f t="shared" si="45"/>
        <v>3.4566210045662099E-2</v>
      </c>
      <c r="AU103" s="144">
        <f t="shared" si="40"/>
        <v>1.9452054794520547E-7</v>
      </c>
      <c r="AV103" s="158">
        <f t="shared" si="46"/>
        <v>3.8904109589041092E-4</v>
      </c>
      <c r="AW103" s="144">
        <f t="shared" si="41"/>
        <v>9.7534246575342462E-6</v>
      </c>
      <c r="AX103" s="158">
        <f t="shared" si="47"/>
        <v>4.8767123287671229E-4</v>
      </c>
      <c r="AY103" s="144">
        <f t="shared" si="48"/>
        <v>1.5200681917808219E-4</v>
      </c>
      <c r="AZ103" s="158">
        <f t="shared" si="49"/>
        <v>0.50668939726027395</v>
      </c>
      <c r="BA103" s="144">
        <f t="shared" si="50"/>
        <v>5.0668939726027396E-6</v>
      </c>
      <c r="BB103" s="158">
        <f t="shared" si="51"/>
        <v>1.4476839921722113E-3</v>
      </c>
      <c r="BC103" s="144">
        <f t="shared" si="52"/>
        <v>3.4490744506849321E-8</v>
      </c>
      <c r="BD103" s="158">
        <f t="shared" si="53"/>
        <v>1.1496914835616441E-4</v>
      </c>
      <c r="BE103" s="144">
        <f t="shared" si="54"/>
        <v>7.2112027397260285E-7</v>
      </c>
      <c r="BF103" s="158">
        <f t="shared" si="55"/>
        <v>1.4422405479452057E-4</v>
      </c>
      <c r="BG103" s="144">
        <f t="shared" si="56"/>
        <v>1.3526958904109592E-9</v>
      </c>
      <c r="BH103" s="158">
        <f t="shared" si="57"/>
        <v>2.7053917808219182E-6</v>
      </c>
      <c r="BI103" s="144">
        <f t="shared" si="58"/>
        <v>6.7825315068493153E-8</v>
      </c>
      <c r="BJ103" s="158">
        <f t="shared" si="59"/>
        <v>1.2111663405088064E-5</v>
      </c>
      <c r="BK103" s="144">
        <f t="shared" si="60"/>
        <v>1.0715149073327961E-7</v>
      </c>
      <c r="BL103" s="158">
        <f t="shared" si="61"/>
        <v>3.5717163577759874E-4</v>
      </c>
      <c r="BM103" s="144">
        <f t="shared" si="62"/>
        <v>5.9629331184528605E-9</v>
      </c>
      <c r="BN103" s="158">
        <f t="shared" si="63"/>
        <v>1.7036951767008172E-6</v>
      </c>
      <c r="BO103" s="144">
        <f t="shared" si="64"/>
        <v>7.2938859790491547E-10</v>
      </c>
      <c r="BP103" s="158">
        <f t="shared" si="65"/>
        <v>2.4312953263497184E-6</v>
      </c>
      <c r="BQ103" s="144">
        <f t="shared" si="66"/>
        <v>1.5249798549556809E-8</v>
      </c>
      <c r="BR103" s="158">
        <f t="shared" si="67"/>
        <v>3.0499597099113616E-6</v>
      </c>
      <c r="BS103" s="144">
        <f t="shared" si="68"/>
        <v>2.8605962933118452E-11</v>
      </c>
      <c r="BT103" s="158">
        <f t="shared" si="69"/>
        <v>5.72119258662369E-8</v>
      </c>
      <c r="BU103" s="144">
        <f t="shared" si="70"/>
        <v>1.4343271555197422E-9</v>
      </c>
      <c r="BV103" s="144">
        <f t="shared" si="71"/>
        <v>2.5612984919995397E-7</v>
      </c>
    </row>
    <row r="104" spans="20:74">
      <c r="T104" s="53" t="s">
        <v>283</v>
      </c>
      <c r="U104" s="39" t="s">
        <v>284</v>
      </c>
      <c r="V104" s="155" t="s">
        <v>342</v>
      </c>
      <c r="W104" s="53">
        <v>0.156392</v>
      </c>
      <c r="X104" s="53">
        <v>34.817486000000002</v>
      </c>
      <c r="Y104" s="53" t="s">
        <v>679</v>
      </c>
      <c r="Z104" s="53" t="s">
        <v>334</v>
      </c>
      <c r="AA104" s="116" t="s">
        <v>347</v>
      </c>
      <c r="AB104" s="154" t="s">
        <v>371</v>
      </c>
      <c r="AC104" s="116" t="s">
        <v>687</v>
      </c>
      <c r="AD104" s="53" t="s">
        <v>364</v>
      </c>
      <c r="AE104" s="53" t="s">
        <v>685</v>
      </c>
      <c r="AF104" s="53" t="s">
        <v>690</v>
      </c>
      <c r="AG104" s="156">
        <v>1360.6</v>
      </c>
      <c r="AH104" s="157">
        <v>45</v>
      </c>
      <c r="AI104" s="74">
        <v>0.20890500000000001</v>
      </c>
      <c r="AJ104" s="157">
        <v>208</v>
      </c>
      <c r="AK104" s="156">
        <v>0.25</v>
      </c>
      <c r="AL104" s="157">
        <v>12.19</v>
      </c>
      <c r="AM104" s="144">
        <f t="shared" si="36"/>
        <v>1.863835616438356E-3</v>
      </c>
      <c r="AN104" s="158">
        <f t="shared" si="42"/>
        <v>6.2127853881278536</v>
      </c>
      <c r="AO104" s="144">
        <f t="shared" si="37"/>
        <v>6.1643835616438354E-5</v>
      </c>
      <c r="AP104" s="158">
        <f t="shared" si="43"/>
        <v>1.7123287671232876E-2</v>
      </c>
      <c r="AQ104" s="144">
        <f t="shared" si="38"/>
        <v>2.8617123287671234E-7</v>
      </c>
      <c r="AR104" s="158">
        <f t="shared" si="44"/>
        <v>9.5390410958904118E-4</v>
      </c>
      <c r="AS104" s="144">
        <f t="shared" si="39"/>
        <v>2.8493150684931505E-4</v>
      </c>
      <c r="AT104" s="158">
        <f t="shared" si="45"/>
        <v>9.4977168949771679E-2</v>
      </c>
      <c r="AU104" s="144">
        <f t="shared" si="40"/>
        <v>3.4246575342465755E-7</v>
      </c>
      <c r="AV104" s="158">
        <f t="shared" si="46"/>
        <v>6.8493150684931507E-4</v>
      </c>
      <c r="AW104" s="144">
        <f t="shared" si="41"/>
        <v>1.66986301369863E-5</v>
      </c>
      <c r="AX104" s="158">
        <f t="shared" si="47"/>
        <v>8.3493150684931503E-4</v>
      </c>
      <c r="AY104" s="144">
        <f t="shared" si="48"/>
        <v>3.8883338630136969E-4</v>
      </c>
      <c r="AZ104" s="158">
        <f t="shared" si="49"/>
        <v>1.2961112876712324</v>
      </c>
      <c r="BA104" s="144">
        <f t="shared" si="50"/>
        <v>1.2961112876712326E-5</v>
      </c>
      <c r="BB104" s="158">
        <f t="shared" si="51"/>
        <v>3.7031751076320929E-3</v>
      </c>
      <c r="BC104" s="144">
        <f t="shared" si="52"/>
        <v>1.9900347534246575E-9</v>
      </c>
      <c r="BD104" s="158">
        <f t="shared" si="53"/>
        <v>6.633449178082192E-6</v>
      </c>
      <c r="BE104" s="144">
        <f t="shared" si="54"/>
        <v>1.9814136986301367E-6</v>
      </c>
      <c r="BF104" s="158">
        <f t="shared" si="55"/>
        <v>3.9628273972602737E-4</v>
      </c>
      <c r="BG104" s="144">
        <f t="shared" si="56"/>
        <v>2.381506849315069E-9</v>
      </c>
      <c r="BH104" s="158">
        <f t="shared" si="57"/>
        <v>4.7630136986301378E-6</v>
      </c>
      <c r="BI104" s="144">
        <f t="shared" si="58"/>
        <v>1.1612227397260273E-7</v>
      </c>
      <c r="BJ104" s="158">
        <f t="shared" si="59"/>
        <v>2.0736120352250487E-5</v>
      </c>
      <c r="BK104" s="144">
        <f t="shared" si="60"/>
        <v>2.7409347300564059E-7</v>
      </c>
      <c r="BL104" s="158">
        <f t="shared" si="61"/>
        <v>9.1364491001880209E-4</v>
      </c>
      <c r="BM104" s="144">
        <f t="shared" si="62"/>
        <v>9.0652699435938762E-9</v>
      </c>
      <c r="BN104" s="158">
        <f t="shared" si="63"/>
        <v>2.5900771267411075E-6</v>
      </c>
      <c r="BO104" s="144">
        <f t="shared" si="64"/>
        <v>4.2084004834810646E-11</v>
      </c>
      <c r="BP104" s="158">
        <f t="shared" si="65"/>
        <v>1.4028001611603551E-7</v>
      </c>
      <c r="BQ104" s="144">
        <f t="shared" si="66"/>
        <v>4.1901692183722804E-8</v>
      </c>
      <c r="BR104" s="158">
        <f t="shared" si="67"/>
        <v>8.3803384367445607E-6</v>
      </c>
      <c r="BS104" s="144">
        <f t="shared" si="68"/>
        <v>5.0362610797743758E-11</v>
      </c>
      <c r="BT104" s="158">
        <f t="shared" si="69"/>
        <v>1.0072522159548751E-7</v>
      </c>
      <c r="BU104" s="144">
        <f t="shared" si="70"/>
        <v>2.4556809024979856E-9</v>
      </c>
      <c r="BV104" s="144">
        <f t="shared" si="71"/>
        <v>4.385144468746403E-7</v>
      </c>
    </row>
    <row r="105" spans="20:74">
      <c r="T105" s="53" t="s">
        <v>285</v>
      </c>
      <c r="U105" s="39" t="s">
        <v>286</v>
      </c>
      <c r="V105" s="155" t="s">
        <v>342</v>
      </c>
      <c r="W105" s="53">
        <v>0.156392</v>
      </c>
      <c r="X105" s="53">
        <v>34.817486000000002</v>
      </c>
      <c r="Y105" s="53" t="s">
        <v>679</v>
      </c>
      <c r="Z105" s="53" t="s">
        <v>334</v>
      </c>
      <c r="AA105" s="116" t="s">
        <v>347</v>
      </c>
      <c r="AB105" s="154" t="s">
        <v>371</v>
      </c>
      <c r="AC105" s="116" t="s">
        <v>687</v>
      </c>
      <c r="AD105" s="53" t="s">
        <v>366</v>
      </c>
      <c r="AE105" s="53" t="s">
        <v>684</v>
      </c>
      <c r="AF105" s="53" t="s">
        <v>683</v>
      </c>
      <c r="AG105" s="156">
        <v>34.4</v>
      </c>
      <c r="AH105" s="157">
        <v>25</v>
      </c>
      <c r="AI105" s="74">
        <v>0.78137500000000004</v>
      </c>
      <c r="AJ105" s="157">
        <v>128.5</v>
      </c>
      <c r="AK105" s="156">
        <v>9.0999999999999998E-2</v>
      </c>
      <c r="AL105" s="157">
        <v>30.54</v>
      </c>
      <c r="AM105" s="144">
        <f t="shared" si="36"/>
        <v>4.7123287671232873E-5</v>
      </c>
      <c r="AN105" s="158">
        <f t="shared" si="42"/>
        <v>0.15707762557077626</v>
      </c>
      <c r="AO105" s="144">
        <f t="shared" si="37"/>
        <v>3.4246575342465751E-5</v>
      </c>
      <c r="AP105" s="158">
        <f t="shared" si="43"/>
        <v>9.5129375951293754E-3</v>
      </c>
      <c r="AQ105" s="144">
        <f t="shared" si="38"/>
        <v>1.0703767123287669E-6</v>
      </c>
      <c r="AR105" s="158">
        <f t="shared" si="44"/>
        <v>3.5679223744292232E-3</v>
      </c>
      <c r="AS105" s="144">
        <f t="shared" si="39"/>
        <v>1.7602739726027395E-4</v>
      </c>
      <c r="AT105" s="158">
        <f t="shared" si="45"/>
        <v>5.8675799086757983E-2</v>
      </c>
      <c r="AU105" s="144">
        <f t="shared" si="40"/>
        <v>1.2465753424657535E-7</v>
      </c>
      <c r="AV105" s="158">
        <f t="shared" si="46"/>
        <v>2.4931506849315067E-4</v>
      </c>
      <c r="AW105" s="144">
        <f t="shared" si="41"/>
        <v>4.1835616438356166E-5</v>
      </c>
      <c r="AX105" s="158">
        <f t="shared" si="47"/>
        <v>2.0917808219178082E-3</v>
      </c>
      <c r="AY105" s="144">
        <f t="shared" si="48"/>
        <v>9.8308602739726034E-6</v>
      </c>
      <c r="AZ105" s="158">
        <f t="shared" si="49"/>
        <v>3.2769534246575346E-2</v>
      </c>
      <c r="BA105" s="144">
        <f t="shared" si="50"/>
        <v>3.2769534246575345E-7</v>
      </c>
      <c r="BB105" s="158">
        <f t="shared" si="51"/>
        <v>9.3627240704500985E-5</v>
      </c>
      <c r="BC105" s="144">
        <f t="shared" si="52"/>
        <v>7.4433996575342481E-9</v>
      </c>
      <c r="BD105" s="158">
        <f t="shared" si="53"/>
        <v>2.4811332191780828E-5</v>
      </c>
      <c r="BE105" s="144">
        <f t="shared" si="54"/>
        <v>1.2240945205479453E-6</v>
      </c>
      <c r="BF105" s="158">
        <f t="shared" si="55"/>
        <v>2.4481890410958906E-4</v>
      </c>
      <c r="BG105" s="144">
        <f t="shared" si="56"/>
        <v>8.6686849315068476E-10</v>
      </c>
      <c r="BH105" s="158">
        <f t="shared" si="57"/>
        <v>1.7337369863013694E-6</v>
      </c>
      <c r="BI105" s="144">
        <f t="shared" si="58"/>
        <v>2.9092487671232879E-7</v>
      </c>
      <c r="BJ105" s="158">
        <f t="shared" si="59"/>
        <v>5.1950870841487282E-5</v>
      </c>
      <c r="BK105" s="144">
        <f t="shared" si="60"/>
        <v>6.9298952457695406E-9</v>
      </c>
      <c r="BL105" s="158">
        <f t="shared" si="61"/>
        <v>2.3099650819231803E-5</v>
      </c>
      <c r="BM105" s="144">
        <f t="shared" si="62"/>
        <v>5.0362610797743753E-9</v>
      </c>
      <c r="BN105" s="158">
        <f t="shared" si="63"/>
        <v>1.4389317370783928E-6</v>
      </c>
      <c r="BO105" s="144">
        <f t="shared" si="64"/>
        <v>1.5740834004834811E-10</v>
      </c>
      <c r="BP105" s="158">
        <f t="shared" si="65"/>
        <v>5.2469446682782708E-7</v>
      </c>
      <c r="BQ105" s="144">
        <f t="shared" si="66"/>
        <v>2.588638195004029E-8</v>
      </c>
      <c r="BR105" s="158">
        <f t="shared" si="67"/>
        <v>5.1772763900080575E-6</v>
      </c>
      <c r="BS105" s="144">
        <f t="shared" si="68"/>
        <v>1.8331990330378726E-11</v>
      </c>
      <c r="BT105" s="158">
        <f t="shared" si="69"/>
        <v>3.6663980660757455E-8</v>
      </c>
      <c r="BU105" s="144">
        <f t="shared" si="70"/>
        <v>6.1522965350523762E-9</v>
      </c>
      <c r="BV105" s="144">
        <f t="shared" si="71"/>
        <v>1.098624381259353E-6</v>
      </c>
    </row>
    <row r="106" spans="20:74">
      <c r="T106" s="41" t="s">
        <v>287</v>
      </c>
      <c r="U106" s="154" t="s">
        <v>98</v>
      </c>
      <c r="V106" s="155" t="s">
        <v>339</v>
      </c>
      <c r="W106" s="53">
        <v>0.258245</v>
      </c>
      <c r="X106" s="53">
        <v>34.717754999999997</v>
      </c>
      <c r="Y106" s="53" t="s">
        <v>332</v>
      </c>
      <c r="Z106" s="53" t="s">
        <v>330</v>
      </c>
      <c r="AA106" s="116" t="s">
        <v>347</v>
      </c>
      <c r="AB106" s="154" t="s">
        <v>371</v>
      </c>
      <c r="AC106" s="116" t="s">
        <v>687</v>
      </c>
      <c r="AD106" s="41" t="s">
        <v>366</v>
      </c>
      <c r="AE106" s="53" t="s">
        <v>684</v>
      </c>
      <c r="AF106" s="53" t="s">
        <v>683</v>
      </c>
      <c r="AG106" s="156">
        <v>8.3000000000000007</v>
      </c>
      <c r="AH106" s="157">
        <v>19.7</v>
      </c>
      <c r="AI106" s="74">
        <v>0.45</v>
      </c>
      <c r="AJ106" s="157">
        <v>1330.5</v>
      </c>
      <c r="AK106" s="156">
        <v>9.6000000000000002E-2</v>
      </c>
      <c r="AL106" s="157">
        <v>281.38</v>
      </c>
      <c r="AM106" s="158">
        <f t="shared" si="36"/>
        <v>1.1369863013698632E-5</v>
      </c>
      <c r="AN106" s="158">
        <f t="shared" si="42"/>
        <v>3.789954337899544E-2</v>
      </c>
      <c r="AO106" s="158">
        <f t="shared" si="37"/>
        <v>2.6986301369863014E-5</v>
      </c>
      <c r="AP106" s="158">
        <f t="shared" si="43"/>
        <v>7.496194824961948E-3</v>
      </c>
      <c r="AQ106" s="158">
        <f t="shared" si="38"/>
        <v>6.1643835616438352E-7</v>
      </c>
      <c r="AR106" s="158">
        <f t="shared" si="44"/>
        <v>2.0547945205479454E-3</v>
      </c>
      <c r="AS106" s="158">
        <f t="shared" si="39"/>
        <v>1.8226027397260272E-3</v>
      </c>
      <c r="AT106" s="158">
        <f t="shared" si="45"/>
        <v>0.60753424657534238</v>
      </c>
      <c r="AU106" s="158">
        <f t="shared" si="40"/>
        <v>1.3150684931506849E-7</v>
      </c>
      <c r="AV106" s="158">
        <f t="shared" si="46"/>
        <v>2.6301369863013696E-4</v>
      </c>
      <c r="AW106" s="158">
        <f t="shared" si="41"/>
        <v>3.8545205479452059E-4</v>
      </c>
      <c r="AX106" s="158">
        <f t="shared" si="47"/>
        <v>1.927260273972603E-2</v>
      </c>
      <c r="AY106" s="158">
        <f t="shared" si="48"/>
        <v>2.3719808219178082E-6</v>
      </c>
      <c r="AZ106" s="158">
        <f t="shared" si="49"/>
        <v>7.9066027397260274E-3</v>
      </c>
      <c r="BA106" s="158">
        <f t="shared" si="50"/>
        <v>7.9066027397260285E-8</v>
      </c>
      <c r="BB106" s="158">
        <f t="shared" si="51"/>
        <v>2.2590293542074368E-5</v>
      </c>
      <c r="BC106" s="158">
        <f t="shared" si="52"/>
        <v>4.2867123287671223E-9</v>
      </c>
      <c r="BD106" s="158">
        <f t="shared" si="53"/>
        <v>1.4289041095890408E-5</v>
      </c>
      <c r="BE106" s="158">
        <f t="shared" si="54"/>
        <v>1.2674379452054797E-5</v>
      </c>
      <c r="BF106" s="158">
        <f t="shared" si="55"/>
        <v>2.5348758904109592E-3</v>
      </c>
      <c r="BG106" s="158">
        <f t="shared" si="56"/>
        <v>9.1449863013698648E-10</v>
      </c>
      <c r="BH106" s="158">
        <f t="shared" si="57"/>
        <v>1.828997260273973E-6</v>
      </c>
      <c r="BI106" s="158">
        <f t="shared" si="58"/>
        <v>2.6804335890410959E-6</v>
      </c>
      <c r="BJ106" s="158">
        <f t="shared" si="59"/>
        <v>4.7864885518590996E-4</v>
      </c>
      <c r="BK106" s="158">
        <f t="shared" si="60"/>
        <v>1.6720386784850926E-9</v>
      </c>
      <c r="BL106" s="158">
        <f t="shared" si="61"/>
        <v>5.5734622616169757E-6</v>
      </c>
      <c r="BM106" s="158">
        <f t="shared" si="62"/>
        <v>3.9685737308622075E-9</v>
      </c>
      <c r="BN106" s="158">
        <f t="shared" si="63"/>
        <v>1.1338782088177735E-6</v>
      </c>
      <c r="BO106" s="158">
        <f t="shared" si="64"/>
        <v>9.0652699435938754E-11</v>
      </c>
      <c r="BP106" s="158">
        <f t="shared" si="65"/>
        <v>3.0217566478646254E-7</v>
      </c>
      <c r="BQ106" s="158">
        <f t="shared" si="66"/>
        <v>2.6802981466559226E-7</v>
      </c>
      <c r="BR106" s="158">
        <f t="shared" si="67"/>
        <v>5.3605962933118448E-5</v>
      </c>
      <c r="BS106" s="158">
        <f t="shared" si="68"/>
        <v>1.9339242546333601E-11</v>
      </c>
      <c r="BT106" s="158">
        <f t="shared" si="69"/>
        <v>3.8678485092667201E-8</v>
      </c>
      <c r="BU106" s="158">
        <f t="shared" si="70"/>
        <v>5.6684125705076562E-8</v>
      </c>
      <c r="BV106" s="158">
        <f t="shared" si="71"/>
        <v>1.0122165304477957E-5</v>
      </c>
    </row>
    <row r="107" spans="20:74">
      <c r="T107" s="41" t="s">
        <v>289</v>
      </c>
      <c r="U107" s="53" t="s">
        <v>110</v>
      </c>
      <c r="V107" s="155" t="s">
        <v>339</v>
      </c>
      <c r="W107" s="53">
        <v>0.26076500000000002</v>
      </c>
      <c r="X107" s="53">
        <v>34.720081</v>
      </c>
      <c r="Y107" s="53" t="s">
        <v>332</v>
      </c>
      <c r="Z107" s="53" t="s">
        <v>330</v>
      </c>
      <c r="AA107" s="116" t="s">
        <v>347</v>
      </c>
      <c r="AB107" s="154" t="s">
        <v>371</v>
      </c>
      <c r="AC107" s="116" t="s">
        <v>687</v>
      </c>
      <c r="AD107" s="41" t="s">
        <v>361</v>
      </c>
      <c r="AE107" s="53" t="s">
        <v>685</v>
      </c>
      <c r="AF107" s="53" t="s">
        <v>690</v>
      </c>
      <c r="AG107" s="156">
        <v>105.8</v>
      </c>
      <c r="AH107" s="157">
        <v>25.1</v>
      </c>
      <c r="AI107" s="74">
        <v>4.9800000000000004</v>
      </c>
      <c r="AJ107" s="157">
        <v>987.2</v>
      </c>
      <c r="AK107" s="156">
        <v>0.111</v>
      </c>
      <c r="AL107" s="157">
        <v>240.73</v>
      </c>
      <c r="AM107" s="158">
        <f t="shared" si="36"/>
        <v>1.4493150684931507E-4</v>
      </c>
      <c r="AN107" s="158">
        <f t="shared" si="42"/>
        <v>0.48310502283105028</v>
      </c>
      <c r="AO107" s="158">
        <f t="shared" si="37"/>
        <v>3.4383561643835619E-5</v>
      </c>
      <c r="AP107" s="158">
        <f t="shared" si="43"/>
        <v>9.5509893455098943E-3</v>
      </c>
      <c r="AQ107" s="158">
        <f t="shared" si="38"/>
        <v>6.8219178082191792E-6</v>
      </c>
      <c r="AR107" s="158">
        <f t="shared" si="44"/>
        <v>2.2739726027397267E-2</v>
      </c>
      <c r="AS107" s="158">
        <f t="shared" si="39"/>
        <v>1.3523287671232875E-3</v>
      </c>
      <c r="AT107" s="158">
        <f t="shared" si="45"/>
        <v>0.45077625570776247</v>
      </c>
      <c r="AU107" s="158">
        <f t="shared" si="40"/>
        <v>1.5205479452054795E-7</v>
      </c>
      <c r="AV107" s="158">
        <f t="shared" si="46"/>
        <v>3.041095890410959E-4</v>
      </c>
      <c r="AW107" s="158">
        <f t="shared" si="41"/>
        <v>3.2976712328767121E-4</v>
      </c>
      <c r="AX107" s="158">
        <f t="shared" si="47"/>
        <v>1.6488356164383561E-2</v>
      </c>
      <c r="AY107" s="158">
        <f t="shared" si="48"/>
        <v>3.0235610958904109E-5</v>
      </c>
      <c r="AZ107" s="158">
        <f t="shared" si="49"/>
        <v>0.1007853698630137</v>
      </c>
      <c r="BA107" s="158">
        <f t="shared" si="50"/>
        <v>1.0078536986301367E-6</v>
      </c>
      <c r="BB107" s="158">
        <f t="shared" si="51"/>
        <v>2.8795819960861045E-4</v>
      </c>
      <c r="BC107" s="158">
        <f t="shared" si="52"/>
        <v>4.743961643835617E-8</v>
      </c>
      <c r="BD107" s="158">
        <f t="shared" si="53"/>
        <v>1.5813205479452057E-4</v>
      </c>
      <c r="BE107" s="158">
        <f t="shared" si="54"/>
        <v>9.404094246575342E-6</v>
      </c>
      <c r="BF107" s="158">
        <f t="shared" si="55"/>
        <v>1.8808188493150684E-3</v>
      </c>
      <c r="BG107" s="158">
        <f t="shared" si="56"/>
        <v>1.0573890410958903E-9</v>
      </c>
      <c r="BH107" s="158">
        <f t="shared" si="57"/>
        <v>2.1147780821917805E-6</v>
      </c>
      <c r="BI107" s="158">
        <f t="shared" si="58"/>
        <v>2.2932005753424656E-6</v>
      </c>
      <c r="BJ107" s="158">
        <f t="shared" si="59"/>
        <v>4.0950010273972599E-4</v>
      </c>
      <c r="BK107" s="158">
        <f t="shared" si="60"/>
        <v>2.1313456889605157E-8</v>
      </c>
      <c r="BL107" s="158">
        <f t="shared" si="61"/>
        <v>7.1044856298683862E-5</v>
      </c>
      <c r="BM107" s="158">
        <f t="shared" si="62"/>
        <v>5.0564061240934728E-9</v>
      </c>
      <c r="BN107" s="158">
        <f t="shared" si="63"/>
        <v>1.4446874640267065E-6</v>
      </c>
      <c r="BO107" s="158">
        <f t="shared" si="64"/>
        <v>1.0032232070910556E-9</v>
      </c>
      <c r="BP107" s="158">
        <f t="shared" si="65"/>
        <v>3.3440773569701855E-6</v>
      </c>
      <c r="BQ107" s="158">
        <f t="shared" si="66"/>
        <v>1.9887187751813054E-7</v>
      </c>
      <c r="BR107" s="158">
        <f t="shared" si="67"/>
        <v>3.9774375503626107E-5</v>
      </c>
      <c r="BS107" s="158">
        <f t="shared" si="68"/>
        <v>2.2360999194198232E-11</v>
      </c>
      <c r="BT107" s="158">
        <f t="shared" si="69"/>
        <v>4.4721998388396464E-8</v>
      </c>
      <c r="BU107" s="158">
        <f t="shared" si="70"/>
        <v>4.8495165189363408E-8</v>
      </c>
      <c r="BV107" s="158">
        <f t="shared" si="71"/>
        <v>8.6598509266720367E-6</v>
      </c>
    </row>
    <row r="108" spans="20:74">
      <c r="T108" s="41" t="s">
        <v>290</v>
      </c>
      <c r="U108" s="53" t="s">
        <v>133</v>
      </c>
      <c r="V108" s="155" t="s">
        <v>339</v>
      </c>
      <c r="W108" s="53">
        <v>0.31578899999999999</v>
      </c>
      <c r="X108" s="53">
        <v>34.648187999999998</v>
      </c>
      <c r="Y108" s="53" t="s">
        <v>350</v>
      </c>
      <c r="Z108" s="53" t="s">
        <v>330</v>
      </c>
      <c r="AA108" s="116" t="s">
        <v>347</v>
      </c>
      <c r="AB108" s="154" t="s">
        <v>371</v>
      </c>
      <c r="AC108" s="116" t="s">
        <v>687</v>
      </c>
      <c r="AD108" s="41" t="s">
        <v>367</v>
      </c>
      <c r="AE108" s="53" t="s">
        <v>684</v>
      </c>
      <c r="AF108" s="53" t="s">
        <v>683</v>
      </c>
      <c r="AG108" s="156">
        <v>1.4</v>
      </c>
      <c r="AH108" s="157">
        <v>16.899999999999999</v>
      </c>
      <c r="AI108" s="74">
        <v>0.06</v>
      </c>
      <c r="AJ108" s="157">
        <v>47.3</v>
      </c>
      <c r="AK108" s="156">
        <v>0.04</v>
      </c>
      <c r="AL108" s="157">
        <v>18.7</v>
      </c>
      <c r="AM108" s="158">
        <f t="shared" si="36"/>
        <v>1.9178082191780823E-6</v>
      </c>
      <c r="AN108" s="158">
        <f t="shared" si="42"/>
        <v>6.3926940639269418E-3</v>
      </c>
      <c r="AO108" s="158">
        <f t="shared" si="37"/>
        <v>2.315068493150684E-5</v>
      </c>
      <c r="AP108" s="158">
        <f t="shared" si="43"/>
        <v>6.4307458143074555E-3</v>
      </c>
      <c r="AQ108" s="158">
        <f t="shared" si="38"/>
        <v>8.2191780821917807E-8</v>
      </c>
      <c r="AR108" s="158">
        <f t="shared" si="44"/>
        <v>2.7397260273972606E-4</v>
      </c>
      <c r="AS108" s="158">
        <f t="shared" si="39"/>
        <v>6.4794520547945206E-5</v>
      </c>
      <c r="AT108" s="158">
        <f t="shared" si="45"/>
        <v>2.1598173515981735E-2</v>
      </c>
      <c r="AU108" s="158">
        <f t="shared" si="40"/>
        <v>5.4794520547945198E-8</v>
      </c>
      <c r="AV108" s="158">
        <f t="shared" si="46"/>
        <v>1.0958904109589039E-4</v>
      </c>
      <c r="AW108" s="158">
        <f t="shared" si="41"/>
        <v>2.5616438356164379E-5</v>
      </c>
      <c r="AX108" s="158">
        <f t="shared" si="47"/>
        <v>1.2808219178082189E-3</v>
      </c>
      <c r="AY108" s="158">
        <f t="shared" si="48"/>
        <v>4.000931506849314E-7</v>
      </c>
      <c r="AZ108" s="158">
        <f t="shared" si="49"/>
        <v>1.333643835616438E-3</v>
      </c>
      <c r="BA108" s="158">
        <f t="shared" si="50"/>
        <v>1.3336438356164381E-8</v>
      </c>
      <c r="BB108" s="158">
        <f t="shared" si="51"/>
        <v>3.8104109589041087E-6</v>
      </c>
      <c r="BC108" s="158">
        <f t="shared" si="52"/>
        <v>5.7156164383561645E-10</v>
      </c>
      <c r="BD108" s="158">
        <f t="shared" si="53"/>
        <v>1.905205479452055E-6</v>
      </c>
      <c r="BE108" s="158">
        <f t="shared" si="54"/>
        <v>4.5058109589041104E-7</v>
      </c>
      <c r="BF108" s="158">
        <f t="shared" si="55"/>
        <v>9.0116219178082207E-5</v>
      </c>
      <c r="BG108" s="158">
        <f t="shared" si="56"/>
        <v>3.8104109589041095E-10</v>
      </c>
      <c r="BH108" s="158">
        <f t="shared" si="57"/>
        <v>7.6208219178082193E-7</v>
      </c>
      <c r="BI108" s="158">
        <f t="shared" si="58"/>
        <v>1.7813671232876715E-7</v>
      </c>
      <c r="BJ108" s="158">
        <f t="shared" si="59"/>
        <v>3.181012720156556E-5</v>
      </c>
      <c r="BK108" s="158">
        <f t="shared" si="60"/>
        <v>2.8203062046736504E-10</v>
      </c>
      <c r="BL108" s="158">
        <f t="shared" si="61"/>
        <v>9.4010206822455023E-7</v>
      </c>
      <c r="BM108" s="158">
        <f t="shared" si="62"/>
        <v>3.4045124899274778E-9</v>
      </c>
      <c r="BN108" s="158">
        <f t="shared" si="63"/>
        <v>9.7271785426499361E-7</v>
      </c>
      <c r="BO108" s="158">
        <f t="shared" si="64"/>
        <v>1.2087026591458502E-11</v>
      </c>
      <c r="BP108" s="158">
        <f t="shared" si="65"/>
        <v>4.0290088638195009E-8</v>
      </c>
      <c r="BQ108" s="158">
        <f t="shared" si="66"/>
        <v>9.5286059629331192E-9</v>
      </c>
      <c r="BR108" s="158">
        <f t="shared" si="67"/>
        <v>1.9057211925866237E-6</v>
      </c>
      <c r="BS108" s="158">
        <f t="shared" si="68"/>
        <v>8.0580177276390013E-12</v>
      </c>
      <c r="BT108" s="158">
        <f t="shared" si="69"/>
        <v>1.6116035455278004E-8</v>
      </c>
      <c r="BU108" s="158">
        <f t="shared" si="70"/>
        <v>3.7671232876712331E-9</v>
      </c>
      <c r="BV108" s="158">
        <f t="shared" si="71"/>
        <v>6.7270058708414875E-7</v>
      </c>
    </row>
    <row r="109" spans="20:74">
      <c r="T109" s="41" t="s">
        <v>291</v>
      </c>
      <c r="U109" s="53" t="s">
        <v>162</v>
      </c>
      <c r="V109" s="155" t="s">
        <v>343</v>
      </c>
      <c r="W109" s="53">
        <v>0.18987899999999999</v>
      </c>
      <c r="X109" s="53">
        <v>34.735692999999998</v>
      </c>
      <c r="Y109" s="53" t="s">
        <v>352</v>
      </c>
      <c r="Z109" s="53" t="s">
        <v>330</v>
      </c>
      <c r="AA109" s="116" t="s">
        <v>347</v>
      </c>
      <c r="AB109" s="154" t="s">
        <v>371</v>
      </c>
      <c r="AC109" s="116" t="s">
        <v>687</v>
      </c>
      <c r="AD109" s="41" t="s">
        <v>364</v>
      </c>
      <c r="AE109" s="53" t="s">
        <v>685</v>
      </c>
      <c r="AF109" s="53" t="s">
        <v>690</v>
      </c>
      <c r="AG109" s="156">
        <v>20.8</v>
      </c>
      <c r="AH109" s="157">
        <v>37.6</v>
      </c>
      <c r="AI109" s="74">
        <v>4.76</v>
      </c>
      <c r="AJ109" s="157">
        <v>142.19999999999999</v>
      </c>
      <c r="AK109" s="156">
        <v>0.249</v>
      </c>
      <c r="AL109" s="157">
        <v>52.58</v>
      </c>
      <c r="AM109" s="158">
        <f t="shared" si="36"/>
        <v>2.8493150684931505E-5</v>
      </c>
      <c r="AN109" s="158">
        <f t="shared" si="42"/>
        <v>9.4977168949771693E-2</v>
      </c>
      <c r="AO109" s="158">
        <f t="shared" si="37"/>
        <v>5.1506849315068488E-5</v>
      </c>
      <c r="AP109" s="158">
        <f t="shared" si="43"/>
        <v>1.430745814307458E-2</v>
      </c>
      <c r="AQ109" s="158">
        <f t="shared" si="38"/>
        <v>6.5205479452054786E-6</v>
      </c>
      <c r="AR109" s="158">
        <f t="shared" si="44"/>
        <v>2.1735159817351597E-2</v>
      </c>
      <c r="AS109" s="158">
        <f t="shared" si="39"/>
        <v>1.9479452054794517E-4</v>
      </c>
      <c r="AT109" s="158">
        <f t="shared" si="45"/>
        <v>6.4931506849315049E-2</v>
      </c>
      <c r="AU109" s="158">
        <f t="shared" si="40"/>
        <v>3.4109589041095892E-7</v>
      </c>
      <c r="AV109" s="158">
        <f t="shared" si="46"/>
        <v>6.8219178082191783E-4</v>
      </c>
      <c r="AW109" s="158">
        <f t="shared" si="41"/>
        <v>7.2027397260273973E-5</v>
      </c>
      <c r="AX109" s="158">
        <f t="shared" si="47"/>
        <v>3.6013698630136984E-3</v>
      </c>
      <c r="AY109" s="158">
        <f t="shared" si="48"/>
        <v>5.9442410958904106E-6</v>
      </c>
      <c r="AZ109" s="158">
        <f t="shared" si="49"/>
        <v>1.981413698630137E-2</v>
      </c>
      <c r="BA109" s="158">
        <f t="shared" si="50"/>
        <v>1.9814136986301372E-7</v>
      </c>
      <c r="BB109" s="158">
        <f t="shared" si="51"/>
        <v>5.6611819960861061E-5</v>
      </c>
      <c r="BC109" s="158">
        <f t="shared" si="52"/>
        <v>4.5343890410958909E-8</v>
      </c>
      <c r="BD109" s="158">
        <f t="shared" si="53"/>
        <v>1.5114630136986304E-4</v>
      </c>
      <c r="BE109" s="158">
        <f t="shared" si="54"/>
        <v>1.3546010958904107E-6</v>
      </c>
      <c r="BF109" s="158">
        <f t="shared" si="55"/>
        <v>2.7092021917808217E-4</v>
      </c>
      <c r="BG109" s="158">
        <f t="shared" si="56"/>
        <v>2.3719808219178082E-9</v>
      </c>
      <c r="BH109" s="158">
        <f t="shared" si="57"/>
        <v>4.7439616438356163E-6</v>
      </c>
      <c r="BI109" s="158">
        <f t="shared" si="58"/>
        <v>5.0087852054794524E-7</v>
      </c>
      <c r="BJ109" s="158">
        <f t="shared" si="59"/>
        <v>8.9442592954990218E-5</v>
      </c>
      <c r="BK109" s="158">
        <f t="shared" si="60"/>
        <v>4.1901692183722803E-9</v>
      </c>
      <c r="BL109" s="158">
        <f t="shared" si="61"/>
        <v>1.3967230727907602E-5</v>
      </c>
      <c r="BM109" s="158">
        <f t="shared" si="62"/>
        <v>7.5745366639806613E-9</v>
      </c>
      <c r="BN109" s="158">
        <f t="shared" si="63"/>
        <v>2.1641533325659032E-6</v>
      </c>
      <c r="BO109" s="158">
        <f t="shared" si="64"/>
        <v>9.5890410958904093E-10</v>
      </c>
      <c r="BP109" s="158">
        <f t="shared" si="65"/>
        <v>3.1963470319634702E-6</v>
      </c>
      <c r="BQ109" s="158">
        <f t="shared" si="66"/>
        <v>2.8646253021756649E-8</v>
      </c>
      <c r="BR109" s="158">
        <f t="shared" si="67"/>
        <v>5.7292506043513293E-6</v>
      </c>
      <c r="BS109" s="158">
        <f t="shared" si="68"/>
        <v>5.0161160354552786E-11</v>
      </c>
      <c r="BT109" s="158">
        <f t="shared" si="69"/>
        <v>1.0032232070910557E-7</v>
      </c>
      <c r="BU109" s="158">
        <f t="shared" si="70"/>
        <v>1.0592264302981465E-8</v>
      </c>
      <c r="BV109" s="158">
        <f t="shared" si="71"/>
        <v>1.8914757683895473E-6</v>
      </c>
    </row>
    <row r="110" spans="20:74">
      <c r="T110" s="41" t="s">
        <v>292</v>
      </c>
      <c r="U110" s="39" t="s">
        <v>188</v>
      </c>
      <c r="V110" s="155" t="s">
        <v>343</v>
      </c>
      <c r="W110" s="53">
        <v>0.19523199999999999</v>
      </c>
      <c r="X110" s="53">
        <v>34.751345000000001</v>
      </c>
      <c r="Y110" s="53" t="s">
        <v>355</v>
      </c>
      <c r="Z110" s="53" t="s">
        <v>330</v>
      </c>
      <c r="AA110" s="116" t="s">
        <v>347</v>
      </c>
      <c r="AB110" s="154" t="s">
        <v>371</v>
      </c>
      <c r="AC110" s="116" t="s">
        <v>687</v>
      </c>
      <c r="AD110" s="41" t="s">
        <v>361</v>
      </c>
      <c r="AE110" s="53" t="s">
        <v>685</v>
      </c>
      <c r="AF110" s="53" t="s">
        <v>690</v>
      </c>
      <c r="AG110" s="156">
        <v>408.2</v>
      </c>
      <c r="AH110" s="157">
        <v>197.6</v>
      </c>
      <c r="AI110" s="74">
        <v>0.17</v>
      </c>
      <c r="AJ110" s="157">
        <v>102</v>
      </c>
      <c r="AK110" s="156">
        <v>0.73899999999999999</v>
      </c>
      <c r="AL110" s="157">
        <v>47.07</v>
      </c>
      <c r="AM110" s="158">
        <f t="shared" si="36"/>
        <v>5.5917808219178074E-4</v>
      </c>
      <c r="AN110" s="158">
        <f t="shared" si="42"/>
        <v>1.8639269406392693</v>
      </c>
      <c r="AO110" s="158">
        <f t="shared" si="37"/>
        <v>2.7068493150684929E-4</v>
      </c>
      <c r="AP110" s="158">
        <f t="shared" si="43"/>
        <v>7.5190258751902578E-2</v>
      </c>
      <c r="AQ110" s="158">
        <f t="shared" si="38"/>
        <v>2.3287671232876712E-7</v>
      </c>
      <c r="AR110" s="158">
        <f t="shared" si="44"/>
        <v>7.7625570776255711E-4</v>
      </c>
      <c r="AS110" s="158">
        <f t="shared" si="39"/>
        <v>1.3972602739726028E-4</v>
      </c>
      <c r="AT110" s="158">
        <f t="shared" si="45"/>
        <v>4.6575342465753428E-2</v>
      </c>
      <c r="AU110" s="158">
        <f t="shared" si="40"/>
        <v>1.0123287671232876E-6</v>
      </c>
      <c r="AV110" s="158">
        <f t="shared" si="46"/>
        <v>2.0246575342465754E-3</v>
      </c>
      <c r="AW110" s="158">
        <f t="shared" si="41"/>
        <v>6.4479452054794521E-5</v>
      </c>
      <c r="AX110" s="158">
        <f t="shared" si="47"/>
        <v>3.223972602739726E-3</v>
      </c>
      <c r="AY110" s="158">
        <f t="shared" si="48"/>
        <v>1.1665573150684932E-4</v>
      </c>
      <c r="AZ110" s="158">
        <f t="shared" si="49"/>
        <v>0.3888524383561644</v>
      </c>
      <c r="BA110" s="158">
        <f t="shared" si="50"/>
        <v>3.8885243835616431E-6</v>
      </c>
      <c r="BB110" s="158">
        <f t="shared" si="51"/>
        <v>1.111006966731898E-3</v>
      </c>
      <c r="BC110" s="158">
        <f t="shared" si="52"/>
        <v>1.6194246575342468E-9</v>
      </c>
      <c r="BD110" s="158">
        <f t="shared" si="53"/>
        <v>5.3980821917808233E-6</v>
      </c>
      <c r="BE110" s="158">
        <f t="shared" si="54"/>
        <v>9.7165479452054798E-7</v>
      </c>
      <c r="BF110" s="158">
        <f t="shared" si="55"/>
        <v>1.9433095890410959E-4</v>
      </c>
      <c r="BG110" s="158">
        <f t="shared" si="56"/>
        <v>7.0397342465753434E-9</v>
      </c>
      <c r="BH110" s="158">
        <f t="shared" si="57"/>
        <v>1.4079468493150687E-5</v>
      </c>
      <c r="BI110" s="158">
        <f t="shared" si="58"/>
        <v>4.4839010958904098E-7</v>
      </c>
      <c r="BJ110" s="158">
        <f t="shared" si="59"/>
        <v>8.0069662426614466E-5</v>
      </c>
      <c r="BK110" s="158">
        <f t="shared" si="60"/>
        <v>8.2232070910556005E-8</v>
      </c>
      <c r="BL110" s="158">
        <f t="shared" si="61"/>
        <v>2.741069030351867E-4</v>
      </c>
      <c r="BM110" s="158">
        <f t="shared" si="62"/>
        <v>3.9806607574536662E-8</v>
      </c>
      <c r="BN110" s="158">
        <f t="shared" si="63"/>
        <v>1.1373316449867618E-5</v>
      </c>
      <c r="BO110" s="158">
        <f t="shared" si="64"/>
        <v>3.4246575342465761E-11</v>
      </c>
      <c r="BP110" s="158">
        <f t="shared" si="65"/>
        <v>1.1415525114155255E-7</v>
      </c>
      <c r="BQ110" s="158">
        <f t="shared" si="66"/>
        <v>2.0547945205479452E-8</v>
      </c>
      <c r="BR110" s="158">
        <f t="shared" si="67"/>
        <v>4.10958904109589E-6</v>
      </c>
      <c r="BS110" s="158">
        <f t="shared" si="68"/>
        <v>1.4887187751813055E-10</v>
      </c>
      <c r="BT110" s="158">
        <f t="shared" si="69"/>
        <v>2.9774375503626109E-7</v>
      </c>
      <c r="BU110" s="158">
        <f t="shared" si="70"/>
        <v>9.4822723609991944E-9</v>
      </c>
      <c r="BV110" s="158">
        <f t="shared" si="71"/>
        <v>1.6932629216069991E-6</v>
      </c>
    </row>
    <row r="111" spans="20:74">
      <c r="T111" s="41" t="s">
        <v>293</v>
      </c>
      <c r="U111" s="39" t="s">
        <v>206</v>
      </c>
      <c r="V111" s="155" t="s">
        <v>341</v>
      </c>
      <c r="W111" s="53">
        <v>0.21768199999999999</v>
      </c>
      <c r="X111" s="53">
        <v>34.802346</v>
      </c>
      <c r="Y111" s="53" t="s">
        <v>356</v>
      </c>
      <c r="Z111" s="53" t="s">
        <v>330</v>
      </c>
      <c r="AA111" s="116" t="s">
        <v>347</v>
      </c>
      <c r="AB111" s="154" t="s">
        <v>371</v>
      </c>
      <c r="AC111" s="116" t="s">
        <v>687</v>
      </c>
      <c r="AD111" s="41" t="s">
        <v>361</v>
      </c>
      <c r="AE111" s="53" t="s">
        <v>685</v>
      </c>
      <c r="AF111" s="53" t="s">
        <v>690</v>
      </c>
      <c r="AG111" s="156">
        <v>44.8</v>
      </c>
      <c r="AH111" s="157">
        <v>36.5</v>
      </c>
      <c r="AI111" s="74">
        <v>1.56</v>
      </c>
      <c r="AJ111" s="157">
        <v>112.1</v>
      </c>
      <c r="AK111" s="156">
        <v>0.121</v>
      </c>
      <c r="AL111" s="157">
        <v>17.72</v>
      </c>
      <c r="AM111" s="158">
        <f t="shared" si="36"/>
        <v>6.1369863013698632E-5</v>
      </c>
      <c r="AN111" s="158">
        <f t="shared" si="42"/>
        <v>0.20456621004566214</v>
      </c>
      <c r="AO111" s="158">
        <f t="shared" si="37"/>
        <v>4.9999999999999996E-5</v>
      </c>
      <c r="AP111" s="158">
        <f t="shared" si="43"/>
        <v>1.3888888888888888E-2</v>
      </c>
      <c r="AQ111" s="158">
        <f t="shared" si="38"/>
        <v>2.1369863013698631E-6</v>
      </c>
      <c r="AR111" s="158">
        <f t="shared" si="44"/>
        <v>7.1232876712328773E-3</v>
      </c>
      <c r="AS111" s="158">
        <f t="shared" si="39"/>
        <v>1.5356164383561644E-4</v>
      </c>
      <c r="AT111" s="158">
        <f t="shared" si="45"/>
        <v>5.1187214611872145E-2</v>
      </c>
      <c r="AU111" s="158">
        <f t="shared" si="40"/>
        <v>1.6575342465753425E-7</v>
      </c>
      <c r="AV111" s="158">
        <f t="shared" si="46"/>
        <v>3.3150684931506849E-4</v>
      </c>
      <c r="AW111" s="158">
        <f t="shared" si="41"/>
        <v>2.4273972602739723E-5</v>
      </c>
      <c r="AX111" s="158">
        <f t="shared" si="47"/>
        <v>1.213698630136986E-3</v>
      </c>
      <c r="AY111" s="158">
        <f t="shared" si="48"/>
        <v>1.2802980821917805E-5</v>
      </c>
      <c r="AZ111" s="158">
        <f t="shared" si="49"/>
        <v>4.2676602739726018E-2</v>
      </c>
      <c r="BA111" s="158">
        <f t="shared" si="50"/>
        <v>4.2676602739726019E-7</v>
      </c>
      <c r="BB111" s="158">
        <f t="shared" si="51"/>
        <v>1.2193315068493148E-4</v>
      </c>
      <c r="BC111" s="158">
        <f t="shared" si="52"/>
        <v>1.4860602739726026E-8</v>
      </c>
      <c r="BD111" s="158">
        <f t="shared" si="53"/>
        <v>4.9535342465753427E-5</v>
      </c>
      <c r="BE111" s="158">
        <f t="shared" si="54"/>
        <v>1.0678676712328768E-6</v>
      </c>
      <c r="BF111" s="158">
        <f t="shared" si="55"/>
        <v>2.1357353424657536E-4</v>
      </c>
      <c r="BG111" s="158">
        <f t="shared" si="56"/>
        <v>1.1526493150684931E-9</v>
      </c>
      <c r="BH111" s="158">
        <f t="shared" si="57"/>
        <v>2.3052986301369861E-6</v>
      </c>
      <c r="BI111" s="158">
        <f t="shared" si="58"/>
        <v>1.6880120547945205E-7</v>
      </c>
      <c r="BJ111" s="158">
        <f t="shared" si="59"/>
        <v>3.0143072407045009E-5</v>
      </c>
      <c r="BK111" s="158">
        <f t="shared" si="60"/>
        <v>9.0249798549556812E-9</v>
      </c>
      <c r="BL111" s="158">
        <f t="shared" si="61"/>
        <v>3.0083266183185607E-5</v>
      </c>
      <c r="BM111" s="158">
        <f t="shared" si="62"/>
        <v>7.3529411764705886E-9</v>
      </c>
      <c r="BN111" s="158">
        <f t="shared" si="63"/>
        <v>2.1008403361344538E-6</v>
      </c>
      <c r="BO111" s="158">
        <f t="shared" si="64"/>
        <v>3.1426269137792108E-10</v>
      </c>
      <c r="BP111" s="158">
        <f t="shared" si="65"/>
        <v>1.0475423045930703E-6</v>
      </c>
      <c r="BQ111" s="158">
        <f t="shared" si="66"/>
        <v>2.25825946817083E-8</v>
      </c>
      <c r="BR111" s="158">
        <f t="shared" si="67"/>
        <v>4.51651893634166E-6</v>
      </c>
      <c r="BS111" s="158">
        <f t="shared" si="68"/>
        <v>2.4375503626107978E-11</v>
      </c>
      <c r="BT111" s="158">
        <f t="shared" si="69"/>
        <v>4.8751007252215955E-8</v>
      </c>
      <c r="BU111" s="158">
        <f t="shared" si="70"/>
        <v>3.5697018533440769E-9</v>
      </c>
      <c r="BV111" s="158">
        <f t="shared" si="71"/>
        <v>6.3744675952572807E-7</v>
      </c>
    </row>
    <row r="112" spans="20:74">
      <c r="T112" s="41" t="s">
        <v>294</v>
      </c>
      <c r="U112" s="39" t="s">
        <v>240</v>
      </c>
      <c r="V112" s="155" t="s">
        <v>341</v>
      </c>
      <c r="W112" s="53">
        <v>0.10542700000000001</v>
      </c>
      <c r="X112" s="53">
        <v>34.698397999999997</v>
      </c>
      <c r="Y112" s="53" t="s">
        <v>359</v>
      </c>
      <c r="Z112" s="53" t="s">
        <v>334</v>
      </c>
      <c r="AA112" s="116" t="s">
        <v>347</v>
      </c>
      <c r="AB112" s="154" t="s">
        <v>371</v>
      </c>
      <c r="AC112" s="116" t="s">
        <v>687</v>
      </c>
      <c r="AD112" s="41" t="s">
        <v>365</v>
      </c>
      <c r="AE112" s="53" t="s">
        <v>685</v>
      </c>
      <c r="AF112" s="53" t="s">
        <v>691</v>
      </c>
      <c r="AG112" s="156">
        <v>4062.8</v>
      </c>
      <c r="AH112" s="157">
        <v>230.1</v>
      </c>
      <c r="AI112" s="74">
        <v>5.18</v>
      </c>
      <c r="AJ112" s="157">
        <v>183</v>
      </c>
      <c r="AK112" s="156">
        <v>2.093</v>
      </c>
      <c r="AL112" s="157">
        <v>57.05</v>
      </c>
      <c r="AM112" s="158">
        <f t="shared" si="36"/>
        <v>5.5654794520547937E-3</v>
      </c>
      <c r="AN112" s="158">
        <f t="shared" si="42"/>
        <v>18.551598173515981</v>
      </c>
      <c r="AO112" s="158">
        <f t="shared" si="37"/>
        <v>3.1520547945205476E-4</v>
      </c>
      <c r="AP112" s="158">
        <f t="shared" si="43"/>
        <v>8.7557077625570773E-2</v>
      </c>
      <c r="AQ112" s="158">
        <f t="shared" si="38"/>
        <v>7.0958904109589038E-6</v>
      </c>
      <c r="AR112" s="158">
        <f t="shared" si="44"/>
        <v>2.3652968036529682E-2</v>
      </c>
      <c r="AS112" s="158">
        <f t="shared" si="39"/>
        <v>2.5068493150684929E-4</v>
      </c>
      <c r="AT112" s="158">
        <f t="shared" si="45"/>
        <v>8.3561643835616428E-2</v>
      </c>
      <c r="AU112" s="158">
        <f t="shared" si="40"/>
        <v>2.8671232876712329E-6</v>
      </c>
      <c r="AV112" s="158">
        <f t="shared" si="46"/>
        <v>5.7342465753424656E-3</v>
      </c>
      <c r="AW112" s="158">
        <f t="shared" si="41"/>
        <v>7.8150684931506845E-5</v>
      </c>
      <c r="AX112" s="158">
        <f t="shared" si="47"/>
        <v>3.9075342465753424E-3</v>
      </c>
      <c r="AY112" s="158">
        <f t="shared" si="48"/>
        <v>1.1610703232876713E-3</v>
      </c>
      <c r="AZ112" s="158">
        <f t="shared" si="49"/>
        <v>3.8702344109589046</v>
      </c>
      <c r="BA112" s="158">
        <f t="shared" si="50"/>
        <v>3.8702344109589046E-5</v>
      </c>
      <c r="BB112" s="158">
        <f t="shared" si="51"/>
        <v>1.1057812602739726E-2</v>
      </c>
      <c r="BC112" s="158">
        <f t="shared" si="52"/>
        <v>4.9344821917808217E-8</v>
      </c>
      <c r="BD112" s="158">
        <f t="shared" si="53"/>
        <v>1.644827397260274E-4</v>
      </c>
      <c r="BE112" s="158">
        <f t="shared" si="54"/>
        <v>1.7432630136986303E-6</v>
      </c>
      <c r="BF112" s="158">
        <f t="shared" si="55"/>
        <v>3.4865260273972605E-4</v>
      </c>
      <c r="BG112" s="158">
        <f t="shared" si="56"/>
        <v>1.9937975342465752E-8</v>
      </c>
      <c r="BH112" s="158">
        <f t="shared" si="57"/>
        <v>3.9875950684931501E-5</v>
      </c>
      <c r="BI112" s="158">
        <f t="shared" si="58"/>
        <v>5.434598630136987E-7</v>
      </c>
      <c r="BJ112" s="158">
        <f t="shared" si="59"/>
        <v>9.7046404109589059E-5</v>
      </c>
      <c r="BK112" s="158">
        <f t="shared" si="60"/>
        <v>8.1845286059629327E-7</v>
      </c>
      <c r="BL112" s="158">
        <f t="shared" si="61"/>
        <v>2.7281762019876446E-3</v>
      </c>
      <c r="BM112" s="158">
        <f t="shared" si="62"/>
        <v>4.6353746978243351E-8</v>
      </c>
      <c r="BN112" s="158">
        <f t="shared" si="63"/>
        <v>1.3243927708069529E-5</v>
      </c>
      <c r="BO112" s="158">
        <f t="shared" si="64"/>
        <v>1.0435132957292506E-9</v>
      </c>
      <c r="BP112" s="158">
        <f t="shared" si="65"/>
        <v>3.478377652430836E-6</v>
      </c>
      <c r="BQ112" s="158">
        <f t="shared" si="66"/>
        <v>3.6865431103948427E-8</v>
      </c>
      <c r="BR112" s="158">
        <f t="shared" si="67"/>
        <v>7.3730862207896856E-6</v>
      </c>
      <c r="BS112" s="158">
        <f t="shared" si="68"/>
        <v>4.2163577759871073E-10</v>
      </c>
      <c r="BT112" s="158">
        <f t="shared" si="69"/>
        <v>8.4327155519742145E-7</v>
      </c>
      <c r="BU112" s="158">
        <f t="shared" si="70"/>
        <v>1.1492747784045125E-8</v>
      </c>
      <c r="BV112" s="158">
        <f t="shared" si="71"/>
        <v>2.0522763900080582E-6</v>
      </c>
    </row>
    <row r="113" spans="20:75">
      <c r="T113" s="41" t="s">
        <v>295</v>
      </c>
      <c r="U113" s="39" t="s">
        <v>260</v>
      </c>
      <c r="V113" s="155" t="s">
        <v>342</v>
      </c>
      <c r="W113" s="53">
        <v>0.10333000000000001</v>
      </c>
      <c r="X113" s="53">
        <v>34.713628999999997</v>
      </c>
      <c r="Y113" s="53" t="s">
        <v>335</v>
      </c>
      <c r="Z113" s="53" t="s">
        <v>334</v>
      </c>
      <c r="AA113" s="116" t="s">
        <v>347</v>
      </c>
      <c r="AB113" s="154" t="s">
        <v>371</v>
      </c>
      <c r="AC113" s="116" t="s">
        <v>687</v>
      </c>
      <c r="AD113" s="41" t="s">
        <v>365</v>
      </c>
      <c r="AE113" s="53" t="s">
        <v>685</v>
      </c>
      <c r="AF113" s="53" t="s">
        <v>691</v>
      </c>
      <c r="AG113" s="156">
        <v>7890.2</v>
      </c>
      <c r="AH113" s="157">
        <v>69.099999999999994</v>
      </c>
      <c r="AI113" s="74">
        <v>15.3</v>
      </c>
      <c r="AJ113" s="157">
        <v>76.099999999999994</v>
      </c>
      <c r="AK113" s="156">
        <v>0.83499999999999996</v>
      </c>
      <c r="AL113" s="157">
        <v>50.85</v>
      </c>
      <c r="AM113" s="158">
        <f t="shared" si="36"/>
        <v>1.080849315068493E-2</v>
      </c>
      <c r="AN113" s="158">
        <f t="shared" si="42"/>
        <v>36.028310502283105</v>
      </c>
      <c r="AO113" s="158">
        <f t="shared" si="37"/>
        <v>9.4657534246575309E-5</v>
      </c>
      <c r="AP113" s="158">
        <f t="shared" si="43"/>
        <v>2.6293759512937588E-2</v>
      </c>
      <c r="AQ113" s="158">
        <f t="shared" si="38"/>
        <v>2.0958904109589039E-5</v>
      </c>
      <c r="AR113" s="158">
        <f t="shared" si="44"/>
        <v>6.9863013698630141E-2</v>
      </c>
      <c r="AS113" s="158">
        <f t="shared" si="39"/>
        <v>1.0424657534246573E-4</v>
      </c>
      <c r="AT113" s="158">
        <f t="shared" si="45"/>
        <v>3.4748858447488574E-2</v>
      </c>
      <c r="AU113" s="158">
        <f t="shared" si="40"/>
        <v>1.1438356164383561E-6</v>
      </c>
      <c r="AV113" s="158">
        <f t="shared" si="46"/>
        <v>2.2876712328767121E-3</v>
      </c>
      <c r="AW113" s="158">
        <f t="shared" si="41"/>
        <v>6.9657534246575338E-5</v>
      </c>
      <c r="AX113" s="158">
        <f t="shared" si="47"/>
        <v>3.4828767123287669E-3</v>
      </c>
      <c r="AY113" s="158">
        <f t="shared" si="48"/>
        <v>2.2548678410958902E-3</v>
      </c>
      <c r="AZ113" s="158">
        <f t="shared" si="49"/>
        <v>7.516226136986301</v>
      </c>
      <c r="BA113" s="158">
        <f t="shared" si="50"/>
        <v>7.5162261369863005E-5</v>
      </c>
      <c r="BB113" s="158">
        <f t="shared" si="51"/>
        <v>2.1474931819960859E-2</v>
      </c>
      <c r="BC113" s="158">
        <f t="shared" si="52"/>
        <v>1.4574821917808221E-7</v>
      </c>
      <c r="BD113" s="158">
        <f t="shared" si="53"/>
        <v>4.8582739726027408E-4</v>
      </c>
      <c r="BE113" s="158">
        <f t="shared" si="54"/>
        <v>7.2493068493150687E-7</v>
      </c>
      <c r="BF113" s="158">
        <f t="shared" si="55"/>
        <v>1.4498613698630137E-4</v>
      </c>
      <c r="BG113" s="158">
        <f t="shared" si="56"/>
        <v>7.954232876712329E-9</v>
      </c>
      <c r="BH113" s="158">
        <f t="shared" si="57"/>
        <v>1.5908465753424659E-5</v>
      </c>
      <c r="BI113" s="158">
        <f t="shared" si="58"/>
        <v>4.8439849315068495E-7</v>
      </c>
      <c r="BJ113" s="158">
        <f t="shared" si="59"/>
        <v>8.6499730919765169E-5</v>
      </c>
      <c r="BK113" s="158">
        <f t="shared" si="60"/>
        <v>1.5894842868654311E-6</v>
      </c>
      <c r="BL113" s="158">
        <f t="shared" si="61"/>
        <v>5.2982809562181037E-3</v>
      </c>
      <c r="BM113" s="158">
        <f t="shared" si="62"/>
        <v>1.3920225624496374E-8</v>
      </c>
      <c r="BN113" s="158">
        <f t="shared" si="63"/>
        <v>3.977207321284678E-6</v>
      </c>
      <c r="BO113" s="158">
        <f t="shared" si="64"/>
        <v>3.0821917808219178E-9</v>
      </c>
      <c r="BP113" s="158">
        <f t="shared" si="65"/>
        <v>1.0273972602739726E-5</v>
      </c>
      <c r="BQ113" s="158">
        <f t="shared" si="66"/>
        <v>1.5330378726833199E-8</v>
      </c>
      <c r="BR113" s="158">
        <f t="shared" si="67"/>
        <v>3.0660757453666397E-6</v>
      </c>
      <c r="BS113" s="158">
        <f t="shared" si="68"/>
        <v>1.6821112006446413E-10</v>
      </c>
      <c r="BT113" s="158">
        <f t="shared" si="69"/>
        <v>3.3642224012892828E-7</v>
      </c>
      <c r="BU113" s="158">
        <f t="shared" si="70"/>
        <v>1.024375503626108E-8</v>
      </c>
      <c r="BV113" s="158">
        <f t="shared" si="71"/>
        <v>1.8292419707609073E-6</v>
      </c>
    </row>
    <row r="114" spans="20:75">
      <c r="T114" s="41" t="s">
        <v>296</v>
      </c>
      <c r="U114" s="39" t="s">
        <v>282</v>
      </c>
      <c r="V114" s="155" t="s">
        <v>342</v>
      </c>
      <c r="W114" s="53">
        <v>0.156392</v>
      </c>
      <c r="X114" s="53">
        <v>34.817486000000002</v>
      </c>
      <c r="Y114" s="53" t="s">
        <v>360</v>
      </c>
      <c r="Z114" s="53" t="s">
        <v>330</v>
      </c>
      <c r="AA114" s="116" t="s">
        <v>347</v>
      </c>
      <c r="AB114" s="154" t="s">
        <v>371</v>
      </c>
      <c r="AC114" s="116" t="s">
        <v>687</v>
      </c>
      <c r="AD114" s="41" t="s">
        <v>365</v>
      </c>
      <c r="AE114" s="53" t="s">
        <v>685</v>
      </c>
      <c r="AF114" s="53" t="s">
        <v>691</v>
      </c>
      <c r="AG114" s="156">
        <v>514.4</v>
      </c>
      <c r="AH114" s="157">
        <v>30.4</v>
      </c>
      <c r="AI114" s="74">
        <v>3.62</v>
      </c>
      <c r="AJ114" s="157">
        <v>78.400000000000006</v>
      </c>
      <c r="AK114" s="156">
        <v>0.13500000000000001</v>
      </c>
      <c r="AL114" s="157">
        <v>7.08</v>
      </c>
      <c r="AM114" s="158">
        <f t="shared" si="36"/>
        <v>7.0465753424657539E-4</v>
      </c>
      <c r="AN114" s="158">
        <f t="shared" si="42"/>
        <v>2.3488584474885847</v>
      </c>
      <c r="AO114" s="158">
        <f t="shared" si="37"/>
        <v>4.1643835616438356E-5</v>
      </c>
      <c r="AP114" s="158">
        <f t="shared" si="43"/>
        <v>1.1567732115677321E-2</v>
      </c>
      <c r="AQ114" s="158">
        <f t="shared" si="38"/>
        <v>4.9589041095890407E-6</v>
      </c>
      <c r="AR114" s="158">
        <f t="shared" si="44"/>
        <v>1.6529680365296805E-2</v>
      </c>
      <c r="AS114" s="158">
        <f t="shared" si="39"/>
        <v>1.0739726027397261E-4</v>
      </c>
      <c r="AT114" s="158">
        <f t="shared" si="45"/>
        <v>3.5799086757990872E-2</v>
      </c>
      <c r="AU114" s="158">
        <f t="shared" si="40"/>
        <v>1.8493150684931505E-7</v>
      </c>
      <c r="AV114" s="158">
        <f t="shared" si="46"/>
        <v>3.6986301369863007E-4</v>
      </c>
      <c r="AW114" s="158">
        <f t="shared" si="41"/>
        <v>9.6986301369863011E-6</v>
      </c>
      <c r="AX114" s="158">
        <f t="shared" si="47"/>
        <v>4.8493150684931504E-4</v>
      </c>
      <c r="AY114" s="158">
        <f t="shared" si="48"/>
        <v>1.4700565479452055E-4</v>
      </c>
      <c r="AZ114" s="158">
        <f t="shared" si="49"/>
        <v>0.49001884931506851</v>
      </c>
      <c r="BA114" s="158">
        <f t="shared" si="50"/>
        <v>4.9001884931506852E-6</v>
      </c>
      <c r="BB114" s="158">
        <f t="shared" si="51"/>
        <v>1.40005385518591E-3</v>
      </c>
      <c r="BC114" s="158">
        <f t="shared" si="52"/>
        <v>3.4484219178082192E-8</v>
      </c>
      <c r="BD114" s="158">
        <f t="shared" si="53"/>
        <v>1.1494739726027399E-4</v>
      </c>
      <c r="BE114" s="158">
        <f t="shared" si="54"/>
        <v>7.4684054794520556E-7</v>
      </c>
      <c r="BF114" s="158">
        <f t="shared" si="55"/>
        <v>1.4936810958904111E-4</v>
      </c>
      <c r="BG114" s="158">
        <f t="shared" si="56"/>
        <v>1.2860136986301369E-9</v>
      </c>
      <c r="BH114" s="158">
        <f t="shared" si="57"/>
        <v>2.5720273972602736E-6</v>
      </c>
      <c r="BI114" s="158">
        <f t="shared" si="58"/>
        <v>6.7444273972602765E-8</v>
      </c>
      <c r="BJ114" s="158">
        <f t="shared" si="59"/>
        <v>1.2043620352250493E-5</v>
      </c>
      <c r="BK114" s="158">
        <f t="shared" si="60"/>
        <v>1.0362610797743756E-7</v>
      </c>
      <c r="BL114" s="158">
        <f t="shared" si="61"/>
        <v>3.4542035992479188E-4</v>
      </c>
      <c r="BM114" s="158">
        <f t="shared" si="62"/>
        <v>6.1240934730056406E-9</v>
      </c>
      <c r="BN114" s="158">
        <f t="shared" si="63"/>
        <v>1.7497409922873259E-6</v>
      </c>
      <c r="BO114" s="158">
        <f t="shared" si="64"/>
        <v>7.2925060435132966E-10</v>
      </c>
      <c r="BP114" s="158">
        <f t="shared" si="65"/>
        <v>2.4308353478377656E-6</v>
      </c>
      <c r="BQ114" s="158">
        <f t="shared" si="66"/>
        <v>1.579371474617244E-8</v>
      </c>
      <c r="BR114" s="158">
        <f t="shared" si="67"/>
        <v>3.1587429492344881E-6</v>
      </c>
      <c r="BS114" s="158">
        <f t="shared" si="68"/>
        <v>2.7195809830781632E-11</v>
      </c>
      <c r="BT114" s="158">
        <f t="shared" si="69"/>
        <v>5.4391619661563261E-8</v>
      </c>
      <c r="BU114" s="158">
        <f t="shared" si="70"/>
        <v>1.4262691377921031E-9</v>
      </c>
      <c r="BV114" s="158">
        <f t="shared" si="71"/>
        <v>2.5469091746287556E-7</v>
      </c>
    </row>
    <row r="115" spans="20:75">
      <c r="T115" s="53" t="s">
        <v>305</v>
      </c>
      <c r="U115" s="53" t="s">
        <v>90</v>
      </c>
      <c r="V115" s="165">
        <v>43887</v>
      </c>
      <c r="W115" s="166">
        <v>0.258245</v>
      </c>
      <c r="X115" s="166">
        <v>34.717759999999998</v>
      </c>
      <c r="Y115" s="166" t="s">
        <v>332</v>
      </c>
      <c r="Z115" s="165" t="s">
        <v>330</v>
      </c>
      <c r="AA115" s="116" t="s">
        <v>347</v>
      </c>
      <c r="AB115" s="154" t="s">
        <v>371</v>
      </c>
      <c r="AC115" s="116" t="s">
        <v>687</v>
      </c>
      <c r="AD115" s="165" t="s">
        <v>364</v>
      </c>
      <c r="AE115" s="53" t="s">
        <v>685</v>
      </c>
      <c r="AF115" s="53" t="s">
        <v>690</v>
      </c>
      <c r="AG115" s="167">
        <v>10.6</v>
      </c>
      <c r="AH115" s="157">
        <v>5.76</v>
      </c>
      <c r="AI115" s="75">
        <v>1.65222</v>
      </c>
      <c r="AJ115" s="157">
        <v>173.5</v>
      </c>
      <c r="AK115" s="156">
        <v>3.2000000000000001E-2</v>
      </c>
      <c r="AL115" s="157">
        <v>50</v>
      </c>
      <c r="AM115" s="144">
        <f t="shared" si="36"/>
        <v>1.4520547945205478E-5</v>
      </c>
      <c r="AN115" s="158">
        <f t="shared" si="42"/>
        <v>4.8401826484018265E-2</v>
      </c>
      <c r="AO115" s="144">
        <f t="shared" si="37"/>
        <v>7.8904109589041094E-6</v>
      </c>
      <c r="AP115" s="158">
        <f t="shared" si="43"/>
        <v>2.1917808219178081E-3</v>
      </c>
      <c r="AQ115" s="144">
        <f t="shared" si="38"/>
        <v>2.2633150684931511E-6</v>
      </c>
      <c r="AR115" s="158">
        <f t="shared" si="44"/>
        <v>7.5443835616438373E-3</v>
      </c>
      <c r="AS115" s="144">
        <f t="shared" si="39"/>
        <v>2.3767123287671231E-4</v>
      </c>
      <c r="AT115" s="158">
        <f t="shared" si="45"/>
        <v>7.9223744292237427E-2</v>
      </c>
      <c r="AU115" s="144">
        <f t="shared" si="40"/>
        <v>4.383561643835616E-8</v>
      </c>
      <c r="AV115" s="158">
        <f t="shared" si="46"/>
        <v>8.767123287671232E-5</v>
      </c>
      <c r="AW115" s="144">
        <f t="shared" si="41"/>
        <v>6.8493150684931502E-5</v>
      </c>
      <c r="AX115" s="158">
        <f t="shared" si="47"/>
        <v>3.4246575342465752E-3</v>
      </c>
      <c r="AY115" s="144">
        <f t="shared" si="48"/>
        <v>3.0292767123287667E-6</v>
      </c>
      <c r="AZ115" s="158">
        <f t="shared" si="49"/>
        <v>1.0097589041095889E-2</v>
      </c>
      <c r="BA115" s="144">
        <f t="shared" si="50"/>
        <v>1.0097589041095891E-7</v>
      </c>
      <c r="BB115" s="158">
        <f t="shared" si="51"/>
        <v>2.8850254403131116E-5</v>
      </c>
      <c r="BC115" s="144">
        <f t="shared" si="52"/>
        <v>1.5739092986301372E-8</v>
      </c>
      <c r="BD115" s="158">
        <f t="shared" si="53"/>
        <v>5.2463643287671248E-5</v>
      </c>
      <c r="BE115" s="144">
        <f t="shared" si="54"/>
        <v>1.6527657534246573E-6</v>
      </c>
      <c r="BF115" s="158">
        <f t="shared" si="55"/>
        <v>3.3055315068493147E-4</v>
      </c>
      <c r="BG115" s="144">
        <f t="shared" si="56"/>
        <v>3.0483287671232876E-10</v>
      </c>
      <c r="BH115" s="158">
        <f t="shared" si="57"/>
        <v>6.0966575342465746E-7</v>
      </c>
      <c r="BI115" s="144">
        <f t="shared" si="58"/>
        <v>4.7630136986301375E-7</v>
      </c>
      <c r="BJ115" s="158">
        <f t="shared" si="59"/>
        <v>8.5053816046966736E-5</v>
      </c>
      <c r="BK115" s="144">
        <f t="shared" si="60"/>
        <v>2.1353746978243352E-9</v>
      </c>
      <c r="BL115" s="158">
        <f t="shared" si="61"/>
        <v>7.1179156594144509E-6</v>
      </c>
      <c r="BM115" s="144">
        <f t="shared" si="62"/>
        <v>1.1603545527800159E-9</v>
      </c>
      <c r="BN115" s="158">
        <f t="shared" si="63"/>
        <v>3.3152987222286169E-7</v>
      </c>
      <c r="BO115" s="144">
        <f t="shared" si="64"/>
        <v>3.3284045124899278E-10</v>
      </c>
      <c r="BP115" s="158">
        <f t="shared" si="65"/>
        <v>1.1094681708299761E-6</v>
      </c>
      <c r="BQ115" s="144">
        <f t="shared" si="66"/>
        <v>3.4951651893634164E-8</v>
      </c>
      <c r="BR115" s="158">
        <f t="shared" si="67"/>
        <v>6.9903303787268327E-6</v>
      </c>
      <c r="BS115" s="144">
        <f t="shared" si="68"/>
        <v>6.4464141821112004E-12</v>
      </c>
      <c r="BT115" s="158">
        <f t="shared" si="69"/>
        <v>1.28928283642224E-8</v>
      </c>
      <c r="BU115" s="144">
        <f t="shared" si="70"/>
        <v>1.0072522159548751E-8</v>
      </c>
      <c r="BV115" s="144">
        <f t="shared" si="71"/>
        <v>1.7986646713479913E-6</v>
      </c>
    </row>
    <row r="116" spans="20:75">
      <c r="T116" s="53" t="s">
        <v>307</v>
      </c>
      <c r="U116" s="53" t="s">
        <v>137</v>
      </c>
      <c r="V116" s="165">
        <v>43888</v>
      </c>
      <c r="W116" s="166">
        <v>0.25163200000000002</v>
      </c>
      <c r="X116" s="166">
        <v>34.723950000000002</v>
      </c>
      <c r="Y116" s="166" t="s">
        <v>333</v>
      </c>
      <c r="Z116" s="165" t="s">
        <v>330</v>
      </c>
      <c r="AA116" s="116" t="s">
        <v>347</v>
      </c>
      <c r="AB116" s="154" t="s">
        <v>371</v>
      </c>
      <c r="AC116" s="55" t="s">
        <v>689</v>
      </c>
      <c r="AD116" s="165" t="s">
        <v>369</v>
      </c>
      <c r="AE116" s="53" t="s">
        <v>685</v>
      </c>
      <c r="AF116" s="53" t="s">
        <v>691</v>
      </c>
      <c r="AG116" s="156">
        <v>2456.5</v>
      </c>
      <c r="AH116" s="157">
        <v>93.53</v>
      </c>
      <c r="AI116" s="75">
        <v>2.9848599999999998</v>
      </c>
      <c r="AJ116" s="157">
        <v>200.5</v>
      </c>
      <c r="AK116" s="156">
        <v>5.0279999999999996</v>
      </c>
      <c r="AL116" s="157">
        <v>57.3</v>
      </c>
      <c r="AM116" s="144">
        <f t="shared" si="36"/>
        <v>3.3650684931506845E-3</v>
      </c>
      <c r="AN116" s="158">
        <f t="shared" si="42"/>
        <v>11.21689497716895</v>
      </c>
      <c r="AO116" s="144">
        <f t="shared" si="37"/>
        <v>1.2812328767123287E-4</v>
      </c>
      <c r="AP116" s="158">
        <f t="shared" si="43"/>
        <v>3.5589802130898018E-2</v>
      </c>
      <c r="AQ116" s="144">
        <f t="shared" si="38"/>
        <v>4.0888493150684919E-6</v>
      </c>
      <c r="AR116" s="158">
        <f t="shared" si="44"/>
        <v>1.3629497716894975E-2</v>
      </c>
      <c r="AS116" s="144">
        <f t="shared" si="39"/>
        <v>2.7465753424657529E-4</v>
      </c>
      <c r="AT116" s="158">
        <f t="shared" si="45"/>
        <v>9.155251141552509E-2</v>
      </c>
      <c r="AU116" s="144">
        <f t="shared" si="40"/>
        <v>6.8876712328767113E-6</v>
      </c>
      <c r="AV116" s="158">
        <f t="shared" si="46"/>
        <v>1.3775342465753421E-2</v>
      </c>
      <c r="AW116" s="144">
        <f t="shared" si="41"/>
        <v>7.8493150684931501E-5</v>
      </c>
      <c r="AX116" s="158">
        <f t="shared" si="47"/>
        <v>3.9246575342465747E-3</v>
      </c>
      <c r="AY116" s="144">
        <f t="shared" si="48"/>
        <v>7.0202058904109588E-4</v>
      </c>
      <c r="AZ116" s="158">
        <f t="shared" si="49"/>
        <v>2.3400686301369866</v>
      </c>
      <c r="BA116" s="144">
        <f t="shared" si="50"/>
        <v>2.3400686301369863E-5</v>
      </c>
      <c r="BB116" s="158">
        <f t="shared" si="51"/>
        <v>6.6859103718199609E-3</v>
      </c>
      <c r="BC116" s="144">
        <f t="shared" si="52"/>
        <v>2.8433858136986297E-8</v>
      </c>
      <c r="BD116" s="158">
        <f t="shared" si="53"/>
        <v>9.4779527123287668E-5</v>
      </c>
      <c r="BE116" s="144">
        <f t="shared" si="54"/>
        <v>1.9099684931506849E-6</v>
      </c>
      <c r="BF116" s="158">
        <f t="shared" si="55"/>
        <v>3.8199369863013699E-4</v>
      </c>
      <c r="BG116" s="144">
        <f t="shared" si="56"/>
        <v>4.7896865753424652E-8</v>
      </c>
      <c r="BH116" s="158">
        <f t="shared" si="57"/>
        <v>9.5793731506849298E-5</v>
      </c>
      <c r="BI116" s="144">
        <f t="shared" si="58"/>
        <v>5.4584136986301377E-7</v>
      </c>
      <c r="BJ116" s="158">
        <f t="shared" si="59"/>
        <v>9.7471673189823888E-5</v>
      </c>
      <c r="BK116" s="144">
        <f t="shared" si="60"/>
        <v>4.9486301369863012E-7</v>
      </c>
      <c r="BL116" s="158">
        <f t="shared" si="61"/>
        <v>1.6495433789954338E-3</v>
      </c>
      <c r="BM116" s="144">
        <f t="shared" si="62"/>
        <v>1.8841659951651894E-8</v>
      </c>
      <c r="BN116" s="158">
        <f t="shared" si="63"/>
        <v>5.3833314147576841E-6</v>
      </c>
      <c r="BO116" s="144">
        <f t="shared" si="64"/>
        <v>6.013013698630136E-10</v>
      </c>
      <c r="BP116" s="158">
        <f t="shared" si="65"/>
        <v>2.0043378995433788E-6</v>
      </c>
      <c r="BQ116" s="144">
        <f t="shared" si="66"/>
        <v>4.0390813859790492E-8</v>
      </c>
      <c r="BR116" s="158">
        <f t="shared" si="67"/>
        <v>8.0781627719580973E-6</v>
      </c>
      <c r="BS116" s="144">
        <f t="shared" si="68"/>
        <v>1.0128928283642222E-9</v>
      </c>
      <c r="BT116" s="158">
        <f t="shared" si="69"/>
        <v>2.0257856567284443E-6</v>
      </c>
      <c r="BU116" s="144">
        <f t="shared" si="70"/>
        <v>1.1543110394842868E-8</v>
      </c>
      <c r="BV116" s="144">
        <f t="shared" si="71"/>
        <v>2.0612697133647978E-6</v>
      </c>
    </row>
    <row r="117" spans="20:75">
      <c r="T117" s="53" t="s">
        <v>308</v>
      </c>
      <c r="U117" s="53" t="s">
        <v>309</v>
      </c>
      <c r="V117" s="165">
        <v>43888</v>
      </c>
      <c r="W117" s="166">
        <v>0.25193900000000002</v>
      </c>
      <c r="X117" s="166">
        <v>34.723799999999997</v>
      </c>
      <c r="Y117" s="166" t="s">
        <v>333</v>
      </c>
      <c r="Z117" s="165" t="s">
        <v>330</v>
      </c>
      <c r="AA117" s="116" t="s">
        <v>347</v>
      </c>
      <c r="AB117" s="154" t="s">
        <v>371</v>
      </c>
      <c r="AC117" s="116" t="s">
        <v>687</v>
      </c>
      <c r="AD117" s="165" t="s">
        <v>367</v>
      </c>
      <c r="AE117" s="53" t="s">
        <v>684</v>
      </c>
      <c r="AF117" s="53" t="s">
        <v>683</v>
      </c>
      <c r="AG117" s="167">
        <v>8</v>
      </c>
      <c r="AH117" s="157">
        <v>16.100000000000001</v>
      </c>
      <c r="AI117" s="75">
        <v>4.1962899999999994</v>
      </c>
      <c r="AJ117" s="157">
        <v>299.60000000000002</v>
      </c>
      <c r="AK117" s="156">
        <v>0.28499999999999998</v>
      </c>
      <c r="AL117" s="157">
        <v>110.8</v>
      </c>
      <c r="AM117" s="144">
        <f t="shared" si="36"/>
        <v>1.0958904109589042E-5</v>
      </c>
      <c r="AN117" s="158">
        <f t="shared" si="42"/>
        <v>3.6529680365296809E-2</v>
      </c>
      <c r="AO117" s="144">
        <f t="shared" si="37"/>
        <v>2.2054794520547951E-5</v>
      </c>
      <c r="AP117" s="158">
        <f t="shared" si="43"/>
        <v>6.12633181126332E-3</v>
      </c>
      <c r="AQ117" s="144">
        <f t="shared" si="38"/>
        <v>5.7483424657534238E-6</v>
      </c>
      <c r="AR117" s="158">
        <f t="shared" si="44"/>
        <v>1.9161141552511415E-2</v>
      </c>
      <c r="AS117" s="144">
        <f t="shared" si="39"/>
        <v>4.1041095890410965E-4</v>
      </c>
      <c r="AT117" s="158">
        <f t="shared" si="45"/>
        <v>0.13680365296803654</v>
      </c>
      <c r="AU117" s="144">
        <f t="shared" si="40"/>
        <v>3.9041095890410946E-7</v>
      </c>
      <c r="AV117" s="158">
        <f t="shared" si="46"/>
        <v>7.8082191780821887E-4</v>
      </c>
      <c r="AW117" s="144">
        <f t="shared" si="41"/>
        <v>1.5178082191780821E-4</v>
      </c>
      <c r="AX117" s="158">
        <f t="shared" si="47"/>
        <v>7.5890410958904106E-3</v>
      </c>
      <c r="AY117" s="144">
        <f t="shared" si="48"/>
        <v>2.2862465753424659E-6</v>
      </c>
      <c r="AZ117" s="158">
        <f t="shared" si="49"/>
        <v>7.6208219178082199E-3</v>
      </c>
      <c r="BA117" s="144">
        <f t="shared" si="50"/>
        <v>7.6208219178082209E-8</v>
      </c>
      <c r="BB117" s="158">
        <f t="shared" si="51"/>
        <v>2.1773776908023489E-5</v>
      </c>
      <c r="BC117" s="144">
        <f t="shared" si="52"/>
        <v>3.9973973506849308E-8</v>
      </c>
      <c r="BD117" s="158">
        <f t="shared" si="53"/>
        <v>1.3324657835616437E-4</v>
      </c>
      <c r="BE117" s="144">
        <f t="shared" si="54"/>
        <v>2.853997808219178E-6</v>
      </c>
      <c r="BF117" s="158">
        <f t="shared" si="55"/>
        <v>5.7079956164383559E-4</v>
      </c>
      <c r="BG117" s="144">
        <f t="shared" si="56"/>
        <v>2.7149178082191773E-9</v>
      </c>
      <c r="BH117" s="158">
        <f t="shared" si="57"/>
        <v>5.4298356164383545E-6</v>
      </c>
      <c r="BI117" s="144">
        <f t="shared" si="58"/>
        <v>1.0554838356164384E-6</v>
      </c>
      <c r="BJ117" s="158">
        <f t="shared" si="59"/>
        <v>1.8847925636007829E-4</v>
      </c>
      <c r="BK117" s="144">
        <f t="shared" si="60"/>
        <v>1.6116035455278002E-9</v>
      </c>
      <c r="BL117" s="158">
        <f t="shared" si="61"/>
        <v>5.3720118184260015E-6</v>
      </c>
      <c r="BM117" s="144">
        <f t="shared" si="62"/>
        <v>3.243352135374698E-9</v>
      </c>
      <c r="BN117" s="158">
        <f t="shared" si="63"/>
        <v>9.266720386784851E-7</v>
      </c>
      <c r="BO117" s="144">
        <f t="shared" si="64"/>
        <v>8.4534448025785639E-10</v>
      </c>
      <c r="BP117" s="158">
        <f t="shared" si="65"/>
        <v>2.8178149341928547E-6</v>
      </c>
      <c r="BQ117" s="144">
        <f t="shared" si="66"/>
        <v>6.0354552780016114E-8</v>
      </c>
      <c r="BR117" s="158">
        <f t="shared" si="67"/>
        <v>1.2070910556003222E-5</v>
      </c>
      <c r="BS117" s="144">
        <f t="shared" si="68"/>
        <v>5.7413376309427874E-11</v>
      </c>
      <c r="BT117" s="158">
        <f t="shared" si="69"/>
        <v>1.1482675261885574E-7</v>
      </c>
      <c r="BU117" s="144">
        <f t="shared" si="70"/>
        <v>2.2320709105560034E-8</v>
      </c>
      <c r="BV117" s="144">
        <f t="shared" si="71"/>
        <v>3.9858409117071487E-6</v>
      </c>
    </row>
    <row r="118" spans="20:75">
      <c r="T118" s="53" t="s">
        <v>310</v>
      </c>
      <c r="U118" s="53" t="s">
        <v>260</v>
      </c>
      <c r="V118" s="165">
        <v>43891</v>
      </c>
      <c r="W118" s="166">
        <v>0.10333000000000001</v>
      </c>
      <c r="X118" s="166">
        <v>34.713630000000002</v>
      </c>
      <c r="Y118" s="166" t="s">
        <v>344</v>
      </c>
      <c r="Z118" s="166" t="s">
        <v>334</v>
      </c>
      <c r="AA118" s="116" t="s">
        <v>347</v>
      </c>
      <c r="AB118" s="154" t="s">
        <v>371</v>
      </c>
      <c r="AC118" s="116" t="s">
        <v>687</v>
      </c>
      <c r="AD118" s="165" t="s">
        <v>365</v>
      </c>
      <c r="AE118" s="53" t="s">
        <v>685</v>
      </c>
      <c r="AF118" s="53" t="s">
        <v>691</v>
      </c>
      <c r="AG118" s="156">
        <v>8705.7000000000007</v>
      </c>
      <c r="AH118" s="157">
        <v>69.150000000000006</v>
      </c>
      <c r="AI118" s="75">
        <v>16.282150000000001</v>
      </c>
      <c r="AJ118" s="157">
        <v>81.3</v>
      </c>
      <c r="AK118" s="156">
        <v>0.78600000000000003</v>
      </c>
      <c r="AL118" s="157">
        <v>49.9</v>
      </c>
      <c r="AM118" s="144">
        <f t="shared" si="36"/>
        <v>1.1925616438356167E-2</v>
      </c>
      <c r="AN118" s="158">
        <f t="shared" si="42"/>
        <v>39.752054794520561</v>
      </c>
      <c r="AO118" s="144">
        <f t="shared" si="37"/>
        <v>9.4726027397260297E-5</v>
      </c>
      <c r="AP118" s="158">
        <f t="shared" si="43"/>
        <v>2.6312785388127861E-2</v>
      </c>
      <c r="AQ118" s="144">
        <f t="shared" si="38"/>
        <v>2.2304315068493151E-5</v>
      </c>
      <c r="AR118" s="158">
        <f t="shared" si="44"/>
        <v>7.4347716894977184E-2</v>
      </c>
      <c r="AS118" s="144">
        <f t="shared" si="39"/>
        <v>1.1136986301369863E-4</v>
      </c>
      <c r="AT118" s="158">
        <f t="shared" si="45"/>
        <v>3.7123287671232873E-2</v>
      </c>
      <c r="AU118" s="144">
        <f t="shared" si="40"/>
        <v>1.0767123287671233E-6</v>
      </c>
      <c r="AV118" s="158">
        <f t="shared" si="46"/>
        <v>2.1534246575342464E-3</v>
      </c>
      <c r="AW118" s="144">
        <f t="shared" si="41"/>
        <v>6.8356164383561634E-5</v>
      </c>
      <c r="AX118" s="158">
        <f t="shared" si="47"/>
        <v>3.4178082191780815E-3</v>
      </c>
      <c r="AY118" s="144">
        <f t="shared" si="48"/>
        <v>2.4879221013698635E-3</v>
      </c>
      <c r="AZ118" s="158">
        <f t="shared" si="49"/>
        <v>8.2930736712328788</v>
      </c>
      <c r="BA118" s="144">
        <f t="shared" si="50"/>
        <v>8.2930736712328776E-5</v>
      </c>
      <c r="BB118" s="158">
        <f t="shared" si="51"/>
        <v>2.3694496203522507E-2</v>
      </c>
      <c r="BC118" s="144">
        <f t="shared" si="52"/>
        <v>1.5510420698630138E-7</v>
      </c>
      <c r="BD118" s="158">
        <f t="shared" si="53"/>
        <v>5.1701402328767126E-4</v>
      </c>
      <c r="BE118" s="144">
        <f t="shared" si="54"/>
        <v>7.7446602739726021E-7</v>
      </c>
      <c r="BF118" s="158">
        <f t="shared" si="55"/>
        <v>1.5489320547945205E-4</v>
      </c>
      <c r="BG118" s="144">
        <f t="shared" si="56"/>
        <v>7.4874575342465758E-9</v>
      </c>
      <c r="BH118" s="158">
        <f t="shared" si="57"/>
        <v>1.4974915068493151E-5</v>
      </c>
      <c r="BI118" s="144">
        <f t="shared" si="58"/>
        <v>4.7534876712328772E-7</v>
      </c>
      <c r="BJ118" s="158">
        <f t="shared" si="59"/>
        <v>8.4883708414872804E-5</v>
      </c>
      <c r="BK118" s="144">
        <f t="shared" si="60"/>
        <v>1.7537671232876711E-6</v>
      </c>
      <c r="BL118" s="158">
        <f t="shared" si="61"/>
        <v>5.8458904109589043E-3</v>
      </c>
      <c r="BM118" s="144">
        <f t="shared" si="62"/>
        <v>1.3930298146655923E-8</v>
      </c>
      <c r="BN118" s="158">
        <f t="shared" si="63"/>
        <v>3.9800851847588355E-6</v>
      </c>
      <c r="BO118" s="144">
        <f t="shared" si="64"/>
        <v>3.2800463336019345E-9</v>
      </c>
      <c r="BP118" s="158">
        <f t="shared" si="65"/>
        <v>1.0933487778673115E-5</v>
      </c>
      <c r="BQ118" s="144">
        <f t="shared" si="66"/>
        <v>1.637792103142627E-8</v>
      </c>
      <c r="BR118" s="158">
        <f t="shared" si="67"/>
        <v>3.2755842062852537E-6</v>
      </c>
      <c r="BS118" s="144">
        <f t="shared" si="68"/>
        <v>1.5834004834810637E-10</v>
      </c>
      <c r="BT118" s="158">
        <f t="shared" si="69"/>
        <v>3.1668009669621273E-7</v>
      </c>
      <c r="BU118" s="144">
        <f t="shared" si="70"/>
        <v>1.0052377115229653E-8</v>
      </c>
      <c r="BV118" s="144">
        <f t="shared" si="71"/>
        <v>1.7950673420052953E-6</v>
      </c>
    </row>
    <row r="119" spans="20:75">
      <c r="T119" s="53" t="s">
        <v>311</v>
      </c>
      <c r="U119" s="53" t="s">
        <v>312</v>
      </c>
      <c r="V119" s="165">
        <v>43891</v>
      </c>
      <c r="W119" s="166">
        <v>0.1033</v>
      </c>
      <c r="X119" s="166">
        <v>34.713630000000002</v>
      </c>
      <c r="Y119" s="166" t="s">
        <v>344</v>
      </c>
      <c r="Z119" s="166" t="s">
        <v>334</v>
      </c>
      <c r="AA119" s="116" t="s">
        <v>347</v>
      </c>
      <c r="AB119" s="154" t="s">
        <v>371</v>
      </c>
      <c r="AC119" s="116" t="s">
        <v>687</v>
      </c>
      <c r="AD119" s="165" t="s">
        <v>367</v>
      </c>
      <c r="AE119" s="53" t="s">
        <v>684</v>
      </c>
      <c r="AF119" s="53" t="s">
        <v>683</v>
      </c>
      <c r="AG119" s="156">
        <v>55.7</v>
      </c>
      <c r="AH119" s="157">
        <v>28.79</v>
      </c>
      <c r="AI119" s="75">
        <v>0.90408999999999995</v>
      </c>
      <c r="AJ119" s="157">
        <v>146.69999999999999</v>
      </c>
      <c r="AK119" s="156">
        <v>0.27200000000000002</v>
      </c>
      <c r="AL119" s="157">
        <v>71.900000000000006</v>
      </c>
      <c r="AM119" s="144">
        <f t="shared" si="36"/>
        <v>7.6301369863013697E-5</v>
      </c>
      <c r="AN119" s="158">
        <f t="shared" si="42"/>
        <v>0.25433789954337899</v>
      </c>
      <c r="AO119" s="144">
        <f t="shared" si="37"/>
        <v>3.943835616438356E-5</v>
      </c>
      <c r="AP119" s="158">
        <f t="shared" si="43"/>
        <v>1.0955098934550989E-2</v>
      </c>
      <c r="AQ119" s="144">
        <f t="shared" si="38"/>
        <v>1.2384794520547942E-6</v>
      </c>
      <c r="AR119" s="158">
        <f t="shared" si="44"/>
        <v>4.1282648401826478E-3</v>
      </c>
      <c r="AS119" s="144">
        <f t="shared" si="39"/>
        <v>2.00958904109589E-4</v>
      </c>
      <c r="AT119" s="158">
        <f t="shared" si="45"/>
        <v>6.6986301369862999E-2</v>
      </c>
      <c r="AU119" s="144">
        <f t="shared" si="40"/>
        <v>3.7260273972602743E-7</v>
      </c>
      <c r="AV119" s="158">
        <f t="shared" si="46"/>
        <v>7.4520547945205486E-4</v>
      </c>
      <c r="AW119" s="144">
        <f t="shared" si="41"/>
        <v>9.8493150684931513E-5</v>
      </c>
      <c r="AX119" s="158">
        <f t="shared" si="47"/>
        <v>4.9246575342465756E-3</v>
      </c>
      <c r="AY119" s="144">
        <f t="shared" si="48"/>
        <v>1.5917991780821914E-5</v>
      </c>
      <c r="AZ119" s="158">
        <f t="shared" si="49"/>
        <v>5.3059972602739716E-2</v>
      </c>
      <c r="BA119" s="144">
        <f t="shared" si="50"/>
        <v>5.3059972602739719E-7</v>
      </c>
      <c r="BB119" s="158">
        <f t="shared" si="51"/>
        <v>1.5159992172211347E-4</v>
      </c>
      <c r="BC119" s="144">
        <f t="shared" si="52"/>
        <v>8.6123861095890419E-9</v>
      </c>
      <c r="BD119" s="158">
        <f t="shared" si="53"/>
        <v>2.8707953698630141E-5</v>
      </c>
      <c r="BE119" s="144">
        <f t="shared" si="54"/>
        <v>1.3974682191780823E-6</v>
      </c>
      <c r="BF119" s="158">
        <f t="shared" si="55"/>
        <v>2.7949364383561646E-4</v>
      </c>
      <c r="BG119" s="144">
        <f t="shared" si="56"/>
        <v>2.5910794520547943E-9</v>
      </c>
      <c r="BH119" s="158">
        <f t="shared" si="57"/>
        <v>5.1821589041095884E-6</v>
      </c>
      <c r="BI119" s="144">
        <f t="shared" si="58"/>
        <v>6.8492136986301393E-7</v>
      </c>
      <c r="BJ119" s="158">
        <f t="shared" si="59"/>
        <v>1.2230738747553819E-4</v>
      </c>
      <c r="BK119" s="144">
        <f t="shared" si="60"/>
        <v>1.1220789685737309E-8</v>
      </c>
      <c r="BL119" s="158">
        <f t="shared" si="61"/>
        <v>3.7402632285791031E-5</v>
      </c>
      <c r="BM119" s="144">
        <f t="shared" si="62"/>
        <v>5.7997582594681695E-9</v>
      </c>
      <c r="BN119" s="158">
        <f t="shared" si="63"/>
        <v>1.657073788419477E-6</v>
      </c>
      <c r="BO119" s="144">
        <f t="shared" si="64"/>
        <v>1.8212933118452857E-10</v>
      </c>
      <c r="BP119" s="158">
        <f t="shared" si="65"/>
        <v>6.0709777061509525E-7</v>
      </c>
      <c r="BQ119" s="144">
        <f t="shared" si="66"/>
        <v>2.9552780016116035E-8</v>
      </c>
      <c r="BR119" s="158">
        <f t="shared" si="67"/>
        <v>5.9105560032232071E-6</v>
      </c>
      <c r="BS119" s="144">
        <f t="shared" si="68"/>
        <v>5.4794520547945212E-11</v>
      </c>
      <c r="BT119" s="158">
        <f t="shared" si="69"/>
        <v>1.0958904109589042E-7</v>
      </c>
      <c r="BU119" s="144">
        <f t="shared" si="70"/>
        <v>1.4484286865431104E-8</v>
      </c>
      <c r="BV119" s="144">
        <f t="shared" si="71"/>
        <v>2.5864797973984117E-6</v>
      </c>
    </row>
    <row r="120" spans="20:75">
      <c r="T120" s="168"/>
      <c r="U120" s="168"/>
      <c r="V120" s="168"/>
      <c r="W120" s="168"/>
      <c r="X120" s="168"/>
      <c r="Y120" s="168"/>
      <c r="Z120" s="168"/>
      <c r="AA120" s="168"/>
      <c r="AB120" s="168"/>
      <c r="AC120" s="168"/>
      <c r="AD120" s="168"/>
      <c r="AE120" s="168"/>
      <c r="AF120" s="168"/>
      <c r="AG120" s="207"/>
      <c r="AH120" s="208"/>
      <c r="AI120" s="209"/>
      <c r="AJ120" s="208"/>
      <c r="AK120" s="207"/>
      <c r="AL120" s="208" t="s">
        <v>957</v>
      </c>
      <c r="AM120" s="210">
        <f t="shared" ref="AM120:AW120" si="72">AVERAGE(AM8:AM119)</f>
        <v>2.4443517612524461E-3</v>
      </c>
      <c r="AN120" s="173">
        <f t="shared" si="42"/>
        <v>8.1478392041748204</v>
      </c>
      <c r="AO120" s="210">
        <f t="shared" si="72"/>
        <v>1.643949363992172E-4</v>
      </c>
      <c r="AP120" s="173">
        <f t="shared" si="43"/>
        <v>4.5665260110893668E-2</v>
      </c>
      <c r="AQ120" s="210">
        <f t="shared" si="72"/>
        <v>7.2904726638943223E-6</v>
      </c>
      <c r="AR120" s="173">
        <f t="shared" si="44"/>
        <v>2.4301575546314409E-2</v>
      </c>
      <c r="AS120" s="210">
        <f t="shared" si="72"/>
        <v>4.3177715264187841E-4</v>
      </c>
      <c r="AT120" s="173">
        <f t="shared" si="45"/>
        <v>0.1439257175472928</v>
      </c>
      <c r="AU120" s="210">
        <f t="shared" si="72"/>
        <v>7.2540362035225048E-7</v>
      </c>
      <c r="AV120" s="173">
        <f t="shared" si="46"/>
        <v>1.450807240704501E-3</v>
      </c>
      <c r="AW120" s="210">
        <f t="shared" si="72"/>
        <v>1.3437133072407044E-4</v>
      </c>
      <c r="AX120" s="173">
        <f t="shared" si="47"/>
        <v>6.7185665362035213E-3</v>
      </c>
      <c r="AY120" s="210">
        <f t="shared" ref="AY120:BI120" si="73">AVERAGE(AY8:AY119)</f>
        <v>5.0994066443248534E-4</v>
      </c>
      <c r="AZ120" s="173">
        <f t="shared" si="49"/>
        <v>1.6998022147749512</v>
      </c>
      <c r="BA120" s="210">
        <f t="shared" si="73"/>
        <v>1.6998022147749515E-5</v>
      </c>
      <c r="BB120" s="173">
        <f t="shared" si="51"/>
        <v>4.856577756499861E-3</v>
      </c>
      <c r="BC120" s="210">
        <f t="shared" si="73"/>
        <v>5.0697946904721136E-8</v>
      </c>
      <c r="BD120" s="173">
        <f t="shared" si="53"/>
        <v>1.6899315634907048E-4</v>
      </c>
      <c r="BE120" s="210">
        <f t="shared" si="73"/>
        <v>3.0025783194716225E-6</v>
      </c>
      <c r="BF120" s="173">
        <f t="shared" si="55"/>
        <v>6.0051566389432453E-4</v>
      </c>
      <c r="BG120" s="210">
        <f t="shared" si="73"/>
        <v>5.04445677592955E-9</v>
      </c>
      <c r="BH120" s="173">
        <f t="shared" si="57"/>
        <v>1.00889135518591E-5</v>
      </c>
      <c r="BI120" s="210">
        <f t="shared" si="73"/>
        <v>9.3441823385518561E-7</v>
      </c>
      <c r="BJ120" s="173">
        <f t="shared" si="59"/>
        <v>1.6686039890271171E-4</v>
      </c>
      <c r="BK120" s="210">
        <f t="shared" ref="BK120:BU120" si="74">AVERAGE(BK8:BK119)</f>
        <v>3.5946349430183022E-7</v>
      </c>
      <c r="BL120" s="173">
        <f t="shared" si="61"/>
        <v>1.1982116476727674E-3</v>
      </c>
      <c r="BM120" s="210">
        <f t="shared" si="74"/>
        <v>2.4175725941061349E-8</v>
      </c>
      <c r="BN120" s="173">
        <f t="shared" si="63"/>
        <v>6.9073502688746714E-6</v>
      </c>
      <c r="BO120" s="210">
        <f t="shared" si="74"/>
        <v>1.072128332925636E-9</v>
      </c>
      <c r="BP120" s="173">
        <f t="shared" si="65"/>
        <v>3.5737611097521202E-6</v>
      </c>
      <c r="BQ120" s="210">
        <f t="shared" si="74"/>
        <v>6.3496640094393954E-8</v>
      </c>
      <c r="BR120" s="173">
        <f t="shared" si="67"/>
        <v>1.2699328018878791E-5</v>
      </c>
      <c r="BS120" s="210">
        <f t="shared" si="74"/>
        <v>1.0667700299297805E-10</v>
      </c>
      <c r="BT120" s="173">
        <f t="shared" si="69"/>
        <v>2.1335400598595608E-7</v>
      </c>
      <c r="BU120" s="210">
        <f t="shared" si="74"/>
        <v>1.97604898123633E-8</v>
      </c>
      <c r="BV120" s="210">
        <f t="shared" si="71"/>
        <v>3.528658895064875E-6</v>
      </c>
      <c r="BW120" s="229"/>
    </row>
    <row r="121" spans="20:75">
      <c r="T121" s="53"/>
      <c r="U121" s="53"/>
      <c r="V121" s="53"/>
      <c r="W121" s="53"/>
      <c r="X121" s="53"/>
      <c r="Y121" s="53"/>
      <c r="Z121" s="53"/>
      <c r="AA121" s="53"/>
      <c r="AB121" s="53"/>
      <c r="AC121" s="53"/>
      <c r="AD121" s="53"/>
      <c r="AE121" s="53"/>
      <c r="AF121" s="53"/>
      <c r="AG121" s="156"/>
      <c r="AH121" s="157"/>
      <c r="AI121" s="75"/>
      <c r="AJ121" s="157"/>
      <c r="AK121" s="156"/>
      <c r="AL121" s="157"/>
      <c r="AM121" s="144"/>
      <c r="AN121" s="158"/>
      <c r="AO121" s="144"/>
      <c r="AP121" s="158"/>
      <c r="AQ121" s="144"/>
      <c r="AR121" s="158"/>
      <c r="AS121" s="144"/>
      <c r="AT121" s="158"/>
      <c r="AU121" s="144"/>
      <c r="AV121" s="158"/>
      <c r="AW121" s="144"/>
      <c r="AX121" s="158"/>
      <c r="AY121" s="144"/>
      <c r="AZ121" s="158"/>
      <c r="BA121" s="144"/>
      <c r="BB121" s="158"/>
      <c r="BC121" s="144"/>
      <c r="BD121" s="158"/>
      <c r="BE121" s="144"/>
      <c r="BF121" s="158"/>
      <c r="BG121" s="144"/>
      <c r="BH121" s="158"/>
      <c r="BI121" s="144"/>
      <c r="BJ121" s="158"/>
      <c r="BK121" s="144"/>
      <c r="BL121" s="158"/>
      <c r="BM121" s="144"/>
      <c r="BN121" s="158"/>
      <c r="BO121" s="144"/>
      <c r="BP121" s="158"/>
      <c r="BQ121" s="144"/>
      <c r="BR121" s="158"/>
      <c r="BS121" s="144"/>
      <c r="BT121" s="158"/>
      <c r="BU121" s="144"/>
      <c r="BV121" s="144"/>
    </row>
    <row r="122" spans="20:75">
      <c r="T122" s="53" t="s">
        <v>313</v>
      </c>
      <c r="U122" s="53" t="s">
        <v>314</v>
      </c>
      <c r="V122" s="165">
        <v>44065</v>
      </c>
      <c r="W122" s="166">
        <v>0.46544799999999997</v>
      </c>
      <c r="X122" s="166">
        <v>34.870607999999997</v>
      </c>
      <c r="Y122" s="166" t="s">
        <v>331</v>
      </c>
      <c r="Z122" s="165" t="s">
        <v>330</v>
      </c>
      <c r="AA122" s="116" t="s">
        <v>347</v>
      </c>
      <c r="AB122" s="154" t="s">
        <v>362</v>
      </c>
      <c r="AC122" s="154" t="s">
        <v>362</v>
      </c>
      <c r="AD122" s="165" t="s">
        <v>366</v>
      </c>
      <c r="AE122" s="53" t="s">
        <v>684</v>
      </c>
      <c r="AF122" s="78" t="s">
        <v>683</v>
      </c>
      <c r="AG122" s="78">
        <v>3.6</v>
      </c>
      <c r="AH122" s="78">
        <v>11.14</v>
      </c>
      <c r="AI122" s="78">
        <v>4.7700000000000006E-2</v>
      </c>
      <c r="AJ122" s="78">
        <v>221</v>
      </c>
      <c r="AK122" s="78">
        <v>0.152</v>
      </c>
      <c r="AL122" s="78">
        <v>91.2</v>
      </c>
      <c r="AM122" s="78">
        <f t="shared" ref="AM122:AM130" si="75">(AG122*100*350*30*0.000001)/(70*30*365)</f>
        <v>4.9315068493150682E-6</v>
      </c>
      <c r="AN122" s="158">
        <f t="shared" si="42"/>
        <v>1.6438356164383564E-2</v>
      </c>
      <c r="AO122" s="230">
        <f t="shared" ref="AO122:AO130" si="76">(AH122*100*350*30*0.000001)/(70*30*365)</f>
        <v>1.5260273972602739E-5</v>
      </c>
      <c r="AP122" s="158">
        <f t="shared" si="43"/>
        <v>4.2389649923896501E-3</v>
      </c>
      <c r="AQ122" s="230">
        <f t="shared" ref="AQ122:AQ130" si="77">(AI122*100*350*30*0.000001)/(70*30*365)</f>
        <v>6.5342465753424659E-8</v>
      </c>
      <c r="AR122" s="158">
        <f t="shared" si="44"/>
        <v>2.178082191780822E-4</v>
      </c>
      <c r="AS122" s="230">
        <f t="shared" ref="AS122:AS130" si="78">(AJ122*100*350*30*0.000001)/(70*30*365)</f>
        <v>3.0273972602739722E-4</v>
      </c>
      <c r="AT122" s="158">
        <f t="shared" si="45"/>
        <v>0.1009132420091324</v>
      </c>
      <c r="AU122" s="230">
        <f t="shared" ref="AU122:AU130" si="79">(AK122*100*350*30*0.000001)/(70*30*365)</f>
        <v>2.0821917808219177E-7</v>
      </c>
      <c r="AV122" s="158">
        <f t="shared" si="46"/>
        <v>4.1643835616438351E-4</v>
      </c>
      <c r="AW122" s="230">
        <f t="shared" ref="AW122:AW130" si="80">(AL122*100*350*30*0.000001)/(70*30*365)</f>
        <v>1.2493150684931507E-4</v>
      </c>
      <c r="AX122" s="158">
        <f t="shared" si="47"/>
        <v>6.2465753424657535E-3</v>
      </c>
      <c r="AY122" s="144">
        <f t="shared" si="48"/>
        <v>1.0288109589041096E-6</v>
      </c>
      <c r="AZ122" s="158">
        <f t="shared" si="49"/>
        <v>3.429369863013699E-3</v>
      </c>
      <c r="BA122" s="144">
        <f t="shared" si="50"/>
        <v>3.4293698630136978E-8</v>
      </c>
      <c r="BB122" s="158">
        <f t="shared" si="51"/>
        <v>9.798199608610565E-6</v>
      </c>
      <c r="BC122" s="144">
        <f t="shared" si="52"/>
        <v>4.5439150684931529E-10</v>
      </c>
      <c r="BD122" s="158">
        <f t="shared" si="53"/>
        <v>1.5146383561643844E-6</v>
      </c>
      <c r="BE122" s="144">
        <f t="shared" si="54"/>
        <v>2.1052520547945206E-6</v>
      </c>
      <c r="BF122" s="158">
        <f t="shared" si="55"/>
        <v>4.2105041095890413E-4</v>
      </c>
      <c r="BG122" s="144">
        <f t="shared" si="56"/>
        <v>1.4479561643835616E-9</v>
      </c>
      <c r="BH122" s="158">
        <f t="shared" si="57"/>
        <v>2.8959123287671234E-6</v>
      </c>
      <c r="BI122" s="144">
        <f t="shared" si="58"/>
        <v>8.6877369863013686E-7</v>
      </c>
      <c r="BJ122" s="158">
        <f t="shared" si="59"/>
        <v>1.5513816046966729E-4</v>
      </c>
      <c r="BK122" s="144">
        <f t="shared" si="60"/>
        <v>7.2522159548751004E-10</v>
      </c>
      <c r="BL122" s="158">
        <f t="shared" si="61"/>
        <v>2.4174053182917003E-6</v>
      </c>
      <c r="BM122" s="144">
        <f t="shared" si="62"/>
        <v>2.2441579371474616E-9</v>
      </c>
      <c r="BN122" s="158">
        <f t="shared" si="63"/>
        <v>6.4118798204213187E-7</v>
      </c>
      <c r="BO122" s="144">
        <f t="shared" si="64"/>
        <v>9.6091861402095112E-12</v>
      </c>
      <c r="BP122" s="158">
        <f t="shared" si="65"/>
        <v>3.2030620467365042E-8</v>
      </c>
      <c r="BQ122" s="144">
        <f t="shared" si="66"/>
        <v>4.4520547945205479E-8</v>
      </c>
      <c r="BR122" s="158">
        <f t="shared" si="67"/>
        <v>8.9041095890410955E-6</v>
      </c>
      <c r="BS122" s="144">
        <f t="shared" si="68"/>
        <v>3.0620467365028204E-11</v>
      </c>
      <c r="BT122" s="158">
        <f t="shared" si="69"/>
        <v>6.1240934730056411E-8</v>
      </c>
      <c r="BU122" s="144">
        <f t="shared" si="70"/>
        <v>1.8372280419016923E-8</v>
      </c>
      <c r="BV122" s="144">
        <f t="shared" si="71"/>
        <v>3.2807643605387361E-6</v>
      </c>
    </row>
    <row r="123" spans="20:75">
      <c r="T123" s="53" t="s">
        <v>315</v>
      </c>
      <c r="U123" s="53" t="s">
        <v>316</v>
      </c>
      <c r="V123" s="165">
        <v>44065</v>
      </c>
      <c r="W123" s="166">
        <v>0.46544799999999997</v>
      </c>
      <c r="X123" s="166">
        <v>34.870607999999997</v>
      </c>
      <c r="Y123" s="166" t="s">
        <v>331</v>
      </c>
      <c r="Z123" s="165" t="s">
        <v>330</v>
      </c>
      <c r="AA123" s="116" t="s">
        <v>347</v>
      </c>
      <c r="AB123" s="154" t="s">
        <v>362</v>
      </c>
      <c r="AC123" s="154" t="s">
        <v>362</v>
      </c>
      <c r="AD123" s="165" t="s">
        <v>367</v>
      </c>
      <c r="AE123" s="53" t="s">
        <v>684</v>
      </c>
      <c r="AF123" s="78" t="s">
        <v>683</v>
      </c>
      <c r="AG123" s="78">
        <v>3.3</v>
      </c>
      <c r="AH123" s="78">
        <v>11.27</v>
      </c>
      <c r="AI123" s="78">
        <v>3.8360000000000005E-2</v>
      </c>
      <c r="AJ123" s="78">
        <v>214.7</v>
      </c>
      <c r="AK123" s="78">
        <v>0.18</v>
      </c>
      <c r="AL123" s="78">
        <v>91.1</v>
      </c>
      <c r="AM123" s="78">
        <f t="shared" si="75"/>
        <v>4.5205479452054791E-6</v>
      </c>
      <c r="AN123" s="158">
        <f t="shared" si="42"/>
        <v>1.5068493150684932E-2</v>
      </c>
      <c r="AO123" s="231">
        <f t="shared" si="76"/>
        <v>1.5438356164383559E-5</v>
      </c>
      <c r="AP123" s="158">
        <f t="shared" si="43"/>
        <v>4.2884322678843224E-3</v>
      </c>
      <c r="AQ123" s="231">
        <f t="shared" si="77"/>
        <v>5.254794520547946E-8</v>
      </c>
      <c r="AR123" s="158">
        <f t="shared" si="44"/>
        <v>1.7515981735159822E-4</v>
      </c>
      <c r="AS123" s="231">
        <f t="shared" si="78"/>
        <v>2.9410958904109587E-4</v>
      </c>
      <c r="AT123" s="158">
        <f t="shared" si="45"/>
        <v>9.8036529680365289E-2</v>
      </c>
      <c r="AU123" s="231">
        <f t="shared" si="79"/>
        <v>2.4657534246575342E-7</v>
      </c>
      <c r="AV123" s="158">
        <f t="shared" si="46"/>
        <v>4.9315068493150684E-4</v>
      </c>
      <c r="AW123" s="231">
        <f t="shared" si="80"/>
        <v>1.247945205479452E-4</v>
      </c>
      <c r="AX123" s="158">
        <f t="shared" si="47"/>
        <v>6.2397260273972599E-3</v>
      </c>
      <c r="AY123" s="158">
        <f t="shared" si="48"/>
        <v>9.4307671232876719E-7</v>
      </c>
      <c r="AZ123" s="158">
        <f t="shared" si="49"/>
        <v>3.143589041095891E-3</v>
      </c>
      <c r="BA123" s="158">
        <f t="shared" si="50"/>
        <v>3.1435890410958902E-8</v>
      </c>
      <c r="BB123" s="158">
        <f t="shared" si="51"/>
        <v>8.9816829745596865E-6</v>
      </c>
      <c r="BC123" s="158">
        <f t="shared" si="52"/>
        <v>3.6541841095890413E-10</v>
      </c>
      <c r="BD123" s="158">
        <f t="shared" si="53"/>
        <v>1.2180613698630139E-6</v>
      </c>
      <c r="BE123" s="158">
        <f t="shared" si="54"/>
        <v>2.0452380821917807E-6</v>
      </c>
      <c r="BF123" s="158">
        <f t="shared" si="55"/>
        <v>4.0904761643835615E-4</v>
      </c>
      <c r="BG123" s="158">
        <f t="shared" si="56"/>
        <v>1.7146849315068492E-9</v>
      </c>
      <c r="BH123" s="158">
        <f t="shared" si="57"/>
        <v>3.4293698630136984E-6</v>
      </c>
      <c r="BI123" s="158">
        <f t="shared" si="58"/>
        <v>8.6782109589041072E-7</v>
      </c>
      <c r="BJ123" s="158">
        <f t="shared" si="59"/>
        <v>1.5496805283757336E-4</v>
      </c>
      <c r="BK123" s="158">
        <f t="shared" si="60"/>
        <v>6.6478646253021758E-10</v>
      </c>
      <c r="BL123" s="158">
        <f t="shared" si="61"/>
        <v>2.2159548751007253E-6</v>
      </c>
      <c r="BM123" s="158">
        <f t="shared" si="62"/>
        <v>2.2703464947622881E-9</v>
      </c>
      <c r="BN123" s="158">
        <f t="shared" si="63"/>
        <v>6.4867042707493945E-7</v>
      </c>
      <c r="BO123" s="158">
        <f t="shared" si="64"/>
        <v>7.7276390008058026E-12</v>
      </c>
      <c r="BP123" s="158">
        <f t="shared" si="65"/>
        <v>2.5758796669352676E-8</v>
      </c>
      <c r="BQ123" s="158">
        <f t="shared" si="66"/>
        <v>4.3251410153102336E-8</v>
      </c>
      <c r="BR123" s="158">
        <f t="shared" si="67"/>
        <v>8.6502820306204663E-6</v>
      </c>
      <c r="BS123" s="158">
        <f t="shared" si="68"/>
        <v>3.6261079774375498E-11</v>
      </c>
      <c r="BT123" s="158">
        <f t="shared" si="69"/>
        <v>7.2522159548750997E-8</v>
      </c>
      <c r="BU123" s="158">
        <f t="shared" si="70"/>
        <v>1.8352135374697824E-8</v>
      </c>
      <c r="BV123" s="158">
        <f t="shared" si="71"/>
        <v>3.2771670311960399E-6</v>
      </c>
    </row>
    <row r="124" spans="20:75">
      <c r="T124" s="53" t="s">
        <v>317</v>
      </c>
      <c r="U124" s="53" t="s">
        <v>318</v>
      </c>
      <c r="V124" s="165">
        <v>44065</v>
      </c>
      <c r="W124" s="166">
        <v>0.46636899999999998</v>
      </c>
      <c r="X124" s="166">
        <v>34.869613000000001</v>
      </c>
      <c r="Y124" s="166" t="s">
        <v>331</v>
      </c>
      <c r="Z124" s="165" t="s">
        <v>330</v>
      </c>
      <c r="AA124" s="116" t="s">
        <v>347</v>
      </c>
      <c r="AB124" s="154" t="s">
        <v>362</v>
      </c>
      <c r="AC124" s="154" t="s">
        <v>362</v>
      </c>
      <c r="AD124" s="165" t="s">
        <v>708</v>
      </c>
      <c r="AE124" s="53" t="s">
        <v>684</v>
      </c>
      <c r="AF124" s="78" t="s">
        <v>683</v>
      </c>
      <c r="AG124" s="78">
        <v>2</v>
      </c>
      <c r="AH124" s="78">
        <v>8.51</v>
      </c>
      <c r="AI124" s="78">
        <v>7.8829999999999997E-2</v>
      </c>
      <c r="AJ124" s="78">
        <v>175</v>
      </c>
      <c r="AK124" s="78">
        <v>0.33400000000000002</v>
      </c>
      <c r="AL124" s="78">
        <v>91.4</v>
      </c>
      <c r="AM124" s="78">
        <f t="shared" si="75"/>
        <v>2.7397260273972604E-6</v>
      </c>
      <c r="AN124" s="158">
        <f t="shared" si="42"/>
        <v>9.1324200913242021E-3</v>
      </c>
      <c r="AO124" s="230">
        <f t="shared" si="76"/>
        <v>1.1657534246575341E-5</v>
      </c>
      <c r="AP124" s="158">
        <f t="shared" si="43"/>
        <v>3.2382039573820394E-3</v>
      </c>
      <c r="AQ124" s="230">
        <f t="shared" si="77"/>
        <v>1.0798630136986302E-7</v>
      </c>
      <c r="AR124" s="158">
        <f t="shared" si="44"/>
        <v>3.5995433789954342E-4</v>
      </c>
      <c r="AS124" s="230">
        <f t="shared" si="78"/>
        <v>2.3972602739726027E-4</v>
      </c>
      <c r="AT124" s="158">
        <f t="shared" si="45"/>
        <v>7.9908675799086754E-2</v>
      </c>
      <c r="AU124" s="230">
        <f t="shared" si="79"/>
        <v>4.5753424657534246E-7</v>
      </c>
      <c r="AV124" s="158">
        <f t="shared" si="46"/>
        <v>9.1506849315068489E-4</v>
      </c>
      <c r="AW124" s="230">
        <f t="shared" si="80"/>
        <v>1.252054794520548E-4</v>
      </c>
      <c r="AX124" s="158">
        <f t="shared" si="47"/>
        <v>6.2602739726027399E-3</v>
      </c>
      <c r="AY124" s="144">
        <f t="shared" si="48"/>
        <v>5.7156164383561647E-7</v>
      </c>
      <c r="AZ124" s="158">
        <f t="shared" si="49"/>
        <v>1.905205479452055E-3</v>
      </c>
      <c r="BA124" s="144">
        <f t="shared" si="50"/>
        <v>1.9052054794520552E-8</v>
      </c>
      <c r="BB124" s="158">
        <f t="shared" si="51"/>
        <v>5.4434442270058723E-6</v>
      </c>
      <c r="BC124" s="144">
        <f t="shared" si="52"/>
        <v>7.5093673972602739E-10</v>
      </c>
      <c r="BD124" s="158">
        <f t="shared" si="53"/>
        <v>2.5031224657534247E-6</v>
      </c>
      <c r="BE124" s="144">
        <f t="shared" si="54"/>
        <v>1.6670547945205479E-6</v>
      </c>
      <c r="BF124" s="158">
        <f t="shared" si="55"/>
        <v>3.3341095890410957E-4</v>
      </c>
      <c r="BG124" s="144">
        <f t="shared" si="56"/>
        <v>3.1816931506849314E-9</v>
      </c>
      <c r="BH124" s="158">
        <f t="shared" si="57"/>
        <v>6.363386301369863E-6</v>
      </c>
      <c r="BI124" s="144">
        <f t="shared" si="58"/>
        <v>8.7067890410958913E-7</v>
      </c>
      <c r="BJ124" s="158">
        <f t="shared" si="59"/>
        <v>1.5547837573385521E-4</v>
      </c>
      <c r="BK124" s="144">
        <f t="shared" si="60"/>
        <v>4.0290088638195006E-10</v>
      </c>
      <c r="BL124" s="158">
        <f t="shared" si="61"/>
        <v>1.3430029546065004E-6</v>
      </c>
      <c r="BM124" s="144">
        <f t="shared" si="62"/>
        <v>1.7143432715551971E-9</v>
      </c>
      <c r="BN124" s="158">
        <f t="shared" si="63"/>
        <v>4.8981236330148487E-7</v>
      </c>
      <c r="BO124" s="144">
        <f t="shared" si="64"/>
        <v>1.5880338436744561E-11</v>
      </c>
      <c r="BP124" s="158">
        <f t="shared" si="65"/>
        <v>5.293446145581521E-8</v>
      </c>
      <c r="BQ124" s="144">
        <f t="shared" si="66"/>
        <v>3.5253827558420626E-8</v>
      </c>
      <c r="BR124" s="158">
        <f t="shared" si="67"/>
        <v>7.0507655116841251E-6</v>
      </c>
      <c r="BS124" s="144">
        <f t="shared" si="68"/>
        <v>6.7284448025785657E-11</v>
      </c>
      <c r="BT124" s="158">
        <f t="shared" si="69"/>
        <v>1.3456889605157132E-7</v>
      </c>
      <c r="BU124" s="144">
        <f t="shared" si="70"/>
        <v>1.8412570507655118E-8</v>
      </c>
      <c r="BV124" s="144">
        <f t="shared" si="71"/>
        <v>3.2879590192241281E-6</v>
      </c>
    </row>
    <row r="125" spans="20:75">
      <c r="T125" s="53" t="s">
        <v>319</v>
      </c>
      <c r="U125" s="53" t="s">
        <v>320</v>
      </c>
      <c r="V125" s="165">
        <v>44065</v>
      </c>
      <c r="W125" s="166">
        <v>0.46534199999999998</v>
      </c>
      <c r="X125" s="166">
        <v>34.885432999999999</v>
      </c>
      <c r="Y125" s="166" t="s">
        <v>336</v>
      </c>
      <c r="Z125" s="165" t="s">
        <v>330</v>
      </c>
      <c r="AA125" s="116" t="s">
        <v>347</v>
      </c>
      <c r="AB125" s="154" t="s">
        <v>362</v>
      </c>
      <c r="AC125" s="154" t="s">
        <v>362</v>
      </c>
      <c r="AD125" s="165" t="s">
        <v>370</v>
      </c>
      <c r="AE125" s="53" t="s">
        <v>684</v>
      </c>
      <c r="AF125" s="78" t="s">
        <v>683</v>
      </c>
      <c r="AG125" s="78">
        <v>2.9</v>
      </c>
      <c r="AH125" s="78">
        <v>16.62</v>
      </c>
      <c r="AI125" s="78">
        <v>0.02</v>
      </c>
      <c r="AJ125" s="78">
        <v>101.8</v>
      </c>
      <c r="AK125" s="78">
        <v>4.9000000000000002E-2</v>
      </c>
      <c r="AL125" s="78">
        <v>35</v>
      </c>
      <c r="AM125" s="78">
        <f t="shared" si="75"/>
        <v>3.9726027397260273E-6</v>
      </c>
      <c r="AN125" s="158">
        <f t="shared" si="42"/>
        <v>1.3242009132420091E-2</v>
      </c>
      <c r="AO125" s="231">
        <f t="shared" si="76"/>
        <v>2.2767123287671234E-5</v>
      </c>
      <c r="AP125" s="158">
        <f t="shared" si="43"/>
        <v>6.3242009132420101E-3</v>
      </c>
      <c r="AQ125" s="231">
        <f t="shared" si="77"/>
        <v>2.7397260273972599E-8</v>
      </c>
      <c r="AR125" s="158">
        <f t="shared" si="44"/>
        <v>9.1324200913241998E-5</v>
      </c>
      <c r="AS125" s="231">
        <f t="shared" si="78"/>
        <v>1.3945205479452054E-4</v>
      </c>
      <c r="AT125" s="158">
        <f t="shared" si="45"/>
        <v>4.648401826484018E-2</v>
      </c>
      <c r="AU125" s="231">
        <f t="shared" si="79"/>
        <v>6.7123287671232881E-8</v>
      </c>
      <c r="AV125" s="158">
        <f t="shared" si="46"/>
        <v>1.3424657534246576E-4</v>
      </c>
      <c r="AW125" s="231">
        <f t="shared" si="80"/>
        <v>4.7945205479452053E-5</v>
      </c>
      <c r="AX125" s="158">
        <f t="shared" si="47"/>
        <v>2.3972602739726024E-3</v>
      </c>
      <c r="AY125" s="158">
        <f t="shared" si="48"/>
        <v>8.2876438356164371E-7</v>
      </c>
      <c r="AZ125" s="158">
        <f t="shared" si="49"/>
        <v>2.7625479452054792E-3</v>
      </c>
      <c r="BA125" s="158">
        <f t="shared" si="50"/>
        <v>2.7625479452054792E-8</v>
      </c>
      <c r="BB125" s="158">
        <f t="shared" si="51"/>
        <v>7.8929941291585119E-6</v>
      </c>
      <c r="BC125" s="158">
        <f t="shared" si="52"/>
        <v>1.9052054794520547E-10</v>
      </c>
      <c r="BD125" s="158">
        <f t="shared" si="53"/>
        <v>6.3506849315068496E-7</v>
      </c>
      <c r="BE125" s="158">
        <f t="shared" si="54"/>
        <v>9.6974958904109571E-7</v>
      </c>
      <c r="BF125" s="158">
        <f t="shared" si="55"/>
        <v>1.9394991780821914E-4</v>
      </c>
      <c r="BG125" s="158">
        <f t="shared" si="56"/>
        <v>4.6677534246575338E-10</v>
      </c>
      <c r="BH125" s="158">
        <f t="shared" si="57"/>
        <v>9.3355068493150679E-7</v>
      </c>
      <c r="BI125" s="158">
        <f t="shared" si="58"/>
        <v>3.3341095890410968E-7</v>
      </c>
      <c r="BJ125" s="158">
        <f t="shared" si="59"/>
        <v>5.9537671232876731E-5</v>
      </c>
      <c r="BK125" s="158">
        <f t="shared" si="60"/>
        <v>5.8420628525382759E-10</v>
      </c>
      <c r="BL125" s="158">
        <f t="shared" si="61"/>
        <v>1.9473542841794257E-6</v>
      </c>
      <c r="BM125" s="158">
        <f t="shared" si="62"/>
        <v>3.3481063658340054E-9</v>
      </c>
      <c r="BN125" s="158">
        <f t="shared" si="63"/>
        <v>9.5660181880971575E-7</v>
      </c>
      <c r="BO125" s="158">
        <f t="shared" si="64"/>
        <v>4.0290088638195007E-12</v>
      </c>
      <c r="BP125" s="158">
        <f t="shared" si="65"/>
        <v>1.3430029546065003E-8</v>
      </c>
      <c r="BQ125" s="158">
        <f t="shared" si="66"/>
        <v>2.0507655116841257E-8</v>
      </c>
      <c r="BR125" s="158">
        <f t="shared" si="67"/>
        <v>4.101531023368251E-6</v>
      </c>
      <c r="BS125" s="158">
        <f t="shared" si="68"/>
        <v>9.8710717163577765E-12</v>
      </c>
      <c r="BT125" s="158">
        <f t="shared" si="69"/>
        <v>1.9742143432715554E-8</v>
      </c>
      <c r="BU125" s="158">
        <f t="shared" si="70"/>
        <v>7.0507655116841258E-9</v>
      </c>
      <c r="BV125" s="158">
        <f t="shared" si="71"/>
        <v>1.2590652699435939E-6</v>
      </c>
    </row>
    <row r="126" spans="20:75">
      <c r="T126" s="53" t="s">
        <v>321</v>
      </c>
      <c r="U126" s="53" t="s">
        <v>322</v>
      </c>
      <c r="V126" s="165">
        <v>44065</v>
      </c>
      <c r="W126" s="166">
        <v>0.195803</v>
      </c>
      <c r="X126" s="166">
        <v>34.487564999999996</v>
      </c>
      <c r="Y126" s="166" t="s">
        <v>337</v>
      </c>
      <c r="Z126" s="165" t="s">
        <v>330</v>
      </c>
      <c r="AA126" s="116" t="s">
        <v>347</v>
      </c>
      <c r="AB126" s="154" t="s">
        <v>362</v>
      </c>
      <c r="AC126" s="154" t="s">
        <v>362</v>
      </c>
      <c r="AD126" s="165" t="s">
        <v>366</v>
      </c>
      <c r="AE126" s="53" t="s">
        <v>684</v>
      </c>
      <c r="AF126" s="78" t="s">
        <v>683</v>
      </c>
      <c r="AG126" s="78">
        <v>13.8</v>
      </c>
      <c r="AH126" s="78">
        <v>15.35</v>
      </c>
      <c r="AI126" s="78">
        <v>4.9710000000000004E-2</v>
      </c>
      <c r="AJ126" s="78">
        <v>108.1</v>
      </c>
      <c r="AK126" s="78">
        <v>8.2000000000000003E-2</v>
      </c>
      <c r="AL126" s="78">
        <v>37.700000000000003</v>
      </c>
      <c r="AM126" s="78">
        <f t="shared" si="75"/>
        <v>1.8904109589041096E-5</v>
      </c>
      <c r="AN126" s="158">
        <f t="shared" si="42"/>
        <v>6.3013698630136991E-2</v>
      </c>
      <c r="AO126" s="230">
        <f t="shared" si="76"/>
        <v>2.1027397260273973E-5</v>
      </c>
      <c r="AP126" s="158">
        <f t="shared" si="43"/>
        <v>5.840943683409437E-3</v>
      </c>
      <c r="AQ126" s="230">
        <f t="shared" si="77"/>
        <v>6.8095890410958907E-8</v>
      </c>
      <c r="AR126" s="158">
        <f t="shared" si="44"/>
        <v>2.2698630136986305E-4</v>
      </c>
      <c r="AS126" s="230">
        <f t="shared" si="78"/>
        <v>1.4808219178082192E-4</v>
      </c>
      <c r="AT126" s="158">
        <f t="shared" si="45"/>
        <v>4.9360730593607308E-2</v>
      </c>
      <c r="AU126" s="230">
        <f t="shared" si="79"/>
        <v>1.1232876712328769E-7</v>
      </c>
      <c r="AV126" s="158">
        <f t="shared" si="46"/>
        <v>2.2465753424657538E-4</v>
      </c>
      <c r="AW126" s="230">
        <f t="shared" si="80"/>
        <v>5.1643835616438369E-5</v>
      </c>
      <c r="AX126" s="158">
        <f t="shared" si="47"/>
        <v>2.5821917808219186E-3</v>
      </c>
      <c r="AY126" s="144">
        <f t="shared" si="48"/>
        <v>3.9437753424657537E-6</v>
      </c>
      <c r="AZ126" s="158">
        <f t="shared" si="49"/>
        <v>1.3145917808219181E-2</v>
      </c>
      <c r="BA126" s="144">
        <f t="shared" si="50"/>
        <v>1.3145917808219179E-7</v>
      </c>
      <c r="BB126" s="158">
        <f t="shared" si="51"/>
        <v>3.755976516634051E-5</v>
      </c>
      <c r="BC126" s="144">
        <f t="shared" si="52"/>
        <v>4.7353882191780824E-10</v>
      </c>
      <c r="BD126" s="158">
        <f t="shared" si="53"/>
        <v>1.5784627397260276E-6</v>
      </c>
      <c r="BE126" s="144">
        <f t="shared" si="54"/>
        <v>1.0297635616438356E-6</v>
      </c>
      <c r="BF126" s="158">
        <f t="shared" si="55"/>
        <v>2.0595271232876712E-4</v>
      </c>
      <c r="BG126" s="144">
        <f t="shared" si="56"/>
        <v>7.8113424657534258E-10</v>
      </c>
      <c r="BH126" s="158">
        <f t="shared" si="57"/>
        <v>1.5622684931506851E-6</v>
      </c>
      <c r="BI126" s="144">
        <f t="shared" si="58"/>
        <v>3.5913123287671244E-7</v>
      </c>
      <c r="BJ126" s="158">
        <f t="shared" si="59"/>
        <v>6.4130577299412929E-5</v>
      </c>
      <c r="BK126" s="144">
        <f t="shared" si="60"/>
        <v>2.7800161160354554E-9</v>
      </c>
      <c r="BL126" s="158">
        <f t="shared" si="61"/>
        <v>9.2667203867848529E-6</v>
      </c>
      <c r="BM126" s="144">
        <f t="shared" si="62"/>
        <v>3.0922643029814666E-9</v>
      </c>
      <c r="BN126" s="158">
        <f t="shared" si="63"/>
        <v>8.8350408656613331E-7</v>
      </c>
      <c r="BO126" s="144">
        <f t="shared" si="64"/>
        <v>1.0014101531023369E-11</v>
      </c>
      <c r="BP126" s="158">
        <f t="shared" si="65"/>
        <v>3.3380338436744568E-8</v>
      </c>
      <c r="BQ126" s="144">
        <f t="shared" si="66"/>
        <v>2.1776792908944399E-8</v>
      </c>
      <c r="BR126" s="158">
        <f t="shared" si="67"/>
        <v>4.3553585817888793E-6</v>
      </c>
      <c r="BS126" s="144">
        <f t="shared" si="68"/>
        <v>1.6518936341659951E-11</v>
      </c>
      <c r="BT126" s="158">
        <f t="shared" si="69"/>
        <v>3.3037872683319902E-8</v>
      </c>
      <c r="BU126" s="144">
        <f t="shared" si="70"/>
        <v>7.5946817082997588E-9</v>
      </c>
      <c r="BV126" s="144">
        <f t="shared" si="71"/>
        <v>1.3561931621963854E-6</v>
      </c>
    </row>
    <row r="127" spans="20:75">
      <c r="T127" s="53" t="s">
        <v>323</v>
      </c>
      <c r="U127" s="53" t="s">
        <v>322</v>
      </c>
      <c r="V127" s="165">
        <v>44065</v>
      </c>
      <c r="W127" s="166">
        <v>0.195803</v>
      </c>
      <c r="X127" s="166">
        <v>34.487564999999996</v>
      </c>
      <c r="Y127" s="166" t="s">
        <v>337</v>
      </c>
      <c r="Z127" s="165" t="s">
        <v>330</v>
      </c>
      <c r="AA127" s="116" t="s">
        <v>347</v>
      </c>
      <c r="AB127" s="154" t="s">
        <v>362</v>
      </c>
      <c r="AC127" s="154" t="s">
        <v>362</v>
      </c>
      <c r="AD127" s="165" t="s">
        <v>366</v>
      </c>
      <c r="AE127" s="53" t="s">
        <v>684</v>
      </c>
      <c r="AF127" s="78" t="s">
        <v>683</v>
      </c>
      <c r="AG127" s="78">
        <v>14.2</v>
      </c>
      <c r="AH127" s="78">
        <v>15.75</v>
      </c>
      <c r="AI127" s="78">
        <v>0.05</v>
      </c>
      <c r="AJ127" s="78">
        <v>113.2</v>
      </c>
      <c r="AK127" s="78">
        <v>0.111</v>
      </c>
      <c r="AL127" s="78">
        <v>38.6</v>
      </c>
      <c r="AM127" s="78">
        <f t="shared" si="75"/>
        <v>1.9452054794520547E-5</v>
      </c>
      <c r="AN127" s="158">
        <f t="shared" si="42"/>
        <v>6.4840182648401828E-2</v>
      </c>
      <c r="AO127" s="230">
        <f t="shared" si="76"/>
        <v>2.1575342465753421E-5</v>
      </c>
      <c r="AP127" s="158">
        <f t="shared" si="43"/>
        <v>5.9931506849315056E-3</v>
      </c>
      <c r="AQ127" s="230">
        <f t="shared" si="77"/>
        <v>6.8493150684931506E-8</v>
      </c>
      <c r="AR127" s="158">
        <f t="shared" si="44"/>
        <v>2.2831050228310504E-4</v>
      </c>
      <c r="AS127" s="230">
        <f t="shared" si="78"/>
        <v>1.5506849315068493E-4</v>
      </c>
      <c r="AT127" s="158">
        <f t="shared" si="45"/>
        <v>5.1689497716894975E-2</v>
      </c>
      <c r="AU127" s="230">
        <f t="shared" si="79"/>
        <v>1.5205479452054795E-7</v>
      </c>
      <c r="AV127" s="158">
        <f t="shared" si="46"/>
        <v>3.041095890410959E-4</v>
      </c>
      <c r="AW127" s="230">
        <f t="shared" si="80"/>
        <v>5.2876712328767125E-5</v>
      </c>
      <c r="AX127" s="158">
        <f t="shared" si="47"/>
        <v>2.6438356164383563E-3</v>
      </c>
      <c r="AY127" s="144">
        <f t="shared" si="48"/>
        <v>4.0580876712328765E-6</v>
      </c>
      <c r="AZ127" s="158">
        <f t="shared" si="49"/>
        <v>1.352695890410959E-2</v>
      </c>
      <c r="BA127" s="144">
        <f t="shared" si="50"/>
        <v>1.3526958904109588E-7</v>
      </c>
      <c r="BB127" s="158">
        <f t="shared" si="51"/>
        <v>3.8648454011741681E-5</v>
      </c>
      <c r="BC127" s="144">
        <f t="shared" si="52"/>
        <v>4.7630136986301372E-10</v>
      </c>
      <c r="BD127" s="158">
        <f t="shared" si="53"/>
        <v>1.5876712328767124E-6</v>
      </c>
      <c r="BE127" s="144">
        <f t="shared" si="54"/>
        <v>1.0783463013698629E-6</v>
      </c>
      <c r="BF127" s="158">
        <f t="shared" si="55"/>
        <v>2.1566926027397258E-4</v>
      </c>
      <c r="BG127" s="144">
        <f t="shared" si="56"/>
        <v>1.0573890410958903E-9</v>
      </c>
      <c r="BH127" s="158">
        <f t="shared" si="57"/>
        <v>2.1147780821917805E-6</v>
      </c>
      <c r="BI127" s="144">
        <f t="shared" si="58"/>
        <v>3.6770465753424655E-7</v>
      </c>
      <c r="BJ127" s="158">
        <f t="shared" si="59"/>
        <v>6.5661545988258315E-5</v>
      </c>
      <c r="BK127" s="144">
        <f t="shared" si="60"/>
        <v>2.8605962933118451E-9</v>
      </c>
      <c r="BL127" s="158">
        <f t="shared" si="61"/>
        <v>9.5353209777061512E-6</v>
      </c>
      <c r="BM127" s="144">
        <f t="shared" si="62"/>
        <v>3.1728444802578567E-9</v>
      </c>
      <c r="BN127" s="158">
        <f t="shared" si="63"/>
        <v>9.0652699435938762E-7</v>
      </c>
      <c r="BO127" s="144">
        <f t="shared" si="64"/>
        <v>1.0072522159548751E-11</v>
      </c>
      <c r="BP127" s="158">
        <f t="shared" si="65"/>
        <v>3.3575073865162504E-8</v>
      </c>
      <c r="BQ127" s="144">
        <f t="shared" si="66"/>
        <v>2.2804190169218371E-8</v>
      </c>
      <c r="BR127" s="158">
        <f t="shared" si="67"/>
        <v>4.5608380338436743E-6</v>
      </c>
      <c r="BS127" s="144">
        <f t="shared" si="68"/>
        <v>2.2360999194198232E-11</v>
      </c>
      <c r="BT127" s="158">
        <f t="shared" si="69"/>
        <v>4.4721998388396464E-8</v>
      </c>
      <c r="BU127" s="144">
        <f t="shared" si="70"/>
        <v>7.7759871071716365E-9</v>
      </c>
      <c r="BV127" s="144">
        <f t="shared" si="71"/>
        <v>1.3885691262806495E-6</v>
      </c>
    </row>
    <row r="128" spans="20:75">
      <c r="T128" s="53" t="s">
        <v>324</v>
      </c>
      <c r="U128" s="39" t="s">
        <v>325</v>
      </c>
      <c r="V128" s="165">
        <v>44065</v>
      </c>
      <c r="W128" s="166">
        <v>0.195803</v>
      </c>
      <c r="X128" s="166">
        <v>34.487564999999996</v>
      </c>
      <c r="Y128" s="166" t="s">
        <v>338</v>
      </c>
      <c r="Z128" s="165" t="s">
        <v>330</v>
      </c>
      <c r="AA128" s="116" t="s">
        <v>347</v>
      </c>
      <c r="AB128" s="154" t="s">
        <v>362</v>
      </c>
      <c r="AC128" s="154" t="s">
        <v>362</v>
      </c>
      <c r="AD128" s="165" t="s">
        <v>370</v>
      </c>
      <c r="AE128" s="53" t="s">
        <v>684</v>
      </c>
      <c r="AF128" s="78" t="s">
        <v>683</v>
      </c>
      <c r="AG128" s="78">
        <v>11.6</v>
      </c>
      <c r="AH128" s="78">
        <v>18.75</v>
      </c>
      <c r="AI128" s="78">
        <v>4.1730000000000003E-2</v>
      </c>
      <c r="AJ128" s="78">
        <v>139.6</v>
      </c>
      <c r="AK128" s="78">
        <v>0.111</v>
      </c>
      <c r="AL128" s="78">
        <v>27.9</v>
      </c>
      <c r="AM128" s="78">
        <f t="shared" si="75"/>
        <v>1.5890410958904109E-5</v>
      </c>
      <c r="AN128" s="158">
        <f t="shared" si="42"/>
        <v>5.2968036529680365E-2</v>
      </c>
      <c r="AO128" s="230">
        <f t="shared" si="76"/>
        <v>2.5684931506849317E-5</v>
      </c>
      <c r="AP128" s="158">
        <f t="shared" si="43"/>
        <v>7.1347031963470324E-3</v>
      </c>
      <c r="AQ128" s="230">
        <f t="shared" si="77"/>
        <v>5.7164383561643838E-8</v>
      </c>
      <c r="AR128" s="158">
        <f t="shared" si="44"/>
        <v>1.9054794520547948E-4</v>
      </c>
      <c r="AS128" s="230">
        <f t="shared" si="78"/>
        <v>1.9123287671232874E-4</v>
      </c>
      <c r="AT128" s="158">
        <f t="shared" si="45"/>
        <v>6.3744292237442907E-2</v>
      </c>
      <c r="AU128" s="230">
        <f t="shared" si="79"/>
        <v>1.5205479452054795E-7</v>
      </c>
      <c r="AV128" s="158">
        <f t="shared" si="46"/>
        <v>3.041095890410959E-4</v>
      </c>
      <c r="AW128" s="230">
        <f t="shared" si="80"/>
        <v>3.8219178082191776E-5</v>
      </c>
      <c r="AX128" s="158">
        <f t="shared" si="47"/>
        <v>1.9109589041095888E-3</v>
      </c>
      <c r="AY128" s="144">
        <f t="shared" si="48"/>
        <v>3.3150575342465748E-6</v>
      </c>
      <c r="AZ128" s="158">
        <f t="shared" si="49"/>
        <v>1.1050191780821917E-2</v>
      </c>
      <c r="BA128" s="144">
        <f t="shared" si="50"/>
        <v>1.1050191780821917E-7</v>
      </c>
      <c r="BB128" s="158">
        <f t="shared" si="51"/>
        <v>3.1571976516634048E-5</v>
      </c>
      <c r="BC128" s="144">
        <f t="shared" si="52"/>
        <v>3.9752112328767123E-10</v>
      </c>
      <c r="BD128" s="158">
        <f t="shared" si="53"/>
        <v>1.3250704109589042E-6</v>
      </c>
      <c r="BE128" s="144">
        <f t="shared" si="54"/>
        <v>1.3298334246575344E-6</v>
      </c>
      <c r="BF128" s="158">
        <f t="shared" si="55"/>
        <v>2.6596668493150688E-4</v>
      </c>
      <c r="BG128" s="144">
        <f t="shared" si="56"/>
        <v>1.0573890410958903E-9</v>
      </c>
      <c r="BH128" s="158">
        <f t="shared" si="57"/>
        <v>2.1147780821917805E-6</v>
      </c>
      <c r="BI128" s="144">
        <f t="shared" si="58"/>
        <v>2.6577616438356161E-7</v>
      </c>
      <c r="BJ128" s="158">
        <f t="shared" si="59"/>
        <v>4.7460029354207429E-5</v>
      </c>
      <c r="BK128" s="144">
        <f t="shared" si="60"/>
        <v>2.3368251410153104E-9</v>
      </c>
      <c r="BL128" s="158">
        <f t="shared" si="61"/>
        <v>7.7894171367177027E-6</v>
      </c>
      <c r="BM128" s="144">
        <f t="shared" si="62"/>
        <v>3.7771958098307819E-9</v>
      </c>
      <c r="BN128" s="158">
        <f t="shared" si="63"/>
        <v>1.0791988028087948E-6</v>
      </c>
      <c r="BO128" s="144">
        <f t="shared" si="64"/>
        <v>8.4065269943593892E-12</v>
      </c>
      <c r="BP128" s="158">
        <f t="shared" si="65"/>
        <v>2.8021756647864634E-8</v>
      </c>
      <c r="BQ128" s="144">
        <f t="shared" si="66"/>
        <v>2.8122481869460113E-8</v>
      </c>
      <c r="BR128" s="158">
        <f t="shared" si="67"/>
        <v>5.6244963738920226E-6</v>
      </c>
      <c r="BS128" s="144">
        <f t="shared" si="68"/>
        <v>2.2360999194198232E-11</v>
      </c>
      <c r="BT128" s="158">
        <f t="shared" si="69"/>
        <v>4.4721998388396464E-8</v>
      </c>
      <c r="BU128" s="144">
        <f t="shared" si="70"/>
        <v>5.6204673650282034E-9</v>
      </c>
      <c r="BV128" s="144">
        <f t="shared" si="71"/>
        <v>1.0036548866121791E-6</v>
      </c>
    </row>
    <row r="129" spans="20:74">
      <c r="T129" s="53" t="s">
        <v>326</v>
      </c>
      <c r="U129" s="39" t="s">
        <v>327</v>
      </c>
      <c r="V129" s="165">
        <v>44065</v>
      </c>
      <c r="W129" s="166">
        <v>0.195803</v>
      </c>
      <c r="X129" s="166">
        <v>34.487564999999996</v>
      </c>
      <c r="Y129" s="166" t="s">
        <v>337</v>
      </c>
      <c r="Z129" s="165" t="s">
        <v>330</v>
      </c>
      <c r="AA129" s="116" t="s">
        <v>347</v>
      </c>
      <c r="AB129" s="154" t="s">
        <v>362</v>
      </c>
      <c r="AC129" s="154" t="s">
        <v>362</v>
      </c>
      <c r="AD129" s="165" t="s">
        <v>367</v>
      </c>
      <c r="AE129" s="53" t="s">
        <v>684</v>
      </c>
      <c r="AF129" s="78" t="s">
        <v>683</v>
      </c>
      <c r="AG129" s="78">
        <v>11.1</v>
      </c>
      <c r="AH129" s="78">
        <v>24.11</v>
      </c>
      <c r="AI129" s="78">
        <v>4.2450000000000002E-2</v>
      </c>
      <c r="AJ129" s="78">
        <v>130.80000000000001</v>
      </c>
      <c r="AK129" s="78">
        <v>0.188</v>
      </c>
      <c r="AL129" s="78">
        <v>26.9</v>
      </c>
      <c r="AM129" s="78">
        <f t="shared" si="75"/>
        <v>1.5205479452054794E-5</v>
      </c>
      <c r="AN129" s="158">
        <f t="shared" si="42"/>
        <v>5.0684931506849315E-2</v>
      </c>
      <c r="AO129" s="230">
        <f t="shared" si="76"/>
        <v>3.3027397260273973E-5</v>
      </c>
      <c r="AP129" s="158">
        <f t="shared" si="43"/>
        <v>9.1742770167427701E-3</v>
      </c>
      <c r="AQ129" s="230">
        <f t="shared" si="77"/>
        <v>5.8150684931506849E-8</v>
      </c>
      <c r="AR129" s="158">
        <f t="shared" si="44"/>
        <v>1.9383561643835617E-4</v>
      </c>
      <c r="AS129" s="230">
        <f t="shared" si="78"/>
        <v>1.7917808219178086E-4</v>
      </c>
      <c r="AT129" s="158">
        <f t="shared" si="45"/>
        <v>5.9726027397260288E-2</v>
      </c>
      <c r="AU129" s="230">
        <f t="shared" si="79"/>
        <v>2.5753424657534247E-7</v>
      </c>
      <c r="AV129" s="158">
        <f t="shared" si="46"/>
        <v>5.1506849315068493E-4</v>
      </c>
      <c r="AW129" s="230">
        <f t="shared" si="80"/>
        <v>3.6849315068493145E-5</v>
      </c>
      <c r="AX129" s="158">
        <f t="shared" si="47"/>
        <v>1.8424657534246572E-3</v>
      </c>
      <c r="AY129" s="144">
        <f t="shared" si="48"/>
        <v>3.1721671232876703E-6</v>
      </c>
      <c r="AZ129" s="158">
        <f t="shared" si="49"/>
        <v>1.0573890410958901E-2</v>
      </c>
      <c r="BA129" s="144">
        <f t="shared" si="50"/>
        <v>1.0573890410958903E-7</v>
      </c>
      <c r="BB129" s="158">
        <f t="shared" si="51"/>
        <v>3.021111545988258E-5</v>
      </c>
      <c r="BC129" s="144">
        <f t="shared" si="52"/>
        <v>4.0437986301369856E-10</v>
      </c>
      <c r="BD129" s="158">
        <f t="shared" si="53"/>
        <v>1.3479328767123287E-6</v>
      </c>
      <c r="BE129" s="144">
        <f t="shared" si="54"/>
        <v>1.246004383561644E-6</v>
      </c>
      <c r="BF129" s="158">
        <f t="shared" si="55"/>
        <v>2.4920087671232881E-4</v>
      </c>
      <c r="BG129" s="144">
        <f t="shared" si="56"/>
        <v>1.7908931506849314E-9</v>
      </c>
      <c r="BH129" s="158">
        <f t="shared" si="57"/>
        <v>3.5817863013698628E-6</v>
      </c>
      <c r="BI129" s="144">
        <f t="shared" si="58"/>
        <v>2.5625013698630141E-7</v>
      </c>
      <c r="BJ129" s="158">
        <f t="shared" si="59"/>
        <v>4.5758953033268112E-5</v>
      </c>
      <c r="BK129" s="144">
        <f t="shared" si="60"/>
        <v>2.2360999194198228E-9</v>
      </c>
      <c r="BL129" s="158">
        <f t="shared" si="61"/>
        <v>7.4536663980660768E-6</v>
      </c>
      <c r="BM129" s="144">
        <f t="shared" si="62"/>
        <v>4.8569701853344075E-9</v>
      </c>
      <c r="BN129" s="158">
        <f t="shared" si="63"/>
        <v>1.3877057672384022E-6</v>
      </c>
      <c r="BO129" s="144">
        <f t="shared" si="64"/>
        <v>8.5515713134568889E-12</v>
      </c>
      <c r="BP129" s="158">
        <f t="shared" si="65"/>
        <v>2.8505237711522964E-8</v>
      </c>
      <c r="BQ129" s="144">
        <f t="shared" si="66"/>
        <v>2.6349717969379531E-8</v>
      </c>
      <c r="BR129" s="158">
        <f t="shared" si="67"/>
        <v>5.269943593875906E-6</v>
      </c>
      <c r="BS129" s="144">
        <f t="shared" si="68"/>
        <v>3.7872683319903305E-11</v>
      </c>
      <c r="BT129" s="158">
        <f t="shared" si="69"/>
        <v>7.5745366639806613E-8</v>
      </c>
      <c r="BU129" s="144">
        <f t="shared" si="70"/>
        <v>5.4190169218372282E-9</v>
      </c>
      <c r="BV129" s="144">
        <f t="shared" si="71"/>
        <v>9.6768159318521932E-7</v>
      </c>
    </row>
    <row r="130" spans="20:74">
      <c r="T130" s="53" t="s">
        <v>328</v>
      </c>
      <c r="U130" s="39" t="s">
        <v>329</v>
      </c>
      <c r="V130" s="165">
        <v>44065</v>
      </c>
      <c r="W130" s="166">
        <v>0.49734299999999998</v>
      </c>
      <c r="X130" s="166">
        <v>35.278543999999997</v>
      </c>
      <c r="Y130" s="166" t="s">
        <v>346</v>
      </c>
      <c r="Z130" s="165" t="s">
        <v>345</v>
      </c>
      <c r="AA130" s="116" t="s">
        <v>347</v>
      </c>
      <c r="AB130" s="154" t="s">
        <v>362</v>
      </c>
      <c r="AC130" s="154" t="s">
        <v>362</v>
      </c>
      <c r="AD130" s="165" t="s">
        <v>368</v>
      </c>
      <c r="AE130" s="53" t="s">
        <v>684</v>
      </c>
      <c r="AF130" s="78" t="s">
        <v>683</v>
      </c>
      <c r="AG130" s="78">
        <v>10.8</v>
      </c>
      <c r="AH130" s="78">
        <v>36.299999999999997</v>
      </c>
      <c r="AI130" s="78">
        <v>2.2689999999999998E-2</v>
      </c>
      <c r="AJ130" s="78">
        <v>69.400000000000006</v>
      </c>
      <c r="AK130" s="78">
        <v>0.16900000000000001</v>
      </c>
      <c r="AL130" s="78">
        <v>28.5</v>
      </c>
      <c r="AM130" s="78">
        <f t="shared" si="75"/>
        <v>1.4794520547945205E-5</v>
      </c>
      <c r="AN130" s="158">
        <f t="shared" si="42"/>
        <v>4.9315068493150691E-2</v>
      </c>
      <c r="AO130" s="230">
        <f t="shared" si="76"/>
        <v>4.972602739726026E-5</v>
      </c>
      <c r="AP130" s="158">
        <f t="shared" si="43"/>
        <v>1.381278538812785E-2</v>
      </c>
      <c r="AQ130" s="230">
        <f t="shared" si="77"/>
        <v>3.1082191780821908E-8</v>
      </c>
      <c r="AR130" s="158">
        <f t="shared" si="44"/>
        <v>1.0360730593607304E-4</v>
      </c>
      <c r="AS130" s="230">
        <f t="shared" si="78"/>
        <v>9.5068493150684939E-5</v>
      </c>
      <c r="AT130" s="158">
        <f t="shared" si="45"/>
        <v>3.1689497716894978E-2</v>
      </c>
      <c r="AU130" s="230">
        <f t="shared" si="79"/>
        <v>2.3150684931506853E-7</v>
      </c>
      <c r="AV130" s="158">
        <f t="shared" si="46"/>
        <v>4.6301369863013705E-4</v>
      </c>
      <c r="AW130" s="230">
        <f t="shared" si="80"/>
        <v>3.9041095890410956E-5</v>
      </c>
      <c r="AX130" s="158">
        <f t="shared" si="47"/>
        <v>1.9520547945205478E-3</v>
      </c>
      <c r="AY130" s="144">
        <f t="shared" si="48"/>
        <v>3.0864328767123289E-6</v>
      </c>
      <c r="AZ130" s="158">
        <f t="shared" si="49"/>
        <v>1.0288109589041097E-2</v>
      </c>
      <c r="BA130" s="144">
        <f t="shared" si="50"/>
        <v>1.0288109589041098E-7</v>
      </c>
      <c r="BB130" s="158">
        <f t="shared" si="51"/>
        <v>2.9394598825831708E-5</v>
      </c>
      <c r="BC130" s="144">
        <f t="shared" si="52"/>
        <v>2.1614556164383563E-10</v>
      </c>
      <c r="BD130" s="158">
        <f t="shared" si="53"/>
        <v>7.2048520547945213E-7</v>
      </c>
      <c r="BE130" s="144">
        <f t="shared" si="54"/>
        <v>6.6110630136986307E-7</v>
      </c>
      <c r="BF130" s="158">
        <f t="shared" si="55"/>
        <v>1.3222126027397261E-4</v>
      </c>
      <c r="BG130" s="144">
        <f t="shared" si="56"/>
        <v>1.6098986301369864E-9</v>
      </c>
      <c r="BH130" s="158">
        <f t="shared" si="57"/>
        <v>3.2197972602739727E-6</v>
      </c>
      <c r="BI130" s="144">
        <f t="shared" si="58"/>
        <v>2.7149178082191779E-7</v>
      </c>
      <c r="BJ130" s="158">
        <f t="shared" si="59"/>
        <v>4.8480675146771033E-5</v>
      </c>
      <c r="BK130" s="144">
        <f t="shared" si="60"/>
        <v>2.1756647864625302E-9</v>
      </c>
      <c r="BL130" s="158">
        <f t="shared" si="61"/>
        <v>7.2522159548751009E-6</v>
      </c>
      <c r="BM130" s="144">
        <f t="shared" si="62"/>
        <v>7.3126510878323935E-9</v>
      </c>
      <c r="BN130" s="158">
        <f t="shared" si="63"/>
        <v>2.0893288822378265E-6</v>
      </c>
      <c r="BO130" s="144">
        <f t="shared" si="64"/>
        <v>4.5709105560032228E-12</v>
      </c>
      <c r="BP130" s="158">
        <f t="shared" si="65"/>
        <v>1.5236368520010745E-8</v>
      </c>
      <c r="BQ130" s="144">
        <f t="shared" si="66"/>
        <v>1.3980660757453666E-8</v>
      </c>
      <c r="BR130" s="158">
        <f t="shared" si="67"/>
        <v>2.7961321514907333E-6</v>
      </c>
      <c r="BS130" s="144">
        <f t="shared" si="68"/>
        <v>3.4045124899274784E-11</v>
      </c>
      <c r="BT130" s="158">
        <f t="shared" si="69"/>
        <v>6.8090249798549562E-8</v>
      </c>
      <c r="BU130" s="144">
        <f t="shared" si="70"/>
        <v>5.7413376309427877E-9</v>
      </c>
      <c r="BV130" s="144">
        <f t="shared" si="71"/>
        <v>1.025238862668355E-6</v>
      </c>
    </row>
    <row r="131" spans="20:74">
      <c r="AM131" s="144"/>
      <c r="AN131" s="158"/>
      <c r="AO131" s="144"/>
      <c r="AP131" s="158"/>
      <c r="AQ131" s="144"/>
      <c r="AR131" s="144"/>
      <c r="AS131" s="144"/>
      <c r="AT131" s="144"/>
      <c r="AU131" s="144"/>
      <c r="AV131" s="144"/>
      <c r="AW131" s="144"/>
      <c r="AX131" s="144"/>
      <c r="AY131" s="144"/>
      <c r="AZ131" s="144"/>
      <c r="BA131" s="144"/>
      <c r="BB131" s="144"/>
      <c r="BC131" s="144"/>
      <c r="BD131" s="144"/>
      <c r="BE131" s="144"/>
      <c r="BF131" s="144"/>
      <c r="BG131" s="144"/>
      <c r="BH131" s="144"/>
      <c r="BI131" s="144"/>
      <c r="BJ131" s="144"/>
      <c r="BK131" s="144"/>
      <c r="BL131" s="144"/>
      <c r="BM131" s="144"/>
      <c r="BN131" s="144"/>
      <c r="BO131" s="144"/>
      <c r="BP131" s="144"/>
      <c r="BQ131" s="144"/>
      <c r="BR131" s="144"/>
      <c r="BS131" s="144"/>
      <c r="BT131" s="158"/>
      <c r="BU131" s="144"/>
      <c r="BV131" s="144"/>
    </row>
    <row r="132" spans="20:74">
      <c r="T132" s="17" t="s">
        <v>1020</v>
      </c>
      <c r="AM132" s="144"/>
      <c r="AN132" s="158"/>
      <c r="AO132" s="144"/>
      <c r="AP132" s="158"/>
      <c r="AQ132" s="144"/>
      <c r="AR132" s="144"/>
      <c r="AS132" s="144"/>
      <c r="AT132" s="144"/>
      <c r="AU132" s="144"/>
      <c r="AV132" s="144"/>
      <c r="AW132" s="144"/>
      <c r="AX132" s="144"/>
      <c r="AY132" s="144"/>
      <c r="AZ132" s="144"/>
      <c r="BA132" s="144"/>
      <c r="BB132" s="144"/>
      <c r="BC132" s="144"/>
      <c r="BD132" s="144"/>
      <c r="BE132" s="144"/>
      <c r="BF132" s="144"/>
      <c r="BG132" s="144"/>
      <c r="BH132" s="144"/>
      <c r="BI132" s="144"/>
      <c r="BJ132" s="144"/>
      <c r="BK132" s="144"/>
      <c r="BL132" s="144"/>
      <c r="BM132" s="144"/>
      <c r="BN132" s="144"/>
      <c r="BO132" s="144"/>
      <c r="BP132" s="144"/>
      <c r="BQ132" s="144"/>
      <c r="BR132" s="144"/>
      <c r="BS132" s="39" t="s">
        <v>958</v>
      </c>
      <c r="BT132" s="158"/>
      <c r="BU132" s="144"/>
      <c r="BV132" s="144"/>
    </row>
    <row r="133" spans="20:74">
      <c r="T133" s="26" t="s">
        <v>0</v>
      </c>
      <c r="U133" s="26" t="s">
        <v>692</v>
      </c>
      <c r="V133" s="83" t="s">
        <v>1</v>
      </c>
      <c r="W133" s="83" t="s">
        <v>301</v>
      </c>
      <c r="X133" s="83" t="s">
        <v>300</v>
      </c>
      <c r="Y133" s="83" t="s">
        <v>348</v>
      </c>
      <c r="Z133" s="83" t="s">
        <v>302</v>
      </c>
      <c r="AA133" s="26" t="s">
        <v>303</v>
      </c>
      <c r="AB133" s="26" t="s">
        <v>363</v>
      </c>
      <c r="AC133" s="26" t="s">
        <v>681</v>
      </c>
      <c r="AD133" s="26" t="s">
        <v>680</v>
      </c>
      <c r="AE133" s="83" t="s">
        <v>686</v>
      </c>
      <c r="AF133" s="83" t="s">
        <v>693</v>
      </c>
      <c r="AM133" s="205" t="s">
        <v>920</v>
      </c>
      <c r="AN133" s="206" t="s">
        <v>921</v>
      </c>
      <c r="AO133" s="32" t="s">
        <v>922</v>
      </c>
      <c r="AP133" s="206" t="s">
        <v>923</v>
      </c>
      <c r="AQ133" s="143" t="s">
        <v>924</v>
      </c>
      <c r="AR133" s="206" t="s">
        <v>925</v>
      </c>
      <c r="AS133" s="32" t="s">
        <v>926</v>
      </c>
      <c r="AT133" s="206" t="s">
        <v>927</v>
      </c>
      <c r="AU133" s="205" t="s">
        <v>928</v>
      </c>
      <c r="AV133" s="206" t="s">
        <v>929</v>
      </c>
      <c r="AW133" s="32" t="s">
        <v>930</v>
      </c>
      <c r="AX133" s="206" t="s">
        <v>931</v>
      </c>
      <c r="AY133" s="205" t="s">
        <v>932</v>
      </c>
      <c r="AZ133" s="206" t="s">
        <v>933</v>
      </c>
      <c r="BA133" s="32" t="s">
        <v>934</v>
      </c>
      <c r="BB133" s="206" t="s">
        <v>935</v>
      </c>
      <c r="BC133" s="143" t="s">
        <v>936</v>
      </c>
      <c r="BD133" s="206" t="s">
        <v>937</v>
      </c>
      <c r="BE133" s="32" t="s">
        <v>938</v>
      </c>
      <c r="BF133" s="206" t="s">
        <v>939</v>
      </c>
      <c r="BG133" s="205" t="s">
        <v>940</v>
      </c>
      <c r="BH133" s="206" t="s">
        <v>941</v>
      </c>
      <c r="BI133" s="32" t="s">
        <v>942</v>
      </c>
      <c r="BJ133" s="206" t="s">
        <v>943</v>
      </c>
      <c r="BK133" s="205" t="s">
        <v>944</v>
      </c>
      <c r="BL133" s="206" t="s">
        <v>945</v>
      </c>
      <c r="BM133" s="32" t="s">
        <v>946</v>
      </c>
      <c r="BN133" s="206" t="s">
        <v>947</v>
      </c>
      <c r="BO133" s="143" t="s">
        <v>948</v>
      </c>
      <c r="BP133" s="206" t="s">
        <v>949</v>
      </c>
      <c r="BQ133" s="32" t="s">
        <v>950</v>
      </c>
      <c r="BR133" s="206" t="s">
        <v>951</v>
      </c>
      <c r="BS133" s="205" t="s">
        <v>952</v>
      </c>
      <c r="BT133" s="206" t="s">
        <v>953</v>
      </c>
      <c r="BU133" s="32" t="s">
        <v>954</v>
      </c>
      <c r="BV133" s="206" t="s">
        <v>955</v>
      </c>
    </row>
    <row r="134" spans="20:74" ht="18">
      <c r="T134" s="27"/>
      <c r="U134" s="27"/>
      <c r="V134" s="116"/>
      <c r="W134" s="116"/>
      <c r="X134" s="116"/>
      <c r="Y134" s="116"/>
      <c r="Z134" s="116"/>
      <c r="AA134" s="116"/>
      <c r="AB134" s="116" t="s">
        <v>349</v>
      </c>
      <c r="AC134" s="116"/>
      <c r="AD134" s="116"/>
      <c r="AE134" s="116"/>
      <c r="AF134" s="116"/>
      <c r="AG134" s="8" t="s">
        <v>403</v>
      </c>
      <c r="AH134" s="8" t="s">
        <v>403</v>
      </c>
      <c r="AI134" s="8" t="s">
        <v>403</v>
      </c>
      <c r="AJ134" s="8" t="s">
        <v>403</v>
      </c>
      <c r="AK134" s="8" t="s">
        <v>403</v>
      </c>
      <c r="AL134" s="8" t="s">
        <v>403</v>
      </c>
      <c r="AM134" s="8" t="s">
        <v>960</v>
      </c>
      <c r="AN134" s="89"/>
      <c r="AP134" s="89"/>
      <c r="AR134" s="89"/>
      <c r="AT134" s="89"/>
      <c r="AV134" s="89"/>
      <c r="AX134" s="89"/>
    </row>
    <row r="135" spans="20:74">
      <c r="T135" s="152" t="s">
        <v>297</v>
      </c>
      <c r="U135" s="43"/>
      <c r="V135" s="153"/>
      <c r="W135" s="153"/>
      <c r="X135" s="153"/>
      <c r="Y135" s="153"/>
      <c r="Z135" s="153"/>
      <c r="AA135" s="116"/>
      <c r="AB135" s="116"/>
      <c r="AC135" s="116"/>
      <c r="AD135" s="153"/>
      <c r="AE135" s="153"/>
      <c r="AF135" s="153"/>
      <c r="AG135" s="57" t="s">
        <v>77</v>
      </c>
      <c r="AH135" s="57" t="s">
        <v>69</v>
      </c>
      <c r="AI135" s="56">
        <v>0.02</v>
      </c>
      <c r="AJ135" s="57" t="s">
        <v>69</v>
      </c>
      <c r="AK135" s="57" t="s">
        <v>83</v>
      </c>
      <c r="AL135" s="57" t="s">
        <v>73</v>
      </c>
      <c r="AM135" s="211"/>
      <c r="AN135" s="211"/>
      <c r="AO135" s="211"/>
      <c r="AP135" s="211"/>
      <c r="AQ135" s="211"/>
      <c r="AR135" s="211"/>
      <c r="AS135" s="211"/>
      <c r="AT135" s="211"/>
      <c r="AU135" s="211"/>
      <c r="AV135" s="211"/>
      <c r="AW135" s="211"/>
      <c r="AX135" s="211"/>
      <c r="AY135" s="211"/>
      <c r="AZ135" s="211"/>
      <c r="BA135" s="211"/>
      <c r="BB135" s="211"/>
      <c r="BC135" s="211"/>
      <c r="BD135" s="211"/>
      <c r="BE135" s="211"/>
      <c r="BF135" s="211"/>
      <c r="BG135" s="211"/>
      <c r="BH135" s="211"/>
      <c r="BI135" s="211"/>
      <c r="BJ135" s="211"/>
      <c r="BK135" s="211"/>
      <c r="BL135" s="211"/>
      <c r="BM135" s="211"/>
      <c r="BN135" s="211"/>
      <c r="BO135" s="211"/>
      <c r="BP135" s="211"/>
      <c r="BQ135" s="211"/>
      <c r="BR135" s="211"/>
      <c r="BS135" s="211"/>
      <c r="BT135" s="211"/>
      <c r="BU135" s="211"/>
      <c r="BV135" s="211"/>
    </row>
    <row r="136" spans="20:74">
      <c r="T136" s="53" t="s">
        <v>87</v>
      </c>
      <c r="U136" s="154" t="s">
        <v>88</v>
      </c>
      <c r="V136" s="155" t="s">
        <v>339</v>
      </c>
      <c r="W136" s="53">
        <v>0.258245</v>
      </c>
      <c r="X136" s="53">
        <v>34.717754999999997</v>
      </c>
      <c r="Y136" s="53" t="s">
        <v>372</v>
      </c>
      <c r="Z136" s="53" t="s">
        <v>330</v>
      </c>
      <c r="AA136" s="116" t="s">
        <v>347</v>
      </c>
      <c r="AB136" s="154" t="s">
        <v>371</v>
      </c>
      <c r="AC136" s="116" t="s">
        <v>687</v>
      </c>
      <c r="AD136" s="53" t="s">
        <v>361</v>
      </c>
      <c r="AE136" s="53" t="s">
        <v>685</v>
      </c>
      <c r="AF136" s="53" t="s">
        <v>690</v>
      </c>
      <c r="AG136" s="156">
        <v>35.5</v>
      </c>
      <c r="AH136" s="157">
        <v>19.8</v>
      </c>
      <c r="AI136" s="75">
        <v>11.04308</v>
      </c>
      <c r="AJ136" s="157">
        <v>517.5</v>
      </c>
      <c r="AK136" s="156">
        <v>0.11600000000000001</v>
      </c>
      <c r="AL136" s="157">
        <v>98.9</v>
      </c>
      <c r="AM136" s="144">
        <f t="shared" ref="AM136:AM199" si="81">(AG136*200*350*6*0.000001)/(15*6*365)</f>
        <v>4.5388127853881278E-4</v>
      </c>
      <c r="AN136" s="158">
        <f>AM136/0.0003</f>
        <v>1.512937595129376</v>
      </c>
      <c r="AO136" s="144">
        <f t="shared" ref="AO136:AO199" si="82">(AH136*200*350*6*0.000001)/(15*6*365)</f>
        <v>2.531506849315068E-4</v>
      </c>
      <c r="AP136" s="158">
        <f>AO136/0.0036</f>
        <v>7.031963470319634E-2</v>
      </c>
      <c r="AQ136" s="144">
        <f t="shared" ref="AQ136:AQ199" si="83">(AI136*200*350*6*0.000001)/(15*6*365)</f>
        <v>1.4119006392694061E-4</v>
      </c>
      <c r="AR136" s="158">
        <f>AQ136/0.0003</f>
        <v>0.47063354642313543</v>
      </c>
      <c r="AS136" s="144">
        <f t="shared" ref="AS136:AS199" si="84">(AJ136*200*350*6*0.000001)/(15*6*365)</f>
        <v>6.6164383561643832E-3</v>
      </c>
      <c r="AT136" s="158">
        <f>AS136/0.003</f>
        <v>2.2054794520547945</v>
      </c>
      <c r="AU136" s="144">
        <f t="shared" ref="AU136:AU199" si="85">(AK136*200*350*6*0.000001)/(15*6*365)</f>
        <v>1.4831050228310503E-6</v>
      </c>
      <c r="AV136" s="158">
        <f>AU136/0.0005</f>
        <v>2.9662100456621008E-3</v>
      </c>
      <c r="AW136" s="144">
        <f t="shared" ref="AW136:AW199" si="86">(AL136*200*350*6*0.000001)/(15*6*365)</f>
        <v>1.2644748858447487E-3</v>
      </c>
      <c r="AX136" s="158">
        <f>AW136/0.02</f>
        <v>6.3223744292237427E-2</v>
      </c>
      <c r="AY136" s="144">
        <f t="shared" ref="AY136:AY199" si="87">(AG136*2800*0.61*0.07*0.03*350*6*0.000001)/(15*6*365)</f>
        <v>8.1399068493150687E-6</v>
      </c>
      <c r="AZ136" s="144">
        <f>AY136/0.0003</f>
        <v>2.7133022831050232E-2</v>
      </c>
      <c r="BA136" s="144">
        <f t="shared" ref="BA136:BA199" si="88">(AH136*2800*0.61*0.07*0.001*350*6*0.000001)/(15*6*365)</f>
        <v>1.5133347945205483E-7</v>
      </c>
      <c r="BB136" s="158">
        <f>BA136/0.0035</f>
        <v>4.323813698630138E-5</v>
      </c>
      <c r="BC136" s="144">
        <f t="shared" ref="BC136:BC199" si="89">(AI136*2800*0.61*0.07*0.001*350*6*0.000001)/(15*6*365)</f>
        <v>8.4403420215525118E-8</v>
      </c>
      <c r="BD136" s="158">
        <f>BC136/0.0003</f>
        <v>2.8134473405175042E-4</v>
      </c>
      <c r="BE136" s="144">
        <f t="shared" ref="BE136:BE199" si="90">(AJ136*2800*0.61*0.07*0.001*350*6*0.000001)/(15*6*365)</f>
        <v>3.9553068493150681E-6</v>
      </c>
      <c r="BF136" s="158">
        <f>BE136/0.005</f>
        <v>7.9106136986301361E-4</v>
      </c>
      <c r="BG136" s="144">
        <f t="shared" ref="BG136:BG199" si="91">(AK136*2800*0.61*0.07*0.001*350*6*0.000001)/(15*6*365)</f>
        <v>8.8660018264840215E-10</v>
      </c>
      <c r="BH136" s="158">
        <f>BG136/0.0005</f>
        <v>1.7732003652968043E-6</v>
      </c>
      <c r="BI136" s="144">
        <f t="shared" ref="BI136:BI199" si="92">(AL136*2800*0.61*0.07*0.001*350*6*0.000001)/(15*6*365)</f>
        <v>7.5590308675799084E-7</v>
      </c>
      <c r="BJ136" s="158">
        <f>BI136/0.0056</f>
        <v>1.3498269406392693E-4</v>
      </c>
      <c r="BK136" s="144">
        <f t="shared" ref="BK136:BK199" si="93">(AG136*7.6*350*6)/(15*6*365*1360000000)</f>
        <v>1.2681976900349181E-8</v>
      </c>
      <c r="BL136" s="158">
        <f>BK136/0.0003</f>
        <v>4.2273256334497275E-5</v>
      </c>
      <c r="BM136" s="144">
        <f t="shared" ref="BM136:BM199" si="94">(AH136*7.6*350*6)/(15*6*365*1360000000)</f>
        <v>7.0733279613215145E-9</v>
      </c>
      <c r="BN136" s="158">
        <f>BM136/0.00352</f>
        <v>2.0094681708299758E-6</v>
      </c>
      <c r="BO136" s="144">
        <f t="shared" ref="BO136:BO199" si="95">(AI136*7.6*350*6)/(15*6*365*1360000000)</f>
        <v>3.9450164920762824E-9</v>
      </c>
      <c r="BP136" s="158">
        <f>BO136/0.000086</f>
        <v>4.5872284791584681E-5</v>
      </c>
      <c r="BQ136" s="144">
        <f t="shared" ref="BQ136:BQ199" si="96">(AJ136*7.6*350*6)/(15*6*365*1360000000)</f>
        <v>1.8487107171635777E-7</v>
      </c>
      <c r="BR136" s="158">
        <f>BQ136/0.00003</f>
        <v>6.1623690572119253E-3</v>
      </c>
      <c r="BS136" s="144">
        <f t="shared" ref="BS136:BS199" si="97">(AK136*7.6*350*6)/(15*6*365*1360000000)</f>
        <v>4.1439699167338168E-11</v>
      </c>
      <c r="BT136" s="158">
        <f>BS136/0.000057</f>
        <v>7.27012266093652E-7</v>
      </c>
      <c r="BU136" s="144">
        <f t="shared" ref="BU136:BU199" si="98">(AL136*7.6*350*6)/(15*6*365*1360000000)</f>
        <v>3.5330915928015044E-8</v>
      </c>
      <c r="BV136" s="158">
        <f>BU136/0.0206</f>
        <v>1.7150930062143226E-6</v>
      </c>
    </row>
    <row r="137" spans="20:74">
      <c r="T137" s="53" t="s">
        <v>89</v>
      </c>
      <c r="U137" s="154" t="s">
        <v>90</v>
      </c>
      <c r="V137" s="155" t="s">
        <v>339</v>
      </c>
      <c r="W137" s="53">
        <v>0.258245</v>
      </c>
      <c r="X137" s="53">
        <v>34.717754999999997</v>
      </c>
      <c r="Y137" s="53" t="s">
        <v>372</v>
      </c>
      <c r="Z137" s="53" t="s">
        <v>330</v>
      </c>
      <c r="AA137" s="116" t="s">
        <v>347</v>
      </c>
      <c r="AB137" s="154" t="s">
        <v>371</v>
      </c>
      <c r="AC137" s="116" t="s">
        <v>687</v>
      </c>
      <c r="AD137" s="53" t="s">
        <v>364</v>
      </c>
      <c r="AE137" s="53" t="s">
        <v>685</v>
      </c>
      <c r="AF137" s="53" t="s">
        <v>690</v>
      </c>
      <c r="AG137" s="156">
        <v>1.5</v>
      </c>
      <c r="AH137" s="157">
        <v>13.5</v>
      </c>
      <c r="AI137" s="75">
        <v>4.1530000000000004E-2</v>
      </c>
      <c r="AJ137" s="157">
        <v>129.5</v>
      </c>
      <c r="AK137" s="156">
        <v>5.3999999999999999E-2</v>
      </c>
      <c r="AL137" s="157">
        <v>113.79</v>
      </c>
      <c r="AM137" s="144">
        <f t="shared" si="81"/>
        <v>1.9178082191780822E-5</v>
      </c>
      <c r="AN137" s="158">
        <f t="shared" ref="AN137:AN200" si="99">AM137/0.0003</f>
        <v>6.3926940639269417E-2</v>
      </c>
      <c r="AO137" s="144">
        <f t="shared" si="82"/>
        <v>1.7260273972602739E-4</v>
      </c>
      <c r="AP137" s="158">
        <f t="shared" ref="AP137:AP200" si="100">AO137/0.0036</f>
        <v>4.7945205479452052E-2</v>
      </c>
      <c r="AQ137" s="144">
        <f t="shared" si="83"/>
        <v>5.3097716894977175E-7</v>
      </c>
      <c r="AR137" s="158">
        <f t="shared" ref="AR137:AR200" si="101">AQ137/0.0003</f>
        <v>1.7699238964992393E-3</v>
      </c>
      <c r="AS137" s="144">
        <f t="shared" si="84"/>
        <v>1.6557077625570776E-3</v>
      </c>
      <c r="AT137" s="158">
        <f t="shared" ref="AT137:AT200" si="102">AS137/0.003</f>
        <v>0.55190258751902588</v>
      </c>
      <c r="AU137" s="144">
        <f t="shared" si="85"/>
        <v>6.9041095890410966E-7</v>
      </c>
      <c r="AV137" s="158">
        <f t="shared" ref="AV137:AV200" si="103">AU137/0.0005</f>
        <v>1.3808219178082194E-3</v>
      </c>
      <c r="AW137" s="144">
        <f t="shared" si="86"/>
        <v>1.454849315068493E-3</v>
      </c>
      <c r="AX137" s="158">
        <f t="shared" ref="AX137:AX200" si="104">AW137/0.02</f>
        <v>7.2742465753424648E-2</v>
      </c>
      <c r="AY137" s="144">
        <f t="shared" si="87"/>
        <v>3.4393972602739729E-7</v>
      </c>
      <c r="AZ137" s="144">
        <f t="shared" ref="AZ137:AZ200" si="105">AY137/0.0003</f>
        <v>1.1464657534246577E-3</v>
      </c>
      <c r="BA137" s="144">
        <f t="shared" si="88"/>
        <v>1.0318191780821919E-7</v>
      </c>
      <c r="BB137" s="158">
        <f t="shared" ref="BB137:BB200" si="106">BA137/0.0035</f>
        <v>2.9480547945205484E-5</v>
      </c>
      <c r="BC137" s="144">
        <f t="shared" si="89"/>
        <v>3.1741815159817359E-10</v>
      </c>
      <c r="BD137" s="158">
        <f t="shared" ref="BD137:BD200" si="107">BC137/0.0003</f>
        <v>1.0580605053272453E-6</v>
      </c>
      <c r="BE137" s="144">
        <f t="shared" si="90"/>
        <v>9.8978210045662118E-7</v>
      </c>
      <c r="BF137" s="158">
        <f t="shared" ref="BF137:BF200" si="108">BE137/0.005</f>
        <v>1.9795642009132422E-4</v>
      </c>
      <c r="BG137" s="144">
        <f t="shared" si="91"/>
        <v>4.1272767123287656E-10</v>
      </c>
      <c r="BH137" s="158">
        <f t="shared" ref="BH137:BH200" si="109">BG137/0.0005</f>
        <v>8.2545534246575311E-7</v>
      </c>
      <c r="BI137" s="144">
        <f t="shared" si="92"/>
        <v>8.6970892054794537E-7</v>
      </c>
      <c r="BJ137" s="158">
        <f t="shared" ref="BJ137:BJ200" si="110">BI137/0.0056</f>
        <v>1.5530516438356167E-4</v>
      </c>
      <c r="BK137" s="144">
        <f t="shared" si="93"/>
        <v>5.358581788879935E-10</v>
      </c>
      <c r="BL137" s="158">
        <f t="shared" ref="BL137:BL200" si="111">BK137/0.0003</f>
        <v>1.7861939296266452E-6</v>
      </c>
      <c r="BM137" s="144">
        <f t="shared" si="94"/>
        <v>4.8227236099919422E-9</v>
      </c>
      <c r="BN137" s="158">
        <f t="shared" ref="BN137:BN200" si="112">BM137/0.00352</f>
        <v>1.3700919346568018E-6</v>
      </c>
      <c r="BO137" s="144">
        <f t="shared" si="95"/>
        <v>1.4836126779478916E-11</v>
      </c>
      <c r="BP137" s="158">
        <f t="shared" ref="BP137:BP200" si="113">BO137/0.000086</f>
        <v>1.7251310208696414E-7</v>
      </c>
      <c r="BQ137" s="144">
        <f t="shared" si="96"/>
        <v>4.6262422777330113E-8</v>
      </c>
      <c r="BR137" s="158">
        <f t="shared" ref="BR137:BR200" si="114">BQ137/0.00003</f>
        <v>1.542080759244337E-3</v>
      </c>
      <c r="BS137" s="144">
        <f t="shared" si="97"/>
        <v>1.9290894439967766E-11</v>
      </c>
      <c r="BT137" s="158">
        <f t="shared" ref="BT137:BT200" si="115">BS137/0.000057</f>
        <v>3.3843674456083798E-7</v>
      </c>
      <c r="BU137" s="144">
        <f t="shared" si="98"/>
        <v>4.0650201450443186E-8</v>
      </c>
      <c r="BV137" s="158">
        <f t="shared" ref="BV137:BV200" si="116">BU137/0.0206</f>
        <v>1.9733107500215138E-6</v>
      </c>
    </row>
    <row r="138" spans="20:74">
      <c r="T138" s="53" t="s">
        <v>93</v>
      </c>
      <c r="U138" s="154" t="s">
        <v>94</v>
      </c>
      <c r="V138" s="155" t="s">
        <v>339</v>
      </c>
      <c r="W138" s="53">
        <v>0.258245</v>
      </c>
      <c r="X138" s="53">
        <v>34.717754999999997</v>
      </c>
      <c r="Y138" s="53" t="s">
        <v>372</v>
      </c>
      <c r="Z138" s="53" t="s">
        <v>330</v>
      </c>
      <c r="AA138" s="116" t="s">
        <v>347</v>
      </c>
      <c r="AB138" s="154" t="s">
        <v>371</v>
      </c>
      <c r="AC138" s="116" t="s">
        <v>687</v>
      </c>
      <c r="AD138" s="53" t="s">
        <v>365</v>
      </c>
      <c r="AE138" s="53" t="s">
        <v>685</v>
      </c>
      <c r="AF138" s="53" t="s">
        <v>691</v>
      </c>
      <c r="AG138" s="156">
        <v>482.6</v>
      </c>
      <c r="AH138" s="157">
        <v>16.8</v>
      </c>
      <c r="AI138" s="75">
        <v>2.2132899999999998</v>
      </c>
      <c r="AJ138" s="157">
        <v>813.8</v>
      </c>
      <c r="AK138" s="156">
        <v>0.151</v>
      </c>
      <c r="AL138" s="157">
        <v>123.55</v>
      </c>
      <c r="AM138" s="144">
        <f t="shared" si="81"/>
        <v>6.1702283105022826E-3</v>
      </c>
      <c r="AN138" s="158">
        <f t="shared" si="99"/>
        <v>20.567427701674276</v>
      </c>
      <c r="AO138" s="144">
        <f t="shared" si="82"/>
        <v>2.1479452054794522E-4</v>
      </c>
      <c r="AP138" s="158">
        <f t="shared" si="100"/>
        <v>5.9665144596651454E-2</v>
      </c>
      <c r="AQ138" s="144">
        <f t="shared" si="83"/>
        <v>2.8297771689497714E-5</v>
      </c>
      <c r="AR138" s="158">
        <f t="shared" si="101"/>
        <v>9.432590563165906E-2</v>
      </c>
      <c r="AS138" s="144">
        <f t="shared" si="84"/>
        <v>1.0404748858447489E-2</v>
      </c>
      <c r="AT138" s="158">
        <f t="shared" si="102"/>
        <v>3.4682496194824961</v>
      </c>
      <c r="AU138" s="144">
        <f t="shared" si="85"/>
        <v>1.9305936073059356E-6</v>
      </c>
      <c r="AV138" s="158">
        <f t="shared" si="103"/>
        <v>3.8611872146118711E-3</v>
      </c>
      <c r="AW138" s="144">
        <f t="shared" si="86"/>
        <v>1.579634703196347E-3</v>
      </c>
      <c r="AX138" s="158">
        <f t="shared" si="104"/>
        <v>7.8981735159817351E-2</v>
      </c>
      <c r="AY138" s="144">
        <f t="shared" si="87"/>
        <v>1.1065687452054793E-4</v>
      </c>
      <c r="AZ138" s="144">
        <f t="shared" si="105"/>
        <v>0.36885624840182646</v>
      </c>
      <c r="BA138" s="144">
        <f t="shared" si="88"/>
        <v>1.2840416438356167E-7</v>
      </c>
      <c r="BB138" s="158">
        <f t="shared" si="106"/>
        <v>3.6686904109589049E-5</v>
      </c>
      <c r="BC138" s="144">
        <f t="shared" si="89"/>
        <v>1.6916407915981738E-8</v>
      </c>
      <c r="BD138" s="158">
        <f t="shared" si="107"/>
        <v>5.6388026386605801E-5</v>
      </c>
      <c r="BE138" s="144">
        <f t="shared" si="90"/>
        <v>6.2199588675799081E-6</v>
      </c>
      <c r="BF138" s="158">
        <f t="shared" si="108"/>
        <v>1.2439917735159816E-3</v>
      </c>
      <c r="BG138" s="144">
        <f t="shared" si="91"/>
        <v>1.1541088584474886E-9</v>
      </c>
      <c r="BH138" s="158">
        <f t="shared" si="109"/>
        <v>2.3082177168949772E-6</v>
      </c>
      <c r="BI138" s="144">
        <f t="shared" si="92"/>
        <v>9.443056255707762E-7</v>
      </c>
      <c r="BJ138" s="158">
        <f t="shared" si="110"/>
        <v>1.6862600456621005E-4</v>
      </c>
      <c r="BK138" s="144">
        <f t="shared" si="93"/>
        <v>1.7240343808756379E-7</v>
      </c>
      <c r="BL138" s="158">
        <f t="shared" si="111"/>
        <v>5.7467812695854601E-4</v>
      </c>
      <c r="BM138" s="144">
        <f t="shared" si="94"/>
        <v>6.0016116035455277E-9</v>
      </c>
      <c r="BN138" s="158">
        <f t="shared" si="112"/>
        <v>1.7050032964617976E-6</v>
      </c>
      <c r="BO138" s="144">
        <f t="shared" si="95"/>
        <v>7.906730325006714E-10</v>
      </c>
      <c r="BP138" s="158">
        <f t="shared" si="113"/>
        <v>9.1938724709380386E-6</v>
      </c>
      <c r="BQ138" s="144">
        <f t="shared" si="96"/>
        <v>2.9072092398603271E-7</v>
      </c>
      <c r="BR138" s="158">
        <f t="shared" si="114"/>
        <v>9.6906974662010897E-3</v>
      </c>
      <c r="BS138" s="144">
        <f t="shared" si="97"/>
        <v>5.3943056674724682E-11</v>
      </c>
      <c r="BT138" s="158">
        <f t="shared" si="115"/>
        <v>9.4636941534604702E-7</v>
      </c>
      <c r="BU138" s="144">
        <f t="shared" si="98"/>
        <v>4.4136852001074394E-8</v>
      </c>
      <c r="BV138" s="158">
        <f t="shared" si="116"/>
        <v>2.142565631120116E-6</v>
      </c>
    </row>
    <row r="139" spans="20:74">
      <c r="T139" s="53" t="s">
        <v>95</v>
      </c>
      <c r="U139" s="154" t="s">
        <v>96</v>
      </c>
      <c r="V139" s="155" t="s">
        <v>339</v>
      </c>
      <c r="W139" s="53">
        <v>0.25792300000000001</v>
      </c>
      <c r="X139" s="53">
        <v>34.719996000000002</v>
      </c>
      <c r="Y139" s="53" t="s">
        <v>372</v>
      </c>
      <c r="Z139" s="53" t="s">
        <v>330</v>
      </c>
      <c r="AA139" s="116" t="s">
        <v>347</v>
      </c>
      <c r="AB139" s="154" t="s">
        <v>371</v>
      </c>
      <c r="AC139" s="116" t="s">
        <v>687</v>
      </c>
      <c r="AD139" s="53" t="s">
        <v>366</v>
      </c>
      <c r="AE139" s="53" t="s">
        <v>684</v>
      </c>
      <c r="AF139" s="53" t="s">
        <v>683</v>
      </c>
      <c r="AG139" s="156">
        <v>7.8</v>
      </c>
      <c r="AH139" s="157">
        <v>20.3</v>
      </c>
      <c r="AI139" s="75">
        <v>0.31496999999999997</v>
      </c>
      <c r="AJ139" s="157">
        <v>1257.0999999999999</v>
      </c>
      <c r="AK139" s="156">
        <v>9.2999999999999999E-2</v>
      </c>
      <c r="AL139" s="157">
        <v>244.79</v>
      </c>
      <c r="AM139" s="144">
        <f t="shared" si="81"/>
        <v>9.9726027397260269E-5</v>
      </c>
      <c r="AN139" s="158">
        <f t="shared" si="99"/>
        <v>0.33242009132420092</v>
      </c>
      <c r="AO139" s="144">
        <f t="shared" si="82"/>
        <v>2.5954337899543377E-4</v>
      </c>
      <c r="AP139" s="158">
        <f t="shared" si="100"/>
        <v>7.2095383054287157E-2</v>
      </c>
      <c r="AQ139" s="144">
        <f t="shared" si="83"/>
        <v>4.0270136986301367E-6</v>
      </c>
      <c r="AR139" s="158">
        <f t="shared" si="101"/>
        <v>1.3423378995433791E-2</v>
      </c>
      <c r="AS139" s="144">
        <f t="shared" si="84"/>
        <v>1.6072511415525109E-2</v>
      </c>
      <c r="AT139" s="158">
        <f t="shared" si="102"/>
        <v>5.3575038051750363</v>
      </c>
      <c r="AU139" s="144">
        <f t="shared" si="85"/>
        <v>1.1890410958904111E-6</v>
      </c>
      <c r="AV139" s="158">
        <f t="shared" si="103"/>
        <v>2.3780821917808222E-3</v>
      </c>
      <c r="AW139" s="144">
        <f t="shared" si="86"/>
        <v>3.1297351598173514E-3</v>
      </c>
      <c r="AX139" s="158">
        <f t="shared" si="104"/>
        <v>0.15648675799086756</v>
      </c>
      <c r="AY139" s="144">
        <f t="shared" si="87"/>
        <v>1.7884865753424656E-6</v>
      </c>
      <c r="AZ139" s="144">
        <f t="shared" si="105"/>
        <v>5.9616219178082195E-3</v>
      </c>
      <c r="BA139" s="144">
        <f t="shared" si="88"/>
        <v>1.5515503196347033E-7</v>
      </c>
      <c r="BB139" s="158">
        <f t="shared" si="106"/>
        <v>4.4330009132420092E-5</v>
      </c>
      <c r="BC139" s="144">
        <f t="shared" si="89"/>
        <v>2.407348789041096E-9</v>
      </c>
      <c r="BD139" s="158">
        <f t="shared" si="107"/>
        <v>8.02449596347032E-6</v>
      </c>
      <c r="BE139" s="144">
        <f t="shared" si="90"/>
        <v>9.6081473242009108E-6</v>
      </c>
      <c r="BF139" s="158">
        <f t="shared" si="108"/>
        <v>1.9216294648401822E-3</v>
      </c>
      <c r="BG139" s="144">
        <f t="shared" si="91"/>
        <v>7.1080876712328757E-10</v>
      </c>
      <c r="BH139" s="158">
        <f t="shared" si="109"/>
        <v>1.421617534246575E-6</v>
      </c>
      <c r="BI139" s="144">
        <f t="shared" si="92"/>
        <v>1.8709556785388132E-6</v>
      </c>
      <c r="BJ139" s="158">
        <f t="shared" si="110"/>
        <v>3.3409922831050237E-4</v>
      </c>
      <c r="BK139" s="144">
        <f t="shared" si="93"/>
        <v>2.7864625302175657E-9</v>
      </c>
      <c r="BL139" s="158">
        <f t="shared" si="111"/>
        <v>9.288208434058553E-6</v>
      </c>
      <c r="BM139" s="144">
        <f t="shared" si="94"/>
        <v>7.2519473542841793E-9</v>
      </c>
      <c r="BN139" s="158">
        <f t="shared" si="112"/>
        <v>2.0602123165580054E-6</v>
      </c>
      <c r="BO139" s="144">
        <f t="shared" si="95"/>
        <v>1.1251950040290086E-10</v>
      </c>
      <c r="BP139" s="158">
        <f t="shared" si="113"/>
        <v>1.3083662837546611E-6</v>
      </c>
      <c r="BQ139" s="144">
        <f t="shared" si="96"/>
        <v>4.4908487778673104E-7</v>
      </c>
      <c r="BR139" s="158">
        <f t="shared" si="114"/>
        <v>1.4969495926224367E-2</v>
      </c>
      <c r="BS139" s="144">
        <f t="shared" si="97"/>
        <v>3.3223207091055602E-11</v>
      </c>
      <c r="BT139" s="158">
        <f t="shared" si="115"/>
        <v>5.8286328229922102E-7</v>
      </c>
      <c r="BU139" s="144">
        <f t="shared" si="98"/>
        <v>8.7448482406661277E-8</v>
      </c>
      <c r="BV139" s="158">
        <f t="shared" si="116"/>
        <v>4.2450719614884115E-6</v>
      </c>
    </row>
    <row r="140" spans="20:74">
      <c r="T140" s="53" t="s">
        <v>97</v>
      </c>
      <c r="U140" s="154" t="s">
        <v>98</v>
      </c>
      <c r="V140" s="155" t="s">
        <v>339</v>
      </c>
      <c r="W140" s="53">
        <v>0.258245</v>
      </c>
      <c r="X140" s="53">
        <v>34.717754999999997</v>
      </c>
      <c r="Y140" s="53" t="s">
        <v>372</v>
      </c>
      <c r="Z140" s="53" t="s">
        <v>330</v>
      </c>
      <c r="AA140" s="116" t="s">
        <v>347</v>
      </c>
      <c r="AB140" s="154" t="s">
        <v>371</v>
      </c>
      <c r="AC140" s="116" t="s">
        <v>687</v>
      </c>
      <c r="AD140" s="53" t="s">
        <v>366</v>
      </c>
      <c r="AE140" s="53" t="s">
        <v>684</v>
      </c>
      <c r="AF140" s="53" t="s">
        <v>683</v>
      </c>
      <c r="AG140" s="156">
        <v>8.4</v>
      </c>
      <c r="AH140" s="157">
        <v>18.5</v>
      </c>
      <c r="AI140" s="75">
        <v>0.44583999999999996</v>
      </c>
      <c r="AJ140" s="157">
        <v>1344</v>
      </c>
      <c r="AK140" s="156">
        <v>7.3999999999999996E-2</v>
      </c>
      <c r="AL140" s="157">
        <v>277.10000000000002</v>
      </c>
      <c r="AM140" s="144">
        <f t="shared" si="81"/>
        <v>1.0739726027397261E-4</v>
      </c>
      <c r="AN140" s="158">
        <f t="shared" si="99"/>
        <v>0.35799086757990872</v>
      </c>
      <c r="AO140" s="144">
        <f t="shared" si="82"/>
        <v>2.3652968036529679E-4</v>
      </c>
      <c r="AP140" s="158">
        <f t="shared" si="100"/>
        <v>6.570268899036022E-2</v>
      </c>
      <c r="AQ140" s="144">
        <f t="shared" si="83"/>
        <v>5.7002374429223733E-6</v>
      </c>
      <c r="AR140" s="158">
        <f t="shared" si="101"/>
        <v>1.9000791476407913E-2</v>
      </c>
      <c r="AS140" s="144">
        <f t="shared" si="84"/>
        <v>1.7183561643835617E-2</v>
      </c>
      <c r="AT140" s="158">
        <f t="shared" si="102"/>
        <v>5.7278538812785387</v>
      </c>
      <c r="AU140" s="144">
        <f t="shared" si="85"/>
        <v>9.4611872146118718E-7</v>
      </c>
      <c r="AV140" s="158">
        <f t="shared" si="103"/>
        <v>1.8922374429223743E-3</v>
      </c>
      <c r="AW140" s="144">
        <f t="shared" si="86"/>
        <v>3.5428310502283113E-3</v>
      </c>
      <c r="AX140" s="158">
        <f t="shared" si="104"/>
        <v>0.17714155251141556</v>
      </c>
      <c r="AY140" s="144">
        <f t="shared" si="87"/>
        <v>1.9260624657534246E-6</v>
      </c>
      <c r="AZ140" s="144">
        <f t="shared" si="105"/>
        <v>6.4202082191780821E-3</v>
      </c>
      <c r="BA140" s="144">
        <f t="shared" si="88"/>
        <v>1.4139744292237446E-7</v>
      </c>
      <c r="BB140" s="158">
        <f t="shared" si="106"/>
        <v>4.03992694063927E-5</v>
      </c>
      <c r="BC140" s="144">
        <f t="shared" si="89"/>
        <v>3.4076019433789952E-9</v>
      </c>
      <c r="BD140" s="158">
        <f t="shared" si="107"/>
        <v>1.1358673144596652E-5</v>
      </c>
      <c r="BE140" s="144">
        <f t="shared" si="90"/>
        <v>1.0272333150684932E-5</v>
      </c>
      <c r="BF140" s="158">
        <f t="shared" si="108"/>
        <v>2.0544666301369864E-3</v>
      </c>
      <c r="BG140" s="144">
        <f t="shared" si="91"/>
        <v>5.6558977168949781E-10</v>
      </c>
      <c r="BH140" s="158">
        <f t="shared" si="109"/>
        <v>1.1311795433789957E-6</v>
      </c>
      <c r="BI140" s="144">
        <f t="shared" si="92"/>
        <v>2.1179044018264842E-6</v>
      </c>
      <c r="BJ140" s="158">
        <f t="shared" si="110"/>
        <v>3.781972146118722E-4</v>
      </c>
      <c r="BK140" s="144">
        <f t="shared" si="93"/>
        <v>3.0008058017727639E-9</v>
      </c>
      <c r="BL140" s="158">
        <f t="shared" si="111"/>
        <v>1.0002686005909214E-5</v>
      </c>
      <c r="BM140" s="144">
        <f t="shared" si="94"/>
        <v>6.6089175396185872E-9</v>
      </c>
      <c r="BN140" s="158">
        <f t="shared" si="112"/>
        <v>1.8775333919370985E-6</v>
      </c>
      <c r="BO140" s="144">
        <f t="shared" si="95"/>
        <v>1.5927134031694866E-10</v>
      </c>
      <c r="BP140" s="158">
        <f t="shared" si="113"/>
        <v>1.8519923292668448E-6</v>
      </c>
      <c r="BQ140" s="144">
        <f t="shared" si="96"/>
        <v>4.8012892828364219E-7</v>
      </c>
      <c r="BR140" s="158">
        <f t="shared" si="114"/>
        <v>1.6004297609454741E-2</v>
      </c>
      <c r="BS140" s="144">
        <f t="shared" si="97"/>
        <v>2.6435670158474347E-11</v>
      </c>
      <c r="BT140" s="158">
        <f t="shared" si="115"/>
        <v>4.63783686990778E-7</v>
      </c>
      <c r="BU140" s="144">
        <f t="shared" si="98"/>
        <v>9.8990867579908677E-8</v>
      </c>
      <c r="BV140" s="158">
        <f t="shared" si="116"/>
        <v>4.8053819213547905E-6</v>
      </c>
    </row>
    <row r="141" spans="20:74">
      <c r="T141" s="53" t="s">
        <v>99</v>
      </c>
      <c r="U141" s="154" t="s">
        <v>100</v>
      </c>
      <c r="V141" s="155" t="s">
        <v>339</v>
      </c>
      <c r="W141" s="53">
        <v>0.25792300000000001</v>
      </c>
      <c r="X141" s="53">
        <v>34.719996000000002</v>
      </c>
      <c r="Y141" s="53" t="s">
        <v>372</v>
      </c>
      <c r="Z141" s="53" t="s">
        <v>330</v>
      </c>
      <c r="AA141" s="116" t="s">
        <v>347</v>
      </c>
      <c r="AB141" s="154" t="s">
        <v>371</v>
      </c>
      <c r="AC141" s="116" t="s">
        <v>687</v>
      </c>
      <c r="AD141" s="53" t="s">
        <v>367</v>
      </c>
      <c r="AE141" s="53" t="s">
        <v>684</v>
      </c>
      <c r="AF141" s="53" t="s">
        <v>683</v>
      </c>
      <c r="AG141" s="156">
        <v>7.2</v>
      </c>
      <c r="AH141" s="157">
        <v>20.6</v>
      </c>
      <c r="AI141" s="75">
        <v>9.7669999999999993E-2</v>
      </c>
      <c r="AJ141" s="157">
        <v>611.9</v>
      </c>
      <c r="AK141" s="156">
        <v>6.6000000000000003E-2</v>
      </c>
      <c r="AL141" s="157">
        <v>152.46</v>
      </c>
      <c r="AM141" s="144">
        <f t="shared" si="81"/>
        <v>9.2054794520547942E-5</v>
      </c>
      <c r="AN141" s="158">
        <f t="shared" si="99"/>
        <v>0.30684931506849317</v>
      </c>
      <c r="AO141" s="144">
        <f t="shared" si="82"/>
        <v>2.6337899543378991E-4</v>
      </c>
      <c r="AP141" s="158">
        <f t="shared" si="100"/>
        <v>7.3160832064941644E-2</v>
      </c>
      <c r="AQ141" s="144">
        <f t="shared" si="83"/>
        <v>1.2487488584474883E-6</v>
      </c>
      <c r="AR141" s="158">
        <f t="shared" si="101"/>
        <v>4.1624961948249616E-3</v>
      </c>
      <c r="AS141" s="144">
        <f t="shared" si="84"/>
        <v>7.8233789954337898E-3</v>
      </c>
      <c r="AT141" s="158">
        <f t="shared" si="102"/>
        <v>2.60779299847793</v>
      </c>
      <c r="AU141" s="144">
        <f t="shared" si="85"/>
        <v>8.4383561643835606E-7</v>
      </c>
      <c r="AV141" s="158">
        <f t="shared" si="103"/>
        <v>1.687671232876712E-3</v>
      </c>
      <c r="AW141" s="144">
        <f t="shared" si="86"/>
        <v>1.9492602739726026E-3</v>
      </c>
      <c r="AX141" s="158">
        <f t="shared" si="104"/>
        <v>9.7463013698630127E-2</v>
      </c>
      <c r="AY141" s="144">
        <f t="shared" si="87"/>
        <v>1.6509106849315071E-6</v>
      </c>
      <c r="AZ141" s="144">
        <f t="shared" si="105"/>
        <v>5.5030356164383577E-3</v>
      </c>
      <c r="BA141" s="144">
        <f t="shared" si="88"/>
        <v>1.5744796347031962E-7</v>
      </c>
      <c r="BB141" s="158">
        <f t="shared" si="106"/>
        <v>4.4985132420091321E-5</v>
      </c>
      <c r="BC141" s="144">
        <f t="shared" si="89"/>
        <v>7.4650206757990866E-10</v>
      </c>
      <c r="BD141" s="158">
        <f t="shared" si="107"/>
        <v>2.4883402252663623E-6</v>
      </c>
      <c r="BE141" s="144">
        <f t="shared" si="90"/>
        <v>4.6768159634703204E-6</v>
      </c>
      <c r="BF141" s="158">
        <f t="shared" si="108"/>
        <v>9.3536319269406408E-4</v>
      </c>
      <c r="BG141" s="144">
        <f t="shared" si="91"/>
        <v>5.0444493150684939E-10</v>
      </c>
      <c r="BH141" s="158">
        <f t="shared" si="109"/>
        <v>1.0088898630136988E-6</v>
      </c>
      <c r="BI141" s="144">
        <f t="shared" si="92"/>
        <v>1.1652677917808219E-6</v>
      </c>
      <c r="BJ141" s="158">
        <f t="shared" si="110"/>
        <v>2.0808353424657533E-4</v>
      </c>
      <c r="BK141" s="144">
        <f t="shared" si="93"/>
        <v>2.5721192586623691E-9</v>
      </c>
      <c r="BL141" s="158">
        <f t="shared" si="111"/>
        <v>8.5737308622078976E-6</v>
      </c>
      <c r="BM141" s="144">
        <f t="shared" si="94"/>
        <v>7.3591189900617779E-9</v>
      </c>
      <c r="BN141" s="158">
        <f t="shared" si="112"/>
        <v>2.0906588039948232E-6</v>
      </c>
      <c r="BO141" s="144">
        <f t="shared" si="95"/>
        <v>3.4891512221326883E-11</v>
      </c>
      <c r="BP141" s="158">
        <f t="shared" si="113"/>
        <v>4.0571525838752187E-7</v>
      </c>
      <c r="BQ141" s="144">
        <f t="shared" si="96"/>
        <v>2.1859441310770878E-7</v>
      </c>
      <c r="BR141" s="158">
        <f t="shared" si="114"/>
        <v>7.2864804369236263E-3</v>
      </c>
      <c r="BS141" s="144">
        <f t="shared" si="97"/>
        <v>2.357775987107172E-11</v>
      </c>
      <c r="BT141" s="158">
        <f t="shared" si="115"/>
        <v>4.1364491001880208E-7</v>
      </c>
      <c r="BU141" s="144">
        <f t="shared" si="98"/>
        <v>5.4464625302175657E-8</v>
      </c>
      <c r="BV141" s="158">
        <f t="shared" si="116"/>
        <v>2.6439138496201776E-6</v>
      </c>
    </row>
    <row r="142" spans="20:74">
      <c r="T142" s="53" t="s">
        <v>101</v>
      </c>
      <c r="U142" s="154" t="s">
        <v>102</v>
      </c>
      <c r="V142" s="155" t="s">
        <v>339</v>
      </c>
      <c r="W142" s="53">
        <v>0.25812800000000002</v>
      </c>
      <c r="X142" s="53">
        <v>34.720103999999999</v>
      </c>
      <c r="Y142" s="53" t="s">
        <v>372</v>
      </c>
      <c r="Z142" s="53" t="s">
        <v>330</v>
      </c>
      <c r="AA142" s="116" t="s">
        <v>347</v>
      </c>
      <c r="AB142" s="154" t="s">
        <v>371</v>
      </c>
      <c r="AC142" s="116" t="s">
        <v>687</v>
      </c>
      <c r="AD142" s="53" t="s">
        <v>366</v>
      </c>
      <c r="AE142" s="53" t="s">
        <v>684</v>
      </c>
      <c r="AF142" s="53" t="s">
        <v>683</v>
      </c>
      <c r="AG142" s="156">
        <v>2.8</v>
      </c>
      <c r="AH142" s="157">
        <v>11.7</v>
      </c>
      <c r="AI142" s="75">
        <v>2.2800000000000001E-2</v>
      </c>
      <c r="AJ142" s="157">
        <v>299.2</v>
      </c>
      <c r="AK142" s="156">
        <v>7.6999999999999999E-2</v>
      </c>
      <c r="AL142" s="157">
        <v>185.34</v>
      </c>
      <c r="AM142" s="144">
        <f t="shared" si="81"/>
        <v>3.5799086757990868E-5</v>
      </c>
      <c r="AN142" s="158">
        <f t="shared" si="99"/>
        <v>0.11933028919330291</v>
      </c>
      <c r="AO142" s="144">
        <f t="shared" si="82"/>
        <v>1.4958904109589041E-4</v>
      </c>
      <c r="AP142" s="158">
        <f t="shared" si="100"/>
        <v>4.1552511415525115E-2</v>
      </c>
      <c r="AQ142" s="144">
        <f t="shared" si="83"/>
        <v>2.9150684931506852E-7</v>
      </c>
      <c r="AR142" s="158">
        <f t="shared" si="101"/>
        <v>9.7168949771689512E-4</v>
      </c>
      <c r="AS142" s="144">
        <f t="shared" si="84"/>
        <v>3.825388127853881E-3</v>
      </c>
      <c r="AT142" s="158">
        <f t="shared" si="102"/>
        <v>1.2751293759512936</v>
      </c>
      <c r="AU142" s="144">
        <f t="shared" si="85"/>
        <v>9.8447488584474883E-7</v>
      </c>
      <c r="AV142" s="158">
        <f t="shared" si="103"/>
        <v>1.9689497716894977E-3</v>
      </c>
      <c r="AW142" s="144">
        <f t="shared" si="86"/>
        <v>2.3696438356164383E-3</v>
      </c>
      <c r="AX142" s="158">
        <f t="shared" si="104"/>
        <v>0.11848219178082191</v>
      </c>
      <c r="AY142" s="144">
        <f t="shared" si="87"/>
        <v>6.4202082191780826E-7</v>
      </c>
      <c r="AZ142" s="144">
        <f t="shared" si="105"/>
        <v>2.1400694063926943E-3</v>
      </c>
      <c r="BA142" s="144">
        <f t="shared" si="88"/>
        <v>8.9424328767123296E-8</v>
      </c>
      <c r="BB142" s="158">
        <f t="shared" si="106"/>
        <v>2.5549808219178085E-5</v>
      </c>
      <c r="BC142" s="144">
        <f t="shared" si="89"/>
        <v>1.7426279452054799E-10</v>
      </c>
      <c r="BD142" s="158">
        <f t="shared" si="107"/>
        <v>5.8087598173516004E-7</v>
      </c>
      <c r="BE142" s="144">
        <f t="shared" si="90"/>
        <v>2.2868170228310498E-6</v>
      </c>
      <c r="BF142" s="158">
        <f t="shared" si="108"/>
        <v>4.5736340456620998E-4</v>
      </c>
      <c r="BG142" s="144">
        <f t="shared" si="91"/>
        <v>5.8851908675799083E-10</v>
      </c>
      <c r="BH142" s="158">
        <f t="shared" si="109"/>
        <v>1.1770381735159816E-6</v>
      </c>
      <c r="BI142" s="144">
        <f t="shared" si="92"/>
        <v>1.416573084931507E-6</v>
      </c>
      <c r="BJ142" s="158">
        <f t="shared" si="110"/>
        <v>2.529594794520548E-4</v>
      </c>
      <c r="BK142" s="144">
        <f t="shared" si="93"/>
        <v>1.0002686005909212E-9</v>
      </c>
      <c r="BL142" s="158">
        <f t="shared" si="111"/>
        <v>3.3342286686364042E-6</v>
      </c>
      <c r="BM142" s="144">
        <f t="shared" si="94"/>
        <v>4.1796937953263493E-9</v>
      </c>
      <c r="BN142" s="158">
        <f t="shared" si="112"/>
        <v>1.1874130100358947E-6</v>
      </c>
      <c r="BO142" s="144">
        <f t="shared" si="95"/>
        <v>8.1450443190975011E-12</v>
      </c>
      <c r="BP142" s="158">
        <f t="shared" si="113"/>
        <v>9.4709817663924426E-8</v>
      </c>
      <c r="BQ142" s="144">
        <f t="shared" si="96"/>
        <v>1.0688584474885843E-7</v>
      </c>
      <c r="BR142" s="158">
        <f t="shared" si="114"/>
        <v>3.5628614916286142E-3</v>
      </c>
      <c r="BS142" s="144">
        <f t="shared" si="97"/>
        <v>2.7507386516250339E-11</v>
      </c>
      <c r="BT142" s="158">
        <f t="shared" si="115"/>
        <v>4.8258572835526907E-7</v>
      </c>
      <c r="BU142" s="144">
        <f t="shared" si="98"/>
        <v>6.6210636583400493E-8</v>
      </c>
      <c r="BV142" s="158">
        <f t="shared" si="116"/>
        <v>3.2141085720097324E-6</v>
      </c>
    </row>
    <row r="143" spans="20:74">
      <c r="T143" s="53" t="s">
        <v>103</v>
      </c>
      <c r="U143" s="53" t="s">
        <v>104</v>
      </c>
      <c r="V143" s="155" t="s">
        <v>339</v>
      </c>
      <c r="W143" s="53">
        <v>0.25792300000000001</v>
      </c>
      <c r="X143" s="53">
        <v>34.719996000000002</v>
      </c>
      <c r="Y143" s="53" t="s">
        <v>372</v>
      </c>
      <c r="Z143" s="53" t="s">
        <v>330</v>
      </c>
      <c r="AA143" s="116" t="s">
        <v>347</v>
      </c>
      <c r="AB143" s="154" t="s">
        <v>371</v>
      </c>
      <c r="AC143" s="116" t="s">
        <v>687</v>
      </c>
      <c r="AD143" s="53" t="s">
        <v>365</v>
      </c>
      <c r="AE143" s="53" t="s">
        <v>685</v>
      </c>
      <c r="AF143" s="53" t="s">
        <v>691</v>
      </c>
      <c r="AG143" s="156">
        <v>413</v>
      </c>
      <c r="AH143" s="157">
        <v>25</v>
      </c>
      <c r="AI143" s="75">
        <v>1.3671899999999999</v>
      </c>
      <c r="AJ143" s="157">
        <v>1244.5999999999999</v>
      </c>
      <c r="AK143" s="156">
        <v>0.112</v>
      </c>
      <c r="AL143" s="157">
        <v>182.54</v>
      </c>
      <c r="AM143" s="144">
        <f t="shared" si="81"/>
        <v>5.2803652968036524E-3</v>
      </c>
      <c r="AN143" s="158">
        <f t="shared" si="99"/>
        <v>17.601217656012174</v>
      </c>
      <c r="AO143" s="144">
        <f t="shared" si="82"/>
        <v>3.1963470319634703E-4</v>
      </c>
      <c r="AP143" s="158">
        <f t="shared" si="100"/>
        <v>8.8787417554540837E-2</v>
      </c>
      <c r="AQ143" s="144">
        <f t="shared" si="83"/>
        <v>1.748005479452055E-5</v>
      </c>
      <c r="AR143" s="158">
        <f t="shared" si="101"/>
        <v>5.8266849315068502E-2</v>
      </c>
      <c r="AS143" s="144">
        <f t="shared" si="84"/>
        <v>1.5912694063926935E-2</v>
      </c>
      <c r="AT143" s="158">
        <f t="shared" si="102"/>
        <v>5.3042313546423117</v>
      </c>
      <c r="AU143" s="144">
        <f t="shared" si="85"/>
        <v>1.4319634703196349E-6</v>
      </c>
      <c r="AV143" s="158">
        <f t="shared" si="103"/>
        <v>2.8639269406392697E-3</v>
      </c>
      <c r="AW143" s="144">
        <f t="shared" si="86"/>
        <v>2.3338447488584473E-3</v>
      </c>
      <c r="AX143" s="158">
        <f t="shared" si="104"/>
        <v>0.11669223744292237</v>
      </c>
      <c r="AY143" s="144">
        <f t="shared" si="87"/>
        <v>9.4698071232876701E-5</v>
      </c>
      <c r="AZ143" s="144">
        <f t="shared" si="105"/>
        <v>0.31566023744292238</v>
      </c>
      <c r="BA143" s="144">
        <f t="shared" si="88"/>
        <v>1.9107762557077625E-7</v>
      </c>
      <c r="BB143" s="158">
        <f t="shared" si="106"/>
        <v>5.4593607305936067E-5</v>
      </c>
      <c r="BC143" s="144">
        <f t="shared" si="89"/>
        <v>1.0449576756164384E-8</v>
      </c>
      <c r="BD143" s="158">
        <f t="shared" si="107"/>
        <v>3.4831922520547948E-5</v>
      </c>
      <c r="BE143" s="144">
        <f t="shared" si="90"/>
        <v>9.512608511415525E-6</v>
      </c>
      <c r="BF143" s="158">
        <f t="shared" si="108"/>
        <v>1.9025217022831051E-3</v>
      </c>
      <c r="BG143" s="144">
        <f t="shared" si="91"/>
        <v>8.5602776255707774E-10</v>
      </c>
      <c r="BH143" s="158">
        <f t="shared" si="109"/>
        <v>1.7120555251141555E-6</v>
      </c>
      <c r="BI143" s="144">
        <f t="shared" si="92"/>
        <v>1.3951723908675799E-6</v>
      </c>
      <c r="BJ143" s="158">
        <f t="shared" si="110"/>
        <v>2.4913792694063929E-4</v>
      </c>
      <c r="BK143" s="144">
        <f t="shared" si="93"/>
        <v>1.4753961858716088E-7</v>
      </c>
      <c r="BL143" s="158">
        <f t="shared" si="111"/>
        <v>4.9179872862386968E-4</v>
      </c>
      <c r="BM143" s="144">
        <f t="shared" si="94"/>
        <v>8.9309696481332255E-9</v>
      </c>
      <c r="BN143" s="158">
        <f t="shared" si="112"/>
        <v>2.5372072864014843E-6</v>
      </c>
      <c r="BO143" s="144">
        <f t="shared" si="95"/>
        <v>4.8841329572925056E-10</v>
      </c>
      <c r="BP143" s="158">
        <f t="shared" si="113"/>
        <v>5.6792243689447738E-6</v>
      </c>
      <c r="BQ143" s="144">
        <f t="shared" si="96"/>
        <v>4.4461939296266442E-7</v>
      </c>
      <c r="BR143" s="158">
        <f t="shared" si="114"/>
        <v>1.4820646432088814E-2</v>
      </c>
      <c r="BS143" s="144">
        <f t="shared" si="97"/>
        <v>4.0010744023636843E-11</v>
      </c>
      <c r="BT143" s="158">
        <f t="shared" si="115"/>
        <v>7.0194287760766388E-7</v>
      </c>
      <c r="BU143" s="144">
        <f t="shared" si="98"/>
        <v>6.5210367982809557E-8</v>
      </c>
      <c r="BV143" s="158">
        <f t="shared" si="116"/>
        <v>3.1655518438257065E-6</v>
      </c>
    </row>
    <row r="144" spans="20:74">
      <c r="T144" s="53" t="s">
        <v>105</v>
      </c>
      <c r="U144" s="53" t="s">
        <v>106</v>
      </c>
      <c r="V144" s="155" t="s">
        <v>339</v>
      </c>
      <c r="W144" s="53">
        <v>0.25812800000000002</v>
      </c>
      <c r="X144" s="53">
        <v>34.720103999999999</v>
      </c>
      <c r="Y144" s="53" t="s">
        <v>372</v>
      </c>
      <c r="Z144" s="53" t="s">
        <v>330</v>
      </c>
      <c r="AA144" s="116" t="s">
        <v>347</v>
      </c>
      <c r="AB144" s="154" t="s">
        <v>371</v>
      </c>
      <c r="AC144" s="116" t="s">
        <v>687</v>
      </c>
      <c r="AD144" s="53" t="s">
        <v>368</v>
      </c>
      <c r="AE144" s="53" t="s">
        <v>684</v>
      </c>
      <c r="AF144" s="53" t="s">
        <v>683</v>
      </c>
      <c r="AG144" s="156">
        <v>25.5</v>
      </c>
      <c r="AH144" s="157">
        <v>33.299999999999997</v>
      </c>
      <c r="AI144" s="75">
        <v>0.32069999999999999</v>
      </c>
      <c r="AJ144" s="157">
        <v>1071.9000000000001</v>
      </c>
      <c r="AK144" s="156">
        <v>0.14099999999999999</v>
      </c>
      <c r="AL144" s="157">
        <v>172.95</v>
      </c>
      <c r="AM144" s="144">
        <f t="shared" si="81"/>
        <v>3.2602739726027394E-4</v>
      </c>
      <c r="AN144" s="158">
        <f t="shared" si="99"/>
        <v>1.08675799086758</v>
      </c>
      <c r="AO144" s="144">
        <f t="shared" si="82"/>
        <v>4.2575342465753409E-4</v>
      </c>
      <c r="AP144" s="158">
        <f t="shared" si="100"/>
        <v>0.11826484018264836</v>
      </c>
      <c r="AQ144" s="144">
        <f t="shared" si="83"/>
        <v>4.1002739726027389E-6</v>
      </c>
      <c r="AR144" s="158">
        <f t="shared" si="101"/>
        <v>1.3667579908675797E-2</v>
      </c>
      <c r="AS144" s="144">
        <f t="shared" si="84"/>
        <v>1.3704657534246578E-2</v>
      </c>
      <c r="AT144" s="158">
        <f t="shared" si="102"/>
        <v>4.5682191780821926</v>
      </c>
      <c r="AU144" s="144">
        <f t="shared" si="85"/>
        <v>1.8027397260273967E-6</v>
      </c>
      <c r="AV144" s="158">
        <f t="shared" si="103"/>
        <v>3.6054794520547933E-3</v>
      </c>
      <c r="AW144" s="144">
        <f t="shared" si="86"/>
        <v>2.2112328767123286E-3</v>
      </c>
      <c r="AX144" s="158">
        <f t="shared" si="104"/>
        <v>0.11056164383561642</v>
      </c>
      <c r="AY144" s="144">
        <f t="shared" si="87"/>
        <v>5.8469753424657536E-6</v>
      </c>
      <c r="AZ144" s="144">
        <f t="shared" si="105"/>
        <v>1.9489917808219182E-2</v>
      </c>
      <c r="BA144" s="144">
        <f t="shared" si="88"/>
        <v>2.5451539726027397E-7</v>
      </c>
      <c r="BB144" s="158">
        <f t="shared" si="106"/>
        <v>7.2718684931506847E-5</v>
      </c>
      <c r="BC144" s="144">
        <f t="shared" si="89"/>
        <v>2.4511437808219174E-9</v>
      </c>
      <c r="BD144" s="158">
        <f t="shared" si="107"/>
        <v>8.1704792694063929E-6</v>
      </c>
      <c r="BE144" s="144">
        <f t="shared" si="90"/>
        <v>8.192644273972604E-6</v>
      </c>
      <c r="BF144" s="158">
        <f t="shared" si="108"/>
        <v>1.6385288547945207E-3</v>
      </c>
      <c r="BG144" s="144">
        <f t="shared" si="91"/>
        <v>1.0776778082191779E-9</v>
      </c>
      <c r="BH144" s="158">
        <f t="shared" si="109"/>
        <v>2.1553556164383557E-6</v>
      </c>
      <c r="BI144" s="144">
        <f t="shared" si="92"/>
        <v>1.3218750136986303E-6</v>
      </c>
      <c r="BJ144" s="158">
        <f t="shared" si="110"/>
        <v>2.3604910958904113E-4</v>
      </c>
      <c r="BK144" s="144">
        <f t="shared" si="93"/>
        <v>9.1095890410958911E-9</v>
      </c>
      <c r="BL144" s="158">
        <f t="shared" si="111"/>
        <v>3.0365296803652973E-5</v>
      </c>
      <c r="BM144" s="144">
        <f t="shared" si="94"/>
        <v>1.1896051571313453E-8</v>
      </c>
      <c r="BN144" s="158">
        <f t="shared" si="112"/>
        <v>3.3795601054867765E-6</v>
      </c>
      <c r="BO144" s="144">
        <f t="shared" si="95"/>
        <v>1.1456647864625301E-10</v>
      </c>
      <c r="BP144" s="158">
        <f t="shared" si="113"/>
        <v>1.332168356351779E-6</v>
      </c>
      <c r="BQ144" s="144">
        <f t="shared" si="96"/>
        <v>3.8292425463336017E-7</v>
      </c>
      <c r="BR144" s="158">
        <f t="shared" si="114"/>
        <v>1.2764141821112004E-2</v>
      </c>
      <c r="BS144" s="144">
        <f t="shared" si="97"/>
        <v>5.0370668815471387E-11</v>
      </c>
      <c r="BT144" s="158">
        <f t="shared" si="115"/>
        <v>8.8369594413107688E-7</v>
      </c>
      <c r="BU144" s="144">
        <f t="shared" si="98"/>
        <v>6.1784448025785645E-8</v>
      </c>
      <c r="BV144" s="158">
        <f t="shared" si="116"/>
        <v>2.9992450497954197E-6</v>
      </c>
    </row>
    <row r="145" spans="20:74">
      <c r="T145" s="53" t="s">
        <v>107</v>
      </c>
      <c r="U145" s="53" t="s">
        <v>108</v>
      </c>
      <c r="V145" s="155" t="s">
        <v>339</v>
      </c>
      <c r="W145" s="53">
        <v>0.26020300000000002</v>
      </c>
      <c r="X145" s="53">
        <v>34.719721</v>
      </c>
      <c r="Y145" s="53" t="s">
        <v>372</v>
      </c>
      <c r="Z145" s="53" t="s">
        <v>330</v>
      </c>
      <c r="AA145" s="116" t="s">
        <v>347</v>
      </c>
      <c r="AB145" s="154" t="s">
        <v>371</v>
      </c>
      <c r="AC145" s="116" t="s">
        <v>687</v>
      </c>
      <c r="AD145" s="53" t="s">
        <v>366</v>
      </c>
      <c r="AE145" s="53" t="s">
        <v>684</v>
      </c>
      <c r="AF145" s="53" t="s">
        <v>683</v>
      </c>
      <c r="AG145" s="156">
        <v>10.8</v>
      </c>
      <c r="AH145" s="157">
        <v>18.399999999999999</v>
      </c>
      <c r="AI145" s="75">
        <v>0.15060000000000001</v>
      </c>
      <c r="AJ145" s="157">
        <v>718.2</v>
      </c>
      <c r="AK145" s="156">
        <v>0.104</v>
      </c>
      <c r="AL145" s="157">
        <v>140.78</v>
      </c>
      <c r="AM145" s="144">
        <f t="shared" si="81"/>
        <v>1.3808219178082189E-4</v>
      </c>
      <c r="AN145" s="158">
        <f t="shared" si="99"/>
        <v>0.46027397260273967</v>
      </c>
      <c r="AO145" s="144">
        <f t="shared" si="82"/>
        <v>2.3525114155251135E-4</v>
      </c>
      <c r="AP145" s="158">
        <f t="shared" si="100"/>
        <v>6.5347539320142048E-2</v>
      </c>
      <c r="AQ145" s="144">
        <f t="shared" si="83"/>
        <v>1.9254794520547946E-6</v>
      </c>
      <c r="AR145" s="158">
        <f t="shared" si="101"/>
        <v>6.4182648401826491E-3</v>
      </c>
      <c r="AS145" s="144">
        <f t="shared" si="84"/>
        <v>9.1824657534246585E-3</v>
      </c>
      <c r="AT145" s="158">
        <f t="shared" si="102"/>
        <v>3.0608219178082194</v>
      </c>
      <c r="AU145" s="144">
        <f t="shared" si="85"/>
        <v>1.3296803652968035E-6</v>
      </c>
      <c r="AV145" s="158">
        <f t="shared" si="103"/>
        <v>2.6593607305936068E-3</v>
      </c>
      <c r="AW145" s="144">
        <f t="shared" si="86"/>
        <v>1.7999269406392693E-3</v>
      </c>
      <c r="AX145" s="158">
        <f t="shared" si="104"/>
        <v>8.9996347031963464E-2</v>
      </c>
      <c r="AY145" s="144">
        <f t="shared" si="87"/>
        <v>2.4763660273972604E-6</v>
      </c>
      <c r="AZ145" s="144">
        <f t="shared" si="105"/>
        <v>8.2545534246575361E-3</v>
      </c>
      <c r="BA145" s="144">
        <f t="shared" si="88"/>
        <v>1.4063313242009133E-7</v>
      </c>
      <c r="BB145" s="158">
        <f t="shared" si="106"/>
        <v>4.0180894977168952E-5</v>
      </c>
      <c r="BC145" s="144">
        <f t="shared" si="89"/>
        <v>1.1510516164383562E-9</v>
      </c>
      <c r="BD145" s="158">
        <f t="shared" si="107"/>
        <v>3.8368387214611879E-6</v>
      </c>
      <c r="BE145" s="144">
        <f t="shared" si="90"/>
        <v>5.4892780273972611E-6</v>
      </c>
      <c r="BF145" s="158">
        <f t="shared" si="108"/>
        <v>1.0978556054794522E-3</v>
      </c>
      <c r="BG145" s="144">
        <f t="shared" si="91"/>
        <v>7.9488292237442911E-10</v>
      </c>
      <c r="BH145" s="158">
        <f t="shared" si="109"/>
        <v>1.5897658447488582E-6</v>
      </c>
      <c r="BI145" s="144">
        <f t="shared" si="92"/>
        <v>1.0759963251141551E-6</v>
      </c>
      <c r="BJ145" s="158">
        <f t="shared" si="110"/>
        <v>1.9214220091324198E-4</v>
      </c>
      <c r="BK145" s="144">
        <f t="shared" si="93"/>
        <v>3.8581788879935533E-9</v>
      </c>
      <c r="BL145" s="158">
        <f t="shared" si="111"/>
        <v>1.2860596293311846E-5</v>
      </c>
      <c r="BM145" s="144">
        <f t="shared" si="94"/>
        <v>6.5731936610260529E-9</v>
      </c>
      <c r="BN145" s="158">
        <f t="shared" si="112"/>
        <v>1.8673845627914922E-6</v>
      </c>
      <c r="BO145" s="144">
        <f t="shared" si="95"/>
        <v>5.3800161160354552E-11</v>
      </c>
      <c r="BP145" s="158">
        <f t="shared" si="113"/>
        <v>6.2558326930644823E-7</v>
      </c>
      <c r="BQ145" s="144">
        <f t="shared" si="96"/>
        <v>2.5656889605157133E-7</v>
      </c>
      <c r="BR145" s="158">
        <f t="shared" si="114"/>
        <v>8.5522965350523766E-3</v>
      </c>
      <c r="BS145" s="144">
        <f t="shared" si="97"/>
        <v>3.715283373623422E-11</v>
      </c>
      <c r="BT145" s="158">
        <f t="shared" si="115"/>
        <v>6.5180410063568806E-7</v>
      </c>
      <c r="BU145" s="144">
        <f t="shared" si="98"/>
        <v>5.0292076282567818E-8</v>
      </c>
      <c r="BV145" s="158">
        <f t="shared" si="116"/>
        <v>2.4413629263382436E-6</v>
      </c>
    </row>
    <row r="146" spans="20:74">
      <c r="T146" s="53" t="s">
        <v>109</v>
      </c>
      <c r="U146" s="53" t="s">
        <v>110</v>
      </c>
      <c r="V146" s="155" t="s">
        <v>339</v>
      </c>
      <c r="W146" s="53">
        <v>0.26076500000000002</v>
      </c>
      <c r="X146" s="53">
        <v>34.720081</v>
      </c>
      <c r="Y146" s="53" t="s">
        <v>372</v>
      </c>
      <c r="Z146" s="53" t="s">
        <v>330</v>
      </c>
      <c r="AA146" s="116" t="s">
        <v>347</v>
      </c>
      <c r="AB146" s="154" t="s">
        <v>371</v>
      </c>
      <c r="AC146" s="116" t="s">
        <v>687</v>
      </c>
      <c r="AD146" s="53" t="s">
        <v>361</v>
      </c>
      <c r="AE146" s="53" t="s">
        <v>685</v>
      </c>
      <c r="AF146" s="53" t="s">
        <v>690</v>
      </c>
      <c r="AG146" s="156">
        <v>95.9</v>
      </c>
      <c r="AH146" s="157">
        <v>24.8</v>
      </c>
      <c r="AI146" s="75">
        <v>4.4837199999999999</v>
      </c>
      <c r="AJ146" s="157">
        <v>1005</v>
      </c>
      <c r="AK146" s="156">
        <v>0.124</v>
      </c>
      <c r="AL146" s="157">
        <v>239.98</v>
      </c>
      <c r="AM146" s="144">
        <f t="shared" si="81"/>
        <v>1.2261187214611872E-3</v>
      </c>
      <c r="AN146" s="158">
        <f t="shared" si="99"/>
        <v>4.0870624048706246</v>
      </c>
      <c r="AO146" s="144">
        <f t="shared" si="82"/>
        <v>3.1707762557077625E-4</v>
      </c>
      <c r="AP146" s="158">
        <f t="shared" si="100"/>
        <v>8.8077118214104522E-2</v>
      </c>
      <c r="AQ146" s="144">
        <f t="shared" si="83"/>
        <v>5.7326100456621008E-5</v>
      </c>
      <c r="AR146" s="158">
        <f t="shared" si="101"/>
        <v>0.19108700152207003</v>
      </c>
      <c r="AS146" s="144">
        <f t="shared" si="84"/>
        <v>1.284931506849315E-2</v>
      </c>
      <c r="AT146" s="158">
        <f t="shared" si="102"/>
        <v>4.2831050228310499</v>
      </c>
      <c r="AU146" s="144">
        <f t="shared" si="85"/>
        <v>1.5853881278538811E-6</v>
      </c>
      <c r="AV146" s="158">
        <f t="shared" si="103"/>
        <v>3.170776255707762E-3</v>
      </c>
      <c r="AW146" s="144">
        <f t="shared" si="86"/>
        <v>3.0682374429223747E-3</v>
      </c>
      <c r="AX146" s="158">
        <f t="shared" si="104"/>
        <v>0.15341187214611873</v>
      </c>
      <c r="AY146" s="144">
        <f t="shared" si="87"/>
        <v>2.198921315068493E-5</v>
      </c>
      <c r="AZ146" s="144">
        <f t="shared" si="105"/>
        <v>7.3297377168949768E-2</v>
      </c>
      <c r="BA146" s="144">
        <f t="shared" si="88"/>
        <v>1.8954900456621004E-7</v>
      </c>
      <c r="BB146" s="158">
        <f t="shared" si="106"/>
        <v>5.4156858447488578E-5</v>
      </c>
      <c r="BC146" s="144">
        <f t="shared" si="89"/>
        <v>3.4269542852968036E-8</v>
      </c>
      <c r="BD146" s="158">
        <f t="shared" si="107"/>
        <v>1.1423180950989347E-4</v>
      </c>
      <c r="BE146" s="144">
        <f t="shared" si="90"/>
        <v>7.6813205479452072E-6</v>
      </c>
      <c r="BF146" s="158">
        <f t="shared" si="108"/>
        <v>1.5362641095890415E-3</v>
      </c>
      <c r="BG146" s="144">
        <f t="shared" si="91"/>
        <v>9.4774502283105036E-10</v>
      </c>
      <c r="BH146" s="158">
        <f t="shared" si="109"/>
        <v>1.8954900456621008E-6</v>
      </c>
      <c r="BI146" s="144">
        <f t="shared" si="92"/>
        <v>1.8341923433789954E-6</v>
      </c>
      <c r="BJ146" s="158">
        <f t="shared" si="110"/>
        <v>3.2753434703196348E-4</v>
      </c>
      <c r="BK146" s="144">
        <f t="shared" si="93"/>
        <v>3.4259199570239054E-8</v>
      </c>
      <c r="BL146" s="158">
        <f t="shared" si="111"/>
        <v>1.1419733190079686E-4</v>
      </c>
      <c r="BM146" s="144">
        <f t="shared" si="94"/>
        <v>8.8595218909481603E-9</v>
      </c>
      <c r="BN146" s="158">
        <f t="shared" si="112"/>
        <v>2.5169096281102729E-6</v>
      </c>
      <c r="BO146" s="144">
        <f t="shared" si="95"/>
        <v>1.6017586892291159E-9</v>
      </c>
      <c r="BP146" s="158">
        <f t="shared" si="113"/>
        <v>1.8625101037547858E-5</v>
      </c>
      <c r="BQ146" s="144">
        <f t="shared" si="96"/>
        <v>3.5902497985495567E-7</v>
      </c>
      <c r="BR146" s="158">
        <f t="shared" si="114"/>
        <v>1.1967499328498521E-2</v>
      </c>
      <c r="BS146" s="144">
        <f t="shared" si="97"/>
        <v>4.4297609454740798E-11</v>
      </c>
      <c r="BT146" s="158">
        <f t="shared" si="115"/>
        <v>7.7715104306562803E-7</v>
      </c>
      <c r="BU146" s="144">
        <f t="shared" si="98"/>
        <v>8.5730163846360452E-8</v>
      </c>
      <c r="BV146" s="158">
        <f t="shared" si="116"/>
        <v>4.161658439143711E-6</v>
      </c>
    </row>
    <row r="147" spans="20:74">
      <c r="T147" s="53" t="s">
        <v>111</v>
      </c>
      <c r="U147" s="53" t="s">
        <v>112</v>
      </c>
      <c r="V147" s="155" t="s">
        <v>339</v>
      </c>
      <c r="W147" s="53">
        <v>0.26067699999999999</v>
      </c>
      <c r="X147" s="53">
        <v>34.720677999999999</v>
      </c>
      <c r="Y147" s="53" t="s">
        <v>372</v>
      </c>
      <c r="Z147" s="53" t="s">
        <v>330</v>
      </c>
      <c r="AA147" s="116" t="s">
        <v>347</v>
      </c>
      <c r="AB147" s="154" t="s">
        <v>371</v>
      </c>
      <c r="AC147" s="116" t="s">
        <v>687</v>
      </c>
      <c r="AD147" s="53" t="s">
        <v>365</v>
      </c>
      <c r="AE147" s="53" t="s">
        <v>685</v>
      </c>
      <c r="AF147" s="53" t="s">
        <v>691</v>
      </c>
      <c r="AG147" s="156">
        <v>45.2</v>
      </c>
      <c r="AH147" s="157">
        <v>32.700000000000003</v>
      </c>
      <c r="AI147" s="75">
        <v>0.94225999999999999</v>
      </c>
      <c r="AJ147" s="157">
        <v>691.9</v>
      </c>
      <c r="AK147" s="156">
        <v>9.7000000000000003E-2</v>
      </c>
      <c r="AL147" s="157">
        <v>111.8</v>
      </c>
      <c r="AM147" s="144">
        <f t="shared" si="81"/>
        <v>5.7789954337899533E-4</v>
      </c>
      <c r="AN147" s="158">
        <f t="shared" si="99"/>
        <v>1.9263318112633179</v>
      </c>
      <c r="AO147" s="144">
        <f t="shared" si="82"/>
        <v>4.1808219178082203E-4</v>
      </c>
      <c r="AP147" s="158">
        <f t="shared" si="100"/>
        <v>0.11613394216133946</v>
      </c>
      <c r="AQ147" s="144">
        <f t="shared" si="83"/>
        <v>1.2047159817351595E-5</v>
      </c>
      <c r="AR147" s="158">
        <f t="shared" si="101"/>
        <v>4.0157199391171988E-2</v>
      </c>
      <c r="AS147" s="144">
        <f t="shared" si="84"/>
        <v>8.846210045662101E-3</v>
      </c>
      <c r="AT147" s="158">
        <f t="shared" si="102"/>
        <v>2.9487366818873668</v>
      </c>
      <c r="AU147" s="144">
        <f t="shared" si="85"/>
        <v>1.2401826484018267E-6</v>
      </c>
      <c r="AV147" s="158">
        <f t="shared" si="103"/>
        <v>2.4803652968036533E-3</v>
      </c>
      <c r="AW147" s="144">
        <f t="shared" si="86"/>
        <v>1.4294063926940637E-3</v>
      </c>
      <c r="AX147" s="158">
        <f t="shared" si="104"/>
        <v>7.1470319634703183E-2</v>
      </c>
      <c r="AY147" s="144">
        <f t="shared" si="87"/>
        <v>1.0364050410958905E-5</v>
      </c>
      <c r="AZ147" s="144">
        <f t="shared" si="105"/>
        <v>3.4546834703196354E-2</v>
      </c>
      <c r="BA147" s="144">
        <f t="shared" si="88"/>
        <v>2.4992953424657544E-7</v>
      </c>
      <c r="BB147" s="158">
        <f t="shared" si="106"/>
        <v>7.1408438356164415E-5</v>
      </c>
      <c r="BC147" s="144">
        <f t="shared" si="89"/>
        <v>7.2017921388127864E-9</v>
      </c>
      <c r="BD147" s="158">
        <f t="shared" si="107"/>
        <v>2.4005973796042624E-5</v>
      </c>
      <c r="BE147" s="144">
        <f t="shared" si="90"/>
        <v>5.2882643652968038E-6</v>
      </c>
      <c r="BF147" s="158">
        <f t="shared" si="108"/>
        <v>1.0576528730593608E-3</v>
      </c>
      <c r="BG147" s="144">
        <f t="shared" si="91"/>
        <v>7.4138118721461208E-10</v>
      </c>
      <c r="BH147" s="158">
        <f t="shared" si="109"/>
        <v>1.4827623744292241E-6</v>
      </c>
      <c r="BI147" s="144">
        <f t="shared" si="92"/>
        <v>8.5449914155251143E-7</v>
      </c>
      <c r="BJ147" s="158">
        <f t="shared" si="110"/>
        <v>1.5258913242009132E-4</v>
      </c>
      <c r="BK147" s="144">
        <f t="shared" si="93"/>
        <v>1.6147193123824872E-8</v>
      </c>
      <c r="BL147" s="158">
        <f t="shared" si="111"/>
        <v>5.3823977079416246E-5</v>
      </c>
      <c r="BM147" s="144">
        <f t="shared" si="94"/>
        <v>1.1681708299758259E-8</v>
      </c>
      <c r="BN147" s="158">
        <f t="shared" si="112"/>
        <v>3.3186671306131418E-6</v>
      </c>
      <c r="BO147" s="144">
        <f t="shared" si="95"/>
        <v>3.3661181842600054E-10</v>
      </c>
      <c r="BP147" s="158">
        <f t="shared" si="113"/>
        <v>3.9140909119302388E-6</v>
      </c>
      <c r="BQ147" s="144">
        <f t="shared" si="96"/>
        <v>2.4717351598173512E-7</v>
      </c>
      <c r="BR147" s="158">
        <f t="shared" si="114"/>
        <v>8.2391171993911709E-3</v>
      </c>
      <c r="BS147" s="144">
        <f t="shared" si="97"/>
        <v>3.4652162234756913E-11</v>
      </c>
      <c r="BT147" s="158">
        <f t="shared" si="115"/>
        <v>6.0793267078520893E-7</v>
      </c>
      <c r="BU147" s="144">
        <f t="shared" si="98"/>
        <v>3.9939296266451789E-8</v>
      </c>
      <c r="BV147" s="158">
        <f t="shared" si="116"/>
        <v>1.9388007896335821E-6</v>
      </c>
    </row>
    <row r="148" spans="20:74">
      <c r="T148" s="53" t="s">
        <v>113</v>
      </c>
      <c r="U148" s="53" t="s">
        <v>114</v>
      </c>
      <c r="V148" s="155" t="s">
        <v>339</v>
      </c>
      <c r="W148" s="53">
        <v>0.26076500000000002</v>
      </c>
      <c r="X148" s="53">
        <v>34.720081</v>
      </c>
      <c r="Y148" s="53" t="s">
        <v>372</v>
      </c>
      <c r="Z148" s="53" t="s">
        <v>330</v>
      </c>
      <c r="AA148" s="116" t="s">
        <v>347</v>
      </c>
      <c r="AB148" s="154" t="s">
        <v>371</v>
      </c>
      <c r="AC148" s="116" t="s">
        <v>687</v>
      </c>
      <c r="AD148" s="53" t="s">
        <v>366</v>
      </c>
      <c r="AE148" s="53" t="s">
        <v>684</v>
      </c>
      <c r="AF148" s="53" t="s">
        <v>683</v>
      </c>
      <c r="AG148" s="156">
        <v>16.399999999999999</v>
      </c>
      <c r="AH148" s="157">
        <v>50.7</v>
      </c>
      <c r="AI148" s="75">
        <v>1.03304</v>
      </c>
      <c r="AJ148" s="157">
        <v>1413</v>
      </c>
      <c r="AK148" s="156">
        <v>0.12</v>
      </c>
      <c r="AL148" s="157">
        <v>215.62</v>
      </c>
      <c r="AM148" s="144">
        <f t="shared" si="81"/>
        <v>2.0968036529680359E-4</v>
      </c>
      <c r="AN148" s="158">
        <f t="shared" si="99"/>
        <v>0.69893455098934532</v>
      </c>
      <c r="AO148" s="144">
        <f t="shared" si="82"/>
        <v>6.482191780821918E-4</v>
      </c>
      <c r="AP148" s="158">
        <f t="shared" si="100"/>
        <v>0.18006088280060883</v>
      </c>
      <c r="AQ148" s="144">
        <f t="shared" si="83"/>
        <v>1.3207817351598173E-5</v>
      </c>
      <c r="AR148" s="158">
        <f t="shared" si="101"/>
        <v>4.4026057838660579E-2</v>
      </c>
      <c r="AS148" s="144">
        <f t="shared" si="84"/>
        <v>1.8065753424657532E-2</v>
      </c>
      <c r="AT148" s="158">
        <f t="shared" si="102"/>
        <v>6.0219178082191771</v>
      </c>
      <c r="AU148" s="144">
        <f t="shared" si="85"/>
        <v>1.5342465753424657E-6</v>
      </c>
      <c r="AV148" s="158">
        <f t="shared" si="103"/>
        <v>3.0684931506849314E-3</v>
      </c>
      <c r="AW148" s="144">
        <f t="shared" si="86"/>
        <v>2.756785388127854E-3</v>
      </c>
      <c r="AX148" s="158">
        <f t="shared" si="104"/>
        <v>0.13783926940639268</v>
      </c>
      <c r="AY148" s="144">
        <f t="shared" si="87"/>
        <v>3.760407671232876E-6</v>
      </c>
      <c r="AZ148" s="144">
        <f t="shared" si="105"/>
        <v>1.2534692237442921E-2</v>
      </c>
      <c r="BA148" s="144">
        <f t="shared" si="88"/>
        <v>3.8750542465753424E-7</v>
      </c>
      <c r="BB148" s="158">
        <f t="shared" si="106"/>
        <v>1.1071583561643835E-4</v>
      </c>
      <c r="BC148" s="144">
        <f t="shared" si="89"/>
        <v>7.8956332127853872E-9</v>
      </c>
      <c r="BD148" s="158">
        <f t="shared" si="107"/>
        <v>2.6318777375951294E-5</v>
      </c>
      <c r="BE148" s="144">
        <f t="shared" si="90"/>
        <v>1.0799707397260273E-5</v>
      </c>
      <c r="BF148" s="158">
        <f t="shared" si="108"/>
        <v>2.1599414794520547E-3</v>
      </c>
      <c r="BG148" s="144">
        <f t="shared" si="91"/>
        <v>9.1717260273972615E-10</v>
      </c>
      <c r="BH148" s="158">
        <f t="shared" si="109"/>
        <v>1.8343452054794523E-6</v>
      </c>
      <c r="BI148" s="144">
        <f t="shared" si="92"/>
        <v>1.6480063050228312E-6</v>
      </c>
      <c r="BJ148" s="158">
        <f t="shared" si="110"/>
        <v>2.9428684018264844E-4</v>
      </c>
      <c r="BK148" s="144">
        <f t="shared" si="93"/>
        <v>5.8587160891753948E-9</v>
      </c>
      <c r="BL148" s="158">
        <f t="shared" si="111"/>
        <v>1.9529053630584652E-5</v>
      </c>
      <c r="BM148" s="144">
        <f t="shared" si="94"/>
        <v>1.8112006446414182E-8</v>
      </c>
      <c r="BN148" s="158">
        <f t="shared" si="112"/>
        <v>5.1454563768222109E-6</v>
      </c>
      <c r="BO148" s="144">
        <f t="shared" si="95"/>
        <v>3.6904195541230189E-10</v>
      </c>
      <c r="BP148" s="158">
        <f t="shared" si="113"/>
        <v>4.2911855280500221E-6</v>
      </c>
      <c r="BQ148" s="144">
        <f t="shared" si="96"/>
        <v>5.047784045124898E-7</v>
      </c>
      <c r="BR148" s="158">
        <f t="shared" si="114"/>
        <v>1.6825946817082993E-2</v>
      </c>
      <c r="BS148" s="144">
        <f t="shared" si="97"/>
        <v>4.286865431103948E-11</v>
      </c>
      <c r="BT148" s="158">
        <f t="shared" si="115"/>
        <v>7.5208165457963991E-7</v>
      </c>
      <c r="BU148" s="144">
        <f t="shared" si="98"/>
        <v>7.7027827021219447E-8</v>
      </c>
      <c r="BV148" s="158">
        <f t="shared" si="116"/>
        <v>3.7392149039426914E-6</v>
      </c>
    </row>
    <row r="149" spans="20:74">
      <c r="T149" s="53" t="s">
        <v>115</v>
      </c>
      <c r="U149" s="53" t="s">
        <v>116</v>
      </c>
      <c r="V149" s="155" t="s">
        <v>339</v>
      </c>
      <c r="W149" s="53">
        <v>0.256575</v>
      </c>
      <c r="X149" s="53">
        <v>34.722569999999997</v>
      </c>
      <c r="Y149" s="53" t="s">
        <v>372</v>
      </c>
      <c r="Z149" s="53" t="s">
        <v>330</v>
      </c>
      <c r="AA149" s="116" t="s">
        <v>347</v>
      </c>
      <c r="AB149" s="154" t="s">
        <v>371</v>
      </c>
      <c r="AC149" s="116" t="s">
        <v>687</v>
      </c>
      <c r="AD149" s="53" t="s">
        <v>365</v>
      </c>
      <c r="AE149" s="53" t="s">
        <v>685</v>
      </c>
      <c r="AF149" s="53" t="s">
        <v>691</v>
      </c>
      <c r="AG149" s="156">
        <v>19.5</v>
      </c>
      <c r="AH149" s="157">
        <v>95.3</v>
      </c>
      <c r="AI149" s="75">
        <v>0.36993999999999999</v>
      </c>
      <c r="AJ149" s="157">
        <v>99.5</v>
      </c>
      <c r="AK149" s="156">
        <v>0.06</v>
      </c>
      <c r="AL149" s="157">
        <v>25.21</v>
      </c>
      <c r="AM149" s="144">
        <f t="shared" si="81"/>
        <v>2.4931506849315067E-4</v>
      </c>
      <c r="AN149" s="158">
        <f t="shared" si="99"/>
        <v>0.83105022831050235</v>
      </c>
      <c r="AO149" s="144">
        <f t="shared" si="82"/>
        <v>1.2184474885844749E-3</v>
      </c>
      <c r="AP149" s="158">
        <f t="shared" si="100"/>
        <v>0.33845763571790971</v>
      </c>
      <c r="AQ149" s="144">
        <f t="shared" si="83"/>
        <v>4.7298264840182645E-6</v>
      </c>
      <c r="AR149" s="158">
        <f t="shared" si="101"/>
        <v>1.5766088280060882E-2</v>
      </c>
      <c r="AS149" s="144">
        <f t="shared" si="84"/>
        <v>1.2721461187214611E-3</v>
      </c>
      <c r="AT149" s="158">
        <f t="shared" si="102"/>
        <v>0.42404870624048702</v>
      </c>
      <c r="AU149" s="144">
        <f t="shared" si="85"/>
        <v>7.6712328767123286E-7</v>
      </c>
      <c r="AV149" s="158">
        <f t="shared" si="103"/>
        <v>1.5342465753424657E-3</v>
      </c>
      <c r="AW149" s="144">
        <f t="shared" si="86"/>
        <v>3.2231963470319631E-4</v>
      </c>
      <c r="AX149" s="158">
        <f t="shared" si="104"/>
        <v>1.6115981735159816E-2</v>
      </c>
      <c r="AY149" s="144">
        <f t="shared" si="87"/>
        <v>4.471216438356164E-6</v>
      </c>
      <c r="AZ149" s="144">
        <f t="shared" si="105"/>
        <v>1.4904054794520548E-2</v>
      </c>
      <c r="BA149" s="144">
        <f t="shared" si="88"/>
        <v>7.2838790867579916E-7</v>
      </c>
      <c r="BB149" s="158">
        <f t="shared" si="106"/>
        <v>2.0811083105022832E-4</v>
      </c>
      <c r="BC149" s="144">
        <f t="shared" si="89"/>
        <v>2.8274902721461187E-9</v>
      </c>
      <c r="BD149" s="158">
        <f t="shared" si="107"/>
        <v>9.4249675738203967E-6</v>
      </c>
      <c r="BE149" s="144">
        <f t="shared" si="90"/>
        <v>7.6048894977168958E-7</v>
      </c>
      <c r="BF149" s="158">
        <f t="shared" si="108"/>
        <v>1.5209778995433791E-4</v>
      </c>
      <c r="BG149" s="144">
        <f t="shared" si="91"/>
        <v>4.5858630136986308E-10</v>
      </c>
      <c r="BH149" s="158">
        <f t="shared" si="109"/>
        <v>9.1717260273972617E-7</v>
      </c>
      <c r="BI149" s="144">
        <f t="shared" si="92"/>
        <v>1.9268267762557078E-7</v>
      </c>
      <c r="BJ149" s="158">
        <f t="shared" si="110"/>
        <v>3.4407621004566209E-5</v>
      </c>
      <c r="BK149" s="144">
        <f t="shared" si="93"/>
        <v>6.966156325543915E-9</v>
      </c>
      <c r="BL149" s="158">
        <f t="shared" si="111"/>
        <v>2.3220521085146384E-5</v>
      </c>
      <c r="BM149" s="144">
        <f t="shared" si="94"/>
        <v>3.404485629868386E-8</v>
      </c>
      <c r="BN149" s="158">
        <f t="shared" si="112"/>
        <v>9.6718341757624595E-6</v>
      </c>
      <c r="BO149" s="144">
        <f t="shared" si="95"/>
        <v>1.3215691646521621E-10</v>
      </c>
      <c r="BP149" s="158">
        <f t="shared" si="113"/>
        <v>1.5367083309908862E-6</v>
      </c>
      <c r="BQ149" s="144">
        <f t="shared" si="96"/>
        <v>3.5545259199570238E-8</v>
      </c>
      <c r="BR149" s="158">
        <f t="shared" si="114"/>
        <v>1.1848419733190079E-3</v>
      </c>
      <c r="BS149" s="144">
        <f t="shared" si="97"/>
        <v>2.143432715551974E-11</v>
      </c>
      <c r="BT149" s="158">
        <f t="shared" si="115"/>
        <v>3.7604082728981995E-7</v>
      </c>
      <c r="BU149" s="144">
        <f t="shared" si="98"/>
        <v>9.0059897931775464E-9</v>
      </c>
      <c r="BV149" s="158">
        <f t="shared" si="116"/>
        <v>4.3718397054259936E-7</v>
      </c>
    </row>
    <row r="150" spans="20:74">
      <c r="T150" s="53" t="s">
        <v>117</v>
      </c>
      <c r="U150" s="53" t="s">
        <v>118</v>
      </c>
      <c r="V150" s="155" t="s">
        <v>339</v>
      </c>
      <c r="W150" s="53">
        <v>0.25645200000000001</v>
      </c>
      <c r="X150" s="53">
        <v>34.722082999999998</v>
      </c>
      <c r="Y150" s="53" t="s">
        <v>372</v>
      </c>
      <c r="Z150" s="53" t="s">
        <v>330</v>
      </c>
      <c r="AA150" s="116" t="s">
        <v>347</v>
      </c>
      <c r="AB150" s="154" t="s">
        <v>371</v>
      </c>
      <c r="AC150" s="116" t="s">
        <v>687</v>
      </c>
      <c r="AD150" s="53" t="s">
        <v>365</v>
      </c>
      <c r="AE150" s="53" t="s">
        <v>685</v>
      </c>
      <c r="AF150" s="53" t="s">
        <v>691</v>
      </c>
      <c r="AG150" s="156">
        <v>20.399999999999999</v>
      </c>
      <c r="AH150" s="157">
        <v>76.599999999999994</v>
      </c>
      <c r="AI150" s="75">
        <v>0.84839000000000009</v>
      </c>
      <c r="AJ150" s="157">
        <v>102.6</v>
      </c>
      <c r="AK150" s="156">
        <v>5.0999999999999997E-2</v>
      </c>
      <c r="AL150" s="157">
        <v>28.94</v>
      </c>
      <c r="AM150" s="144">
        <f t="shared" si="81"/>
        <v>2.6082191780821913E-4</v>
      </c>
      <c r="AN150" s="158">
        <f t="shared" si="99"/>
        <v>0.86940639269406383</v>
      </c>
      <c r="AO150" s="144">
        <f t="shared" si="82"/>
        <v>9.7936073059360696E-4</v>
      </c>
      <c r="AP150" s="158">
        <f t="shared" si="100"/>
        <v>0.27204464738711304</v>
      </c>
      <c r="AQ150" s="144">
        <f t="shared" si="83"/>
        <v>1.0846995433789954E-5</v>
      </c>
      <c r="AR150" s="158">
        <f t="shared" si="101"/>
        <v>3.6156651445966519E-2</v>
      </c>
      <c r="AS150" s="144">
        <f t="shared" si="84"/>
        <v>1.3117808219178081E-3</v>
      </c>
      <c r="AT150" s="158">
        <f t="shared" si="102"/>
        <v>0.4372602739726027</v>
      </c>
      <c r="AU150" s="144">
        <f t="shared" si="85"/>
        <v>6.520547945205478E-7</v>
      </c>
      <c r="AV150" s="158">
        <f t="shared" si="103"/>
        <v>1.3041095890410955E-3</v>
      </c>
      <c r="AW150" s="144">
        <f t="shared" si="86"/>
        <v>3.700091324200913E-4</v>
      </c>
      <c r="AX150" s="158">
        <f t="shared" si="104"/>
        <v>1.8500456621004566E-2</v>
      </c>
      <c r="AY150" s="144">
        <f t="shared" si="87"/>
        <v>4.677580273972602E-6</v>
      </c>
      <c r="AZ150" s="144">
        <f t="shared" si="105"/>
        <v>1.5591934246575342E-2</v>
      </c>
      <c r="BA150" s="144">
        <f t="shared" si="88"/>
        <v>5.8546184474885825E-7</v>
      </c>
      <c r="BB150" s="158">
        <f t="shared" si="106"/>
        <v>1.6727481278538806E-4</v>
      </c>
      <c r="BC150" s="144">
        <f t="shared" si="89"/>
        <v>6.4843338703196356E-9</v>
      </c>
      <c r="BD150" s="158">
        <f t="shared" si="107"/>
        <v>2.1614446234398787E-5</v>
      </c>
      <c r="BE150" s="144">
        <f t="shared" si="90"/>
        <v>7.8418257534246584E-7</v>
      </c>
      <c r="BF150" s="158">
        <f t="shared" si="108"/>
        <v>1.5683651506849316E-4</v>
      </c>
      <c r="BG150" s="144">
        <f t="shared" si="91"/>
        <v>3.8979835616438353E-10</v>
      </c>
      <c r="BH150" s="158">
        <f t="shared" si="109"/>
        <v>7.79596712328767E-7</v>
      </c>
      <c r="BI150" s="144">
        <f t="shared" si="92"/>
        <v>2.2119145936073059E-7</v>
      </c>
      <c r="BJ150" s="158">
        <f t="shared" si="110"/>
        <v>3.9498474885844746E-5</v>
      </c>
      <c r="BK150" s="144">
        <f t="shared" si="93"/>
        <v>7.2876712328767127E-9</v>
      </c>
      <c r="BL150" s="158">
        <f t="shared" si="111"/>
        <v>2.4292237442922377E-5</v>
      </c>
      <c r="BM150" s="144">
        <f t="shared" si="94"/>
        <v>2.7364491001880205E-8</v>
      </c>
      <c r="BN150" s="158">
        <f t="shared" si="112"/>
        <v>7.774003125534149E-6</v>
      </c>
      <c r="BO150" s="144">
        <f t="shared" si="95"/>
        <v>3.0307781359118991E-10</v>
      </c>
      <c r="BP150" s="158">
        <f t="shared" si="113"/>
        <v>3.524160623153371E-6</v>
      </c>
      <c r="BQ150" s="144">
        <f t="shared" si="96"/>
        <v>3.6652699435938752E-8</v>
      </c>
      <c r="BR150" s="158">
        <f t="shared" si="114"/>
        <v>1.2217566478646251E-3</v>
      </c>
      <c r="BS150" s="144">
        <f t="shared" si="97"/>
        <v>1.8219178082191777E-11</v>
      </c>
      <c r="BT150" s="158">
        <f t="shared" si="115"/>
        <v>3.1963470319634697E-7</v>
      </c>
      <c r="BU150" s="144">
        <f t="shared" si="98"/>
        <v>1.0338490464679021E-8</v>
      </c>
      <c r="BV150" s="158">
        <f t="shared" si="116"/>
        <v>5.0186846915917579E-7</v>
      </c>
    </row>
    <row r="151" spans="20:74">
      <c r="T151" s="53" t="s">
        <v>119</v>
      </c>
      <c r="U151" s="53" t="s">
        <v>120</v>
      </c>
      <c r="V151" s="155" t="s">
        <v>339</v>
      </c>
      <c r="W151" s="53">
        <v>0.25726700000000002</v>
      </c>
      <c r="X151" s="53">
        <v>34.722675000000002</v>
      </c>
      <c r="Y151" s="53" t="s">
        <v>372</v>
      </c>
      <c r="Z151" s="53" t="s">
        <v>330</v>
      </c>
      <c r="AA151" s="116" t="s">
        <v>347</v>
      </c>
      <c r="AB151" s="154" t="s">
        <v>371</v>
      </c>
      <c r="AC151" s="116" t="s">
        <v>687</v>
      </c>
      <c r="AD151" s="53" t="s">
        <v>366</v>
      </c>
      <c r="AE151" s="53" t="s">
        <v>684</v>
      </c>
      <c r="AF151" s="53" t="s">
        <v>683</v>
      </c>
      <c r="AG151" s="156">
        <v>9.3000000000000007</v>
      </c>
      <c r="AH151" s="157">
        <v>27.7</v>
      </c>
      <c r="AI151" s="75">
        <v>1.8359799999999999</v>
      </c>
      <c r="AJ151" s="157">
        <v>290.5</v>
      </c>
      <c r="AK151" s="156">
        <v>6.2E-2</v>
      </c>
      <c r="AL151" s="157">
        <v>83.97</v>
      </c>
      <c r="AM151" s="144">
        <f t="shared" si="81"/>
        <v>1.1890410958904111E-4</v>
      </c>
      <c r="AN151" s="158">
        <f t="shared" si="99"/>
        <v>0.39634703196347043</v>
      </c>
      <c r="AO151" s="144">
        <f t="shared" si="82"/>
        <v>3.5415525114155253E-4</v>
      </c>
      <c r="AP151" s="158">
        <f t="shared" si="100"/>
        <v>9.8376458650431264E-2</v>
      </c>
      <c r="AQ151" s="144">
        <f t="shared" si="83"/>
        <v>2.3473716894977166E-5</v>
      </c>
      <c r="AR151" s="158">
        <f t="shared" si="101"/>
        <v>7.8245722983257229E-2</v>
      </c>
      <c r="AS151" s="144">
        <f t="shared" si="84"/>
        <v>3.7141552511415522E-3</v>
      </c>
      <c r="AT151" s="158">
        <f t="shared" si="102"/>
        <v>1.2380517503805173</v>
      </c>
      <c r="AU151" s="144">
        <f t="shared" si="85"/>
        <v>7.9269406392694056E-7</v>
      </c>
      <c r="AV151" s="158">
        <f t="shared" si="103"/>
        <v>1.585388127853881E-3</v>
      </c>
      <c r="AW151" s="144">
        <f t="shared" si="86"/>
        <v>1.0735890410958902E-3</v>
      </c>
      <c r="AX151" s="158">
        <f t="shared" si="104"/>
        <v>5.3679452054794505E-2</v>
      </c>
      <c r="AY151" s="144">
        <f t="shared" si="87"/>
        <v>2.132426301369863E-6</v>
      </c>
      <c r="AZ151" s="144">
        <f t="shared" si="105"/>
        <v>7.1080876712328774E-3</v>
      </c>
      <c r="BA151" s="144">
        <f t="shared" si="88"/>
        <v>2.1171400913242009E-7</v>
      </c>
      <c r="BB151" s="158">
        <f t="shared" si="106"/>
        <v>6.0489716894977169E-5</v>
      </c>
      <c r="BC151" s="144">
        <f t="shared" si="89"/>
        <v>1.4032587959817354E-8</v>
      </c>
      <c r="BD151" s="158">
        <f t="shared" si="107"/>
        <v>4.6775293199391183E-5</v>
      </c>
      <c r="BE151" s="144">
        <f t="shared" si="90"/>
        <v>2.2203220091324199E-6</v>
      </c>
      <c r="BF151" s="158">
        <f t="shared" si="108"/>
        <v>4.4406440182648396E-4</v>
      </c>
      <c r="BG151" s="144">
        <f t="shared" si="91"/>
        <v>4.7387251141552518E-10</v>
      </c>
      <c r="BH151" s="158">
        <f t="shared" si="109"/>
        <v>9.4774502283105038E-7</v>
      </c>
      <c r="BI151" s="144">
        <f t="shared" si="92"/>
        <v>6.4179152876712345E-7</v>
      </c>
      <c r="BJ151" s="158">
        <f t="shared" si="110"/>
        <v>1.1460563013698634E-4</v>
      </c>
      <c r="BK151" s="144">
        <f t="shared" si="93"/>
        <v>3.3223207091055607E-9</v>
      </c>
      <c r="BL151" s="158">
        <f t="shared" si="111"/>
        <v>1.1074402363685203E-5</v>
      </c>
      <c r="BM151" s="144">
        <f t="shared" si="94"/>
        <v>9.8955143701316136E-9</v>
      </c>
      <c r="BN151" s="158">
        <f t="shared" si="112"/>
        <v>2.8112256733328447E-6</v>
      </c>
      <c r="BO151" s="144">
        <f t="shared" si="95"/>
        <v>6.5588326618318548E-10</v>
      </c>
      <c r="BP151" s="158">
        <f t="shared" si="113"/>
        <v>7.6265496067812264E-6</v>
      </c>
      <c r="BQ151" s="144">
        <f t="shared" si="96"/>
        <v>1.0377786731130806E-7</v>
      </c>
      <c r="BR151" s="158">
        <f t="shared" si="114"/>
        <v>3.4592622437102684E-3</v>
      </c>
      <c r="BS151" s="144">
        <f t="shared" si="97"/>
        <v>2.2148804727370399E-11</v>
      </c>
      <c r="BT151" s="158">
        <f t="shared" si="115"/>
        <v>3.8857552153281401E-7</v>
      </c>
      <c r="BU151" s="144">
        <f t="shared" si="98"/>
        <v>2.999734085414988E-8</v>
      </c>
      <c r="BV151" s="158">
        <f t="shared" si="116"/>
        <v>1.4561815948616445E-6</v>
      </c>
    </row>
    <row r="152" spans="20:74">
      <c r="T152" s="53" t="s">
        <v>121</v>
      </c>
      <c r="U152" s="53" t="s">
        <v>122</v>
      </c>
      <c r="V152" s="155" t="s">
        <v>339</v>
      </c>
      <c r="W152" s="163">
        <v>0.31583600000000001</v>
      </c>
      <c r="X152" s="163">
        <v>34.649163999999999</v>
      </c>
      <c r="Y152" s="163" t="s">
        <v>350</v>
      </c>
      <c r="Z152" s="53" t="s">
        <v>330</v>
      </c>
      <c r="AA152" s="116" t="s">
        <v>347</v>
      </c>
      <c r="AB152" s="154" t="s">
        <v>371</v>
      </c>
      <c r="AC152" s="39" t="s">
        <v>688</v>
      </c>
      <c r="AD152" s="53" t="s">
        <v>369</v>
      </c>
      <c r="AE152" s="53" t="s">
        <v>685</v>
      </c>
      <c r="AF152" s="53" t="s">
        <v>691</v>
      </c>
      <c r="AG152" s="156">
        <v>19.7</v>
      </c>
      <c r="AH152" s="157">
        <v>93.4</v>
      </c>
      <c r="AI152" s="75">
        <v>4.2978700000000005</v>
      </c>
      <c r="AJ152" s="157">
        <v>138.19999999999999</v>
      </c>
      <c r="AK152" s="156">
        <v>0.14099999999999999</v>
      </c>
      <c r="AL152" s="157">
        <v>51.9</v>
      </c>
      <c r="AM152" s="144">
        <f t="shared" si="81"/>
        <v>2.5187214611872144E-4</v>
      </c>
      <c r="AN152" s="158">
        <f t="shared" si="99"/>
        <v>0.83957382039573825</v>
      </c>
      <c r="AO152" s="144">
        <f t="shared" si="82"/>
        <v>1.1941552511415526E-3</v>
      </c>
      <c r="AP152" s="158">
        <f t="shared" si="100"/>
        <v>0.3317097919837646</v>
      </c>
      <c r="AQ152" s="144">
        <f t="shared" si="83"/>
        <v>5.4949936073059362E-5</v>
      </c>
      <c r="AR152" s="158">
        <f t="shared" si="101"/>
        <v>0.18316645357686456</v>
      </c>
      <c r="AS152" s="144">
        <f t="shared" si="84"/>
        <v>1.7669406392694059E-3</v>
      </c>
      <c r="AT152" s="158">
        <f t="shared" si="102"/>
        <v>0.58898021308980197</v>
      </c>
      <c r="AU152" s="144">
        <f t="shared" si="85"/>
        <v>1.8027397260273967E-6</v>
      </c>
      <c r="AV152" s="158">
        <f t="shared" si="103"/>
        <v>3.6054794520547933E-3</v>
      </c>
      <c r="AW152" s="144">
        <f t="shared" si="86"/>
        <v>6.6356164383561634E-4</v>
      </c>
      <c r="AX152" s="158">
        <f t="shared" si="104"/>
        <v>3.3178082191780818E-2</v>
      </c>
      <c r="AY152" s="144">
        <f t="shared" si="87"/>
        <v>4.5170750684931512E-6</v>
      </c>
      <c r="AZ152" s="144">
        <f t="shared" si="105"/>
        <v>1.5056916894977172E-2</v>
      </c>
      <c r="BA152" s="144">
        <f t="shared" si="88"/>
        <v>7.1386600913242016E-7</v>
      </c>
      <c r="BB152" s="158">
        <f t="shared" si="106"/>
        <v>2.0396171689497717E-4</v>
      </c>
      <c r="BC152" s="144">
        <f t="shared" si="89"/>
        <v>3.284907178447489E-8</v>
      </c>
      <c r="BD152" s="158">
        <f t="shared" si="107"/>
        <v>1.0949690594824964E-4</v>
      </c>
      <c r="BE152" s="144">
        <f t="shared" si="90"/>
        <v>1.0562771141552509E-6</v>
      </c>
      <c r="BF152" s="158">
        <f t="shared" si="108"/>
        <v>2.1125542283105018E-4</v>
      </c>
      <c r="BG152" s="144">
        <f t="shared" si="91"/>
        <v>1.0776778082191779E-9</v>
      </c>
      <c r="BH152" s="158">
        <f t="shared" si="109"/>
        <v>2.1553556164383557E-6</v>
      </c>
      <c r="BI152" s="144">
        <f t="shared" si="92"/>
        <v>3.9667715068493155E-7</v>
      </c>
      <c r="BJ152" s="158">
        <f t="shared" si="110"/>
        <v>7.0835205479452066E-5</v>
      </c>
      <c r="BK152" s="144">
        <f t="shared" si="93"/>
        <v>7.0376040827289819E-9</v>
      </c>
      <c r="BL152" s="158">
        <f t="shared" si="111"/>
        <v>2.3458680275763277E-5</v>
      </c>
      <c r="BM152" s="144">
        <f t="shared" si="94"/>
        <v>3.3366102605425734E-8</v>
      </c>
      <c r="BN152" s="158">
        <f t="shared" si="112"/>
        <v>9.4790064219959478E-6</v>
      </c>
      <c r="BO152" s="144">
        <f t="shared" si="95"/>
        <v>1.5353658608648939E-9</v>
      </c>
      <c r="BP152" s="158">
        <f t="shared" si="113"/>
        <v>1.7853091405405743E-5</v>
      </c>
      <c r="BQ152" s="144">
        <f t="shared" si="96"/>
        <v>4.9370400214880473E-8</v>
      </c>
      <c r="BR152" s="158">
        <f t="shared" si="114"/>
        <v>1.6456800071626824E-3</v>
      </c>
      <c r="BS152" s="144">
        <f t="shared" si="97"/>
        <v>5.0370668815471387E-11</v>
      </c>
      <c r="BT152" s="158">
        <f t="shared" si="115"/>
        <v>8.8369594413107688E-7</v>
      </c>
      <c r="BU152" s="144">
        <f t="shared" si="98"/>
        <v>1.8540692989524577E-8</v>
      </c>
      <c r="BV152" s="158">
        <f t="shared" si="116"/>
        <v>9.0003364026818335E-7</v>
      </c>
    </row>
    <row r="153" spans="20:74">
      <c r="T153" s="53" t="s">
        <v>123</v>
      </c>
      <c r="U153" s="53" t="s">
        <v>124</v>
      </c>
      <c r="V153" s="155" t="s">
        <v>339</v>
      </c>
      <c r="W153" s="163">
        <v>0.31583600000000001</v>
      </c>
      <c r="X153" s="163">
        <v>34.649163999999999</v>
      </c>
      <c r="Y153" s="163" t="s">
        <v>350</v>
      </c>
      <c r="Z153" s="161" t="s">
        <v>330</v>
      </c>
      <c r="AA153" s="116" t="s">
        <v>347</v>
      </c>
      <c r="AB153" s="154" t="s">
        <v>371</v>
      </c>
      <c r="AC153" s="39" t="s">
        <v>688</v>
      </c>
      <c r="AD153" s="53" t="s">
        <v>369</v>
      </c>
      <c r="AE153" s="53" t="s">
        <v>685</v>
      </c>
      <c r="AF153" s="53" t="s">
        <v>691</v>
      </c>
      <c r="AG153" s="156">
        <v>454</v>
      </c>
      <c r="AH153" s="157">
        <v>131.4</v>
      </c>
      <c r="AI153" s="75">
        <v>0.27227999999999997</v>
      </c>
      <c r="AJ153" s="157">
        <v>387.2</v>
      </c>
      <c r="AK153" s="156">
        <v>0.58799999999999997</v>
      </c>
      <c r="AL153" s="157">
        <v>82.46</v>
      </c>
      <c r="AM153" s="144">
        <f t="shared" si="81"/>
        <v>5.8045662100456611E-3</v>
      </c>
      <c r="AN153" s="158">
        <f t="shared" si="99"/>
        <v>19.348554033485538</v>
      </c>
      <c r="AO153" s="144">
        <f t="shared" si="82"/>
        <v>1.6799999999999999E-3</v>
      </c>
      <c r="AP153" s="158">
        <f t="shared" si="100"/>
        <v>0.46666666666666662</v>
      </c>
      <c r="AQ153" s="144">
        <f t="shared" si="83"/>
        <v>3.4812054794520546E-6</v>
      </c>
      <c r="AR153" s="158">
        <f t="shared" si="101"/>
        <v>1.1604018264840183E-2</v>
      </c>
      <c r="AS153" s="144">
        <f t="shared" si="84"/>
        <v>4.9505022831050228E-3</v>
      </c>
      <c r="AT153" s="158">
        <f t="shared" si="102"/>
        <v>1.6501674277016742</v>
      </c>
      <c r="AU153" s="144">
        <f t="shared" si="85"/>
        <v>7.5178082191780816E-6</v>
      </c>
      <c r="AV153" s="158">
        <f t="shared" si="103"/>
        <v>1.5035616438356162E-2</v>
      </c>
      <c r="AW153" s="144">
        <f t="shared" si="86"/>
        <v>1.054283105022831E-3</v>
      </c>
      <c r="AX153" s="158">
        <f t="shared" si="104"/>
        <v>5.2714155251141551E-2</v>
      </c>
      <c r="AY153" s="144">
        <f t="shared" si="87"/>
        <v>1.0409909041095891E-4</v>
      </c>
      <c r="AZ153" s="144">
        <f t="shared" si="105"/>
        <v>0.34699696803652974</v>
      </c>
      <c r="BA153" s="144">
        <f t="shared" si="88"/>
        <v>1.0043040000000002E-6</v>
      </c>
      <c r="BB153" s="158">
        <f t="shared" si="106"/>
        <v>2.8694400000000002E-4</v>
      </c>
      <c r="BC153" s="144">
        <f t="shared" si="89"/>
        <v>2.0810646356164381E-9</v>
      </c>
      <c r="BD153" s="158">
        <f t="shared" si="107"/>
        <v>6.9368821187214605E-6</v>
      </c>
      <c r="BE153" s="144">
        <f t="shared" si="90"/>
        <v>2.9594102648401829E-6</v>
      </c>
      <c r="BF153" s="158">
        <f t="shared" si="108"/>
        <v>5.918820529680366E-4</v>
      </c>
      <c r="BG153" s="144">
        <f t="shared" si="91"/>
        <v>4.4941457534246573E-9</v>
      </c>
      <c r="BH153" s="158">
        <f t="shared" si="109"/>
        <v>8.9882915068493152E-6</v>
      </c>
      <c r="BI153" s="144">
        <f t="shared" si="92"/>
        <v>6.302504401826485E-7</v>
      </c>
      <c r="BJ153" s="158">
        <f t="shared" si="110"/>
        <v>1.1254472146118723E-4</v>
      </c>
      <c r="BK153" s="144">
        <f t="shared" si="93"/>
        <v>1.6218640881009934E-7</v>
      </c>
      <c r="BL153" s="158">
        <f t="shared" si="111"/>
        <v>5.4062136270033117E-4</v>
      </c>
      <c r="BM153" s="144">
        <f t="shared" si="94"/>
        <v>4.6941176470588238E-8</v>
      </c>
      <c r="BN153" s="158">
        <f t="shared" si="112"/>
        <v>1.3335561497326203E-5</v>
      </c>
      <c r="BO153" s="144">
        <f t="shared" si="95"/>
        <v>9.7268976631748563E-11</v>
      </c>
      <c r="BP153" s="158">
        <f t="shared" si="113"/>
        <v>1.1310346119970763E-6</v>
      </c>
      <c r="BQ153" s="144">
        <f t="shared" si="96"/>
        <v>1.3832285791028738E-7</v>
      </c>
      <c r="BR153" s="158">
        <f t="shared" si="114"/>
        <v>4.6107619303429126E-3</v>
      </c>
      <c r="BS153" s="144">
        <f t="shared" si="97"/>
        <v>2.1005640612409346E-10</v>
      </c>
      <c r="BT153" s="158">
        <f t="shared" si="115"/>
        <v>3.685200107440236E-6</v>
      </c>
      <c r="BU153" s="144">
        <f t="shared" si="98"/>
        <v>2.9457910287402629E-8</v>
      </c>
      <c r="BV153" s="158">
        <f t="shared" si="116"/>
        <v>1.4299956450195451E-6</v>
      </c>
    </row>
    <row r="154" spans="20:74">
      <c r="T154" s="53" t="s">
        <v>126</v>
      </c>
      <c r="U154" s="53" t="s">
        <v>127</v>
      </c>
      <c r="V154" s="155" t="s">
        <v>339</v>
      </c>
      <c r="W154" s="163">
        <v>0.31583600000000001</v>
      </c>
      <c r="X154" s="163">
        <v>34.649163999999999</v>
      </c>
      <c r="Y154" s="163" t="s">
        <v>350</v>
      </c>
      <c r="Z154" s="53" t="s">
        <v>330</v>
      </c>
      <c r="AA154" s="116" t="s">
        <v>347</v>
      </c>
      <c r="AB154" s="154" t="s">
        <v>371</v>
      </c>
      <c r="AC154" s="39" t="s">
        <v>688</v>
      </c>
      <c r="AD154" s="53" t="s">
        <v>369</v>
      </c>
      <c r="AE154" s="53" t="s">
        <v>685</v>
      </c>
      <c r="AF154" s="53" t="s">
        <v>691</v>
      </c>
      <c r="AG154" s="156">
        <v>21.5</v>
      </c>
      <c r="AH154" s="157">
        <v>115.7</v>
      </c>
      <c r="AI154" s="75">
        <v>1.8449099999999998</v>
      </c>
      <c r="AJ154" s="157">
        <v>128.6</v>
      </c>
      <c r="AK154" s="156">
        <v>0.14299999999999999</v>
      </c>
      <c r="AL154" s="157">
        <v>49.89</v>
      </c>
      <c r="AM154" s="144">
        <f t="shared" si="81"/>
        <v>2.7488584474885842E-4</v>
      </c>
      <c r="AN154" s="158">
        <f t="shared" si="99"/>
        <v>0.91628614916286144</v>
      </c>
      <c r="AO154" s="144">
        <f t="shared" si="82"/>
        <v>1.4792694063926941E-3</v>
      </c>
      <c r="AP154" s="158">
        <f t="shared" si="100"/>
        <v>0.41090816844241501</v>
      </c>
      <c r="AQ154" s="144">
        <f t="shared" si="83"/>
        <v>2.3587890410958903E-5</v>
      </c>
      <c r="AR154" s="158">
        <f t="shared" si="101"/>
        <v>7.8626301369863011E-2</v>
      </c>
      <c r="AS154" s="144">
        <f t="shared" si="84"/>
        <v>1.6442009132420091E-3</v>
      </c>
      <c r="AT154" s="158">
        <f t="shared" si="102"/>
        <v>0.54806697108066971</v>
      </c>
      <c r="AU154" s="144">
        <f t="shared" si="85"/>
        <v>1.8283105022831048E-6</v>
      </c>
      <c r="AV154" s="158">
        <f t="shared" si="103"/>
        <v>3.6566210045662095E-3</v>
      </c>
      <c r="AW154" s="144">
        <f t="shared" si="86"/>
        <v>6.3786301369863003E-4</v>
      </c>
      <c r="AX154" s="158">
        <f t="shared" si="104"/>
        <v>3.1893150684931502E-2</v>
      </c>
      <c r="AY154" s="144">
        <f t="shared" si="87"/>
        <v>4.929802739726028E-6</v>
      </c>
      <c r="AZ154" s="144">
        <f t="shared" si="105"/>
        <v>1.6432675799086763E-2</v>
      </c>
      <c r="BA154" s="144">
        <f t="shared" si="88"/>
        <v>8.8430725114155254E-7</v>
      </c>
      <c r="BB154" s="158">
        <f t="shared" si="106"/>
        <v>2.5265921461187213E-4</v>
      </c>
      <c r="BC154" s="144">
        <f t="shared" si="89"/>
        <v>1.4100840887671233E-8</v>
      </c>
      <c r="BD154" s="158">
        <f t="shared" si="107"/>
        <v>4.7002802958904114E-5</v>
      </c>
      <c r="BE154" s="144">
        <f t="shared" si="90"/>
        <v>9.8290330593607323E-7</v>
      </c>
      <c r="BF154" s="158">
        <f t="shared" si="108"/>
        <v>1.9658066118721464E-4</v>
      </c>
      <c r="BG154" s="144">
        <f t="shared" si="91"/>
        <v>1.0929640182648398E-9</v>
      </c>
      <c r="BH154" s="158">
        <f t="shared" si="109"/>
        <v>2.1859280365296795E-6</v>
      </c>
      <c r="BI154" s="144">
        <f t="shared" si="92"/>
        <v>3.8131450958904113E-7</v>
      </c>
      <c r="BJ154" s="158">
        <f t="shared" si="110"/>
        <v>6.8091876712328775E-5</v>
      </c>
      <c r="BK154" s="144">
        <f t="shared" si="93"/>
        <v>7.6806338973945748E-9</v>
      </c>
      <c r="BL154" s="158">
        <f t="shared" si="111"/>
        <v>2.5602112991315252E-5</v>
      </c>
      <c r="BM154" s="144">
        <f t="shared" si="94"/>
        <v>4.133252753156057E-8</v>
      </c>
      <c r="BN154" s="158">
        <f t="shared" si="112"/>
        <v>1.174219532146607E-5</v>
      </c>
      <c r="BO154" s="144">
        <f t="shared" si="95"/>
        <v>6.5907340854149878E-10</v>
      </c>
      <c r="BP154" s="158">
        <f t="shared" si="113"/>
        <v>7.6636442853662649E-6</v>
      </c>
      <c r="BQ154" s="144">
        <f t="shared" si="96"/>
        <v>4.5940907869997302E-8</v>
      </c>
      <c r="BR154" s="158">
        <f t="shared" si="114"/>
        <v>1.5313635956665766E-3</v>
      </c>
      <c r="BS154" s="144">
        <f t="shared" si="97"/>
        <v>5.1085146387322046E-11</v>
      </c>
      <c r="BT154" s="158">
        <f t="shared" si="115"/>
        <v>8.9623063837407088E-7</v>
      </c>
      <c r="BU154" s="144">
        <f t="shared" si="98"/>
        <v>1.7822643029814662E-8</v>
      </c>
      <c r="BV154" s="158">
        <f t="shared" si="116"/>
        <v>8.6517684610750782E-7</v>
      </c>
    </row>
    <row r="155" spans="20:74">
      <c r="T155" s="53" t="s">
        <v>128</v>
      </c>
      <c r="U155" s="53" t="s">
        <v>129</v>
      </c>
      <c r="V155" s="155" t="s">
        <v>339</v>
      </c>
      <c r="W155" s="53">
        <v>0.31583600000000001</v>
      </c>
      <c r="X155" s="53">
        <v>34.649163999999999</v>
      </c>
      <c r="Y155" s="53" t="s">
        <v>350</v>
      </c>
      <c r="Z155" s="53" t="s">
        <v>330</v>
      </c>
      <c r="AA155" s="116" t="s">
        <v>347</v>
      </c>
      <c r="AB155" s="154" t="s">
        <v>371</v>
      </c>
      <c r="AC155" s="39" t="s">
        <v>688</v>
      </c>
      <c r="AD155" s="53" t="s">
        <v>365</v>
      </c>
      <c r="AE155" s="53" t="s">
        <v>685</v>
      </c>
      <c r="AF155" s="53" t="s">
        <v>691</v>
      </c>
      <c r="AG155" s="156">
        <v>440</v>
      </c>
      <c r="AH155" s="157">
        <v>124.3</v>
      </c>
      <c r="AI155" s="75">
        <v>0.52349000000000001</v>
      </c>
      <c r="AJ155" s="157">
        <v>370.7</v>
      </c>
      <c r="AK155" s="156">
        <v>0.628</v>
      </c>
      <c r="AL155" s="157">
        <v>80.97</v>
      </c>
      <c r="AM155" s="144">
        <f t="shared" si="81"/>
        <v>5.6255707762557072E-3</v>
      </c>
      <c r="AN155" s="158">
        <f t="shared" si="99"/>
        <v>18.751902587519027</v>
      </c>
      <c r="AO155" s="144">
        <f t="shared" si="82"/>
        <v>1.5892237442922373E-3</v>
      </c>
      <c r="AP155" s="158">
        <f t="shared" si="100"/>
        <v>0.44145104008117703</v>
      </c>
      <c r="AQ155" s="144">
        <f t="shared" si="83"/>
        <v>6.6930228310502287E-6</v>
      </c>
      <c r="AR155" s="158">
        <f t="shared" si="101"/>
        <v>2.2310076103500765E-2</v>
      </c>
      <c r="AS155" s="144">
        <f t="shared" si="84"/>
        <v>4.7395433789954337E-3</v>
      </c>
      <c r="AT155" s="158">
        <f t="shared" si="102"/>
        <v>1.5798477929984778</v>
      </c>
      <c r="AU155" s="144">
        <f t="shared" si="85"/>
        <v>8.0292237442922372E-6</v>
      </c>
      <c r="AV155" s="158">
        <f t="shared" si="103"/>
        <v>1.6058447488584475E-2</v>
      </c>
      <c r="AW155" s="144">
        <f t="shared" si="86"/>
        <v>1.0352328767123287E-3</v>
      </c>
      <c r="AX155" s="158">
        <f t="shared" si="104"/>
        <v>5.1761643835616433E-2</v>
      </c>
      <c r="AY155" s="144">
        <f t="shared" si="87"/>
        <v>1.0088898630136985E-4</v>
      </c>
      <c r="AZ155" s="144">
        <f t="shared" si="105"/>
        <v>0.3362966210045662</v>
      </c>
      <c r="BA155" s="144">
        <f t="shared" si="88"/>
        <v>9.5003795433789949E-7</v>
      </c>
      <c r="BB155" s="158">
        <f t="shared" si="106"/>
        <v>2.7143941552511416E-4</v>
      </c>
      <c r="BC155" s="144">
        <f t="shared" si="89"/>
        <v>4.0010890484018267E-9</v>
      </c>
      <c r="BD155" s="158">
        <f t="shared" si="107"/>
        <v>1.3336963494672757E-5</v>
      </c>
      <c r="BE155" s="144">
        <f t="shared" si="90"/>
        <v>2.8332990319634704E-6</v>
      </c>
      <c r="BF155" s="158">
        <f t="shared" si="108"/>
        <v>5.6665980639269411E-4</v>
      </c>
      <c r="BG155" s="144">
        <f t="shared" si="91"/>
        <v>4.7998699543378996E-9</v>
      </c>
      <c r="BH155" s="158">
        <f t="shared" si="109"/>
        <v>9.5997399086757994E-6</v>
      </c>
      <c r="BI155" s="144">
        <f t="shared" si="92"/>
        <v>6.1886221369863019E-7</v>
      </c>
      <c r="BJ155" s="158">
        <f t="shared" si="110"/>
        <v>1.105111095890411E-4</v>
      </c>
      <c r="BK155" s="144">
        <f t="shared" si="93"/>
        <v>1.5718506580714477E-7</v>
      </c>
      <c r="BL155" s="158">
        <f t="shared" si="111"/>
        <v>5.2395021935714933E-4</v>
      </c>
      <c r="BM155" s="144">
        <f t="shared" si="94"/>
        <v>4.44047810905184E-8</v>
      </c>
      <c r="BN155" s="158">
        <f t="shared" si="112"/>
        <v>1.2614994627988181E-5</v>
      </c>
      <c r="BO155" s="144">
        <f t="shared" si="95"/>
        <v>1.8701093204405047E-10</v>
      </c>
      <c r="BP155" s="158">
        <f t="shared" si="113"/>
        <v>2.1745457214424475E-6</v>
      </c>
      <c r="BQ155" s="144">
        <f t="shared" si="96"/>
        <v>1.3242841794251945E-7</v>
      </c>
      <c r="BR155" s="158">
        <f t="shared" si="114"/>
        <v>4.4142805980839812E-3</v>
      </c>
      <c r="BS155" s="144">
        <f t="shared" si="97"/>
        <v>2.2434595756110666E-10</v>
      </c>
      <c r="BT155" s="158">
        <f t="shared" si="115"/>
        <v>3.9358939923001166E-6</v>
      </c>
      <c r="BU155" s="144">
        <f t="shared" si="98"/>
        <v>2.892562449637389E-8</v>
      </c>
      <c r="BV155" s="158">
        <f t="shared" si="116"/>
        <v>1.4041565289501887E-6</v>
      </c>
    </row>
    <row r="156" spans="20:74">
      <c r="T156" s="53" t="s">
        <v>130</v>
      </c>
      <c r="U156" s="53" t="s">
        <v>131</v>
      </c>
      <c r="V156" s="155" t="s">
        <v>339</v>
      </c>
      <c r="W156" s="53">
        <v>0.31583600000000001</v>
      </c>
      <c r="X156" s="53">
        <v>34.649163999999999</v>
      </c>
      <c r="Y156" s="53" t="s">
        <v>350</v>
      </c>
      <c r="Z156" s="53" t="s">
        <v>330</v>
      </c>
      <c r="AA156" s="116" t="s">
        <v>347</v>
      </c>
      <c r="AB156" s="154" t="s">
        <v>371</v>
      </c>
      <c r="AC156" s="39" t="s">
        <v>688</v>
      </c>
      <c r="AD156" s="53" t="s">
        <v>365</v>
      </c>
      <c r="AE156" s="53" t="s">
        <v>685</v>
      </c>
      <c r="AF156" s="53" t="s">
        <v>691</v>
      </c>
      <c r="AG156" s="156">
        <v>20.7</v>
      </c>
      <c r="AH156" s="157">
        <v>99.4</v>
      </c>
      <c r="AI156" s="162">
        <v>2.0906000000000002</v>
      </c>
      <c r="AJ156" s="157">
        <v>132.1</v>
      </c>
      <c r="AK156" s="156">
        <v>0.14599999999999999</v>
      </c>
      <c r="AL156" s="157">
        <v>50.08</v>
      </c>
      <c r="AM156" s="144">
        <f t="shared" si="81"/>
        <v>2.6465753424657532E-4</v>
      </c>
      <c r="AN156" s="158">
        <f t="shared" si="99"/>
        <v>0.88219178082191785</v>
      </c>
      <c r="AO156" s="144">
        <f t="shared" si="82"/>
        <v>1.2708675799086757E-3</v>
      </c>
      <c r="AP156" s="158">
        <f t="shared" si="100"/>
        <v>0.3530187721968544</v>
      </c>
      <c r="AQ156" s="144">
        <f t="shared" si="83"/>
        <v>2.6729132420091329E-5</v>
      </c>
      <c r="AR156" s="158">
        <f t="shared" si="101"/>
        <v>8.9097108066971104E-2</v>
      </c>
      <c r="AS156" s="144">
        <f t="shared" si="84"/>
        <v>1.6889497716894976E-3</v>
      </c>
      <c r="AT156" s="158">
        <f t="shared" si="102"/>
        <v>0.56298325722983256</v>
      </c>
      <c r="AU156" s="144">
        <f t="shared" si="85"/>
        <v>1.8666666666666667E-6</v>
      </c>
      <c r="AV156" s="158">
        <f t="shared" si="103"/>
        <v>3.7333333333333333E-3</v>
      </c>
      <c r="AW156" s="144">
        <f t="shared" si="86"/>
        <v>6.4029223744292241E-4</v>
      </c>
      <c r="AX156" s="158">
        <f t="shared" si="104"/>
        <v>3.2014611872146118E-2</v>
      </c>
      <c r="AY156" s="144">
        <f t="shared" si="87"/>
        <v>4.7463682191780819E-6</v>
      </c>
      <c r="AZ156" s="144">
        <f t="shared" si="105"/>
        <v>1.5821227397260273E-2</v>
      </c>
      <c r="BA156" s="144">
        <f t="shared" si="88"/>
        <v>7.5972463926940647E-7</v>
      </c>
      <c r="BB156" s="158">
        <f t="shared" si="106"/>
        <v>2.1706418264840185E-4</v>
      </c>
      <c r="BC156" s="144">
        <f t="shared" si="89"/>
        <v>1.5978675360730592E-8</v>
      </c>
      <c r="BD156" s="158">
        <f t="shared" si="107"/>
        <v>5.326225120243531E-5</v>
      </c>
      <c r="BE156" s="144">
        <f t="shared" si="90"/>
        <v>1.0096541735159817E-6</v>
      </c>
      <c r="BF156" s="158">
        <f t="shared" si="108"/>
        <v>2.0193083470319633E-4</v>
      </c>
      <c r="BG156" s="144">
        <f t="shared" si="91"/>
        <v>1.1158933333333333E-9</v>
      </c>
      <c r="BH156" s="158">
        <f t="shared" si="109"/>
        <v>2.2317866666666663E-6</v>
      </c>
      <c r="BI156" s="144">
        <f t="shared" si="92"/>
        <v>3.8276669954337896E-7</v>
      </c>
      <c r="BJ156" s="158">
        <f t="shared" si="110"/>
        <v>6.8351196347031959E-5</v>
      </c>
      <c r="BK156" s="144">
        <f t="shared" si="93"/>
        <v>7.3948428686543114E-9</v>
      </c>
      <c r="BL156" s="158">
        <f t="shared" si="111"/>
        <v>2.4649476228847705E-5</v>
      </c>
      <c r="BM156" s="144">
        <f t="shared" si="94"/>
        <v>3.5509535320977708E-8</v>
      </c>
      <c r="BN156" s="158">
        <f t="shared" si="112"/>
        <v>1.0087936170732303E-5</v>
      </c>
      <c r="BO156" s="144">
        <f t="shared" si="95"/>
        <v>7.4684340585549309E-10</v>
      </c>
      <c r="BP156" s="158">
        <f t="shared" si="113"/>
        <v>8.6842256494824776E-6</v>
      </c>
      <c r="BQ156" s="144">
        <f t="shared" si="96"/>
        <v>4.7191243620735963E-8</v>
      </c>
      <c r="BR156" s="158">
        <f t="shared" si="114"/>
        <v>1.573041454024532E-3</v>
      </c>
      <c r="BS156" s="144">
        <f t="shared" si="97"/>
        <v>5.2156862745098035E-11</v>
      </c>
      <c r="BT156" s="158">
        <f t="shared" si="115"/>
        <v>9.15032679738562E-7</v>
      </c>
      <c r="BU156" s="144">
        <f t="shared" si="98"/>
        <v>1.7890518399140476E-8</v>
      </c>
      <c r="BV156" s="158">
        <f t="shared" si="116"/>
        <v>8.6847176694856678E-7</v>
      </c>
    </row>
    <row r="157" spans="20:74">
      <c r="T157" s="53" t="s">
        <v>132</v>
      </c>
      <c r="U157" s="53" t="s">
        <v>133</v>
      </c>
      <c r="V157" s="155" t="s">
        <v>339</v>
      </c>
      <c r="W157" s="53">
        <v>0.31578899999999999</v>
      </c>
      <c r="X157" s="53">
        <v>34.648187999999998</v>
      </c>
      <c r="Y157" s="53" t="s">
        <v>350</v>
      </c>
      <c r="Z157" s="53" t="s">
        <v>330</v>
      </c>
      <c r="AA157" s="116" t="s">
        <v>347</v>
      </c>
      <c r="AB157" s="154" t="s">
        <v>371</v>
      </c>
      <c r="AC157" s="39" t="s">
        <v>688</v>
      </c>
      <c r="AD157" s="53" t="s">
        <v>367</v>
      </c>
      <c r="AE157" s="53" t="s">
        <v>684</v>
      </c>
      <c r="AF157" s="53" t="s">
        <v>683</v>
      </c>
      <c r="AG157" s="156">
        <v>1.4</v>
      </c>
      <c r="AH157" s="157">
        <v>16.7</v>
      </c>
      <c r="AI157" s="162">
        <v>5.6399999999999999E-2</v>
      </c>
      <c r="AJ157" s="157">
        <v>48.1</v>
      </c>
      <c r="AK157" s="156">
        <v>3.1E-2</v>
      </c>
      <c r="AL157" s="157">
        <v>19.02</v>
      </c>
      <c r="AM157" s="144">
        <f t="shared" si="81"/>
        <v>1.7899543378995434E-5</v>
      </c>
      <c r="AN157" s="158">
        <f t="shared" si="99"/>
        <v>5.9665144596651454E-2</v>
      </c>
      <c r="AO157" s="144">
        <f t="shared" si="82"/>
        <v>2.1351598173515981E-4</v>
      </c>
      <c r="AP157" s="158">
        <f t="shared" si="100"/>
        <v>5.9309994926433282E-2</v>
      </c>
      <c r="AQ157" s="144">
        <f t="shared" si="83"/>
        <v>7.2109589041095877E-7</v>
      </c>
      <c r="AR157" s="158">
        <f t="shared" si="101"/>
        <v>2.4036529680365295E-3</v>
      </c>
      <c r="AS157" s="144">
        <f t="shared" si="84"/>
        <v>6.1497716894977166E-4</v>
      </c>
      <c r="AT157" s="158">
        <f t="shared" si="102"/>
        <v>0.20499238964992389</v>
      </c>
      <c r="AU157" s="144">
        <f t="shared" si="85"/>
        <v>3.9634703196347028E-7</v>
      </c>
      <c r="AV157" s="158">
        <f t="shared" si="103"/>
        <v>7.9269406392694049E-4</v>
      </c>
      <c r="AW157" s="144">
        <f t="shared" si="86"/>
        <v>2.4317808219178082E-4</v>
      </c>
      <c r="AX157" s="158">
        <f t="shared" si="104"/>
        <v>1.2158904109589041E-2</v>
      </c>
      <c r="AY157" s="144">
        <f t="shared" si="87"/>
        <v>3.2101041095890413E-7</v>
      </c>
      <c r="AZ157" s="144">
        <f t="shared" si="105"/>
        <v>1.0700347031963472E-3</v>
      </c>
      <c r="BA157" s="144">
        <f t="shared" si="88"/>
        <v>1.2763985388127856E-7</v>
      </c>
      <c r="BB157" s="158">
        <f t="shared" si="106"/>
        <v>3.6468529680365301E-5</v>
      </c>
      <c r="BC157" s="144">
        <f t="shared" si="89"/>
        <v>4.3107112328767124E-10</v>
      </c>
      <c r="BD157" s="158">
        <f t="shared" si="107"/>
        <v>1.4369037442922376E-6</v>
      </c>
      <c r="BE157" s="144">
        <f t="shared" si="90"/>
        <v>3.6763335159817355E-7</v>
      </c>
      <c r="BF157" s="158">
        <f t="shared" si="108"/>
        <v>7.3526670319634706E-5</v>
      </c>
      <c r="BG157" s="144">
        <f t="shared" si="91"/>
        <v>2.3693625570776259E-10</v>
      </c>
      <c r="BH157" s="158">
        <f t="shared" si="109"/>
        <v>4.7387251141552519E-7</v>
      </c>
      <c r="BI157" s="144">
        <f t="shared" si="92"/>
        <v>1.4537185753424657E-7</v>
      </c>
      <c r="BJ157" s="158">
        <f t="shared" si="110"/>
        <v>2.5959260273972601E-5</v>
      </c>
      <c r="BK157" s="144">
        <f t="shared" si="93"/>
        <v>5.0013430029546058E-10</v>
      </c>
      <c r="BL157" s="158">
        <f t="shared" si="111"/>
        <v>1.6671143343182021E-6</v>
      </c>
      <c r="BM157" s="144">
        <f t="shared" si="94"/>
        <v>5.9658877249529935E-9</v>
      </c>
      <c r="BN157" s="158">
        <f t="shared" si="112"/>
        <v>1.6948544673161912E-6</v>
      </c>
      <c r="BO157" s="144">
        <f t="shared" si="95"/>
        <v>2.0148267526188559E-11</v>
      </c>
      <c r="BP157" s="158">
        <f t="shared" si="113"/>
        <v>2.3428218053707625E-7</v>
      </c>
      <c r="BQ157" s="144">
        <f t="shared" si="96"/>
        <v>1.7183185603008326E-8</v>
      </c>
      <c r="BR157" s="158">
        <f t="shared" si="114"/>
        <v>5.7277285343361082E-4</v>
      </c>
      <c r="BS157" s="144">
        <f t="shared" si="97"/>
        <v>1.1074402363685199E-11</v>
      </c>
      <c r="BT157" s="158">
        <f t="shared" si="115"/>
        <v>1.9428776076640701E-7</v>
      </c>
      <c r="BU157" s="144">
        <f t="shared" si="98"/>
        <v>6.7946817082997575E-9</v>
      </c>
      <c r="BV157" s="158">
        <f t="shared" si="116"/>
        <v>3.2983891787862901E-7</v>
      </c>
    </row>
    <row r="158" spans="20:74">
      <c r="T158" s="53" t="s">
        <v>134</v>
      </c>
      <c r="U158" s="53" t="s">
        <v>135</v>
      </c>
      <c r="V158" s="155" t="s">
        <v>340</v>
      </c>
      <c r="W158" s="53">
        <v>0.25193900000000002</v>
      </c>
      <c r="X158" s="53">
        <v>34.723801000000002</v>
      </c>
      <c r="Y158" s="53" t="s">
        <v>372</v>
      </c>
      <c r="Z158" s="53" t="s">
        <v>330</v>
      </c>
      <c r="AA158" s="116" t="s">
        <v>347</v>
      </c>
      <c r="AB158" s="154" t="s">
        <v>371</v>
      </c>
      <c r="AC158" s="39" t="s">
        <v>688</v>
      </c>
      <c r="AD158" s="53" t="s">
        <v>367</v>
      </c>
      <c r="AE158" s="53" t="s">
        <v>684</v>
      </c>
      <c r="AF158" s="53" t="s">
        <v>683</v>
      </c>
      <c r="AG158" s="156">
        <v>7.4</v>
      </c>
      <c r="AH158" s="157">
        <v>15.9</v>
      </c>
      <c r="AI158" s="162">
        <v>4.8073999999999995</v>
      </c>
      <c r="AJ158" s="157">
        <v>312.3</v>
      </c>
      <c r="AK158" s="156">
        <v>0.29399999999999998</v>
      </c>
      <c r="AL158" s="157">
        <v>115.55</v>
      </c>
      <c r="AM158" s="144">
        <f t="shared" si="81"/>
        <v>9.4611872146118718E-5</v>
      </c>
      <c r="AN158" s="158">
        <f t="shared" si="99"/>
        <v>0.31537290715372907</v>
      </c>
      <c r="AO158" s="144">
        <f t="shared" si="82"/>
        <v>2.032876712328767E-4</v>
      </c>
      <c r="AP158" s="158">
        <f t="shared" si="100"/>
        <v>5.6468797564687971E-2</v>
      </c>
      <c r="AQ158" s="144">
        <f t="shared" si="83"/>
        <v>6.1464474885844725E-5</v>
      </c>
      <c r="AR158" s="158">
        <f t="shared" si="101"/>
        <v>0.20488158295281578</v>
      </c>
      <c r="AS158" s="144">
        <f t="shared" si="84"/>
        <v>3.9928767123287674E-3</v>
      </c>
      <c r="AT158" s="158">
        <f t="shared" si="102"/>
        <v>1.3309589041095891</v>
      </c>
      <c r="AU158" s="144">
        <f t="shared" si="85"/>
        <v>3.7589041095890408E-6</v>
      </c>
      <c r="AV158" s="158">
        <f t="shared" si="103"/>
        <v>7.517808219178081E-3</v>
      </c>
      <c r="AW158" s="144">
        <f t="shared" si="86"/>
        <v>1.4773515981735159E-3</v>
      </c>
      <c r="AX158" s="158">
        <f t="shared" si="104"/>
        <v>7.386757990867579E-2</v>
      </c>
      <c r="AY158" s="144">
        <f t="shared" si="87"/>
        <v>1.6967693150684932E-6</v>
      </c>
      <c r="AZ158" s="144">
        <f t="shared" si="105"/>
        <v>5.6558977168949774E-3</v>
      </c>
      <c r="BA158" s="144">
        <f t="shared" si="88"/>
        <v>1.2152536986301369E-7</v>
      </c>
      <c r="BB158" s="158">
        <f t="shared" si="106"/>
        <v>3.4721534246575339E-5</v>
      </c>
      <c r="BC158" s="144">
        <f t="shared" si="89"/>
        <v>3.6743463086757984E-8</v>
      </c>
      <c r="BD158" s="158">
        <f t="shared" si="107"/>
        <v>1.2247821028919329E-4</v>
      </c>
      <c r="BE158" s="144">
        <f t="shared" si="90"/>
        <v>2.3869416986301369E-6</v>
      </c>
      <c r="BF158" s="158">
        <f t="shared" si="108"/>
        <v>4.7738833972602734E-4</v>
      </c>
      <c r="BG158" s="144">
        <f t="shared" si="91"/>
        <v>2.2470728767123287E-9</v>
      </c>
      <c r="BH158" s="158">
        <f t="shared" si="109"/>
        <v>4.4941457534246576E-6</v>
      </c>
      <c r="BI158" s="144">
        <f t="shared" si="92"/>
        <v>8.8316078538812798E-7</v>
      </c>
      <c r="BJ158" s="158">
        <f t="shared" si="110"/>
        <v>1.5770728310502286E-4</v>
      </c>
      <c r="BK158" s="144">
        <f t="shared" si="93"/>
        <v>2.6435670158474348E-9</v>
      </c>
      <c r="BL158" s="158">
        <f t="shared" si="111"/>
        <v>8.8118900528247833E-6</v>
      </c>
      <c r="BM158" s="144">
        <f t="shared" si="94"/>
        <v>5.6800966962127317E-9</v>
      </c>
      <c r="BN158" s="158">
        <f t="shared" si="112"/>
        <v>1.6136638341513442E-6</v>
      </c>
      <c r="BO158" s="144">
        <f t="shared" si="95"/>
        <v>1.7173897394574267E-9</v>
      </c>
      <c r="BP158" s="158">
        <f t="shared" si="113"/>
        <v>1.9969648133225889E-5</v>
      </c>
      <c r="BQ158" s="144">
        <f t="shared" si="96"/>
        <v>1.1156567284448026E-7</v>
      </c>
      <c r="BR158" s="158">
        <f t="shared" si="114"/>
        <v>3.7188557614826752E-3</v>
      </c>
      <c r="BS158" s="144">
        <f t="shared" si="97"/>
        <v>1.0502820306204673E-10</v>
      </c>
      <c r="BT158" s="158">
        <f t="shared" si="115"/>
        <v>1.842600053720118E-6</v>
      </c>
      <c r="BU158" s="144">
        <f t="shared" si="98"/>
        <v>4.1278941713671772E-8</v>
      </c>
      <c r="BV158" s="158">
        <f t="shared" si="116"/>
        <v>2.0038321220229017E-6</v>
      </c>
    </row>
    <row r="159" spans="20:74">
      <c r="T159" s="53" t="s">
        <v>136</v>
      </c>
      <c r="U159" s="53" t="s">
        <v>137</v>
      </c>
      <c r="V159" s="155" t="s">
        <v>340</v>
      </c>
      <c r="W159" s="53">
        <v>0.25163200000000002</v>
      </c>
      <c r="X159" s="53">
        <v>34.723951</v>
      </c>
      <c r="Y159" s="53" t="s">
        <v>372</v>
      </c>
      <c r="Z159" s="53" t="s">
        <v>330</v>
      </c>
      <c r="AA159" s="116" t="s">
        <v>347</v>
      </c>
      <c r="AB159" s="154" t="s">
        <v>371</v>
      </c>
      <c r="AC159" s="39" t="s">
        <v>688</v>
      </c>
      <c r="AD159" s="53" t="s">
        <v>369</v>
      </c>
      <c r="AE159" s="53" t="s">
        <v>685</v>
      </c>
      <c r="AF159" s="53" t="s">
        <v>691</v>
      </c>
      <c r="AG159" s="156">
        <v>622</v>
      </c>
      <c r="AH159" s="157">
        <v>39</v>
      </c>
      <c r="AI159" s="162">
        <v>2.1796000000000002</v>
      </c>
      <c r="AJ159" s="157">
        <v>247.2</v>
      </c>
      <c r="AK159" s="156">
        <v>0.46</v>
      </c>
      <c r="AL159" s="157">
        <v>58.95</v>
      </c>
      <c r="AM159" s="144">
        <f t="shared" si="81"/>
        <v>7.952511415525115E-3</v>
      </c>
      <c r="AN159" s="158">
        <f t="shared" si="99"/>
        <v>26.50837138508372</v>
      </c>
      <c r="AO159" s="144">
        <f t="shared" si="82"/>
        <v>4.9863013698630133E-4</v>
      </c>
      <c r="AP159" s="158">
        <f t="shared" si="100"/>
        <v>0.13850837138508371</v>
      </c>
      <c r="AQ159" s="144">
        <f t="shared" si="83"/>
        <v>2.7867031963470319E-5</v>
      </c>
      <c r="AR159" s="158">
        <f t="shared" si="101"/>
        <v>9.2890106544901069E-2</v>
      </c>
      <c r="AS159" s="144">
        <f t="shared" si="84"/>
        <v>3.1605479452054795E-3</v>
      </c>
      <c r="AT159" s="158">
        <f t="shared" si="102"/>
        <v>1.0535159817351598</v>
      </c>
      <c r="AU159" s="144">
        <f t="shared" si="85"/>
        <v>5.8812785388127846E-6</v>
      </c>
      <c r="AV159" s="158">
        <f t="shared" si="103"/>
        <v>1.1762557077625569E-2</v>
      </c>
      <c r="AW159" s="144">
        <f t="shared" si="86"/>
        <v>7.5369863013698634E-4</v>
      </c>
      <c r="AX159" s="158">
        <f t="shared" si="104"/>
        <v>3.7684931506849317E-2</v>
      </c>
      <c r="AY159" s="144">
        <f t="shared" si="87"/>
        <v>1.4262033972602738E-4</v>
      </c>
      <c r="AZ159" s="144">
        <f t="shared" si="105"/>
        <v>0.4754011324200913</v>
      </c>
      <c r="BA159" s="144">
        <f t="shared" si="88"/>
        <v>2.9808109589041097E-7</v>
      </c>
      <c r="BB159" s="158">
        <f t="shared" si="106"/>
        <v>8.5166027397260273E-5</v>
      </c>
      <c r="BC159" s="144">
        <f t="shared" si="89"/>
        <v>1.6658911707762564E-8</v>
      </c>
      <c r="BD159" s="158">
        <f t="shared" si="107"/>
        <v>5.5529705692541888E-5</v>
      </c>
      <c r="BE159" s="144">
        <f t="shared" si="90"/>
        <v>1.8893755616438355E-6</v>
      </c>
      <c r="BF159" s="158">
        <f t="shared" si="108"/>
        <v>3.7787511232876707E-4</v>
      </c>
      <c r="BG159" s="144">
        <f t="shared" si="91"/>
        <v>3.5158283105022826E-9</v>
      </c>
      <c r="BH159" s="158">
        <f t="shared" si="109"/>
        <v>7.0316566210045655E-6</v>
      </c>
      <c r="BI159" s="144">
        <f t="shared" si="92"/>
        <v>4.5056104109589032E-7</v>
      </c>
      <c r="BJ159" s="158">
        <f t="shared" si="110"/>
        <v>8.0457328767123272E-5</v>
      </c>
      <c r="BK159" s="144">
        <f t="shared" si="93"/>
        <v>2.2220252484555465E-7</v>
      </c>
      <c r="BL159" s="158">
        <f t="shared" si="111"/>
        <v>7.406750828185156E-4</v>
      </c>
      <c r="BM159" s="144">
        <f t="shared" si="94"/>
        <v>1.393231265108783E-8</v>
      </c>
      <c r="BN159" s="158">
        <f t="shared" si="112"/>
        <v>3.9580433667863151E-6</v>
      </c>
      <c r="BO159" s="144">
        <f t="shared" si="95"/>
        <v>7.7863765780284713E-10</v>
      </c>
      <c r="BP159" s="158">
        <f t="shared" si="113"/>
        <v>9.0539262535214785E-6</v>
      </c>
      <c r="BQ159" s="144">
        <f t="shared" si="96"/>
        <v>8.8309427880741312E-8</v>
      </c>
      <c r="BR159" s="158">
        <f t="shared" si="114"/>
        <v>2.9436475960247102E-3</v>
      </c>
      <c r="BS159" s="144">
        <f t="shared" si="97"/>
        <v>1.6432984152565135E-10</v>
      </c>
      <c r="BT159" s="158">
        <f t="shared" si="115"/>
        <v>2.88297967588862E-6</v>
      </c>
      <c r="BU159" s="144">
        <f t="shared" si="98"/>
        <v>2.1059226430298146E-8</v>
      </c>
      <c r="BV159" s="158">
        <f t="shared" si="116"/>
        <v>1.0222925451601042E-6</v>
      </c>
    </row>
    <row r="160" spans="20:74">
      <c r="T160" s="53" t="s">
        <v>138</v>
      </c>
      <c r="U160" s="53" t="s">
        <v>139</v>
      </c>
      <c r="V160" s="155" t="s">
        <v>340</v>
      </c>
      <c r="W160" s="53">
        <v>0.25232199999999999</v>
      </c>
      <c r="X160" s="53">
        <v>34.723750000000003</v>
      </c>
      <c r="Y160" s="53" t="s">
        <v>372</v>
      </c>
      <c r="Z160" s="53" t="s">
        <v>330</v>
      </c>
      <c r="AA160" s="116" t="s">
        <v>347</v>
      </c>
      <c r="AB160" s="154" t="s">
        <v>371</v>
      </c>
      <c r="AC160" s="116" t="s">
        <v>687</v>
      </c>
      <c r="AD160" s="53" t="s">
        <v>366</v>
      </c>
      <c r="AE160" s="53" t="s">
        <v>684</v>
      </c>
      <c r="AF160" s="53" t="s">
        <v>683</v>
      </c>
      <c r="AG160" s="156">
        <v>11.9</v>
      </c>
      <c r="AH160" s="157">
        <v>15.9</v>
      </c>
      <c r="AI160" s="162">
        <v>6.2413999999999996</v>
      </c>
      <c r="AJ160" s="157">
        <v>367.7</v>
      </c>
      <c r="AK160" s="156">
        <v>0.128</v>
      </c>
      <c r="AL160" s="157">
        <v>135.74</v>
      </c>
      <c r="AM160" s="144">
        <f t="shared" si="81"/>
        <v>1.5214611872146116E-4</v>
      </c>
      <c r="AN160" s="158">
        <f t="shared" si="99"/>
        <v>0.50715372907153722</v>
      </c>
      <c r="AO160" s="144">
        <f t="shared" si="82"/>
        <v>2.032876712328767E-4</v>
      </c>
      <c r="AP160" s="158">
        <f t="shared" si="100"/>
        <v>5.6468797564687971E-2</v>
      </c>
      <c r="AQ160" s="144">
        <f t="shared" si="83"/>
        <v>7.9798721461187217E-5</v>
      </c>
      <c r="AR160" s="158">
        <f t="shared" si="101"/>
        <v>0.26599573820395739</v>
      </c>
      <c r="AS160" s="144">
        <f t="shared" si="84"/>
        <v>4.7011872146118724E-3</v>
      </c>
      <c r="AT160" s="158">
        <f t="shared" si="102"/>
        <v>1.5670624048706241</v>
      </c>
      <c r="AU160" s="144">
        <f t="shared" si="85"/>
        <v>1.6365296803652967E-6</v>
      </c>
      <c r="AV160" s="158">
        <f t="shared" si="103"/>
        <v>3.2730593607305934E-3</v>
      </c>
      <c r="AW160" s="144">
        <f t="shared" si="86"/>
        <v>1.7354885844748857E-3</v>
      </c>
      <c r="AX160" s="158">
        <f t="shared" si="104"/>
        <v>8.6774429223744287E-2</v>
      </c>
      <c r="AY160" s="144">
        <f t="shared" si="87"/>
        <v>2.7285884931506851E-6</v>
      </c>
      <c r="AZ160" s="144">
        <f t="shared" si="105"/>
        <v>9.095294977168952E-3</v>
      </c>
      <c r="BA160" s="144">
        <f t="shared" si="88"/>
        <v>1.2152536986301369E-7</v>
      </c>
      <c r="BB160" s="158">
        <f t="shared" si="106"/>
        <v>3.4721534246575339E-5</v>
      </c>
      <c r="BC160" s="144">
        <f t="shared" si="89"/>
        <v>4.7703675689497704E-8</v>
      </c>
      <c r="BD160" s="158">
        <f t="shared" si="107"/>
        <v>1.5901225229832569E-4</v>
      </c>
      <c r="BE160" s="144">
        <f t="shared" si="90"/>
        <v>2.8103697168949772E-6</v>
      </c>
      <c r="BF160" s="158">
        <f t="shared" si="108"/>
        <v>5.6207394337899543E-4</v>
      </c>
      <c r="BG160" s="144">
        <f t="shared" si="91"/>
        <v>9.7831744292237468E-10</v>
      </c>
      <c r="BH160" s="158">
        <f t="shared" si="109"/>
        <v>1.9566348858447492E-6</v>
      </c>
      <c r="BI160" s="144">
        <f t="shared" si="92"/>
        <v>1.0374750757990868E-6</v>
      </c>
      <c r="BJ160" s="158">
        <f t="shared" si="110"/>
        <v>1.8526340639269406E-4</v>
      </c>
      <c r="BK160" s="144">
        <f t="shared" si="93"/>
        <v>4.2511415525114154E-9</v>
      </c>
      <c r="BL160" s="158">
        <f t="shared" si="111"/>
        <v>1.4170471841704719E-5</v>
      </c>
      <c r="BM160" s="144">
        <f t="shared" si="94"/>
        <v>5.6800966962127317E-9</v>
      </c>
      <c r="BN160" s="158">
        <f t="shared" si="112"/>
        <v>1.6136638341513442E-6</v>
      </c>
      <c r="BO160" s="144">
        <f t="shared" si="95"/>
        <v>2.2296701584743486E-9</v>
      </c>
      <c r="BP160" s="158">
        <f t="shared" si="113"/>
        <v>2.5926397191562191E-5</v>
      </c>
      <c r="BQ160" s="144">
        <f t="shared" si="96"/>
        <v>1.3135670158474348E-7</v>
      </c>
      <c r="BR160" s="158">
        <f t="shared" si="114"/>
        <v>4.3785567194914495E-3</v>
      </c>
      <c r="BS160" s="144">
        <f t="shared" si="97"/>
        <v>4.5726564598442116E-11</v>
      </c>
      <c r="BT160" s="158">
        <f t="shared" si="115"/>
        <v>8.0222043155161604E-7</v>
      </c>
      <c r="BU160" s="144">
        <f t="shared" si="98"/>
        <v>4.8491592801504169E-8</v>
      </c>
      <c r="BV160" s="158">
        <f t="shared" si="116"/>
        <v>2.3539608156069983E-6</v>
      </c>
    </row>
    <row r="161" spans="20:74">
      <c r="T161" s="53" t="s">
        <v>140</v>
      </c>
      <c r="U161" s="53" t="s">
        <v>141</v>
      </c>
      <c r="V161" s="155" t="s">
        <v>340</v>
      </c>
      <c r="W161" s="53">
        <v>0.25163200000000002</v>
      </c>
      <c r="X161" s="53">
        <v>34.723951</v>
      </c>
      <c r="Y161" s="53" t="s">
        <v>372</v>
      </c>
      <c r="Z161" s="53" t="s">
        <v>330</v>
      </c>
      <c r="AA161" s="116" t="s">
        <v>347</v>
      </c>
      <c r="AB161" s="154" t="s">
        <v>371</v>
      </c>
      <c r="AC161" s="116" t="s">
        <v>687</v>
      </c>
      <c r="AD161" s="53" t="s">
        <v>365</v>
      </c>
      <c r="AE161" s="53" t="s">
        <v>685</v>
      </c>
      <c r="AF161" s="53" t="s">
        <v>691</v>
      </c>
      <c r="AG161" s="156">
        <v>831.3</v>
      </c>
      <c r="AH161" s="157">
        <v>36.4</v>
      </c>
      <c r="AI161" s="162">
        <v>1.7581</v>
      </c>
      <c r="AJ161" s="157">
        <v>76.599999999999994</v>
      </c>
      <c r="AK161" s="156">
        <v>0.222</v>
      </c>
      <c r="AL161" s="157">
        <v>11.36</v>
      </c>
      <c r="AM161" s="144">
        <f t="shared" si="81"/>
        <v>1.0628493150684931E-2</v>
      </c>
      <c r="AN161" s="158">
        <f t="shared" si="99"/>
        <v>35.428310502283104</v>
      </c>
      <c r="AO161" s="144">
        <f t="shared" si="82"/>
        <v>4.6538812785388125E-4</v>
      </c>
      <c r="AP161" s="158">
        <f t="shared" si="100"/>
        <v>0.12927447995941146</v>
      </c>
      <c r="AQ161" s="144">
        <f t="shared" si="83"/>
        <v>2.247799086757991E-5</v>
      </c>
      <c r="AR161" s="158">
        <f t="shared" si="101"/>
        <v>7.4926636225266366E-2</v>
      </c>
      <c r="AS161" s="144">
        <f t="shared" si="84"/>
        <v>9.7936073059360696E-4</v>
      </c>
      <c r="AT161" s="158">
        <f t="shared" si="102"/>
        <v>0.32645357686453563</v>
      </c>
      <c r="AU161" s="144">
        <f t="shared" si="85"/>
        <v>2.8383561643835615E-6</v>
      </c>
      <c r="AV161" s="158">
        <f t="shared" si="103"/>
        <v>5.6767123287671233E-3</v>
      </c>
      <c r="AW161" s="144">
        <f t="shared" si="86"/>
        <v>1.4524200913242007E-4</v>
      </c>
      <c r="AX161" s="158">
        <f t="shared" si="104"/>
        <v>7.2621004566210037E-3</v>
      </c>
      <c r="AY161" s="144">
        <f t="shared" si="87"/>
        <v>1.9061139616438356E-4</v>
      </c>
      <c r="AZ161" s="144">
        <f t="shared" si="105"/>
        <v>0.63537132054794521</v>
      </c>
      <c r="BA161" s="144">
        <f t="shared" si="88"/>
        <v>2.7820902283105023E-7</v>
      </c>
      <c r="BB161" s="158">
        <f t="shared" si="106"/>
        <v>7.9488292237442926E-5</v>
      </c>
      <c r="BC161" s="144">
        <f t="shared" si="89"/>
        <v>1.3437342940639269E-8</v>
      </c>
      <c r="BD161" s="158">
        <f t="shared" si="107"/>
        <v>4.4791143135464234E-5</v>
      </c>
      <c r="BE161" s="144">
        <f t="shared" si="90"/>
        <v>5.8546184474885825E-7</v>
      </c>
      <c r="BF161" s="158">
        <f t="shared" si="108"/>
        <v>1.1709236894977165E-4</v>
      </c>
      <c r="BG161" s="144">
        <f t="shared" si="91"/>
        <v>1.6967693150684933E-9</v>
      </c>
      <c r="BH161" s="158">
        <f t="shared" si="109"/>
        <v>3.3935386301369868E-6</v>
      </c>
      <c r="BI161" s="144">
        <f t="shared" si="92"/>
        <v>8.6825673059360748E-8</v>
      </c>
      <c r="BJ161" s="158">
        <f t="shared" si="110"/>
        <v>1.5504584474885847E-5</v>
      </c>
      <c r="BK161" s="144">
        <f t="shared" si="93"/>
        <v>2.9697260273972595E-7</v>
      </c>
      <c r="BL161" s="158">
        <f t="shared" si="111"/>
        <v>9.8990867579908668E-4</v>
      </c>
      <c r="BM161" s="144">
        <f t="shared" si="94"/>
        <v>1.3003491807681977E-8</v>
      </c>
      <c r="BN161" s="158">
        <f t="shared" si="112"/>
        <v>3.6941738090005615E-6</v>
      </c>
      <c r="BO161" s="144">
        <f t="shared" si="95"/>
        <v>6.2806150953532096E-10</v>
      </c>
      <c r="BP161" s="158">
        <f t="shared" si="113"/>
        <v>7.3030408085502436E-6</v>
      </c>
      <c r="BQ161" s="144">
        <f t="shared" si="96"/>
        <v>2.7364491001880205E-8</v>
      </c>
      <c r="BR161" s="158">
        <f t="shared" si="114"/>
        <v>9.1214970006267353E-4</v>
      </c>
      <c r="BS161" s="144">
        <f t="shared" si="97"/>
        <v>7.9307010475423041E-11</v>
      </c>
      <c r="BT161" s="158">
        <f t="shared" si="115"/>
        <v>1.391351060972334E-6</v>
      </c>
      <c r="BU161" s="144">
        <f t="shared" si="98"/>
        <v>4.0582326081117371E-9</v>
      </c>
      <c r="BV161" s="158">
        <f t="shared" si="116"/>
        <v>1.9700158291804549E-7</v>
      </c>
    </row>
    <row r="162" spans="20:74">
      <c r="T162" s="53" t="s">
        <v>142</v>
      </c>
      <c r="U162" s="53" t="s">
        <v>143</v>
      </c>
      <c r="V162" s="155" t="s">
        <v>340</v>
      </c>
      <c r="W162" s="53">
        <v>0.25163200000000002</v>
      </c>
      <c r="X162" s="53">
        <v>34.723951</v>
      </c>
      <c r="Y162" s="53" t="s">
        <v>372</v>
      </c>
      <c r="Z162" s="53" t="s">
        <v>330</v>
      </c>
      <c r="AA162" s="116" t="s">
        <v>347</v>
      </c>
      <c r="AB162" s="154" t="s">
        <v>371</v>
      </c>
      <c r="AC162" s="116" t="s">
        <v>687</v>
      </c>
      <c r="AD162" s="53" t="s">
        <v>365</v>
      </c>
      <c r="AE162" s="53" t="s">
        <v>685</v>
      </c>
      <c r="AF162" s="53" t="s">
        <v>691</v>
      </c>
      <c r="AG162" s="156">
        <v>780.8</v>
      </c>
      <c r="AH162" s="157">
        <v>35.9</v>
      </c>
      <c r="AI162" s="162">
        <v>1.7239</v>
      </c>
      <c r="AJ162" s="157">
        <v>68.599999999999994</v>
      </c>
      <c r="AK162" s="156">
        <v>0.16400000000000001</v>
      </c>
      <c r="AL162" s="157">
        <v>10.43</v>
      </c>
      <c r="AM162" s="144">
        <f t="shared" si="81"/>
        <v>9.9828310502283104E-3</v>
      </c>
      <c r="AN162" s="158">
        <f t="shared" si="99"/>
        <v>33.276103500761039</v>
      </c>
      <c r="AO162" s="144">
        <f t="shared" si="82"/>
        <v>4.5899543378995433E-4</v>
      </c>
      <c r="AP162" s="158">
        <f t="shared" si="100"/>
        <v>0.12749873160832065</v>
      </c>
      <c r="AQ162" s="144">
        <f t="shared" si="83"/>
        <v>2.2040730593607302E-5</v>
      </c>
      <c r="AR162" s="158">
        <f t="shared" si="101"/>
        <v>7.3469101978691012E-2</v>
      </c>
      <c r="AS162" s="144">
        <f t="shared" si="84"/>
        <v>8.7707762557077593E-4</v>
      </c>
      <c r="AT162" s="158">
        <f t="shared" si="102"/>
        <v>0.29235920852359198</v>
      </c>
      <c r="AU162" s="144">
        <f t="shared" si="85"/>
        <v>2.0968036529680368E-6</v>
      </c>
      <c r="AV162" s="158">
        <f t="shared" si="103"/>
        <v>4.1936073059360736E-3</v>
      </c>
      <c r="AW162" s="144">
        <f t="shared" si="86"/>
        <v>1.3335159817351596E-4</v>
      </c>
      <c r="AX162" s="158">
        <f t="shared" si="104"/>
        <v>6.6675799086757977E-3</v>
      </c>
      <c r="AY162" s="144">
        <f t="shared" si="87"/>
        <v>1.7903209205479454E-4</v>
      </c>
      <c r="AZ162" s="144">
        <f t="shared" si="105"/>
        <v>0.59677364018264856</v>
      </c>
      <c r="BA162" s="144">
        <f t="shared" si="88"/>
        <v>2.7438747031963476E-7</v>
      </c>
      <c r="BB162" s="158">
        <f t="shared" si="106"/>
        <v>7.8396420091324221E-5</v>
      </c>
      <c r="BC162" s="144">
        <f t="shared" si="89"/>
        <v>1.3175948748858447E-8</v>
      </c>
      <c r="BD162" s="158">
        <f t="shared" si="107"/>
        <v>4.3919829162861497E-5</v>
      </c>
      <c r="BE162" s="144">
        <f t="shared" si="90"/>
        <v>5.2431700456621004E-7</v>
      </c>
      <c r="BF162" s="158">
        <f t="shared" si="108"/>
        <v>1.0486340091324201E-4</v>
      </c>
      <c r="BG162" s="144">
        <f t="shared" si="91"/>
        <v>1.2534692237442924E-9</v>
      </c>
      <c r="BH162" s="158">
        <f t="shared" si="109"/>
        <v>2.506938447488585E-6</v>
      </c>
      <c r="BI162" s="144">
        <f t="shared" si="92"/>
        <v>7.971758538812785E-8</v>
      </c>
      <c r="BJ162" s="158">
        <f t="shared" si="110"/>
        <v>1.423528310502283E-5</v>
      </c>
      <c r="BK162" s="144">
        <f t="shared" si="93"/>
        <v>2.7893204405049685E-7</v>
      </c>
      <c r="BL162" s="158">
        <f t="shared" si="111"/>
        <v>9.2977348016832291E-4</v>
      </c>
      <c r="BM162" s="144">
        <f t="shared" si="94"/>
        <v>1.282487241471931E-8</v>
      </c>
      <c r="BN162" s="158">
        <f t="shared" si="112"/>
        <v>3.643429663272531E-6</v>
      </c>
      <c r="BO162" s="144">
        <f t="shared" si="95"/>
        <v>6.1584394305667461E-10</v>
      </c>
      <c r="BP162" s="158">
        <f t="shared" si="113"/>
        <v>7.1609760820543558E-6</v>
      </c>
      <c r="BQ162" s="144">
        <f t="shared" si="96"/>
        <v>2.4506580714477566E-8</v>
      </c>
      <c r="BR162" s="158">
        <f t="shared" si="114"/>
        <v>8.1688602381591881E-4</v>
      </c>
      <c r="BS162" s="144">
        <f t="shared" si="97"/>
        <v>5.8587160891753966E-11</v>
      </c>
      <c r="BT162" s="158">
        <f t="shared" si="115"/>
        <v>1.0278449279255082E-6</v>
      </c>
      <c r="BU162" s="144">
        <f t="shared" si="98"/>
        <v>3.7260005372011815E-9</v>
      </c>
      <c r="BV162" s="158">
        <f t="shared" si="116"/>
        <v>1.8087381248549426E-7</v>
      </c>
    </row>
    <row r="163" spans="20:74">
      <c r="T163" s="53" t="s">
        <v>144</v>
      </c>
      <c r="U163" s="53" t="s">
        <v>145</v>
      </c>
      <c r="V163" s="155" t="s">
        <v>340</v>
      </c>
      <c r="W163" s="53">
        <v>0.25722099999999998</v>
      </c>
      <c r="X163" s="53">
        <v>34.724355000000003</v>
      </c>
      <c r="Y163" s="53" t="s">
        <v>373</v>
      </c>
      <c r="Z163" s="53" t="s">
        <v>330</v>
      </c>
      <c r="AA163" s="116" t="s">
        <v>347</v>
      </c>
      <c r="AB163" s="154" t="s">
        <v>371</v>
      </c>
      <c r="AC163" s="116" t="s">
        <v>687</v>
      </c>
      <c r="AD163" s="53" t="s">
        <v>370</v>
      </c>
      <c r="AE163" s="53" t="s">
        <v>684</v>
      </c>
      <c r="AF163" s="53" t="s">
        <v>683</v>
      </c>
      <c r="AG163" s="156">
        <v>4.9000000000000004</v>
      </c>
      <c r="AH163" s="157">
        <v>36.200000000000003</v>
      </c>
      <c r="AI163" s="162">
        <v>9.7700000000000009E-2</v>
      </c>
      <c r="AJ163" s="157">
        <v>288.39999999999998</v>
      </c>
      <c r="AK163" s="156">
        <v>0.16500000000000001</v>
      </c>
      <c r="AL163" s="157">
        <v>52.75</v>
      </c>
      <c r="AM163" s="144">
        <f t="shared" si="81"/>
        <v>6.264840182648402E-5</v>
      </c>
      <c r="AN163" s="158">
        <f t="shared" si="99"/>
        <v>0.20882800608828009</v>
      </c>
      <c r="AO163" s="144">
        <f t="shared" si="82"/>
        <v>4.6283105022831058E-4</v>
      </c>
      <c r="AP163" s="158">
        <f t="shared" si="100"/>
        <v>0.12856418061897518</v>
      </c>
      <c r="AQ163" s="144">
        <f t="shared" si="83"/>
        <v>1.2491324200913245E-6</v>
      </c>
      <c r="AR163" s="158">
        <f t="shared" si="101"/>
        <v>4.1637747336377489E-3</v>
      </c>
      <c r="AS163" s="144">
        <f t="shared" si="84"/>
        <v>3.6873059360730586E-3</v>
      </c>
      <c r="AT163" s="158">
        <f t="shared" si="102"/>
        <v>1.2291019786910196</v>
      </c>
      <c r="AU163" s="144">
        <f t="shared" si="85"/>
        <v>2.1095890410958905E-6</v>
      </c>
      <c r="AV163" s="158">
        <f t="shared" si="103"/>
        <v>4.2191780821917808E-3</v>
      </c>
      <c r="AW163" s="144">
        <f t="shared" si="86"/>
        <v>6.7442922374429213E-4</v>
      </c>
      <c r="AX163" s="158">
        <f t="shared" si="104"/>
        <v>3.3721461187214606E-2</v>
      </c>
      <c r="AY163" s="144">
        <f t="shared" si="87"/>
        <v>1.1235364383561642E-6</v>
      </c>
      <c r="AZ163" s="144">
        <f t="shared" si="105"/>
        <v>3.7451214611872144E-3</v>
      </c>
      <c r="BA163" s="144">
        <f t="shared" si="88"/>
        <v>2.7668040182648407E-7</v>
      </c>
      <c r="BB163" s="158">
        <f t="shared" si="106"/>
        <v>7.9051543378995444E-5</v>
      </c>
      <c r="BC163" s="144">
        <f t="shared" si="89"/>
        <v>7.4673136073059355E-10</v>
      </c>
      <c r="BD163" s="158">
        <f t="shared" si="107"/>
        <v>2.4891045357686452E-6</v>
      </c>
      <c r="BE163" s="144">
        <f t="shared" si="90"/>
        <v>2.2042714885844749E-6</v>
      </c>
      <c r="BF163" s="158">
        <f t="shared" si="108"/>
        <v>4.4085429771689499E-4</v>
      </c>
      <c r="BG163" s="144">
        <f t="shared" si="91"/>
        <v>1.2611123287671235E-9</v>
      </c>
      <c r="BH163" s="158">
        <f t="shared" si="109"/>
        <v>2.5222246575342471E-6</v>
      </c>
      <c r="BI163" s="144">
        <f t="shared" si="92"/>
        <v>4.0317378995433795E-7</v>
      </c>
      <c r="BJ163" s="158">
        <f t="shared" si="110"/>
        <v>7.1995319634703204E-5</v>
      </c>
      <c r="BK163" s="144">
        <f t="shared" si="93"/>
        <v>1.7504700510341123E-9</v>
      </c>
      <c r="BL163" s="158">
        <f t="shared" si="111"/>
        <v>5.8349001701137085E-6</v>
      </c>
      <c r="BM163" s="144">
        <f t="shared" si="94"/>
        <v>1.2932044050496912E-8</v>
      </c>
      <c r="BN163" s="158">
        <f t="shared" si="112"/>
        <v>3.6738761507093496E-6</v>
      </c>
      <c r="BO163" s="144">
        <f t="shared" si="95"/>
        <v>3.4902229384904643E-11</v>
      </c>
      <c r="BP163" s="158">
        <f t="shared" si="113"/>
        <v>4.0583987656865865E-7</v>
      </c>
      <c r="BQ163" s="144">
        <f t="shared" si="96"/>
        <v>1.0302766586086487E-7</v>
      </c>
      <c r="BR163" s="158">
        <f t="shared" si="114"/>
        <v>3.4342555286954956E-3</v>
      </c>
      <c r="BS163" s="144">
        <f t="shared" si="97"/>
        <v>5.8944399677679277E-11</v>
      </c>
      <c r="BT163" s="158">
        <f t="shared" si="115"/>
        <v>1.0341122750470048E-6</v>
      </c>
      <c r="BU163" s="144">
        <f t="shared" si="98"/>
        <v>1.8844345957561106E-8</v>
      </c>
      <c r="BV163" s="158">
        <f t="shared" si="116"/>
        <v>9.1477407560976239E-7</v>
      </c>
    </row>
    <row r="164" spans="20:74">
      <c r="T164" s="53" t="s">
        <v>146</v>
      </c>
      <c r="U164" s="53" t="s">
        <v>147</v>
      </c>
      <c r="V164" s="155" t="s">
        <v>340</v>
      </c>
      <c r="W164" s="53">
        <v>0.25722099999999998</v>
      </c>
      <c r="X164" s="53">
        <v>34.724355000000003</v>
      </c>
      <c r="Y164" s="53" t="s">
        <v>373</v>
      </c>
      <c r="Z164" s="53" t="s">
        <v>330</v>
      </c>
      <c r="AA164" s="116" t="s">
        <v>347</v>
      </c>
      <c r="AB164" s="154" t="s">
        <v>371</v>
      </c>
      <c r="AC164" s="116" t="s">
        <v>687</v>
      </c>
      <c r="AD164" s="53" t="s">
        <v>368</v>
      </c>
      <c r="AE164" s="53" t="s">
        <v>684</v>
      </c>
      <c r="AF164" s="53" t="s">
        <v>683</v>
      </c>
      <c r="AG164" s="156">
        <v>12.2</v>
      </c>
      <c r="AH164" s="157">
        <v>242.5</v>
      </c>
      <c r="AI164" s="162">
        <v>3.7010000000000001</v>
      </c>
      <c r="AJ164" s="157">
        <v>215</v>
      </c>
      <c r="AK164" s="156">
        <v>1.401</v>
      </c>
      <c r="AL164" s="157">
        <v>55.17</v>
      </c>
      <c r="AM164" s="144">
        <f t="shared" si="81"/>
        <v>1.5598173515981735E-4</v>
      </c>
      <c r="AN164" s="158">
        <f t="shared" si="99"/>
        <v>0.51993911719939123</v>
      </c>
      <c r="AO164" s="144">
        <f t="shared" si="82"/>
        <v>3.100456621004566E-3</v>
      </c>
      <c r="AP164" s="158">
        <f t="shared" si="100"/>
        <v>0.86123795027904615</v>
      </c>
      <c r="AQ164" s="144">
        <f t="shared" si="83"/>
        <v>4.7318721461187216E-5</v>
      </c>
      <c r="AR164" s="158">
        <f t="shared" si="101"/>
        <v>0.15772907153729074</v>
      </c>
      <c r="AS164" s="144">
        <f t="shared" si="84"/>
        <v>2.7488584474885842E-3</v>
      </c>
      <c r="AT164" s="158">
        <f t="shared" si="102"/>
        <v>0.91628614916286144</v>
      </c>
      <c r="AU164" s="144">
        <f t="shared" si="85"/>
        <v>1.7912328767123288E-5</v>
      </c>
      <c r="AV164" s="158">
        <f t="shared" si="103"/>
        <v>3.5824657534246573E-2</v>
      </c>
      <c r="AW164" s="144">
        <f t="shared" si="86"/>
        <v>7.0536986301369855E-4</v>
      </c>
      <c r="AX164" s="158">
        <f t="shared" si="104"/>
        <v>3.5268493150684928E-2</v>
      </c>
      <c r="AY164" s="144">
        <f t="shared" si="87"/>
        <v>2.7973764383561646E-6</v>
      </c>
      <c r="AZ164" s="144">
        <f t="shared" si="105"/>
        <v>9.3245881278538837E-3</v>
      </c>
      <c r="BA164" s="144">
        <f t="shared" si="88"/>
        <v>1.85345296803653E-6</v>
      </c>
      <c r="BB164" s="158">
        <f t="shared" si="106"/>
        <v>5.2955799086757999E-4</v>
      </c>
      <c r="BC164" s="144">
        <f t="shared" si="89"/>
        <v>2.8287131689497722E-8</v>
      </c>
      <c r="BD164" s="158">
        <f t="shared" si="107"/>
        <v>9.4290438964992414E-5</v>
      </c>
      <c r="BE164" s="144">
        <f t="shared" si="90"/>
        <v>1.6432675799086756E-6</v>
      </c>
      <c r="BF164" s="158">
        <f t="shared" si="108"/>
        <v>3.2865351598173513E-4</v>
      </c>
      <c r="BG164" s="144">
        <f t="shared" si="91"/>
        <v>1.0707990136986303E-8</v>
      </c>
      <c r="BH164" s="158">
        <f t="shared" si="109"/>
        <v>2.1415980273972605E-5</v>
      </c>
      <c r="BI164" s="144">
        <f t="shared" si="92"/>
        <v>4.2167010410958907E-7</v>
      </c>
      <c r="BJ164" s="158">
        <f t="shared" si="110"/>
        <v>7.5298232876712336E-5</v>
      </c>
      <c r="BK164" s="144">
        <f t="shared" si="93"/>
        <v>4.3583131882890133E-9</v>
      </c>
      <c r="BL164" s="158">
        <f t="shared" si="111"/>
        <v>1.4527710627630046E-5</v>
      </c>
      <c r="BM164" s="144">
        <f t="shared" si="94"/>
        <v>8.6630405586892297E-8</v>
      </c>
      <c r="BN164" s="158">
        <f t="shared" si="112"/>
        <v>2.46109106780944E-5</v>
      </c>
      <c r="BO164" s="144">
        <f t="shared" si="95"/>
        <v>1.3221407467096428E-9</v>
      </c>
      <c r="BP164" s="158">
        <f t="shared" si="113"/>
        <v>1.5373729612902823E-5</v>
      </c>
      <c r="BQ164" s="144">
        <f t="shared" si="96"/>
        <v>7.6806338973945748E-8</v>
      </c>
      <c r="BR164" s="158">
        <f t="shared" si="114"/>
        <v>2.5602112991315248E-3</v>
      </c>
      <c r="BS164" s="144">
        <f t="shared" si="97"/>
        <v>5.0049153908138587E-10</v>
      </c>
      <c r="BT164" s="158">
        <f t="shared" si="115"/>
        <v>8.7805533172172964E-6</v>
      </c>
      <c r="BU164" s="144">
        <f t="shared" si="98"/>
        <v>1.9708863819500403E-8</v>
      </c>
      <c r="BV164" s="158">
        <f t="shared" si="116"/>
        <v>9.567409621116701E-7</v>
      </c>
    </row>
    <row r="165" spans="20:74">
      <c r="T165" s="53" t="s">
        <v>148</v>
      </c>
      <c r="U165" s="53" t="s">
        <v>149</v>
      </c>
      <c r="V165" s="155" t="s">
        <v>340</v>
      </c>
      <c r="W165" s="53">
        <v>0.26547500000000002</v>
      </c>
      <c r="X165" s="53">
        <v>34.728920000000002</v>
      </c>
      <c r="Y165" s="53" t="s">
        <v>373</v>
      </c>
      <c r="Z165" s="53" t="s">
        <v>330</v>
      </c>
      <c r="AA165" s="116" t="s">
        <v>347</v>
      </c>
      <c r="AB165" s="154" t="s">
        <v>371</v>
      </c>
      <c r="AC165" s="116" t="s">
        <v>687</v>
      </c>
      <c r="AD165" s="53" t="s">
        <v>370</v>
      </c>
      <c r="AE165" s="53" t="s">
        <v>684</v>
      </c>
      <c r="AF165" s="53" t="s">
        <v>683</v>
      </c>
      <c r="AG165" s="156">
        <v>4.8</v>
      </c>
      <c r="AH165" s="157">
        <v>17.5</v>
      </c>
      <c r="AI165" s="162">
        <v>8.3000000000000004E-2</v>
      </c>
      <c r="AJ165" s="157">
        <v>1195.9000000000001</v>
      </c>
      <c r="AK165" s="156">
        <v>0.14699999999999999</v>
      </c>
      <c r="AL165" s="157">
        <v>369.65</v>
      </c>
      <c r="AM165" s="144">
        <f t="shared" si="81"/>
        <v>6.1369863013698632E-5</v>
      </c>
      <c r="AN165" s="158">
        <f t="shared" si="99"/>
        <v>0.20456621004566214</v>
      </c>
      <c r="AO165" s="144">
        <f t="shared" si="82"/>
        <v>2.2374429223744291E-4</v>
      </c>
      <c r="AP165" s="158">
        <f t="shared" si="100"/>
        <v>6.2151192288178586E-2</v>
      </c>
      <c r="AQ165" s="144">
        <f t="shared" si="83"/>
        <v>1.0611872146118723E-6</v>
      </c>
      <c r="AR165" s="158">
        <f t="shared" si="101"/>
        <v>3.5372907153729083E-3</v>
      </c>
      <c r="AS165" s="144">
        <f t="shared" si="84"/>
        <v>1.5290045662100458E-2</v>
      </c>
      <c r="AT165" s="158">
        <f t="shared" si="102"/>
        <v>5.0966818873668194</v>
      </c>
      <c r="AU165" s="144">
        <f t="shared" si="85"/>
        <v>1.8794520547945204E-6</v>
      </c>
      <c r="AV165" s="158">
        <f t="shared" si="103"/>
        <v>3.7589041095890405E-3</v>
      </c>
      <c r="AW165" s="144">
        <f t="shared" si="86"/>
        <v>4.7261187214611864E-3</v>
      </c>
      <c r="AX165" s="158">
        <f t="shared" si="104"/>
        <v>0.23630593607305933</v>
      </c>
      <c r="AY165" s="144">
        <f t="shared" si="87"/>
        <v>1.1006071232876712E-6</v>
      </c>
      <c r="AZ165" s="144">
        <f t="shared" si="105"/>
        <v>3.6686904109589046E-3</v>
      </c>
      <c r="BA165" s="144">
        <f t="shared" si="88"/>
        <v>1.3375433789954338E-7</v>
      </c>
      <c r="BB165" s="158">
        <f t="shared" si="106"/>
        <v>3.8215525114155249E-5</v>
      </c>
      <c r="BC165" s="144">
        <f t="shared" si="89"/>
        <v>6.343777168949772E-10</v>
      </c>
      <c r="BD165" s="158">
        <f t="shared" si="107"/>
        <v>2.114592389649924E-6</v>
      </c>
      <c r="BE165" s="144">
        <f t="shared" si="90"/>
        <v>9.1403892968036546E-6</v>
      </c>
      <c r="BF165" s="158">
        <f t="shared" si="108"/>
        <v>1.8280778593607308E-3</v>
      </c>
      <c r="BG165" s="144">
        <f t="shared" si="91"/>
        <v>1.1235364383561643E-9</v>
      </c>
      <c r="BH165" s="158">
        <f t="shared" si="109"/>
        <v>2.2470728767123288E-6</v>
      </c>
      <c r="BI165" s="144">
        <f t="shared" si="92"/>
        <v>2.8252737716894981E-6</v>
      </c>
      <c r="BJ165" s="158">
        <f t="shared" si="110"/>
        <v>5.045131735159818E-4</v>
      </c>
      <c r="BK165" s="144">
        <f t="shared" si="93"/>
        <v>1.7147461724415791E-9</v>
      </c>
      <c r="BL165" s="158">
        <f t="shared" si="111"/>
        <v>5.7158205748052639E-6</v>
      </c>
      <c r="BM165" s="144">
        <f t="shared" si="94"/>
        <v>6.2516787536932585E-9</v>
      </c>
      <c r="BN165" s="158">
        <f t="shared" si="112"/>
        <v>1.7760451004810393E-6</v>
      </c>
      <c r="BO165" s="144">
        <f t="shared" si="95"/>
        <v>2.9650819231802313E-11</v>
      </c>
      <c r="BP165" s="158">
        <f t="shared" si="113"/>
        <v>3.4477696781165477E-7</v>
      </c>
      <c r="BQ165" s="144">
        <f t="shared" si="96"/>
        <v>4.2722186408810098E-7</v>
      </c>
      <c r="BR165" s="158">
        <f t="shared" si="114"/>
        <v>1.4240728802936699E-2</v>
      </c>
      <c r="BS165" s="144">
        <f t="shared" si="97"/>
        <v>5.2514101531023364E-11</v>
      </c>
      <c r="BT165" s="158">
        <f t="shared" si="115"/>
        <v>9.21300026860059E-7</v>
      </c>
      <c r="BU165" s="144">
        <f t="shared" si="98"/>
        <v>1.3205331721729787E-7</v>
      </c>
      <c r="BV165" s="158">
        <f t="shared" si="116"/>
        <v>6.4103552047231978E-6</v>
      </c>
    </row>
    <row r="166" spans="20:74">
      <c r="T166" s="53" t="s">
        <v>150</v>
      </c>
      <c r="U166" s="53" t="s">
        <v>151</v>
      </c>
      <c r="V166" s="155" t="s">
        <v>340</v>
      </c>
      <c r="W166" s="53">
        <v>0.26495800000000003</v>
      </c>
      <c r="X166" s="53">
        <v>34.729039</v>
      </c>
      <c r="Y166" s="53" t="s">
        <v>373</v>
      </c>
      <c r="Z166" s="53" t="s">
        <v>330</v>
      </c>
      <c r="AA166" s="116" t="s">
        <v>347</v>
      </c>
      <c r="AB166" s="154" t="s">
        <v>371</v>
      </c>
      <c r="AC166" s="116" t="s">
        <v>687</v>
      </c>
      <c r="AD166" s="53" t="s">
        <v>368</v>
      </c>
      <c r="AE166" s="53" t="s">
        <v>684</v>
      </c>
      <c r="AF166" s="53" t="s">
        <v>683</v>
      </c>
      <c r="AG166" s="156">
        <v>8.3000000000000007</v>
      </c>
      <c r="AH166" s="157">
        <v>22</v>
      </c>
      <c r="AI166" s="162">
        <v>6.5500000000000003E-2</v>
      </c>
      <c r="AJ166" s="157">
        <v>1682.3</v>
      </c>
      <c r="AK166" s="156">
        <v>0.18</v>
      </c>
      <c r="AL166" s="157">
        <v>444.96</v>
      </c>
      <c r="AM166" s="144">
        <f t="shared" si="81"/>
        <v>1.0611872146118724E-4</v>
      </c>
      <c r="AN166" s="158">
        <f t="shared" si="99"/>
        <v>0.35372907153729083</v>
      </c>
      <c r="AO166" s="144">
        <f t="shared" si="82"/>
        <v>2.8127853881278539E-4</v>
      </c>
      <c r="AP166" s="158">
        <f t="shared" si="100"/>
        <v>7.8132927447995951E-2</v>
      </c>
      <c r="AQ166" s="144">
        <f t="shared" si="83"/>
        <v>8.374429223744294E-7</v>
      </c>
      <c r="AR166" s="158">
        <f t="shared" si="101"/>
        <v>2.7914764079147651E-3</v>
      </c>
      <c r="AS166" s="144">
        <f t="shared" si="84"/>
        <v>2.1508858447488583E-2</v>
      </c>
      <c r="AT166" s="158">
        <f t="shared" si="102"/>
        <v>7.1696194824961941</v>
      </c>
      <c r="AU166" s="144">
        <f t="shared" si="85"/>
        <v>2.3013698630136988E-6</v>
      </c>
      <c r="AV166" s="158">
        <f t="shared" si="103"/>
        <v>4.6027397260273977E-3</v>
      </c>
      <c r="AW166" s="144">
        <f t="shared" si="86"/>
        <v>5.6889863013698623E-3</v>
      </c>
      <c r="AX166" s="158">
        <f t="shared" si="104"/>
        <v>0.28444931506849308</v>
      </c>
      <c r="AY166" s="144">
        <f t="shared" si="87"/>
        <v>1.903133150684932E-6</v>
      </c>
      <c r="AZ166" s="144">
        <f t="shared" si="105"/>
        <v>6.3437771689497744E-3</v>
      </c>
      <c r="BA166" s="144">
        <f t="shared" si="88"/>
        <v>1.6814831050228312E-7</v>
      </c>
      <c r="BB166" s="158">
        <f t="shared" si="106"/>
        <v>4.8042374429223749E-5</v>
      </c>
      <c r="BC166" s="144">
        <f t="shared" si="89"/>
        <v>5.0062337899543375E-10</v>
      </c>
      <c r="BD166" s="158">
        <f t="shared" si="107"/>
        <v>1.668744596651446E-6</v>
      </c>
      <c r="BE166" s="144">
        <f t="shared" si="90"/>
        <v>1.2857995579908675E-5</v>
      </c>
      <c r="BF166" s="158">
        <f t="shared" si="108"/>
        <v>2.571599115981735E-3</v>
      </c>
      <c r="BG166" s="144">
        <f t="shared" si="91"/>
        <v>1.3757589041095893E-9</v>
      </c>
      <c r="BH166" s="158">
        <f t="shared" si="109"/>
        <v>2.7515178082191783E-6</v>
      </c>
      <c r="BI166" s="144">
        <f t="shared" si="92"/>
        <v>3.4008760109589047E-6</v>
      </c>
      <c r="BJ166" s="158">
        <f t="shared" si="110"/>
        <v>6.0729928767123303E-4</v>
      </c>
      <c r="BK166" s="144">
        <f t="shared" si="93"/>
        <v>2.9650819231802317E-9</v>
      </c>
      <c r="BL166" s="158">
        <f t="shared" si="111"/>
        <v>9.8836064106007724E-6</v>
      </c>
      <c r="BM166" s="144">
        <f t="shared" si="94"/>
        <v>7.8592532903572371E-9</v>
      </c>
      <c r="BN166" s="158">
        <f t="shared" si="112"/>
        <v>2.2327424120333061E-6</v>
      </c>
      <c r="BO166" s="144">
        <f t="shared" si="95"/>
        <v>2.3399140478109056E-11</v>
      </c>
      <c r="BP166" s="158">
        <f t="shared" si="113"/>
        <v>2.7208302881522158E-7</v>
      </c>
      <c r="BQ166" s="144">
        <f t="shared" si="96"/>
        <v>6.0098280956218101E-7</v>
      </c>
      <c r="BR166" s="158">
        <f t="shared" si="114"/>
        <v>2.0032760318739365E-2</v>
      </c>
      <c r="BS166" s="144">
        <f t="shared" si="97"/>
        <v>6.4302981466559226E-11</v>
      </c>
      <c r="BT166" s="158">
        <f t="shared" si="115"/>
        <v>1.12812248186946E-6</v>
      </c>
      <c r="BU166" s="144">
        <f t="shared" si="98"/>
        <v>1.5895697018533439E-7</v>
      </c>
      <c r="BV166" s="158">
        <f t="shared" si="116"/>
        <v>7.716357775987107E-6</v>
      </c>
    </row>
    <row r="167" spans="20:74">
      <c r="T167" s="53" t="s">
        <v>152</v>
      </c>
      <c r="U167" s="53" t="s">
        <v>153</v>
      </c>
      <c r="V167" s="155" t="s">
        <v>340</v>
      </c>
      <c r="W167" s="53">
        <v>0.21160000000000001</v>
      </c>
      <c r="X167" s="53">
        <v>34.72974</v>
      </c>
      <c r="Y167" s="53" t="s">
        <v>351</v>
      </c>
      <c r="Z167" s="53" t="s">
        <v>330</v>
      </c>
      <c r="AA167" s="116" t="s">
        <v>347</v>
      </c>
      <c r="AB167" s="154" t="s">
        <v>371</v>
      </c>
      <c r="AC167" s="116" t="s">
        <v>687</v>
      </c>
      <c r="AD167" s="53" t="s">
        <v>361</v>
      </c>
      <c r="AE167" s="53" t="s">
        <v>685</v>
      </c>
      <c r="AF167" s="53" t="s">
        <v>690</v>
      </c>
      <c r="AG167" s="156">
        <v>225.5</v>
      </c>
      <c r="AH167" s="157">
        <v>42.6</v>
      </c>
      <c r="AI167" s="162">
        <v>0.31709999999999999</v>
      </c>
      <c r="AJ167" s="157">
        <v>263.89999999999998</v>
      </c>
      <c r="AK167" s="156">
        <v>0.185</v>
      </c>
      <c r="AL167" s="157">
        <v>76.84</v>
      </c>
      <c r="AM167" s="144">
        <f t="shared" si="81"/>
        <v>2.8831050228310499E-3</v>
      </c>
      <c r="AN167" s="158">
        <f t="shared" si="99"/>
        <v>9.6103500761035008</v>
      </c>
      <c r="AO167" s="144">
        <f t="shared" si="82"/>
        <v>5.446575342465753E-4</v>
      </c>
      <c r="AP167" s="158">
        <f t="shared" si="100"/>
        <v>0.15129375951293758</v>
      </c>
      <c r="AQ167" s="144">
        <f t="shared" si="83"/>
        <v>4.0542465753424657E-6</v>
      </c>
      <c r="AR167" s="158">
        <f t="shared" si="101"/>
        <v>1.3514155251141554E-2</v>
      </c>
      <c r="AS167" s="144">
        <f t="shared" si="84"/>
        <v>3.374063926940638E-3</v>
      </c>
      <c r="AT167" s="158">
        <f t="shared" si="102"/>
        <v>1.1246879756468793</v>
      </c>
      <c r="AU167" s="144">
        <f t="shared" si="85"/>
        <v>2.3652968036529679E-6</v>
      </c>
      <c r="AV167" s="158">
        <f t="shared" si="103"/>
        <v>4.7305936073059355E-3</v>
      </c>
      <c r="AW167" s="144">
        <f t="shared" si="86"/>
        <v>9.8242922374429213E-4</v>
      </c>
      <c r="AX167" s="158">
        <f t="shared" si="104"/>
        <v>4.9121461187214603E-2</v>
      </c>
      <c r="AY167" s="144">
        <f t="shared" si="87"/>
        <v>5.1705605479452051E-5</v>
      </c>
      <c r="AZ167" s="144">
        <f t="shared" si="105"/>
        <v>0.17235201826484017</v>
      </c>
      <c r="BA167" s="144">
        <f t="shared" si="88"/>
        <v>3.2559627397260271E-7</v>
      </c>
      <c r="BB167" s="158">
        <f t="shared" si="106"/>
        <v>9.3027506849315057E-5</v>
      </c>
      <c r="BC167" s="144">
        <f t="shared" si="89"/>
        <v>2.4236286027397262E-9</v>
      </c>
      <c r="BD167" s="158">
        <f t="shared" si="107"/>
        <v>8.0787620091324219E-6</v>
      </c>
      <c r="BE167" s="144">
        <f t="shared" si="90"/>
        <v>2.0170154155251143E-6</v>
      </c>
      <c r="BF167" s="158">
        <f t="shared" si="108"/>
        <v>4.0340308310502285E-4</v>
      </c>
      <c r="BG167" s="144">
        <f t="shared" si="91"/>
        <v>1.4139744292237445E-9</v>
      </c>
      <c r="BH167" s="158">
        <f t="shared" si="109"/>
        <v>2.8279488584474888E-6</v>
      </c>
      <c r="BI167" s="144">
        <f t="shared" si="92"/>
        <v>5.8729618995433796E-7</v>
      </c>
      <c r="BJ167" s="158">
        <f t="shared" si="110"/>
        <v>1.0487431963470321E-4</v>
      </c>
      <c r="BK167" s="144">
        <f t="shared" si="93"/>
        <v>8.0557346226161697E-8</v>
      </c>
      <c r="BL167" s="158">
        <f t="shared" si="111"/>
        <v>2.6852448742053901E-4</v>
      </c>
      <c r="BM167" s="144">
        <f t="shared" si="94"/>
        <v>1.5218372280419016E-8</v>
      </c>
      <c r="BN167" s="158">
        <f t="shared" si="112"/>
        <v>4.3234012160281293E-6</v>
      </c>
      <c r="BO167" s="144">
        <f t="shared" si="95"/>
        <v>1.1328041901692184E-10</v>
      </c>
      <c r="BP167" s="158">
        <f t="shared" si="113"/>
        <v>1.3172141746153701E-6</v>
      </c>
      <c r="BQ167" s="144">
        <f t="shared" si="96"/>
        <v>9.4275315605694315E-8</v>
      </c>
      <c r="BR167" s="158">
        <f t="shared" si="114"/>
        <v>3.1425105201898103E-3</v>
      </c>
      <c r="BS167" s="144">
        <f t="shared" si="97"/>
        <v>6.6089175396185867E-11</v>
      </c>
      <c r="BT167" s="158">
        <f t="shared" si="115"/>
        <v>1.159459217476945E-6</v>
      </c>
      <c r="BU167" s="144">
        <f t="shared" si="98"/>
        <v>2.7450228310502285E-8</v>
      </c>
      <c r="BV167" s="158">
        <f t="shared" si="116"/>
        <v>1.3325353548787517E-6</v>
      </c>
    </row>
    <row r="168" spans="20:74">
      <c r="T168" s="53" t="s">
        <v>154</v>
      </c>
      <c r="U168" s="53" t="s">
        <v>155</v>
      </c>
      <c r="V168" s="155" t="s">
        <v>340</v>
      </c>
      <c r="W168" s="53">
        <v>0.20325199999999999</v>
      </c>
      <c r="X168" s="53">
        <v>34.716146999999999</v>
      </c>
      <c r="Y168" s="53" t="s">
        <v>351</v>
      </c>
      <c r="Z168" s="53" t="s">
        <v>330</v>
      </c>
      <c r="AA168" s="116" t="s">
        <v>347</v>
      </c>
      <c r="AB168" s="154" t="s">
        <v>371</v>
      </c>
      <c r="AC168" s="116" t="s">
        <v>687</v>
      </c>
      <c r="AD168" s="53" t="s">
        <v>367</v>
      </c>
      <c r="AE168" s="53" t="s">
        <v>684</v>
      </c>
      <c r="AF168" s="53" t="s">
        <v>683</v>
      </c>
      <c r="AG168" s="156">
        <v>24.4</v>
      </c>
      <c r="AH168" s="157">
        <v>17.899999999999999</v>
      </c>
      <c r="AI168" s="162">
        <v>21.142099999999999</v>
      </c>
      <c r="AJ168" s="157">
        <v>257.3</v>
      </c>
      <c r="AK168" s="156">
        <v>0.11700000000000001</v>
      </c>
      <c r="AL168" s="157">
        <v>77.98</v>
      </c>
      <c r="AM168" s="144">
        <f t="shared" si="81"/>
        <v>3.119634703196347E-4</v>
      </c>
      <c r="AN168" s="158">
        <f t="shared" si="99"/>
        <v>1.0398782343987825</v>
      </c>
      <c r="AO168" s="144">
        <f t="shared" si="82"/>
        <v>2.2885844748858441E-4</v>
      </c>
      <c r="AP168" s="158">
        <f t="shared" si="100"/>
        <v>6.3571790969051231E-2</v>
      </c>
      <c r="AQ168" s="144">
        <f t="shared" si="83"/>
        <v>2.7030995433789949E-4</v>
      </c>
      <c r="AR168" s="158">
        <f t="shared" si="101"/>
        <v>0.90103318112633168</v>
      </c>
      <c r="AS168" s="144">
        <f t="shared" si="84"/>
        <v>3.2896803652968033E-3</v>
      </c>
      <c r="AT168" s="158">
        <f t="shared" si="102"/>
        <v>1.0965601217656011</v>
      </c>
      <c r="AU168" s="144">
        <f t="shared" si="85"/>
        <v>1.4958904109589043E-6</v>
      </c>
      <c r="AV168" s="158">
        <f t="shared" si="103"/>
        <v>2.9917808219178084E-3</v>
      </c>
      <c r="AW168" s="144">
        <f t="shared" si="86"/>
        <v>9.9700456621004555E-4</v>
      </c>
      <c r="AX168" s="158">
        <f t="shared" si="104"/>
        <v>4.9850228310502273E-2</v>
      </c>
      <c r="AY168" s="144">
        <f t="shared" si="87"/>
        <v>5.5947528767123292E-6</v>
      </c>
      <c r="AZ168" s="144">
        <f t="shared" si="105"/>
        <v>1.8649176255707767E-2</v>
      </c>
      <c r="BA168" s="144">
        <f t="shared" si="88"/>
        <v>1.3681157990867577E-7</v>
      </c>
      <c r="BB168" s="158">
        <f t="shared" si="106"/>
        <v>3.908902283105022E-5</v>
      </c>
      <c r="BC168" s="144">
        <f t="shared" si="89"/>
        <v>1.6159129070319638E-7</v>
      </c>
      <c r="BD168" s="158">
        <f t="shared" si="107"/>
        <v>5.3863763567732134E-4</v>
      </c>
      <c r="BE168" s="144">
        <f t="shared" si="90"/>
        <v>1.9665709223744289E-6</v>
      </c>
      <c r="BF168" s="158">
        <f t="shared" si="108"/>
        <v>3.933141844748858E-4</v>
      </c>
      <c r="BG168" s="144">
        <f t="shared" si="91"/>
        <v>8.9424328767123302E-10</v>
      </c>
      <c r="BH168" s="158">
        <f t="shared" si="109"/>
        <v>1.788486575342466E-6</v>
      </c>
      <c r="BI168" s="144">
        <f t="shared" si="92"/>
        <v>5.9600932968036529E-7</v>
      </c>
      <c r="BJ168" s="158">
        <f t="shared" si="110"/>
        <v>1.0643023744292238E-4</v>
      </c>
      <c r="BK168" s="144">
        <f t="shared" si="93"/>
        <v>8.7166263765780265E-9</v>
      </c>
      <c r="BL168" s="158">
        <f t="shared" si="111"/>
        <v>2.9055421255260091E-5</v>
      </c>
      <c r="BM168" s="144">
        <f t="shared" si="94"/>
        <v>6.3945742680633898E-9</v>
      </c>
      <c r="BN168" s="158">
        <f t="shared" si="112"/>
        <v>1.816640417063463E-6</v>
      </c>
      <c r="BO168" s="144">
        <f t="shared" si="95"/>
        <v>7.5527781359118977E-9</v>
      </c>
      <c r="BP168" s="158">
        <f t="shared" si="113"/>
        <v>8.7823001580370901E-5</v>
      </c>
      <c r="BQ168" s="144">
        <f t="shared" si="96"/>
        <v>9.1917539618587167E-8</v>
      </c>
      <c r="BR168" s="158">
        <f t="shared" si="114"/>
        <v>3.0639179872862386E-3</v>
      </c>
      <c r="BS168" s="144">
        <f t="shared" si="97"/>
        <v>4.1796937953263491E-11</v>
      </c>
      <c r="BT168" s="158">
        <f t="shared" si="115"/>
        <v>7.3327961321514889E-7</v>
      </c>
      <c r="BU168" s="144">
        <f t="shared" si="98"/>
        <v>2.7857480526457159E-8</v>
      </c>
      <c r="BV168" s="158">
        <f t="shared" si="116"/>
        <v>1.3523048799251048E-6</v>
      </c>
    </row>
    <row r="169" spans="20:74">
      <c r="T169" s="53" t="s">
        <v>156</v>
      </c>
      <c r="U169" s="53" t="s">
        <v>157</v>
      </c>
      <c r="V169" s="155" t="s">
        <v>340</v>
      </c>
      <c r="W169" s="53">
        <v>0.20340800000000001</v>
      </c>
      <c r="X169" s="53">
        <v>34.71658</v>
      </c>
      <c r="Y169" s="53" t="s">
        <v>351</v>
      </c>
      <c r="Z169" s="53" t="s">
        <v>330</v>
      </c>
      <c r="AA169" s="116" t="s">
        <v>347</v>
      </c>
      <c r="AB169" s="154" t="s">
        <v>371</v>
      </c>
      <c r="AC169" s="116" t="s">
        <v>687</v>
      </c>
      <c r="AD169" s="53" t="s">
        <v>366</v>
      </c>
      <c r="AE169" s="53" t="s">
        <v>684</v>
      </c>
      <c r="AF169" s="53" t="s">
        <v>683</v>
      </c>
      <c r="AG169" s="156">
        <v>19.8</v>
      </c>
      <c r="AH169" s="157">
        <v>21.6</v>
      </c>
      <c r="AI169" s="162">
        <v>5.1158999999999999</v>
      </c>
      <c r="AJ169" s="157">
        <v>264.2</v>
      </c>
      <c r="AK169" s="156">
        <v>0.17</v>
      </c>
      <c r="AL169" s="157">
        <v>65.59</v>
      </c>
      <c r="AM169" s="144">
        <f t="shared" si="81"/>
        <v>2.531506849315068E-4</v>
      </c>
      <c r="AN169" s="158">
        <f t="shared" si="99"/>
        <v>0.84383561643835603</v>
      </c>
      <c r="AO169" s="144">
        <f t="shared" si="82"/>
        <v>2.7616438356164378E-4</v>
      </c>
      <c r="AP169" s="158">
        <f t="shared" si="100"/>
        <v>7.6712328767123278E-2</v>
      </c>
      <c r="AQ169" s="144">
        <f t="shared" si="83"/>
        <v>6.5408767123287671E-5</v>
      </c>
      <c r="AR169" s="158">
        <f t="shared" si="101"/>
        <v>0.21802922374429226</v>
      </c>
      <c r="AS169" s="144">
        <f t="shared" si="84"/>
        <v>3.3778995433789952E-3</v>
      </c>
      <c r="AT169" s="158">
        <f t="shared" si="102"/>
        <v>1.1259665144596651</v>
      </c>
      <c r="AU169" s="144">
        <f t="shared" si="85"/>
        <v>2.1735159817351597E-6</v>
      </c>
      <c r="AV169" s="158">
        <f t="shared" si="103"/>
        <v>4.3470319634703195E-3</v>
      </c>
      <c r="AW169" s="144">
        <f t="shared" si="86"/>
        <v>8.3859360730593601E-4</v>
      </c>
      <c r="AX169" s="158">
        <f t="shared" si="104"/>
        <v>4.1929680365296797E-2</v>
      </c>
      <c r="AY169" s="144">
        <f t="shared" si="87"/>
        <v>4.5400043835616439E-6</v>
      </c>
      <c r="AZ169" s="144">
        <f t="shared" si="105"/>
        <v>1.5133347945205482E-2</v>
      </c>
      <c r="BA169" s="144">
        <f t="shared" si="88"/>
        <v>1.650910684931507E-7</v>
      </c>
      <c r="BB169" s="158">
        <f t="shared" si="106"/>
        <v>4.7168876712328772E-5</v>
      </c>
      <c r="BC169" s="144">
        <f t="shared" si="89"/>
        <v>3.9101360986301373E-8</v>
      </c>
      <c r="BD169" s="158">
        <f t="shared" si="107"/>
        <v>1.3033786995433793E-4</v>
      </c>
      <c r="BE169" s="144">
        <f t="shared" si="90"/>
        <v>2.0193083470319634E-6</v>
      </c>
      <c r="BF169" s="158">
        <f t="shared" si="108"/>
        <v>4.0386166940639266E-4</v>
      </c>
      <c r="BG169" s="144">
        <f t="shared" si="91"/>
        <v>1.2993278538812785E-9</v>
      </c>
      <c r="BH169" s="158">
        <f t="shared" si="109"/>
        <v>2.5986557077625568E-6</v>
      </c>
      <c r="BI169" s="144">
        <f t="shared" si="92"/>
        <v>5.0131125844748861E-7</v>
      </c>
      <c r="BJ169" s="158">
        <f t="shared" si="110"/>
        <v>8.9519867579908679E-5</v>
      </c>
      <c r="BK169" s="144">
        <f t="shared" si="93"/>
        <v>7.0733279613215145E-9</v>
      </c>
      <c r="BL169" s="158">
        <f t="shared" si="111"/>
        <v>2.3577759871071716E-5</v>
      </c>
      <c r="BM169" s="144">
        <f t="shared" si="94"/>
        <v>7.7163577759871066E-9</v>
      </c>
      <c r="BN169" s="158">
        <f t="shared" si="112"/>
        <v>2.1921470954508824E-6</v>
      </c>
      <c r="BO169" s="144">
        <f t="shared" si="95"/>
        <v>1.8275979049153906E-9</v>
      </c>
      <c r="BP169" s="158">
        <f t="shared" si="113"/>
        <v>2.1251138429248726E-5</v>
      </c>
      <c r="BQ169" s="144">
        <f t="shared" si="96"/>
        <v>9.4382487241471925E-8</v>
      </c>
      <c r="BR169" s="158">
        <f t="shared" si="114"/>
        <v>3.146082908049064E-3</v>
      </c>
      <c r="BS169" s="144">
        <f t="shared" si="97"/>
        <v>6.0730593607305931E-11</v>
      </c>
      <c r="BT169" s="158">
        <f t="shared" si="115"/>
        <v>1.06544901065449E-6</v>
      </c>
      <c r="BU169" s="144">
        <f t="shared" si="98"/>
        <v>2.343129196884233E-8</v>
      </c>
      <c r="BV169" s="158">
        <f t="shared" si="116"/>
        <v>1.1374413577107927E-6</v>
      </c>
    </row>
    <row r="170" spans="20:74">
      <c r="T170" s="53" t="s">
        <v>158</v>
      </c>
      <c r="U170" s="53" t="s">
        <v>159</v>
      </c>
      <c r="V170" s="155" t="s">
        <v>340</v>
      </c>
      <c r="W170" s="53">
        <v>0.20325199999999999</v>
      </c>
      <c r="X170" s="53">
        <v>34.716146999999999</v>
      </c>
      <c r="Y170" s="53" t="s">
        <v>351</v>
      </c>
      <c r="Z170" s="53" t="s">
        <v>330</v>
      </c>
      <c r="AA170" s="116" t="s">
        <v>347</v>
      </c>
      <c r="AB170" s="154" t="s">
        <v>371</v>
      </c>
      <c r="AC170" s="116" t="s">
        <v>687</v>
      </c>
      <c r="AD170" s="53" t="s">
        <v>364</v>
      </c>
      <c r="AE170" s="53" t="s">
        <v>685</v>
      </c>
      <c r="AF170" s="53" t="s">
        <v>690</v>
      </c>
      <c r="AG170" s="156">
        <v>27.1</v>
      </c>
      <c r="AH170" s="157">
        <v>9.6</v>
      </c>
      <c r="AI170" s="162">
        <v>10.0997</v>
      </c>
      <c r="AJ170" s="157">
        <v>237.3</v>
      </c>
      <c r="AK170" s="156">
        <v>0.121</v>
      </c>
      <c r="AL170" s="157">
        <v>112.46</v>
      </c>
      <c r="AM170" s="144">
        <f t="shared" si="81"/>
        <v>3.4648401826484015E-4</v>
      </c>
      <c r="AN170" s="158">
        <f t="shared" si="99"/>
        <v>1.1549467275494671</v>
      </c>
      <c r="AO170" s="144">
        <f t="shared" si="82"/>
        <v>1.2273972602739726E-4</v>
      </c>
      <c r="AP170" s="158">
        <f t="shared" si="100"/>
        <v>3.4094368340943683E-2</v>
      </c>
      <c r="AQ170" s="144">
        <f t="shared" si="83"/>
        <v>1.2912858447488586E-4</v>
      </c>
      <c r="AR170" s="158">
        <f t="shared" si="101"/>
        <v>0.43042861491628626</v>
      </c>
      <c r="AS170" s="144">
        <f t="shared" si="84"/>
        <v>3.033972602739726E-3</v>
      </c>
      <c r="AT170" s="158">
        <f t="shared" si="102"/>
        <v>1.0113242009132419</v>
      </c>
      <c r="AU170" s="144">
        <f t="shared" si="85"/>
        <v>1.5470319634703195E-6</v>
      </c>
      <c r="AV170" s="158">
        <f t="shared" si="103"/>
        <v>3.094063926940639E-3</v>
      </c>
      <c r="AW170" s="144">
        <f t="shared" si="86"/>
        <v>1.4378447488584474E-3</v>
      </c>
      <c r="AX170" s="158">
        <f t="shared" si="104"/>
        <v>7.1892237442922377E-2</v>
      </c>
      <c r="AY170" s="144">
        <f t="shared" si="87"/>
        <v>6.2138443835616441E-6</v>
      </c>
      <c r="AZ170" s="144">
        <f t="shared" si="105"/>
        <v>2.071281461187215E-2</v>
      </c>
      <c r="BA170" s="144">
        <f t="shared" si="88"/>
        <v>7.3373808219178084E-8</v>
      </c>
      <c r="BB170" s="158">
        <f t="shared" si="106"/>
        <v>2.0963945205479453E-5</v>
      </c>
      <c r="BC170" s="144">
        <f t="shared" si="89"/>
        <v>7.7193067799086766E-8</v>
      </c>
      <c r="BD170" s="158">
        <f t="shared" si="107"/>
        <v>2.5731022599695592E-4</v>
      </c>
      <c r="BE170" s="144">
        <f t="shared" si="90"/>
        <v>1.8137088219178081E-6</v>
      </c>
      <c r="BF170" s="158">
        <f t="shared" si="108"/>
        <v>3.6274176438356163E-4</v>
      </c>
      <c r="BG170" s="144">
        <f t="shared" si="91"/>
        <v>9.2481570776255713E-10</v>
      </c>
      <c r="BH170" s="158">
        <f t="shared" si="109"/>
        <v>1.8496314155251142E-6</v>
      </c>
      <c r="BI170" s="144">
        <f t="shared" si="92"/>
        <v>8.5954359086757978E-7</v>
      </c>
      <c r="BJ170" s="158">
        <f t="shared" si="110"/>
        <v>1.5348992694063924E-4</v>
      </c>
      <c r="BK170" s="144">
        <f t="shared" si="93"/>
        <v>9.6811710985764163E-9</v>
      </c>
      <c r="BL170" s="158">
        <f t="shared" si="111"/>
        <v>3.2270570328588055E-5</v>
      </c>
      <c r="BM170" s="144">
        <f t="shared" si="94"/>
        <v>3.4294923448831582E-9</v>
      </c>
      <c r="BN170" s="158">
        <f t="shared" si="112"/>
        <v>9.7428759797816989E-7</v>
      </c>
      <c r="BO170" s="144">
        <f t="shared" si="95"/>
        <v>3.6080045662100456E-9</v>
      </c>
      <c r="BP170" s="158">
        <f t="shared" si="113"/>
        <v>4.1953541467558666E-5</v>
      </c>
      <c r="BQ170" s="144">
        <f t="shared" si="96"/>
        <v>8.4772763900080584E-8</v>
      </c>
      <c r="BR170" s="158">
        <f t="shared" si="114"/>
        <v>2.8257587966693527E-3</v>
      </c>
      <c r="BS170" s="144">
        <f t="shared" si="97"/>
        <v>4.3225893096964816E-11</v>
      </c>
      <c r="BT170" s="158">
        <f t="shared" si="115"/>
        <v>7.5834900170113712E-7</v>
      </c>
      <c r="BU170" s="144">
        <f t="shared" si="98"/>
        <v>4.0175073865162497E-8</v>
      </c>
      <c r="BV170" s="158">
        <f t="shared" si="116"/>
        <v>1.9502463041341016E-6</v>
      </c>
    </row>
    <row r="171" spans="20:74">
      <c r="T171" s="53" t="s">
        <v>161</v>
      </c>
      <c r="U171" s="53" t="s">
        <v>162</v>
      </c>
      <c r="V171" s="155" t="s">
        <v>343</v>
      </c>
      <c r="W171" s="53">
        <v>0.18987899999999999</v>
      </c>
      <c r="X171" s="53">
        <v>34.735692999999998</v>
      </c>
      <c r="Y171" s="53" t="s">
        <v>352</v>
      </c>
      <c r="Z171" s="53" t="s">
        <v>330</v>
      </c>
      <c r="AA171" s="116" t="s">
        <v>347</v>
      </c>
      <c r="AB171" s="154" t="s">
        <v>371</v>
      </c>
      <c r="AC171" s="116" t="s">
        <v>687</v>
      </c>
      <c r="AD171" s="53" t="s">
        <v>364</v>
      </c>
      <c r="AE171" s="53" t="s">
        <v>685</v>
      </c>
      <c r="AF171" s="53" t="s">
        <v>690</v>
      </c>
      <c r="AG171" s="156">
        <v>23.4</v>
      </c>
      <c r="AH171" s="157">
        <v>40.200000000000003</v>
      </c>
      <c r="AI171" s="162">
        <v>4.7550999999999997</v>
      </c>
      <c r="AJ171" s="157">
        <v>152.9</v>
      </c>
      <c r="AK171" s="156">
        <v>0.28599999999999998</v>
      </c>
      <c r="AL171" s="157">
        <v>58.27</v>
      </c>
      <c r="AM171" s="144">
        <f t="shared" si="81"/>
        <v>2.9917808219178082E-4</v>
      </c>
      <c r="AN171" s="158">
        <f t="shared" si="99"/>
        <v>0.99726027397260286</v>
      </c>
      <c r="AO171" s="144">
        <f t="shared" si="82"/>
        <v>5.139726027397261E-4</v>
      </c>
      <c r="AP171" s="158">
        <f t="shared" si="100"/>
        <v>0.14277016742770171</v>
      </c>
      <c r="AQ171" s="144">
        <f t="shared" si="83"/>
        <v>6.0795799086757989E-5</v>
      </c>
      <c r="AR171" s="158">
        <f t="shared" si="101"/>
        <v>0.20265266362252665</v>
      </c>
      <c r="AS171" s="144">
        <f t="shared" si="84"/>
        <v>1.9548858447488585E-3</v>
      </c>
      <c r="AT171" s="158">
        <f t="shared" si="102"/>
        <v>0.6516286149162861</v>
      </c>
      <c r="AU171" s="144">
        <f t="shared" si="85"/>
        <v>3.6566210045662096E-6</v>
      </c>
      <c r="AV171" s="158">
        <f t="shared" si="103"/>
        <v>7.313242009132419E-3</v>
      </c>
      <c r="AW171" s="144">
        <f t="shared" si="86"/>
        <v>7.450045662100456E-4</v>
      </c>
      <c r="AX171" s="158">
        <f t="shared" si="104"/>
        <v>3.725022831050228E-2</v>
      </c>
      <c r="AY171" s="144">
        <f t="shared" si="87"/>
        <v>5.3654597260273976E-6</v>
      </c>
      <c r="AZ171" s="144">
        <f t="shared" si="105"/>
        <v>1.7884865753424659E-2</v>
      </c>
      <c r="BA171" s="144">
        <f t="shared" si="88"/>
        <v>3.0725282191780834E-7</v>
      </c>
      <c r="BB171" s="158">
        <f t="shared" si="106"/>
        <v>8.7786520547945233E-5</v>
      </c>
      <c r="BC171" s="144">
        <f t="shared" si="89"/>
        <v>3.6343728694063929E-8</v>
      </c>
      <c r="BD171" s="158">
        <f t="shared" si="107"/>
        <v>1.2114576231354644E-4</v>
      </c>
      <c r="BE171" s="144">
        <f t="shared" si="90"/>
        <v>1.1686307579908678E-6</v>
      </c>
      <c r="BF171" s="158">
        <f t="shared" si="108"/>
        <v>2.3372615159817357E-4</v>
      </c>
      <c r="BG171" s="144">
        <f t="shared" si="91"/>
        <v>2.1859280365296796E-9</v>
      </c>
      <c r="BH171" s="158">
        <f t="shared" si="109"/>
        <v>4.371856073059359E-6</v>
      </c>
      <c r="BI171" s="144">
        <f t="shared" si="92"/>
        <v>4.4536372968036533E-7</v>
      </c>
      <c r="BJ171" s="158">
        <f t="shared" si="110"/>
        <v>7.9529237442922383E-5</v>
      </c>
      <c r="BK171" s="144">
        <f t="shared" si="93"/>
        <v>8.3593875906526987E-9</v>
      </c>
      <c r="BL171" s="158">
        <f t="shared" si="111"/>
        <v>2.7864625302175666E-5</v>
      </c>
      <c r="BM171" s="144">
        <f t="shared" si="94"/>
        <v>1.4360999194198226E-8</v>
      </c>
      <c r="BN171" s="158">
        <f t="shared" si="112"/>
        <v>4.0798293165335871E-6</v>
      </c>
      <c r="BO171" s="144">
        <f t="shared" si="95"/>
        <v>1.6987061509535319E-9</v>
      </c>
      <c r="BP171" s="158">
        <f t="shared" si="113"/>
        <v>1.9752397104110835E-5</v>
      </c>
      <c r="BQ171" s="144">
        <f t="shared" si="96"/>
        <v>5.4621810367982807E-8</v>
      </c>
      <c r="BR171" s="158">
        <f t="shared" si="114"/>
        <v>1.8207270122660936E-3</v>
      </c>
      <c r="BS171" s="144">
        <f t="shared" si="97"/>
        <v>1.0217029277464409E-10</v>
      </c>
      <c r="BT171" s="158">
        <f t="shared" si="115"/>
        <v>1.7924612767481418E-6</v>
      </c>
      <c r="BU171" s="144">
        <f t="shared" si="98"/>
        <v>2.081630405586892E-8</v>
      </c>
      <c r="BV171" s="158">
        <f t="shared" si="116"/>
        <v>1.0105001968868407E-6</v>
      </c>
    </row>
    <row r="172" spans="20:74">
      <c r="T172" s="53" t="s">
        <v>163</v>
      </c>
      <c r="U172" s="39" t="s">
        <v>164</v>
      </c>
      <c r="V172" s="155" t="s">
        <v>343</v>
      </c>
      <c r="W172" s="53">
        <v>0.18987899999999999</v>
      </c>
      <c r="X172" s="53">
        <v>34.735692999999998</v>
      </c>
      <c r="Y172" s="53" t="s">
        <v>352</v>
      </c>
      <c r="Z172" s="53" t="s">
        <v>330</v>
      </c>
      <c r="AA172" s="116" t="s">
        <v>347</v>
      </c>
      <c r="AB172" s="154" t="s">
        <v>371</v>
      </c>
      <c r="AC172" s="116" t="s">
        <v>687</v>
      </c>
      <c r="AD172" s="53" t="s">
        <v>366</v>
      </c>
      <c r="AE172" s="53" t="s">
        <v>684</v>
      </c>
      <c r="AF172" s="53" t="s">
        <v>683</v>
      </c>
      <c r="AG172" s="156">
        <v>43.3</v>
      </c>
      <c r="AH172" s="157">
        <v>30.5</v>
      </c>
      <c r="AI172" s="162">
        <v>1.1142999999999998</v>
      </c>
      <c r="AJ172" s="157">
        <v>195.3</v>
      </c>
      <c r="AK172" s="156">
        <v>0.27700000000000002</v>
      </c>
      <c r="AL172" s="157">
        <v>62.01</v>
      </c>
      <c r="AM172" s="144">
        <f t="shared" si="81"/>
        <v>5.5360730593607304E-4</v>
      </c>
      <c r="AN172" s="158">
        <f t="shared" si="99"/>
        <v>1.845357686453577</v>
      </c>
      <c r="AO172" s="144">
        <f t="shared" si="82"/>
        <v>3.8995433789954333E-4</v>
      </c>
      <c r="AP172" s="158">
        <f t="shared" si="100"/>
        <v>0.10832064941653982</v>
      </c>
      <c r="AQ172" s="144">
        <f t="shared" si="83"/>
        <v>1.4246757990867576E-5</v>
      </c>
      <c r="AR172" s="158">
        <f t="shared" si="101"/>
        <v>4.7489193302891926E-2</v>
      </c>
      <c r="AS172" s="144">
        <f t="shared" si="84"/>
        <v>2.4969863013698627E-3</v>
      </c>
      <c r="AT172" s="158">
        <f t="shared" si="102"/>
        <v>0.83232876712328752</v>
      </c>
      <c r="AU172" s="144">
        <f t="shared" si="85"/>
        <v>3.5415525114155259E-6</v>
      </c>
      <c r="AV172" s="158">
        <f t="shared" si="103"/>
        <v>7.0831050228310514E-3</v>
      </c>
      <c r="AW172" s="144">
        <f t="shared" si="86"/>
        <v>7.9282191780821916E-4</v>
      </c>
      <c r="AX172" s="158">
        <f t="shared" si="104"/>
        <v>3.9641095890410954E-2</v>
      </c>
      <c r="AY172" s="144">
        <f t="shared" si="87"/>
        <v>9.9283934246575326E-6</v>
      </c>
      <c r="AZ172" s="144">
        <f t="shared" si="105"/>
        <v>3.3094644748858447E-2</v>
      </c>
      <c r="BA172" s="144">
        <f t="shared" si="88"/>
        <v>2.3311470319634707E-7</v>
      </c>
      <c r="BB172" s="158">
        <f t="shared" si="106"/>
        <v>6.6604200913242018E-5</v>
      </c>
      <c r="BC172" s="144">
        <f t="shared" si="89"/>
        <v>8.5167119269406392E-9</v>
      </c>
      <c r="BD172" s="158">
        <f t="shared" si="107"/>
        <v>2.83890397564688E-5</v>
      </c>
      <c r="BE172" s="144">
        <f t="shared" si="90"/>
        <v>1.4926984109589041E-6</v>
      </c>
      <c r="BF172" s="158">
        <f t="shared" si="108"/>
        <v>2.9853968219178083E-4</v>
      </c>
      <c r="BG172" s="144">
        <f t="shared" si="91"/>
        <v>2.1171400913242014E-9</v>
      </c>
      <c r="BH172" s="158">
        <f t="shared" si="109"/>
        <v>4.2342801826484026E-6</v>
      </c>
      <c r="BI172" s="144">
        <f t="shared" si="92"/>
        <v>4.7394894246575351E-7</v>
      </c>
      <c r="BJ172" s="158">
        <f t="shared" si="110"/>
        <v>8.4633739726027409E-5</v>
      </c>
      <c r="BK172" s="144">
        <f t="shared" si="93"/>
        <v>1.5468439430566747E-8</v>
      </c>
      <c r="BL172" s="158">
        <f t="shared" si="111"/>
        <v>5.1561464768555825E-5</v>
      </c>
      <c r="BM172" s="144">
        <f t="shared" si="94"/>
        <v>1.0895782970722535E-8</v>
      </c>
      <c r="BN172" s="158">
        <f t="shared" si="112"/>
        <v>3.095392889409811E-6</v>
      </c>
      <c r="BO172" s="144">
        <f t="shared" si="95"/>
        <v>3.9807117915659407E-10</v>
      </c>
      <c r="BP172" s="158">
        <f t="shared" si="113"/>
        <v>4.6287346413557445E-6</v>
      </c>
      <c r="BQ172" s="144">
        <f t="shared" si="96"/>
        <v>6.9768734891216762E-8</v>
      </c>
      <c r="BR172" s="158">
        <f t="shared" si="114"/>
        <v>2.3256244963738922E-3</v>
      </c>
      <c r="BS172" s="144">
        <f t="shared" si="97"/>
        <v>9.8955143701316146E-11</v>
      </c>
      <c r="BT172" s="158">
        <f t="shared" si="115"/>
        <v>1.7360551526546692E-6</v>
      </c>
      <c r="BU172" s="144">
        <f t="shared" si="98"/>
        <v>2.2152377115229651E-8</v>
      </c>
      <c r="BV172" s="158">
        <f t="shared" si="116"/>
        <v>1.0753581123897889E-6</v>
      </c>
    </row>
    <row r="173" spans="20:74">
      <c r="T173" s="53" t="s">
        <v>165</v>
      </c>
      <c r="U173" s="39" t="s">
        <v>166</v>
      </c>
      <c r="V173" s="155" t="s">
        <v>343</v>
      </c>
      <c r="W173" s="53">
        <v>0.18987899999999999</v>
      </c>
      <c r="X173" s="53">
        <v>34.735692999999998</v>
      </c>
      <c r="Y173" s="53" t="s">
        <v>352</v>
      </c>
      <c r="Z173" s="53" t="s">
        <v>330</v>
      </c>
      <c r="AA173" s="116" t="s">
        <v>347</v>
      </c>
      <c r="AB173" s="154" t="s">
        <v>371</v>
      </c>
      <c r="AC173" s="116" t="s">
        <v>687</v>
      </c>
      <c r="AD173" s="53" t="s">
        <v>367</v>
      </c>
      <c r="AE173" s="53" t="s">
        <v>684</v>
      </c>
      <c r="AF173" s="53" t="s">
        <v>683</v>
      </c>
      <c r="AG173" s="156">
        <v>23.8</v>
      </c>
      <c r="AH173" s="157">
        <v>27.9</v>
      </c>
      <c r="AI173" s="162">
        <v>0.27560000000000001</v>
      </c>
      <c r="AJ173" s="157">
        <v>196.5</v>
      </c>
      <c r="AK173" s="156">
        <v>0.32900000000000001</v>
      </c>
      <c r="AL173" s="157">
        <v>62.32</v>
      </c>
      <c r="AM173" s="144">
        <f t="shared" si="81"/>
        <v>3.0429223744292232E-4</v>
      </c>
      <c r="AN173" s="158">
        <f t="shared" si="99"/>
        <v>1.0143074581430744</v>
      </c>
      <c r="AO173" s="144">
        <f t="shared" si="82"/>
        <v>3.567123287671233E-4</v>
      </c>
      <c r="AP173" s="158">
        <f t="shared" si="100"/>
        <v>9.9086757990867594E-2</v>
      </c>
      <c r="AQ173" s="144">
        <f t="shared" si="83"/>
        <v>3.5236529680365295E-6</v>
      </c>
      <c r="AR173" s="158">
        <f t="shared" si="101"/>
        <v>1.1745509893455099E-2</v>
      </c>
      <c r="AS173" s="144">
        <f t="shared" si="84"/>
        <v>2.5123287671232875E-3</v>
      </c>
      <c r="AT173" s="158">
        <f t="shared" si="102"/>
        <v>0.83744292237442919</v>
      </c>
      <c r="AU173" s="144">
        <f t="shared" si="85"/>
        <v>4.2063926940639265E-6</v>
      </c>
      <c r="AV173" s="158">
        <f t="shared" si="103"/>
        <v>8.4127853881278535E-3</v>
      </c>
      <c r="AW173" s="144">
        <f t="shared" si="86"/>
        <v>7.967853881278538E-4</v>
      </c>
      <c r="AX173" s="158">
        <f t="shared" si="104"/>
        <v>3.9839269406392687E-2</v>
      </c>
      <c r="AY173" s="144">
        <f t="shared" si="87"/>
        <v>5.4571769863013703E-6</v>
      </c>
      <c r="AZ173" s="144">
        <f t="shared" si="105"/>
        <v>1.8190589954337904E-2</v>
      </c>
      <c r="BA173" s="144">
        <f t="shared" si="88"/>
        <v>2.132426301369863E-7</v>
      </c>
      <c r="BB173" s="158">
        <f t="shared" si="106"/>
        <v>6.0926465753424657E-5</v>
      </c>
      <c r="BC173" s="144">
        <f t="shared" si="89"/>
        <v>2.1064397442922378E-9</v>
      </c>
      <c r="BD173" s="158">
        <f t="shared" si="107"/>
        <v>7.0214658143074597E-6</v>
      </c>
      <c r="BE173" s="144">
        <f t="shared" si="90"/>
        <v>1.5018701369863015E-6</v>
      </c>
      <c r="BF173" s="158">
        <f t="shared" si="108"/>
        <v>3.003740273972603E-4</v>
      </c>
      <c r="BG173" s="144">
        <f t="shared" si="91"/>
        <v>2.5145815525114154E-9</v>
      </c>
      <c r="BH173" s="158">
        <f t="shared" si="109"/>
        <v>5.0291631050228305E-6</v>
      </c>
      <c r="BI173" s="144">
        <f t="shared" si="92"/>
        <v>4.7631830502283099E-7</v>
      </c>
      <c r="BJ173" s="158">
        <f t="shared" si="110"/>
        <v>8.5056840182648396E-5</v>
      </c>
      <c r="BK173" s="144">
        <f t="shared" si="93"/>
        <v>8.5022831050228308E-9</v>
      </c>
      <c r="BL173" s="158">
        <f t="shared" si="111"/>
        <v>2.8340943683409437E-5</v>
      </c>
      <c r="BM173" s="144">
        <f t="shared" si="94"/>
        <v>9.9669621273166805E-9</v>
      </c>
      <c r="BN173" s="158">
        <f t="shared" si="112"/>
        <v>2.831523331624057E-6</v>
      </c>
      <c r="BO173" s="144">
        <f t="shared" si="95"/>
        <v>9.8455009401020686E-11</v>
      </c>
      <c r="BP173" s="158">
        <f t="shared" si="113"/>
        <v>1.1448256907095428E-6</v>
      </c>
      <c r="BQ173" s="144">
        <f t="shared" si="96"/>
        <v>7.019742143432715E-8</v>
      </c>
      <c r="BR173" s="158">
        <f t="shared" si="114"/>
        <v>2.3399140478109048E-3</v>
      </c>
      <c r="BS173" s="144">
        <f t="shared" si="97"/>
        <v>1.1753156056943326E-10</v>
      </c>
      <c r="BT173" s="158">
        <f t="shared" si="115"/>
        <v>2.0619572029725131E-6</v>
      </c>
      <c r="BU173" s="144">
        <f t="shared" si="98"/>
        <v>2.2263121138866507E-8</v>
      </c>
      <c r="BV173" s="158">
        <f t="shared" si="116"/>
        <v>1.080734035867306E-6</v>
      </c>
    </row>
    <row r="174" spans="20:74">
      <c r="T174" s="53" t="s">
        <v>167</v>
      </c>
      <c r="U174" s="39" t="s">
        <v>168</v>
      </c>
      <c r="V174" s="155" t="s">
        <v>343</v>
      </c>
      <c r="W174" s="53">
        <v>0.187274</v>
      </c>
      <c r="X174" s="53">
        <v>34.735595000000004</v>
      </c>
      <c r="Y174" s="53" t="s">
        <v>353</v>
      </c>
      <c r="Z174" s="53" t="s">
        <v>330</v>
      </c>
      <c r="AA174" s="116" t="s">
        <v>347</v>
      </c>
      <c r="AB174" s="154" t="s">
        <v>371</v>
      </c>
      <c r="AC174" s="116" t="s">
        <v>687</v>
      </c>
      <c r="AD174" s="53" t="s">
        <v>361</v>
      </c>
      <c r="AE174" s="53" t="s">
        <v>685</v>
      </c>
      <c r="AF174" s="53" t="s">
        <v>690</v>
      </c>
      <c r="AG174" s="156">
        <v>216.6</v>
      </c>
      <c r="AH174" s="157">
        <v>31.9</v>
      </c>
      <c r="AI174" s="162">
        <v>4.4250999999999996</v>
      </c>
      <c r="AJ174" s="157">
        <v>224</v>
      </c>
      <c r="AK174" s="156">
        <v>0.29299999999999998</v>
      </c>
      <c r="AL174" s="157">
        <v>71.64</v>
      </c>
      <c r="AM174" s="144">
        <f t="shared" si="81"/>
        <v>2.7693150684931504E-3</v>
      </c>
      <c r="AN174" s="158">
        <f t="shared" si="99"/>
        <v>9.2310502283105027</v>
      </c>
      <c r="AO174" s="144">
        <f t="shared" si="82"/>
        <v>4.0785388127853882E-4</v>
      </c>
      <c r="AP174" s="158">
        <f t="shared" si="100"/>
        <v>0.11329274479959411</v>
      </c>
      <c r="AQ174" s="144">
        <f t="shared" si="83"/>
        <v>5.6576621004566192E-5</v>
      </c>
      <c r="AR174" s="158">
        <f t="shared" si="101"/>
        <v>0.18858873668188733</v>
      </c>
      <c r="AS174" s="144">
        <f t="shared" si="84"/>
        <v>2.8639269406392693E-3</v>
      </c>
      <c r="AT174" s="158">
        <f t="shared" si="102"/>
        <v>0.95464231354642304</v>
      </c>
      <c r="AU174" s="144">
        <f t="shared" si="85"/>
        <v>3.7461187214611862E-6</v>
      </c>
      <c r="AV174" s="158">
        <f t="shared" si="103"/>
        <v>7.4922374429223721E-3</v>
      </c>
      <c r="AW174" s="144">
        <f t="shared" si="86"/>
        <v>9.1594520547945207E-4</v>
      </c>
      <c r="AX174" s="158">
        <f t="shared" si="104"/>
        <v>4.5797260273972601E-2</v>
      </c>
      <c r="AY174" s="144">
        <f t="shared" si="87"/>
        <v>4.9664896438356161E-5</v>
      </c>
      <c r="AZ174" s="144">
        <f t="shared" si="105"/>
        <v>0.16554965479452055</v>
      </c>
      <c r="BA174" s="144">
        <f t="shared" si="88"/>
        <v>2.4381505022831049E-7</v>
      </c>
      <c r="BB174" s="158">
        <f t="shared" si="106"/>
        <v>6.9661442922374419E-5</v>
      </c>
      <c r="BC174" s="144">
        <f t="shared" si="89"/>
        <v>3.3821504036529683E-8</v>
      </c>
      <c r="BD174" s="158">
        <f t="shared" si="107"/>
        <v>1.1273834678843228E-4</v>
      </c>
      <c r="BE174" s="144">
        <f t="shared" si="90"/>
        <v>1.7120555251141553E-6</v>
      </c>
      <c r="BF174" s="158">
        <f t="shared" si="108"/>
        <v>3.4241110502283107E-4</v>
      </c>
      <c r="BG174" s="144">
        <f t="shared" si="91"/>
        <v>2.2394297716894978E-9</v>
      </c>
      <c r="BH174" s="158">
        <f t="shared" si="109"/>
        <v>4.4788595433789955E-6</v>
      </c>
      <c r="BI174" s="144">
        <f t="shared" si="92"/>
        <v>5.4755204383561648E-7</v>
      </c>
      <c r="BJ174" s="158">
        <f t="shared" si="110"/>
        <v>9.7777150684931515E-5</v>
      </c>
      <c r="BK174" s="144">
        <f t="shared" si="93"/>
        <v>7.737792103142627E-8</v>
      </c>
      <c r="BL174" s="158">
        <f t="shared" si="111"/>
        <v>2.5792640343808758E-4</v>
      </c>
      <c r="BM174" s="144">
        <f t="shared" si="94"/>
        <v>1.1395917271017994E-8</v>
      </c>
      <c r="BN174" s="158">
        <f t="shared" si="112"/>
        <v>3.2374764974482936E-6</v>
      </c>
      <c r="BO174" s="144">
        <f t="shared" si="95"/>
        <v>1.5808173515981732E-9</v>
      </c>
      <c r="BP174" s="158">
        <f t="shared" si="113"/>
        <v>1.8381597111606666E-5</v>
      </c>
      <c r="BQ174" s="144">
        <f t="shared" si="96"/>
        <v>8.0021488047273699E-8</v>
      </c>
      <c r="BR174" s="158">
        <f t="shared" si="114"/>
        <v>2.667382934909123E-3</v>
      </c>
      <c r="BS174" s="144">
        <f t="shared" si="97"/>
        <v>1.0467096427612141E-10</v>
      </c>
      <c r="BT174" s="158">
        <f t="shared" si="115"/>
        <v>1.836332706598621E-6</v>
      </c>
      <c r="BU174" s="144">
        <f t="shared" si="98"/>
        <v>2.5592586623690569E-8</v>
      </c>
      <c r="BV174" s="158">
        <f t="shared" si="116"/>
        <v>1.2423585739655616E-6</v>
      </c>
    </row>
    <row r="175" spans="20:74">
      <c r="T175" s="53" t="s">
        <v>169</v>
      </c>
      <c r="U175" s="39" t="s">
        <v>170</v>
      </c>
      <c r="V175" s="155" t="s">
        <v>343</v>
      </c>
      <c r="W175" s="53">
        <v>0.18729499999999999</v>
      </c>
      <c r="X175" s="53">
        <v>34.736308999999999</v>
      </c>
      <c r="Y175" s="53" t="s">
        <v>353</v>
      </c>
      <c r="Z175" s="53" t="s">
        <v>330</v>
      </c>
      <c r="AA175" s="116" t="s">
        <v>347</v>
      </c>
      <c r="AB175" s="154" t="s">
        <v>371</v>
      </c>
      <c r="AC175" s="116" t="s">
        <v>687</v>
      </c>
      <c r="AD175" s="53" t="s">
        <v>366</v>
      </c>
      <c r="AE175" s="53" t="s">
        <v>684</v>
      </c>
      <c r="AF175" s="53" t="s">
        <v>683</v>
      </c>
      <c r="AG175" s="156">
        <v>49.2</v>
      </c>
      <c r="AH175" s="157">
        <v>24.9</v>
      </c>
      <c r="AI175" s="162">
        <v>0.35620000000000002</v>
      </c>
      <c r="AJ175" s="157">
        <v>189</v>
      </c>
      <c r="AK175" s="156">
        <v>0.24</v>
      </c>
      <c r="AL175" s="157">
        <v>65.5</v>
      </c>
      <c r="AM175" s="144">
        <f t="shared" si="81"/>
        <v>6.2904109589041084E-4</v>
      </c>
      <c r="AN175" s="158">
        <f t="shared" si="99"/>
        <v>2.0968036529680365</v>
      </c>
      <c r="AO175" s="144">
        <f t="shared" si="82"/>
        <v>3.1835616438356167E-4</v>
      </c>
      <c r="AP175" s="158">
        <f t="shared" si="100"/>
        <v>8.8432267884322693E-2</v>
      </c>
      <c r="AQ175" s="144">
        <f t="shared" si="83"/>
        <v>4.5541552511415527E-6</v>
      </c>
      <c r="AR175" s="158">
        <f t="shared" si="101"/>
        <v>1.5180517503805177E-2</v>
      </c>
      <c r="AS175" s="144">
        <f t="shared" si="84"/>
        <v>2.4164383561643835E-3</v>
      </c>
      <c r="AT175" s="158">
        <f t="shared" si="102"/>
        <v>0.80547945205479443</v>
      </c>
      <c r="AU175" s="144">
        <f t="shared" si="85"/>
        <v>3.0684931506849314E-6</v>
      </c>
      <c r="AV175" s="158">
        <f t="shared" si="103"/>
        <v>6.1369863013698627E-3</v>
      </c>
      <c r="AW175" s="144">
        <f t="shared" si="86"/>
        <v>8.374429223744292E-4</v>
      </c>
      <c r="AX175" s="158">
        <f t="shared" si="104"/>
        <v>4.1872146118721462E-2</v>
      </c>
      <c r="AY175" s="144">
        <f t="shared" si="87"/>
        <v>1.1281223013698626E-5</v>
      </c>
      <c r="AZ175" s="144">
        <f t="shared" si="105"/>
        <v>3.7604076712328759E-2</v>
      </c>
      <c r="BA175" s="144">
        <f t="shared" si="88"/>
        <v>1.9031331506849309E-7</v>
      </c>
      <c r="BB175" s="158">
        <f t="shared" si="106"/>
        <v>5.4375232876712313E-5</v>
      </c>
      <c r="BC175" s="144">
        <f t="shared" si="89"/>
        <v>2.7224740091324202E-9</v>
      </c>
      <c r="BD175" s="158">
        <f t="shared" si="107"/>
        <v>9.074913363774734E-6</v>
      </c>
      <c r="BE175" s="144">
        <f t="shared" si="90"/>
        <v>1.4445468493150686E-6</v>
      </c>
      <c r="BF175" s="158">
        <f t="shared" si="108"/>
        <v>2.8890936986301371E-4</v>
      </c>
      <c r="BG175" s="144">
        <f t="shared" si="91"/>
        <v>1.8343452054794523E-9</v>
      </c>
      <c r="BH175" s="158">
        <f t="shared" si="109"/>
        <v>3.6686904109589047E-6</v>
      </c>
      <c r="BI175" s="144">
        <f t="shared" si="92"/>
        <v>5.0062337899543388E-7</v>
      </c>
      <c r="BJ175" s="158">
        <f t="shared" si="110"/>
        <v>8.9397031963470334E-5</v>
      </c>
      <c r="BK175" s="144">
        <f t="shared" si="93"/>
        <v>1.757614826752619E-8</v>
      </c>
      <c r="BL175" s="158">
        <f t="shared" si="111"/>
        <v>5.8587160891753974E-5</v>
      </c>
      <c r="BM175" s="144">
        <f t="shared" si="94"/>
        <v>8.8952457695406937E-9</v>
      </c>
      <c r="BN175" s="158">
        <f t="shared" si="112"/>
        <v>2.5270584572558788E-6</v>
      </c>
      <c r="BO175" s="144">
        <f t="shared" si="95"/>
        <v>1.2724845554660221E-10</v>
      </c>
      <c r="BP175" s="158">
        <f t="shared" si="113"/>
        <v>1.4796332040302583E-6</v>
      </c>
      <c r="BQ175" s="144">
        <f t="shared" si="96"/>
        <v>6.7518130539887172E-8</v>
      </c>
      <c r="BR175" s="158">
        <f t="shared" si="114"/>
        <v>2.2506043513295724E-3</v>
      </c>
      <c r="BS175" s="144">
        <f t="shared" si="97"/>
        <v>8.5737308622078959E-11</v>
      </c>
      <c r="BT175" s="158">
        <f t="shared" si="115"/>
        <v>1.5041633091592798E-6</v>
      </c>
      <c r="BU175" s="144">
        <f t="shared" si="98"/>
        <v>2.3399140478109046E-8</v>
      </c>
      <c r="BV175" s="158">
        <f t="shared" si="116"/>
        <v>1.1358806057334488E-6</v>
      </c>
    </row>
    <row r="176" spans="20:74">
      <c r="T176" s="53" t="s">
        <v>171</v>
      </c>
      <c r="U176" s="39" t="s">
        <v>172</v>
      </c>
      <c r="V176" s="155" t="s">
        <v>343</v>
      </c>
      <c r="W176" s="53">
        <v>0.187274</v>
      </c>
      <c r="X176" s="53">
        <v>34.735595000000004</v>
      </c>
      <c r="Y176" s="53" t="s">
        <v>353</v>
      </c>
      <c r="Z176" s="53" t="s">
        <v>330</v>
      </c>
      <c r="AA176" s="116" t="s">
        <v>347</v>
      </c>
      <c r="AB176" s="154" t="s">
        <v>371</v>
      </c>
      <c r="AC176" s="116" t="s">
        <v>687</v>
      </c>
      <c r="AD176" s="53" t="s">
        <v>364</v>
      </c>
      <c r="AE176" s="53" t="s">
        <v>685</v>
      </c>
      <c r="AF176" s="53" t="s">
        <v>690</v>
      </c>
      <c r="AG176" s="156">
        <v>74</v>
      </c>
      <c r="AH176" s="157">
        <v>40.200000000000003</v>
      </c>
      <c r="AI176" s="162">
        <v>0.30880000000000002</v>
      </c>
      <c r="AJ176" s="157">
        <v>169.1</v>
      </c>
      <c r="AK176" s="156">
        <v>0.253</v>
      </c>
      <c r="AL176" s="157">
        <v>119.61</v>
      </c>
      <c r="AM176" s="144">
        <f t="shared" si="81"/>
        <v>9.4611872146118715E-4</v>
      </c>
      <c r="AN176" s="158">
        <f t="shared" si="99"/>
        <v>3.153729071537291</v>
      </c>
      <c r="AO176" s="144">
        <f t="shared" si="82"/>
        <v>5.139726027397261E-4</v>
      </c>
      <c r="AP176" s="158">
        <f t="shared" si="100"/>
        <v>0.14277016742770171</v>
      </c>
      <c r="AQ176" s="144">
        <f t="shared" si="83"/>
        <v>3.948127853881279E-6</v>
      </c>
      <c r="AR176" s="158">
        <f t="shared" si="101"/>
        <v>1.3160426179604265E-2</v>
      </c>
      <c r="AS176" s="144">
        <f t="shared" si="84"/>
        <v>2.1620091324200913E-3</v>
      </c>
      <c r="AT176" s="158">
        <f t="shared" si="102"/>
        <v>0.72066971080669706</v>
      </c>
      <c r="AU176" s="144">
        <f t="shared" si="85"/>
        <v>3.2347031963470318E-6</v>
      </c>
      <c r="AV176" s="158">
        <f t="shared" si="103"/>
        <v>6.4694063926940635E-3</v>
      </c>
      <c r="AW176" s="144">
        <f t="shared" si="86"/>
        <v>1.5292602739726026E-3</v>
      </c>
      <c r="AX176" s="158">
        <f t="shared" si="104"/>
        <v>7.6463013698630122E-2</v>
      </c>
      <c r="AY176" s="144">
        <f t="shared" si="87"/>
        <v>1.6967693150684933E-5</v>
      </c>
      <c r="AZ176" s="144">
        <f t="shared" si="105"/>
        <v>5.6558977168949781E-2</v>
      </c>
      <c r="BA176" s="144">
        <f t="shared" si="88"/>
        <v>3.0725282191780834E-7</v>
      </c>
      <c r="BB176" s="158">
        <f t="shared" si="106"/>
        <v>8.7786520547945233E-5</v>
      </c>
      <c r="BC176" s="144">
        <f t="shared" si="89"/>
        <v>2.3601908310502283E-9</v>
      </c>
      <c r="BD176" s="158">
        <f t="shared" si="107"/>
        <v>7.8673027701674285E-6</v>
      </c>
      <c r="BE176" s="144">
        <f t="shared" si="90"/>
        <v>1.2924490593607307E-6</v>
      </c>
      <c r="BF176" s="158">
        <f t="shared" si="108"/>
        <v>2.584898118721461E-4</v>
      </c>
      <c r="BG176" s="144">
        <f t="shared" si="91"/>
        <v>1.9337055707762555E-9</v>
      </c>
      <c r="BH176" s="158">
        <f t="shared" si="109"/>
        <v>3.8674111415525112E-6</v>
      </c>
      <c r="BI176" s="144">
        <f t="shared" si="92"/>
        <v>9.1419179178082191E-7</v>
      </c>
      <c r="BJ176" s="158">
        <f t="shared" si="110"/>
        <v>1.6324853424657534E-4</v>
      </c>
      <c r="BK176" s="144">
        <f t="shared" si="93"/>
        <v>2.6435670158474349E-8</v>
      </c>
      <c r="BL176" s="158">
        <f t="shared" si="111"/>
        <v>8.8118900528247836E-5</v>
      </c>
      <c r="BM176" s="144">
        <f t="shared" si="94"/>
        <v>1.4360999194198226E-8</v>
      </c>
      <c r="BN176" s="158">
        <f t="shared" si="112"/>
        <v>4.0798293165335871E-6</v>
      </c>
      <c r="BO176" s="144">
        <f t="shared" si="95"/>
        <v>1.1031533709374162E-10</v>
      </c>
      <c r="BP176" s="158">
        <f t="shared" si="113"/>
        <v>1.2827364778342047E-6</v>
      </c>
      <c r="BQ176" s="144">
        <f t="shared" si="96"/>
        <v>6.0409078699973125E-8</v>
      </c>
      <c r="BR176" s="158">
        <f t="shared" si="114"/>
        <v>2.0136359566657706E-3</v>
      </c>
      <c r="BS176" s="144">
        <f t="shared" si="97"/>
        <v>9.0381412839108224E-11</v>
      </c>
      <c r="BT176" s="158">
        <f t="shared" si="115"/>
        <v>1.5856388217387406E-6</v>
      </c>
      <c r="BU176" s="144">
        <f t="shared" si="98"/>
        <v>4.2729331184528604E-8</v>
      </c>
      <c r="BV176" s="158">
        <f t="shared" si="116"/>
        <v>2.0742393778897382E-6</v>
      </c>
    </row>
    <row r="177" spans="20:74">
      <c r="T177" s="53" t="s">
        <v>173</v>
      </c>
      <c r="U177" s="39" t="s">
        <v>174</v>
      </c>
      <c r="V177" s="155" t="s">
        <v>343</v>
      </c>
      <c r="W177" s="53">
        <v>0.18729000000000001</v>
      </c>
      <c r="X177" s="53">
        <v>34.736308999999999</v>
      </c>
      <c r="Y177" s="53" t="s">
        <v>353</v>
      </c>
      <c r="Z177" s="53" t="s">
        <v>330</v>
      </c>
      <c r="AA177" s="116" t="s">
        <v>347</v>
      </c>
      <c r="AB177" s="154" t="s">
        <v>371</v>
      </c>
      <c r="AC177" s="116" t="s">
        <v>687</v>
      </c>
      <c r="AD177" s="53" t="s">
        <v>361</v>
      </c>
      <c r="AE177" s="53" t="s">
        <v>685</v>
      </c>
      <c r="AF177" s="53" t="s">
        <v>690</v>
      </c>
      <c r="AG177" s="156">
        <v>263.2</v>
      </c>
      <c r="AH177" s="157">
        <v>30</v>
      </c>
      <c r="AI177" s="162">
        <v>1.2711999999999999</v>
      </c>
      <c r="AJ177" s="157">
        <v>192.9</v>
      </c>
      <c r="AK177" s="156">
        <v>0.22500000000000001</v>
      </c>
      <c r="AL177" s="157">
        <v>60.94</v>
      </c>
      <c r="AM177" s="144">
        <f t="shared" si="81"/>
        <v>3.3651141552511416E-3</v>
      </c>
      <c r="AN177" s="158">
        <f t="shared" si="99"/>
        <v>11.217047184170474</v>
      </c>
      <c r="AO177" s="144">
        <f t="shared" si="82"/>
        <v>3.8356164383561642E-4</v>
      </c>
      <c r="AP177" s="158">
        <f t="shared" si="100"/>
        <v>0.106544901065449</v>
      </c>
      <c r="AQ177" s="144">
        <f t="shared" si="83"/>
        <v>1.6252785388127851E-5</v>
      </c>
      <c r="AR177" s="158">
        <f t="shared" si="101"/>
        <v>5.417595129375951E-2</v>
      </c>
      <c r="AS177" s="144">
        <f t="shared" si="84"/>
        <v>2.4663013698630137E-3</v>
      </c>
      <c r="AT177" s="158">
        <f t="shared" si="102"/>
        <v>0.82210045662100451</v>
      </c>
      <c r="AU177" s="144">
        <f t="shared" si="85"/>
        <v>2.8767123287671232E-6</v>
      </c>
      <c r="AV177" s="158">
        <f t="shared" si="103"/>
        <v>5.7534246575342458E-3</v>
      </c>
      <c r="AW177" s="144">
        <f t="shared" si="86"/>
        <v>7.7914155251141554E-4</v>
      </c>
      <c r="AX177" s="158">
        <f t="shared" si="104"/>
        <v>3.8957077625570775E-2</v>
      </c>
      <c r="AY177" s="144">
        <f t="shared" si="87"/>
        <v>6.0349957260273965E-5</v>
      </c>
      <c r="AZ177" s="144">
        <f t="shared" si="105"/>
        <v>0.20116652420091324</v>
      </c>
      <c r="BA177" s="144">
        <f t="shared" si="88"/>
        <v>2.2929315068493152E-7</v>
      </c>
      <c r="BB177" s="158">
        <f t="shared" si="106"/>
        <v>6.5512328767123286E-5</v>
      </c>
      <c r="BC177" s="144">
        <f t="shared" si="89"/>
        <v>9.7159151050228295E-9</v>
      </c>
      <c r="BD177" s="158">
        <f t="shared" si="107"/>
        <v>3.2386383683409437E-5</v>
      </c>
      <c r="BE177" s="144">
        <f t="shared" si="90"/>
        <v>1.4743549589041097E-6</v>
      </c>
      <c r="BF177" s="158">
        <f t="shared" si="108"/>
        <v>2.9487099178082194E-4</v>
      </c>
      <c r="BG177" s="144">
        <f t="shared" si="91"/>
        <v>1.7196986301369866E-9</v>
      </c>
      <c r="BH177" s="158">
        <f t="shared" si="109"/>
        <v>3.4393972602739731E-6</v>
      </c>
      <c r="BI177" s="144">
        <f t="shared" si="92"/>
        <v>4.6577082009132416E-7</v>
      </c>
      <c r="BJ177" s="158">
        <f t="shared" si="110"/>
        <v>8.3173360730593601E-5</v>
      </c>
      <c r="BK177" s="144">
        <f t="shared" si="93"/>
        <v>9.4025248455546584E-8</v>
      </c>
      <c r="BL177" s="158">
        <f t="shared" si="111"/>
        <v>3.1341749485182198E-4</v>
      </c>
      <c r="BM177" s="144">
        <f t="shared" si="94"/>
        <v>1.0717163577759871E-8</v>
      </c>
      <c r="BN177" s="158">
        <f t="shared" si="112"/>
        <v>3.0446487436817814E-6</v>
      </c>
      <c r="BO177" s="144">
        <f t="shared" si="95"/>
        <v>4.5412194466827815E-10</v>
      </c>
      <c r="BP177" s="158">
        <f t="shared" si="113"/>
        <v>5.2804877287009088E-6</v>
      </c>
      <c r="BQ177" s="144">
        <f t="shared" si="96"/>
        <v>6.8911361804995973E-8</v>
      </c>
      <c r="BR177" s="158">
        <f t="shared" si="114"/>
        <v>2.2970453934998657E-3</v>
      </c>
      <c r="BS177" s="144">
        <f t="shared" si="97"/>
        <v>8.0378726833199036E-11</v>
      </c>
      <c r="BT177" s="158">
        <f t="shared" si="115"/>
        <v>1.4101531023368252E-6</v>
      </c>
      <c r="BU177" s="144">
        <f t="shared" si="98"/>
        <v>2.177013161428955E-8</v>
      </c>
      <c r="BV177" s="158">
        <f t="shared" si="116"/>
        <v>1.0568025055480363E-6</v>
      </c>
    </row>
    <row r="178" spans="20:74">
      <c r="T178" s="53" t="s">
        <v>175</v>
      </c>
      <c r="U178" s="39" t="s">
        <v>176</v>
      </c>
      <c r="V178" s="155" t="s">
        <v>343</v>
      </c>
      <c r="W178" s="53">
        <v>0.187274</v>
      </c>
      <c r="X178" s="53">
        <v>34.735595000000004</v>
      </c>
      <c r="Y178" s="53" t="s">
        <v>353</v>
      </c>
      <c r="Z178" s="53" t="s">
        <v>330</v>
      </c>
      <c r="AA178" s="116" t="s">
        <v>347</v>
      </c>
      <c r="AB178" s="154" t="s">
        <v>371</v>
      </c>
      <c r="AC178" s="116" t="s">
        <v>687</v>
      </c>
      <c r="AD178" s="53" t="s">
        <v>367</v>
      </c>
      <c r="AE178" s="53" t="s">
        <v>684</v>
      </c>
      <c r="AF178" s="53" t="s">
        <v>683</v>
      </c>
      <c r="AG178" s="156">
        <v>209.7</v>
      </c>
      <c r="AH178" s="157">
        <v>37.1</v>
      </c>
      <c r="AI178" s="162">
        <v>0.51829999999999998</v>
      </c>
      <c r="AJ178" s="157">
        <v>195.9</v>
      </c>
      <c r="AK178" s="156">
        <v>0.25900000000000001</v>
      </c>
      <c r="AL178" s="157">
        <v>66.92</v>
      </c>
      <c r="AM178" s="144">
        <f t="shared" si="81"/>
        <v>2.681095890410959E-3</v>
      </c>
      <c r="AN178" s="158">
        <f t="shared" si="99"/>
        <v>8.9369863013698634</v>
      </c>
      <c r="AO178" s="144">
        <f t="shared" si="82"/>
        <v>4.7433789954337899E-4</v>
      </c>
      <c r="AP178" s="158">
        <f t="shared" si="100"/>
        <v>0.13176052765093862</v>
      </c>
      <c r="AQ178" s="144">
        <f t="shared" si="83"/>
        <v>6.6266666666666662E-6</v>
      </c>
      <c r="AR178" s="158">
        <f t="shared" si="101"/>
        <v>2.2088888888888891E-2</v>
      </c>
      <c r="AS178" s="144">
        <f t="shared" si="84"/>
        <v>2.5046575342465749E-3</v>
      </c>
      <c r="AT178" s="158">
        <f t="shared" si="102"/>
        <v>0.8348858447488583</v>
      </c>
      <c r="AU178" s="144">
        <f t="shared" si="85"/>
        <v>3.3114155251141551E-6</v>
      </c>
      <c r="AV178" s="158">
        <f t="shared" si="103"/>
        <v>6.6228310502283103E-3</v>
      </c>
      <c r="AW178" s="144">
        <f t="shared" si="86"/>
        <v>8.555981735159817E-4</v>
      </c>
      <c r="AX178" s="158">
        <f t="shared" si="104"/>
        <v>4.2779908675799082E-2</v>
      </c>
      <c r="AY178" s="144">
        <f t="shared" si="87"/>
        <v>4.8082773698630138E-5</v>
      </c>
      <c r="AZ178" s="144">
        <f t="shared" si="105"/>
        <v>0.16027591232876714</v>
      </c>
      <c r="BA178" s="144">
        <f t="shared" si="88"/>
        <v>2.8355919634703197E-7</v>
      </c>
      <c r="BB178" s="158">
        <f t="shared" si="106"/>
        <v>8.1016913242009126E-5</v>
      </c>
      <c r="BC178" s="144">
        <f t="shared" si="89"/>
        <v>3.9614213333333341E-9</v>
      </c>
      <c r="BD178" s="158">
        <f t="shared" si="107"/>
        <v>1.3204737777777782E-5</v>
      </c>
      <c r="BE178" s="144">
        <f t="shared" si="90"/>
        <v>1.4972842739726031E-6</v>
      </c>
      <c r="BF178" s="158">
        <f t="shared" si="108"/>
        <v>2.9945685479452062E-4</v>
      </c>
      <c r="BG178" s="144">
        <f t="shared" si="91"/>
        <v>1.979564200913242E-9</v>
      </c>
      <c r="BH178" s="158">
        <f t="shared" si="109"/>
        <v>3.9591284018264839E-6</v>
      </c>
      <c r="BI178" s="144">
        <f t="shared" si="92"/>
        <v>5.1147658812785389E-7</v>
      </c>
      <c r="BJ178" s="158">
        <f t="shared" si="110"/>
        <v>9.1335105022831054E-5</v>
      </c>
      <c r="BK178" s="144">
        <f t="shared" si="93"/>
        <v>7.4912973408541472E-8</v>
      </c>
      <c r="BL178" s="158">
        <f t="shared" si="111"/>
        <v>2.4970991136180496E-4</v>
      </c>
      <c r="BM178" s="144">
        <f t="shared" si="94"/>
        <v>1.3253558957829708E-8</v>
      </c>
      <c r="BN178" s="158">
        <f t="shared" si="112"/>
        <v>3.7652156130198034E-6</v>
      </c>
      <c r="BO178" s="144">
        <f t="shared" si="95"/>
        <v>1.8515686274509803E-10</v>
      </c>
      <c r="BP178" s="158">
        <f t="shared" si="113"/>
        <v>2.1529867761057909E-6</v>
      </c>
      <c r="BQ178" s="144">
        <f t="shared" si="96"/>
        <v>6.9983078162771956E-8</v>
      </c>
      <c r="BR178" s="158">
        <f t="shared" si="114"/>
        <v>2.3327692720923987E-3</v>
      </c>
      <c r="BS178" s="144">
        <f t="shared" si="97"/>
        <v>9.2524845554660201E-11</v>
      </c>
      <c r="BT178" s="158">
        <f t="shared" si="115"/>
        <v>1.6232429044677227E-6</v>
      </c>
      <c r="BU178" s="144">
        <f t="shared" si="98"/>
        <v>2.3906419554123019E-8</v>
      </c>
      <c r="BV178" s="158">
        <f t="shared" si="116"/>
        <v>1.1605058035982049E-6</v>
      </c>
    </row>
    <row r="179" spans="20:74">
      <c r="T179" s="53" t="s">
        <v>177</v>
      </c>
      <c r="U179" s="39" t="s">
        <v>178</v>
      </c>
      <c r="V179" s="155" t="s">
        <v>343</v>
      </c>
      <c r="W179" s="53">
        <v>0.18890100000000001</v>
      </c>
      <c r="X179" s="53">
        <v>34.740020999999999</v>
      </c>
      <c r="Y179" s="53" t="s">
        <v>354</v>
      </c>
      <c r="Z179" s="53" t="s">
        <v>330</v>
      </c>
      <c r="AA179" s="116" t="s">
        <v>347</v>
      </c>
      <c r="AB179" s="154" t="s">
        <v>371</v>
      </c>
      <c r="AC179" s="116" t="s">
        <v>687</v>
      </c>
      <c r="AD179" s="53" t="s">
        <v>364</v>
      </c>
      <c r="AE179" s="53" t="s">
        <v>685</v>
      </c>
      <c r="AF179" s="53" t="s">
        <v>690</v>
      </c>
      <c r="AG179" s="156">
        <v>24.7</v>
      </c>
      <c r="AH179" s="157">
        <v>21</v>
      </c>
      <c r="AI179" s="162">
        <v>1.937705</v>
      </c>
      <c r="AJ179" s="157">
        <v>278</v>
      </c>
      <c r="AK179" s="156">
        <v>9.7000000000000003E-2</v>
      </c>
      <c r="AL179" s="157">
        <v>138.27000000000001</v>
      </c>
      <c r="AM179" s="144">
        <f t="shared" si="81"/>
        <v>3.1579908675799084E-4</v>
      </c>
      <c r="AN179" s="158">
        <f t="shared" si="99"/>
        <v>1.0526636225266361</v>
      </c>
      <c r="AO179" s="144">
        <f t="shared" si="82"/>
        <v>2.6849315068493151E-4</v>
      </c>
      <c r="AP179" s="158">
        <f t="shared" si="100"/>
        <v>7.4581430745814317E-2</v>
      </c>
      <c r="AQ179" s="144">
        <f t="shared" si="83"/>
        <v>2.4774310502283106E-5</v>
      </c>
      <c r="AR179" s="158">
        <f t="shared" si="101"/>
        <v>8.2581035007610354E-2</v>
      </c>
      <c r="AS179" s="144">
        <f t="shared" si="84"/>
        <v>3.5543378995433789E-3</v>
      </c>
      <c r="AT179" s="158">
        <f t="shared" si="102"/>
        <v>1.1847792998477928</v>
      </c>
      <c r="AU179" s="144">
        <f t="shared" si="85"/>
        <v>1.2401826484018267E-6</v>
      </c>
      <c r="AV179" s="158">
        <f t="shared" si="103"/>
        <v>2.4803652968036533E-3</v>
      </c>
      <c r="AW179" s="144">
        <f t="shared" si="86"/>
        <v>1.7678356164383567E-3</v>
      </c>
      <c r="AX179" s="158">
        <f t="shared" si="104"/>
        <v>8.8391780821917829E-2</v>
      </c>
      <c r="AY179" s="144">
        <f t="shared" si="87"/>
        <v>5.6635408219178083E-6</v>
      </c>
      <c r="AZ179" s="144">
        <f t="shared" si="105"/>
        <v>1.8878469406392696E-2</v>
      </c>
      <c r="BA179" s="144">
        <f t="shared" si="88"/>
        <v>1.6050520547945206E-7</v>
      </c>
      <c r="BB179" s="158">
        <f t="shared" si="106"/>
        <v>4.5858630136986306E-5</v>
      </c>
      <c r="BC179" s="144">
        <f t="shared" si="89"/>
        <v>1.4810082818264839E-8</v>
      </c>
      <c r="BD179" s="158">
        <f t="shared" si="107"/>
        <v>4.9366942727549468E-5</v>
      </c>
      <c r="BE179" s="144">
        <f t="shared" si="90"/>
        <v>2.1247831963470315E-6</v>
      </c>
      <c r="BF179" s="158">
        <f t="shared" si="108"/>
        <v>4.2495663926940628E-4</v>
      </c>
      <c r="BG179" s="144">
        <f t="shared" si="91"/>
        <v>7.4138118721461208E-10</v>
      </c>
      <c r="BH179" s="158">
        <f t="shared" si="109"/>
        <v>1.4827623744292241E-6</v>
      </c>
      <c r="BI179" s="144">
        <f t="shared" si="92"/>
        <v>1.0568121315068493E-6</v>
      </c>
      <c r="BJ179" s="158">
        <f t="shared" si="110"/>
        <v>1.8871645205479452E-4</v>
      </c>
      <c r="BK179" s="144">
        <f t="shared" si="93"/>
        <v>8.8237980123556269E-9</v>
      </c>
      <c r="BL179" s="158">
        <f t="shared" si="111"/>
        <v>2.9412660041185426E-5</v>
      </c>
      <c r="BM179" s="144">
        <f t="shared" si="94"/>
        <v>7.5020145044319092E-9</v>
      </c>
      <c r="BN179" s="158">
        <f t="shared" si="112"/>
        <v>2.1312541205772469E-6</v>
      </c>
      <c r="BO179" s="144">
        <f t="shared" si="95"/>
        <v>6.9222338168143968E-10</v>
      </c>
      <c r="BP179" s="158">
        <f t="shared" si="113"/>
        <v>8.0491090893190654E-6</v>
      </c>
      <c r="BQ179" s="144">
        <f t="shared" si="96"/>
        <v>9.9312382487241454E-8</v>
      </c>
      <c r="BR179" s="158">
        <f t="shared" si="114"/>
        <v>3.3104127495747152E-3</v>
      </c>
      <c r="BS179" s="144">
        <f t="shared" si="97"/>
        <v>3.4652162234756913E-11</v>
      </c>
      <c r="BT179" s="158">
        <f t="shared" si="115"/>
        <v>6.0793267078520893E-7</v>
      </c>
      <c r="BU179" s="144">
        <f t="shared" si="98"/>
        <v>4.9395406929895253E-8</v>
      </c>
      <c r="BV179" s="158">
        <f t="shared" si="116"/>
        <v>2.397835287858993E-6</v>
      </c>
    </row>
    <row r="180" spans="20:74">
      <c r="T180" s="53" t="s">
        <v>179</v>
      </c>
      <c r="U180" s="39" t="s">
        <v>180</v>
      </c>
      <c r="V180" s="155" t="s">
        <v>343</v>
      </c>
      <c r="W180" s="53">
        <v>0.18871499999999999</v>
      </c>
      <c r="X180" s="53">
        <v>34.740102</v>
      </c>
      <c r="Y180" s="53" t="s">
        <v>354</v>
      </c>
      <c r="Z180" s="53" t="s">
        <v>330</v>
      </c>
      <c r="AA180" s="116" t="s">
        <v>347</v>
      </c>
      <c r="AB180" s="154" t="s">
        <v>371</v>
      </c>
      <c r="AC180" s="116" t="s">
        <v>687</v>
      </c>
      <c r="AD180" s="53" t="s">
        <v>367</v>
      </c>
      <c r="AE180" s="53" t="s">
        <v>684</v>
      </c>
      <c r="AF180" s="53" t="s">
        <v>683</v>
      </c>
      <c r="AG180" s="156">
        <v>10.6</v>
      </c>
      <c r="AH180" s="157">
        <v>21</v>
      </c>
      <c r="AI180" s="162">
        <v>0.385405</v>
      </c>
      <c r="AJ180" s="157">
        <v>471.8</v>
      </c>
      <c r="AK180" s="156">
        <v>0.159</v>
      </c>
      <c r="AL180" s="157">
        <v>136.09</v>
      </c>
      <c r="AM180" s="144">
        <f t="shared" si="81"/>
        <v>1.3552511415525114E-4</v>
      </c>
      <c r="AN180" s="158">
        <f t="shared" si="99"/>
        <v>0.45175038051750382</v>
      </c>
      <c r="AO180" s="144">
        <f t="shared" si="82"/>
        <v>2.6849315068493151E-4</v>
      </c>
      <c r="AP180" s="158">
        <f t="shared" si="100"/>
        <v>7.4581430745814317E-2</v>
      </c>
      <c r="AQ180" s="144">
        <f t="shared" si="83"/>
        <v>4.927552511415525E-6</v>
      </c>
      <c r="AR180" s="158">
        <f t="shared" si="101"/>
        <v>1.6425175038051753E-2</v>
      </c>
      <c r="AS180" s="144">
        <f t="shared" si="84"/>
        <v>6.0321461187214601E-3</v>
      </c>
      <c r="AT180" s="158">
        <f t="shared" si="102"/>
        <v>2.0107153729071534</v>
      </c>
      <c r="AU180" s="144">
        <f t="shared" si="85"/>
        <v>2.0328767123287668E-6</v>
      </c>
      <c r="AV180" s="158">
        <f t="shared" si="103"/>
        <v>4.0657534246575332E-3</v>
      </c>
      <c r="AW180" s="144">
        <f t="shared" si="86"/>
        <v>1.7399634703196346E-3</v>
      </c>
      <c r="AX180" s="158">
        <f t="shared" si="104"/>
        <v>8.6998173515981728E-2</v>
      </c>
      <c r="AY180" s="144">
        <f t="shared" si="87"/>
        <v>2.4305073972602741E-6</v>
      </c>
      <c r="AZ180" s="144">
        <f t="shared" si="105"/>
        <v>8.1016913242009138E-3</v>
      </c>
      <c r="BA180" s="144">
        <f t="shared" si="88"/>
        <v>1.6050520547945206E-7</v>
      </c>
      <c r="BB180" s="158">
        <f t="shared" si="106"/>
        <v>4.5858630136986306E-5</v>
      </c>
      <c r="BC180" s="144">
        <f t="shared" si="89"/>
        <v>2.9456908913242012E-9</v>
      </c>
      <c r="BD180" s="158">
        <f t="shared" si="107"/>
        <v>9.8189696377473374E-6</v>
      </c>
      <c r="BE180" s="144">
        <f t="shared" si="90"/>
        <v>3.60601694977169E-6</v>
      </c>
      <c r="BF180" s="158">
        <f t="shared" si="108"/>
        <v>7.2120338995433804E-4</v>
      </c>
      <c r="BG180" s="144">
        <f t="shared" si="91"/>
        <v>1.2152536986301371E-9</v>
      </c>
      <c r="BH180" s="158">
        <f t="shared" si="109"/>
        <v>2.4305073972602741E-6</v>
      </c>
      <c r="BI180" s="144">
        <f t="shared" si="92"/>
        <v>1.0401501625570775E-6</v>
      </c>
      <c r="BJ180" s="158">
        <f t="shared" si="110"/>
        <v>1.85741100456621E-4</v>
      </c>
      <c r="BK180" s="144">
        <f t="shared" si="93"/>
        <v>3.7867311308084872E-9</v>
      </c>
      <c r="BL180" s="158">
        <f t="shared" si="111"/>
        <v>1.2622437102694958E-5</v>
      </c>
      <c r="BM180" s="144">
        <f t="shared" si="94"/>
        <v>7.5020145044319092E-9</v>
      </c>
      <c r="BN180" s="158">
        <f t="shared" si="112"/>
        <v>2.1312541205772469E-6</v>
      </c>
      <c r="BO180" s="144">
        <f t="shared" si="95"/>
        <v>1.3768161428955142E-10</v>
      </c>
      <c r="BP180" s="158">
        <f t="shared" si="113"/>
        <v>1.6009490033668768E-6</v>
      </c>
      <c r="BQ180" s="144">
        <f t="shared" si="96"/>
        <v>1.6854525919957024E-7</v>
      </c>
      <c r="BR180" s="158">
        <f t="shared" si="114"/>
        <v>5.6181753066523411E-3</v>
      </c>
      <c r="BS180" s="144">
        <f t="shared" si="97"/>
        <v>5.6800966962127312E-11</v>
      </c>
      <c r="BT180" s="158">
        <f t="shared" si="115"/>
        <v>9.9650819231802294E-7</v>
      </c>
      <c r="BU180" s="144">
        <f t="shared" si="98"/>
        <v>4.8616626376578028E-8</v>
      </c>
      <c r="BV180" s="158">
        <f t="shared" si="116"/>
        <v>2.3600304066300013E-6</v>
      </c>
    </row>
    <row r="181" spans="20:74">
      <c r="T181" s="53" t="s">
        <v>181</v>
      </c>
      <c r="U181" s="39" t="s">
        <v>182</v>
      </c>
      <c r="V181" s="155" t="s">
        <v>343</v>
      </c>
      <c r="W181" s="53">
        <v>0.18934699999999999</v>
      </c>
      <c r="X181" s="53">
        <v>34.740495000000003</v>
      </c>
      <c r="Y181" s="53" t="s">
        <v>354</v>
      </c>
      <c r="Z181" s="53" t="s">
        <v>330</v>
      </c>
      <c r="AA181" s="116" t="s">
        <v>347</v>
      </c>
      <c r="AB181" s="154" t="s">
        <v>371</v>
      </c>
      <c r="AC181" s="116" t="s">
        <v>687</v>
      </c>
      <c r="AD181" s="53" t="s">
        <v>361</v>
      </c>
      <c r="AE181" s="53" t="s">
        <v>685</v>
      </c>
      <c r="AF181" s="53" t="s">
        <v>690</v>
      </c>
      <c r="AG181" s="156">
        <v>102.2</v>
      </c>
      <c r="AH181" s="157">
        <v>28.6</v>
      </c>
      <c r="AI181" s="162">
        <v>0.16346500000000003</v>
      </c>
      <c r="AJ181" s="157">
        <v>241.4</v>
      </c>
      <c r="AK181" s="156">
        <v>0.14099999999999999</v>
      </c>
      <c r="AL181" s="157">
        <v>146.26</v>
      </c>
      <c r="AM181" s="144">
        <f t="shared" si="81"/>
        <v>1.3066666666666667E-3</v>
      </c>
      <c r="AN181" s="158">
        <f t="shared" si="99"/>
        <v>4.3555555555555561</v>
      </c>
      <c r="AO181" s="144">
        <f t="shared" si="82"/>
        <v>3.6566210045662099E-4</v>
      </c>
      <c r="AP181" s="158">
        <f t="shared" si="100"/>
        <v>0.10157280568239473</v>
      </c>
      <c r="AQ181" s="144">
        <f t="shared" si="83"/>
        <v>2.0899634703196348E-6</v>
      </c>
      <c r="AR181" s="158">
        <f t="shared" si="101"/>
        <v>6.9665449010654504E-3</v>
      </c>
      <c r="AS181" s="144">
        <f t="shared" si="84"/>
        <v>3.0863926940639269E-3</v>
      </c>
      <c r="AT181" s="158">
        <f t="shared" si="102"/>
        <v>1.0287975646879757</v>
      </c>
      <c r="AU181" s="144">
        <f t="shared" si="85"/>
        <v>1.8027397260273967E-6</v>
      </c>
      <c r="AV181" s="158">
        <f t="shared" si="103"/>
        <v>3.6054794520547933E-3</v>
      </c>
      <c r="AW181" s="144">
        <f t="shared" si="86"/>
        <v>1.8699908675799085E-3</v>
      </c>
      <c r="AX181" s="158">
        <f t="shared" si="104"/>
        <v>9.3499543378995423E-2</v>
      </c>
      <c r="AY181" s="144">
        <f t="shared" si="87"/>
        <v>2.343376E-5</v>
      </c>
      <c r="AZ181" s="144">
        <f t="shared" si="105"/>
        <v>7.8112533333333345E-2</v>
      </c>
      <c r="BA181" s="144">
        <f t="shared" si="88"/>
        <v>2.1859280365296804E-7</v>
      </c>
      <c r="BB181" s="158">
        <f t="shared" si="106"/>
        <v>6.2455086757990871E-5</v>
      </c>
      <c r="BC181" s="144">
        <f t="shared" si="89"/>
        <v>1.2493801625570779E-9</v>
      </c>
      <c r="BD181" s="158">
        <f t="shared" si="107"/>
        <v>4.1646005418569264E-6</v>
      </c>
      <c r="BE181" s="144">
        <f t="shared" si="90"/>
        <v>1.8450455525114154E-6</v>
      </c>
      <c r="BF181" s="158">
        <f t="shared" si="108"/>
        <v>3.6900911050228305E-4</v>
      </c>
      <c r="BG181" s="144">
        <f t="shared" si="91"/>
        <v>1.0776778082191779E-9</v>
      </c>
      <c r="BH181" s="158">
        <f t="shared" si="109"/>
        <v>2.1553556164383557E-6</v>
      </c>
      <c r="BI181" s="144">
        <f t="shared" si="92"/>
        <v>1.1178805406392694E-6</v>
      </c>
      <c r="BJ181" s="158">
        <f t="shared" si="110"/>
        <v>1.9962152511415523E-4</v>
      </c>
      <c r="BK181" s="144">
        <f t="shared" si="93"/>
        <v>3.6509803921568625E-8</v>
      </c>
      <c r="BL181" s="158">
        <f t="shared" si="111"/>
        <v>1.2169934640522876E-4</v>
      </c>
      <c r="BM181" s="144">
        <f t="shared" si="94"/>
        <v>1.021702927746441E-8</v>
      </c>
      <c r="BN181" s="158">
        <f t="shared" si="112"/>
        <v>2.902565135643298E-6</v>
      </c>
      <c r="BO181" s="144">
        <f t="shared" si="95"/>
        <v>5.839603814128391E-11</v>
      </c>
      <c r="BP181" s="158">
        <f t="shared" si="113"/>
        <v>6.7902369931725479E-7</v>
      </c>
      <c r="BQ181" s="144">
        <f t="shared" si="96"/>
        <v>8.6237442922374432E-8</v>
      </c>
      <c r="BR181" s="158">
        <f t="shared" si="114"/>
        <v>2.8745814307458142E-3</v>
      </c>
      <c r="BS181" s="144">
        <f t="shared" si="97"/>
        <v>5.0370668815471387E-11</v>
      </c>
      <c r="BT181" s="158">
        <f t="shared" si="115"/>
        <v>8.8369594413107688E-7</v>
      </c>
      <c r="BU181" s="144">
        <f t="shared" si="98"/>
        <v>5.2249744829438616E-8</v>
      </c>
      <c r="BV181" s="158">
        <f t="shared" si="116"/>
        <v>2.5363953800698359E-6</v>
      </c>
    </row>
    <row r="182" spans="20:74">
      <c r="T182" s="53" t="s">
        <v>183</v>
      </c>
      <c r="U182" s="39" t="s">
        <v>184</v>
      </c>
      <c r="V182" s="155" t="s">
        <v>343</v>
      </c>
      <c r="W182" s="53">
        <v>0.19486300000000001</v>
      </c>
      <c r="X182" s="53">
        <v>34.750653</v>
      </c>
      <c r="Y182" s="53" t="s">
        <v>355</v>
      </c>
      <c r="Z182" s="53" t="s">
        <v>330</v>
      </c>
      <c r="AA182" s="116" t="s">
        <v>347</v>
      </c>
      <c r="AB182" s="154" t="s">
        <v>371</v>
      </c>
      <c r="AC182" s="116" t="s">
        <v>687</v>
      </c>
      <c r="AD182" s="53" t="s">
        <v>366</v>
      </c>
      <c r="AE182" s="53" t="s">
        <v>684</v>
      </c>
      <c r="AF182" s="53" t="s">
        <v>683</v>
      </c>
      <c r="AG182" s="156">
        <v>190.9</v>
      </c>
      <c r="AH182" s="157">
        <v>50.4</v>
      </c>
      <c r="AI182" s="162">
        <v>6.8764050000000001</v>
      </c>
      <c r="AJ182" s="157">
        <v>106.8</v>
      </c>
      <c r="AK182" s="156">
        <v>0.308</v>
      </c>
      <c r="AL182" s="157">
        <v>25.82</v>
      </c>
      <c r="AM182" s="144">
        <f t="shared" si="81"/>
        <v>2.440730593607306E-3</v>
      </c>
      <c r="AN182" s="158">
        <f t="shared" si="99"/>
        <v>8.1357686453576878</v>
      </c>
      <c r="AO182" s="144">
        <f t="shared" si="82"/>
        <v>6.4438356164383561E-4</v>
      </c>
      <c r="AP182" s="158">
        <f t="shared" si="100"/>
        <v>0.17899543378995433</v>
      </c>
      <c r="AQ182" s="144">
        <f t="shared" si="83"/>
        <v>8.7917506849315047E-5</v>
      </c>
      <c r="AR182" s="158">
        <f t="shared" si="101"/>
        <v>0.29305835616438353</v>
      </c>
      <c r="AS182" s="144">
        <f t="shared" si="84"/>
        <v>1.3654794520547944E-3</v>
      </c>
      <c r="AT182" s="158">
        <f t="shared" si="102"/>
        <v>0.45515981735159811</v>
      </c>
      <c r="AU182" s="144">
        <f t="shared" si="85"/>
        <v>3.9378995433789953E-6</v>
      </c>
      <c r="AV182" s="158">
        <f t="shared" si="103"/>
        <v>7.8757990867579907E-3</v>
      </c>
      <c r="AW182" s="144">
        <f t="shared" si="86"/>
        <v>3.3011872146118725E-4</v>
      </c>
      <c r="AX182" s="158">
        <f t="shared" si="104"/>
        <v>1.6505936073059363E-2</v>
      </c>
      <c r="AY182" s="144">
        <f t="shared" si="87"/>
        <v>4.3772062465753429E-5</v>
      </c>
      <c r="AZ182" s="144">
        <f t="shared" si="105"/>
        <v>0.14590687488584478</v>
      </c>
      <c r="BA182" s="144">
        <f t="shared" si="88"/>
        <v>3.8521249315068497E-7</v>
      </c>
      <c r="BB182" s="158">
        <f t="shared" si="106"/>
        <v>1.1006071232876714E-4</v>
      </c>
      <c r="BC182" s="144">
        <f t="shared" si="89"/>
        <v>5.2557085594520557E-8</v>
      </c>
      <c r="BD182" s="158">
        <f t="shared" si="107"/>
        <v>1.7519028531506854E-4</v>
      </c>
      <c r="BE182" s="144">
        <f t="shared" si="90"/>
        <v>8.1628361643835627E-7</v>
      </c>
      <c r="BF182" s="158">
        <f t="shared" si="108"/>
        <v>1.6325672328767126E-4</v>
      </c>
      <c r="BG182" s="144">
        <f t="shared" si="91"/>
        <v>2.3540763470319633E-9</v>
      </c>
      <c r="BH182" s="158">
        <f t="shared" si="109"/>
        <v>4.7081526940639262E-6</v>
      </c>
      <c r="BI182" s="144">
        <f t="shared" si="92"/>
        <v>1.9734497168949773E-7</v>
      </c>
      <c r="BJ182" s="158">
        <f t="shared" si="110"/>
        <v>3.5240173515981736E-5</v>
      </c>
      <c r="BK182" s="144">
        <f t="shared" si="93"/>
        <v>6.8196884233145317E-8</v>
      </c>
      <c r="BL182" s="158">
        <f t="shared" si="111"/>
        <v>2.2732294744381775E-4</v>
      </c>
      <c r="BM182" s="144">
        <f t="shared" si="94"/>
        <v>1.8004834810636585E-8</v>
      </c>
      <c r="BN182" s="158">
        <f t="shared" si="112"/>
        <v>5.1150098893853931E-6</v>
      </c>
      <c r="BO182" s="144">
        <f t="shared" si="95"/>
        <v>2.4565185737308622E-9</v>
      </c>
      <c r="BP182" s="158">
        <f t="shared" si="113"/>
        <v>2.8564169461986771E-5</v>
      </c>
      <c r="BQ182" s="144">
        <f t="shared" si="96"/>
        <v>3.8153102336825143E-8</v>
      </c>
      <c r="BR182" s="158">
        <f t="shared" si="114"/>
        <v>1.2717700778941713E-3</v>
      </c>
      <c r="BS182" s="144">
        <f t="shared" si="97"/>
        <v>1.1002954606500135E-10</v>
      </c>
      <c r="BT182" s="158">
        <f t="shared" si="115"/>
        <v>1.9303429134210763E-6</v>
      </c>
      <c r="BU182" s="144">
        <f t="shared" si="98"/>
        <v>9.2239054525919945E-9</v>
      </c>
      <c r="BV182" s="158">
        <f t="shared" si="116"/>
        <v>4.4776240061126186E-7</v>
      </c>
    </row>
    <row r="183" spans="20:74">
      <c r="T183" s="53" t="s">
        <v>185</v>
      </c>
      <c r="U183" s="39" t="s">
        <v>186</v>
      </c>
      <c r="V183" s="155" t="s">
        <v>343</v>
      </c>
      <c r="W183" s="53">
        <v>0.19508500000000001</v>
      </c>
      <c r="X183" s="53">
        <v>34.751396</v>
      </c>
      <c r="Y183" s="53" t="s">
        <v>355</v>
      </c>
      <c r="Z183" s="53" t="s">
        <v>330</v>
      </c>
      <c r="AA183" s="116" t="s">
        <v>347</v>
      </c>
      <c r="AB183" s="154" t="s">
        <v>371</v>
      </c>
      <c r="AC183" s="116" t="s">
        <v>687</v>
      </c>
      <c r="AD183" s="53" t="s">
        <v>367</v>
      </c>
      <c r="AE183" s="53" t="s">
        <v>684</v>
      </c>
      <c r="AF183" s="53" t="s">
        <v>683</v>
      </c>
      <c r="AG183" s="156">
        <v>103.2</v>
      </c>
      <c r="AH183" s="157">
        <v>38.799999999999997</v>
      </c>
      <c r="AI183" s="162">
        <v>16.768075</v>
      </c>
      <c r="AJ183" s="157">
        <v>102.1</v>
      </c>
      <c r="AK183" s="156">
        <v>0.26300000000000001</v>
      </c>
      <c r="AL183" s="157">
        <v>44.34</v>
      </c>
      <c r="AM183" s="144">
        <f t="shared" si="81"/>
        <v>1.3194520547945205E-3</v>
      </c>
      <c r="AN183" s="158">
        <f t="shared" si="99"/>
        <v>4.3981735159817354</v>
      </c>
      <c r="AO183" s="144">
        <f t="shared" si="82"/>
        <v>4.960730593607305E-4</v>
      </c>
      <c r="AP183" s="158">
        <f t="shared" si="100"/>
        <v>0.13779807204464736</v>
      </c>
      <c r="AQ183" s="144">
        <f t="shared" si="83"/>
        <v>2.1438634703196345E-4</v>
      </c>
      <c r="AR183" s="158">
        <f t="shared" si="101"/>
        <v>0.71462115677321159</v>
      </c>
      <c r="AS183" s="144">
        <f t="shared" si="84"/>
        <v>1.3053881278538811E-3</v>
      </c>
      <c r="AT183" s="158">
        <f t="shared" si="102"/>
        <v>0.4351293759512937</v>
      </c>
      <c r="AU183" s="144">
        <f t="shared" si="85"/>
        <v>3.3625570776255705E-6</v>
      </c>
      <c r="AV183" s="158">
        <f t="shared" si="103"/>
        <v>6.7251141552511409E-3</v>
      </c>
      <c r="AW183" s="144">
        <f t="shared" si="86"/>
        <v>5.6690410958904099E-4</v>
      </c>
      <c r="AX183" s="158">
        <f t="shared" si="104"/>
        <v>2.8345205479452049E-2</v>
      </c>
      <c r="AY183" s="144">
        <f t="shared" si="87"/>
        <v>2.3663053150684934E-5</v>
      </c>
      <c r="AZ183" s="144">
        <f t="shared" si="105"/>
        <v>7.8876843835616453E-2</v>
      </c>
      <c r="BA183" s="144">
        <f t="shared" si="88"/>
        <v>2.9655247488584476E-7</v>
      </c>
      <c r="BB183" s="158">
        <f t="shared" si="106"/>
        <v>8.4729278538812791E-5</v>
      </c>
      <c r="BC183" s="144">
        <f t="shared" si="89"/>
        <v>1.2816015825570781E-7</v>
      </c>
      <c r="BD183" s="158">
        <f t="shared" si="107"/>
        <v>4.2720052751902605E-4</v>
      </c>
      <c r="BE183" s="144">
        <f t="shared" si="90"/>
        <v>7.8036102283105011E-7</v>
      </c>
      <c r="BF183" s="158">
        <f t="shared" si="108"/>
        <v>1.5607220456621002E-4</v>
      </c>
      <c r="BG183" s="144">
        <f t="shared" si="91"/>
        <v>2.0101366210045659E-9</v>
      </c>
      <c r="BH183" s="158">
        <f t="shared" si="109"/>
        <v>4.0202732420091314E-6</v>
      </c>
      <c r="BI183" s="144">
        <f t="shared" si="92"/>
        <v>3.3889527671232878E-7</v>
      </c>
      <c r="BJ183" s="158">
        <f t="shared" si="110"/>
        <v>6.0517013698630138E-5</v>
      </c>
      <c r="BK183" s="144">
        <f t="shared" si="93"/>
        <v>3.6867042707493959E-8</v>
      </c>
      <c r="BL183" s="158">
        <f t="shared" si="111"/>
        <v>1.2289014235831322E-4</v>
      </c>
      <c r="BM183" s="144">
        <f t="shared" si="94"/>
        <v>1.3860864893902765E-8</v>
      </c>
      <c r="BN183" s="158">
        <f t="shared" si="112"/>
        <v>3.9377457084951033E-6</v>
      </c>
      <c r="BO183" s="144">
        <f t="shared" si="95"/>
        <v>5.9902067553048606E-9</v>
      </c>
      <c r="BP183" s="158">
        <f t="shared" si="113"/>
        <v>6.9653566922149544E-5</v>
      </c>
      <c r="BQ183" s="144">
        <f t="shared" si="96"/>
        <v>3.6474080042976095E-8</v>
      </c>
      <c r="BR183" s="158">
        <f t="shared" si="114"/>
        <v>1.2158026680992031E-3</v>
      </c>
      <c r="BS183" s="144">
        <f t="shared" si="97"/>
        <v>9.3953800698361532E-11</v>
      </c>
      <c r="BT183" s="158">
        <f t="shared" si="115"/>
        <v>1.6483122929537111E-6</v>
      </c>
      <c r="BU183" s="144">
        <f t="shared" si="98"/>
        <v>1.5839967767929091E-8</v>
      </c>
      <c r="BV183" s="158">
        <f t="shared" si="116"/>
        <v>7.6893047417131502E-7</v>
      </c>
    </row>
    <row r="184" spans="20:74">
      <c r="T184" s="53" t="s">
        <v>187</v>
      </c>
      <c r="U184" s="39" t="s">
        <v>188</v>
      </c>
      <c r="V184" s="155" t="s">
        <v>343</v>
      </c>
      <c r="W184" s="53">
        <v>0.19523199999999999</v>
      </c>
      <c r="X184" s="53">
        <v>34.751345000000001</v>
      </c>
      <c r="Y184" s="53" t="s">
        <v>355</v>
      </c>
      <c r="Z184" s="53" t="s">
        <v>330</v>
      </c>
      <c r="AA184" s="116" t="s">
        <v>347</v>
      </c>
      <c r="AB184" s="154" t="s">
        <v>371</v>
      </c>
      <c r="AC184" s="116" t="s">
        <v>687</v>
      </c>
      <c r="AD184" s="53" t="s">
        <v>361</v>
      </c>
      <c r="AE184" s="53" t="s">
        <v>685</v>
      </c>
      <c r="AF184" s="53" t="s">
        <v>690</v>
      </c>
      <c r="AG184" s="156">
        <v>417.1</v>
      </c>
      <c r="AH184" s="157">
        <v>196.9</v>
      </c>
      <c r="AI184" s="162">
        <v>0.17497499999999999</v>
      </c>
      <c r="AJ184" s="157">
        <v>101.1</v>
      </c>
      <c r="AK184" s="156">
        <v>0.68400000000000005</v>
      </c>
      <c r="AL184" s="157">
        <v>46.71</v>
      </c>
      <c r="AM184" s="144">
        <f t="shared" si="81"/>
        <v>5.3327853881278533E-3</v>
      </c>
      <c r="AN184" s="158">
        <f t="shared" si="99"/>
        <v>17.775951293759512</v>
      </c>
      <c r="AO184" s="144">
        <f t="shared" si="82"/>
        <v>2.5174429223744289E-3</v>
      </c>
      <c r="AP184" s="158">
        <f t="shared" si="100"/>
        <v>0.69928970065956364</v>
      </c>
      <c r="AQ184" s="144">
        <f t="shared" si="83"/>
        <v>2.237123287671233E-6</v>
      </c>
      <c r="AR184" s="158">
        <f t="shared" si="101"/>
        <v>7.4570776255707769E-3</v>
      </c>
      <c r="AS184" s="144">
        <f t="shared" si="84"/>
        <v>1.2926027397260273E-3</v>
      </c>
      <c r="AT184" s="158">
        <f t="shared" si="102"/>
        <v>0.43086757990867575</v>
      </c>
      <c r="AU184" s="144">
        <f t="shared" si="85"/>
        <v>8.7452054794520554E-6</v>
      </c>
      <c r="AV184" s="158">
        <f t="shared" si="103"/>
        <v>1.749041095890411E-2</v>
      </c>
      <c r="AW184" s="144">
        <f t="shared" si="86"/>
        <v>5.9720547945205473E-4</v>
      </c>
      <c r="AX184" s="158">
        <f t="shared" si="104"/>
        <v>2.9860273972602738E-2</v>
      </c>
      <c r="AY184" s="144">
        <f t="shared" si="87"/>
        <v>9.563817315068492E-5</v>
      </c>
      <c r="AZ184" s="144">
        <f t="shared" si="105"/>
        <v>0.31879391050228312</v>
      </c>
      <c r="BA184" s="144">
        <f t="shared" si="88"/>
        <v>1.5049273789954337E-6</v>
      </c>
      <c r="BB184" s="158">
        <f t="shared" si="106"/>
        <v>4.2997925114155247E-4</v>
      </c>
      <c r="BC184" s="144">
        <f t="shared" si="89"/>
        <v>1.3373523013698628E-9</v>
      </c>
      <c r="BD184" s="158">
        <f t="shared" si="107"/>
        <v>4.4578410045662102E-6</v>
      </c>
      <c r="BE184" s="144">
        <f t="shared" si="90"/>
        <v>7.7271791780821905E-7</v>
      </c>
      <c r="BF184" s="158">
        <f t="shared" si="108"/>
        <v>1.5454358356164382E-4</v>
      </c>
      <c r="BG184" s="144">
        <f t="shared" si="91"/>
        <v>5.2278838356164392E-9</v>
      </c>
      <c r="BH184" s="158">
        <f t="shared" si="109"/>
        <v>1.0455767671232877E-5</v>
      </c>
      <c r="BI184" s="144">
        <f t="shared" si="92"/>
        <v>3.5700943561643835E-7</v>
      </c>
      <c r="BJ184" s="158">
        <f t="shared" si="110"/>
        <v>6.375168493150685E-5</v>
      </c>
      <c r="BK184" s="144">
        <f t="shared" si="93"/>
        <v>1.4900429760945473E-7</v>
      </c>
      <c r="BL184" s="158">
        <f t="shared" si="111"/>
        <v>4.9668099203151585E-4</v>
      </c>
      <c r="BM184" s="144">
        <f t="shared" si="94"/>
        <v>7.0340316948697284E-8</v>
      </c>
      <c r="BN184" s="158">
        <f t="shared" si="112"/>
        <v>1.9983044587698092E-5</v>
      </c>
      <c r="BO184" s="144">
        <f t="shared" si="95"/>
        <v>6.2507856567284434E-11</v>
      </c>
      <c r="BP184" s="158">
        <f t="shared" si="113"/>
        <v>7.2683554148005152E-7</v>
      </c>
      <c r="BQ184" s="144">
        <f t="shared" si="96"/>
        <v>3.6116841257050753E-8</v>
      </c>
      <c r="BR184" s="158">
        <f t="shared" si="114"/>
        <v>1.2038947085683583E-3</v>
      </c>
      <c r="BS184" s="144">
        <f t="shared" si="97"/>
        <v>2.4435132957292507E-10</v>
      </c>
      <c r="BT184" s="158">
        <f t="shared" si="115"/>
        <v>4.2868654311039479E-6</v>
      </c>
      <c r="BU184" s="144">
        <f t="shared" si="98"/>
        <v>1.668662369057212E-8</v>
      </c>
      <c r="BV184" s="158">
        <f t="shared" si="116"/>
        <v>8.1003027624136501E-7</v>
      </c>
    </row>
    <row r="185" spans="20:74">
      <c r="T185" s="53" t="s">
        <v>189</v>
      </c>
      <c r="U185" s="39" t="s">
        <v>190</v>
      </c>
      <c r="V185" s="155" t="s">
        <v>343</v>
      </c>
      <c r="W185" s="53">
        <v>0.19523199999999999</v>
      </c>
      <c r="X185" s="53">
        <v>34.751345000000001</v>
      </c>
      <c r="Y185" s="53" t="s">
        <v>355</v>
      </c>
      <c r="Z185" s="53" t="s">
        <v>330</v>
      </c>
      <c r="AA185" s="116" t="s">
        <v>347</v>
      </c>
      <c r="AB185" s="154" t="s">
        <v>371</v>
      </c>
      <c r="AC185" s="116" t="s">
        <v>687</v>
      </c>
      <c r="AD185" s="53" t="s">
        <v>364</v>
      </c>
      <c r="AE185" s="53" t="s">
        <v>685</v>
      </c>
      <c r="AF185" s="53" t="s">
        <v>690</v>
      </c>
      <c r="AG185" s="156">
        <v>424.9</v>
      </c>
      <c r="AH185" s="157">
        <v>258.89999999999998</v>
      </c>
      <c r="AI185" s="162">
        <v>1.7446950000000001</v>
      </c>
      <c r="AJ185" s="157">
        <v>179.7</v>
      </c>
      <c r="AK185" s="156">
        <v>1.3129999999999999</v>
      </c>
      <c r="AL185" s="157">
        <v>94.92</v>
      </c>
      <c r="AM185" s="144">
        <f t="shared" si="81"/>
        <v>5.4325114155251144E-3</v>
      </c>
      <c r="AN185" s="158">
        <f t="shared" si="99"/>
        <v>18.108371385083718</v>
      </c>
      <c r="AO185" s="144">
        <f t="shared" si="82"/>
        <v>3.3101369863013691E-3</v>
      </c>
      <c r="AP185" s="158">
        <f t="shared" si="100"/>
        <v>0.91948249619482481</v>
      </c>
      <c r="AQ185" s="144">
        <f t="shared" si="83"/>
        <v>2.2306602739726029E-5</v>
      </c>
      <c r="AR185" s="158">
        <f t="shared" si="101"/>
        <v>7.4355342465753441E-2</v>
      </c>
      <c r="AS185" s="144">
        <f t="shared" si="84"/>
        <v>2.2975342465753421E-3</v>
      </c>
      <c r="AT185" s="158">
        <f t="shared" si="102"/>
        <v>0.76584474885844733</v>
      </c>
      <c r="AU185" s="144">
        <f t="shared" si="85"/>
        <v>1.6787214611872141E-5</v>
      </c>
      <c r="AV185" s="158">
        <f t="shared" si="103"/>
        <v>3.3574429223744283E-2</v>
      </c>
      <c r="AW185" s="144">
        <f t="shared" si="86"/>
        <v>1.2135890410958903E-3</v>
      </c>
      <c r="AX185" s="158">
        <f t="shared" si="104"/>
        <v>6.0679452054794511E-2</v>
      </c>
      <c r="AY185" s="144">
        <f t="shared" si="87"/>
        <v>9.7426659726027401E-5</v>
      </c>
      <c r="AZ185" s="144">
        <f t="shared" si="105"/>
        <v>0.32475553242009136</v>
      </c>
      <c r="BA185" s="144">
        <f t="shared" si="88"/>
        <v>1.9787998904109586E-6</v>
      </c>
      <c r="BB185" s="158">
        <f t="shared" si="106"/>
        <v>5.6537139726027389E-4</v>
      </c>
      <c r="BC185" s="144">
        <f t="shared" si="89"/>
        <v>1.3334887117808221E-8</v>
      </c>
      <c r="BD185" s="158">
        <f t="shared" si="107"/>
        <v>4.4449623726027411E-5</v>
      </c>
      <c r="BE185" s="144">
        <f t="shared" si="90"/>
        <v>1.3734659726027396E-6</v>
      </c>
      <c r="BF185" s="158">
        <f t="shared" si="108"/>
        <v>2.746931945205479E-4</v>
      </c>
      <c r="BG185" s="144">
        <f t="shared" si="91"/>
        <v>1.0035396894977168E-8</v>
      </c>
      <c r="BH185" s="158">
        <f t="shared" si="109"/>
        <v>2.0070793789954336E-5</v>
      </c>
      <c r="BI185" s="144">
        <f t="shared" si="92"/>
        <v>7.2548352876712327E-7</v>
      </c>
      <c r="BJ185" s="158">
        <f t="shared" si="110"/>
        <v>1.295506301369863E-4</v>
      </c>
      <c r="BK185" s="144">
        <f t="shared" si="93"/>
        <v>1.5179076013967231E-7</v>
      </c>
      <c r="BL185" s="158">
        <f t="shared" si="111"/>
        <v>5.0596920046557436E-4</v>
      </c>
      <c r="BM185" s="144">
        <f t="shared" si="94"/>
        <v>9.2489121676067662E-8</v>
      </c>
      <c r="BN185" s="158">
        <f t="shared" si="112"/>
        <v>2.6275318657973765E-5</v>
      </c>
      <c r="BO185" s="144">
        <f t="shared" si="95"/>
        <v>6.2327272360999184E-10</v>
      </c>
      <c r="BP185" s="158">
        <f t="shared" si="113"/>
        <v>7.2473572512789748E-6</v>
      </c>
      <c r="BQ185" s="144">
        <f t="shared" si="96"/>
        <v>6.4195809830781611E-8</v>
      </c>
      <c r="BR185" s="158">
        <f t="shared" si="114"/>
        <v>2.1398603276927201E-3</v>
      </c>
      <c r="BS185" s="144">
        <f t="shared" si="97"/>
        <v>4.6905452591995703E-10</v>
      </c>
      <c r="BT185" s="158">
        <f t="shared" si="115"/>
        <v>8.2290267705255617E-6</v>
      </c>
      <c r="BU185" s="144">
        <f t="shared" si="98"/>
        <v>3.3909105560032231E-8</v>
      </c>
      <c r="BV185" s="158">
        <f t="shared" si="116"/>
        <v>1.6460730854384578E-6</v>
      </c>
    </row>
    <row r="186" spans="20:74">
      <c r="T186" s="53" t="s">
        <v>191</v>
      </c>
      <c r="U186" s="39" t="s">
        <v>192</v>
      </c>
      <c r="V186" s="155" t="s">
        <v>343</v>
      </c>
      <c r="W186" s="53">
        <v>0.19523199999999999</v>
      </c>
      <c r="X186" s="53">
        <v>34.751345000000001</v>
      </c>
      <c r="Y186" s="53" t="s">
        <v>355</v>
      </c>
      <c r="Z186" s="53" t="s">
        <v>330</v>
      </c>
      <c r="AA186" s="116" t="s">
        <v>347</v>
      </c>
      <c r="AB186" s="154" t="s">
        <v>371</v>
      </c>
      <c r="AC186" s="116" t="s">
        <v>687</v>
      </c>
      <c r="AD186" s="53" t="s">
        <v>365</v>
      </c>
      <c r="AE186" s="53" t="s">
        <v>685</v>
      </c>
      <c r="AF186" s="53" t="s">
        <v>691</v>
      </c>
      <c r="AG186" s="156">
        <v>1211.4000000000001</v>
      </c>
      <c r="AH186" s="157">
        <v>224.2</v>
      </c>
      <c r="AI186" s="162">
        <v>3.4227149999999997</v>
      </c>
      <c r="AJ186" s="157">
        <v>273.5</v>
      </c>
      <c r="AK186" s="156">
        <v>0.79800000000000004</v>
      </c>
      <c r="AL186" s="157">
        <v>45.78</v>
      </c>
      <c r="AM186" s="144">
        <f t="shared" si="81"/>
        <v>1.5488219178082196E-2</v>
      </c>
      <c r="AN186" s="158">
        <f t="shared" si="99"/>
        <v>51.627397260273987</v>
      </c>
      <c r="AO186" s="144">
        <f t="shared" si="82"/>
        <v>2.86648401826484E-3</v>
      </c>
      <c r="AP186" s="158">
        <f t="shared" si="100"/>
        <v>0.79624556062912222</v>
      </c>
      <c r="AQ186" s="144">
        <f t="shared" si="83"/>
        <v>4.3760739726027388E-5</v>
      </c>
      <c r="AR186" s="158">
        <f t="shared" si="101"/>
        <v>0.14586913242009131</v>
      </c>
      <c r="AS186" s="144">
        <f t="shared" si="84"/>
        <v>3.4968036529680361E-3</v>
      </c>
      <c r="AT186" s="158">
        <f t="shared" si="102"/>
        <v>1.165601217656012</v>
      </c>
      <c r="AU186" s="144">
        <f t="shared" si="85"/>
        <v>1.0202739726027399E-5</v>
      </c>
      <c r="AV186" s="158">
        <f t="shared" si="103"/>
        <v>2.0405479452054797E-2</v>
      </c>
      <c r="AW186" s="144">
        <f t="shared" si="86"/>
        <v>5.853150684931507E-4</v>
      </c>
      <c r="AX186" s="158">
        <f t="shared" si="104"/>
        <v>2.9265753424657533E-2</v>
      </c>
      <c r="AY186" s="144">
        <f t="shared" si="87"/>
        <v>2.7776572273972605E-4</v>
      </c>
      <c r="AZ186" s="144">
        <f t="shared" si="105"/>
        <v>0.92588574246575361</v>
      </c>
      <c r="BA186" s="144">
        <f t="shared" si="88"/>
        <v>1.7135841461187217E-6</v>
      </c>
      <c r="BB186" s="158">
        <f t="shared" si="106"/>
        <v>4.895954703196348E-4</v>
      </c>
      <c r="BC186" s="144">
        <f t="shared" si="89"/>
        <v>2.6160170208219176E-8</v>
      </c>
      <c r="BD186" s="158">
        <f t="shared" si="107"/>
        <v>8.72005673607306E-5</v>
      </c>
      <c r="BE186" s="144">
        <f t="shared" si="90"/>
        <v>2.0903892237442924E-6</v>
      </c>
      <c r="BF186" s="158">
        <f t="shared" si="108"/>
        <v>4.1807784474885847E-4</v>
      </c>
      <c r="BG186" s="144">
        <f t="shared" si="91"/>
        <v>6.0991978082191775E-9</v>
      </c>
      <c r="BH186" s="158">
        <f t="shared" si="109"/>
        <v>1.2198395616438354E-5</v>
      </c>
      <c r="BI186" s="144">
        <f t="shared" si="92"/>
        <v>3.4990134794520554E-7</v>
      </c>
      <c r="BJ186" s="158">
        <f t="shared" si="110"/>
        <v>6.2482383561643847E-5</v>
      </c>
      <c r="BK186" s="144">
        <f t="shared" si="93"/>
        <v>4.3275906526994359E-7</v>
      </c>
      <c r="BL186" s="158">
        <f t="shared" si="111"/>
        <v>1.4425302175664787E-3</v>
      </c>
      <c r="BM186" s="144">
        <f t="shared" si="94"/>
        <v>8.0092935804458772E-8</v>
      </c>
      <c r="BN186" s="158">
        <f t="shared" si="112"/>
        <v>2.2753674944448513E-5</v>
      </c>
      <c r="BO186" s="144">
        <f t="shared" si="95"/>
        <v>1.2227265511684124E-9</v>
      </c>
      <c r="BP186" s="158">
        <f t="shared" si="113"/>
        <v>1.4217750594981539E-5</v>
      </c>
      <c r="BQ186" s="144">
        <f t="shared" si="96"/>
        <v>9.7704807950577486E-8</v>
      </c>
      <c r="BR186" s="158">
        <f t="shared" si="114"/>
        <v>3.2568269316859159E-3</v>
      </c>
      <c r="BS186" s="144">
        <f t="shared" si="97"/>
        <v>2.8507655116841252E-10</v>
      </c>
      <c r="BT186" s="158">
        <f t="shared" si="115"/>
        <v>5.0013430029546051E-6</v>
      </c>
      <c r="BU186" s="144">
        <f t="shared" si="98"/>
        <v>1.6354391619661565E-8</v>
      </c>
      <c r="BV186" s="158">
        <f t="shared" si="116"/>
        <v>7.9390250580881378E-7</v>
      </c>
    </row>
    <row r="187" spans="20:74">
      <c r="T187" s="53" t="s">
        <v>193</v>
      </c>
      <c r="U187" s="39" t="s">
        <v>194</v>
      </c>
      <c r="V187" s="155" t="s">
        <v>341</v>
      </c>
      <c r="W187" s="53">
        <v>0.22437199999999999</v>
      </c>
      <c r="X187" s="53">
        <v>34.800359999999998</v>
      </c>
      <c r="Y187" s="53" t="s">
        <v>356</v>
      </c>
      <c r="Z187" s="53" t="s">
        <v>330</v>
      </c>
      <c r="AA187" s="116" t="s">
        <v>347</v>
      </c>
      <c r="AB187" s="154" t="s">
        <v>371</v>
      </c>
      <c r="AC187" s="116" t="s">
        <v>687</v>
      </c>
      <c r="AD187" s="53" t="s">
        <v>364</v>
      </c>
      <c r="AE187" s="53" t="s">
        <v>685</v>
      </c>
      <c r="AF187" s="53" t="s">
        <v>690</v>
      </c>
      <c r="AG187" s="156">
        <v>442.1</v>
      </c>
      <c r="AH187" s="157">
        <v>265.5</v>
      </c>
      <c r="AI187" s="162">
        <v>2.1389849999999999</v>
      </c>
      <c r="AJ187" s="157">
        <v>178.7</v>
      </c>
      <c r="AK187" s="156">
        <v>1.39</v>
      </c>
      <c r="AL187" s="157">
        <v>91.52</v>
      </c>
      <c r="AM187" s="144">
        <f t="shared" si="81"/>
        <v>5.6524200913242008E-3</v>
      </c>
      <c r="AN187" s="158">
        <f t="shared" si="99"/>
        <v>18.841400304414005</v>
      </c>
      <c r="AO187" s="144">
        <f t="shared" si="82"/>
        <v>3.3945205479452051E-3</v>
      </c>
      <c r="AP187" s="158">
        <f t="shared" si="100"/>
        <v>0.94292237442922366</v>
      </c>
      <c r="AQ187" s="144">
        <f t="shared" si="83"/>
        <v>2.7347753424657533E-5</v>
      </c>
      <c r="AR187" s="158">
        <f t="shared" si="101"/>
        <v>9.1159178082191789E-2</v>
      </c>
      <c r="AS187" s="144">
        <f t="shared" si="84"/>
        <v>2.2847488584474885E-3</v>
      </c>
      <c r="AT187" s="158">
        <f t="shared" si="102"/>
        <v>0.76158295281582944</v>
      </c>
      <c r="AU187" s="144">
        <f t="shared" si="85"/>
        <v>1.7771689497716893E-5</v>
      </c>
      <c r="AV187" s="158">
        <f t="shared" si="103"/>
        <v>3.5543378995433784E-2</v>
      </c>
      <c r="AW187" s="144">
        <f t="shared" si="86"/>
        <v>1.1701187214611872E-3</v>
      </c>
      <c r="AX187" s="158">
        <f t="shared" si="104"/>
        <v>5.8505936073059359E-2</v>
      </c>
      <c r="AY187" s="144">
        <f t="shared" si="87"/>
        <v>1.0137050191780822E-4</v>
      </c>
      <c r="AZ187" s="144">
        <f t="shared" si="105"/>
        <v>0.33790167305936075</v>
      </c>
      <c r="BA187" s="144">
        <f t="shared" si="88"/>
        <v>2.0292443835616444E-6</v>
      </c>
      <c r="BB187" s="158">
        <f t="shared" si="106"/>
        <v>5.7978410958904126E-4</v>
      </c>
      <c r="BC187" s="144">
        <f t="shared" si="89"/>
        <v>1.634848699726027E-8</v>
      </c>
      <c r="BD187" s="158">
        <f t="shared" si="107"/>
        <v>5.449495665753424E-5</v>
      </c>
      <c r="BE187" s="144">
        <f t="shared" si="90"/>
        <v>1.3658228675799088E-6</v>
      </c>
      <c r="BF187" s="158">
        <f t="shared" si="108"/>
        <v>2.7316457351598172E-4</v>
      </c>
      <c r="BG187" s="144">
        <f t="shared" si="91"/>
        <v>1.0623915981735162E-8</v>
      </c>
      <c r="BH187" s="158">
        <f t="shared" si="109"/>
        <v>2.1247831963470323E-5</v>
      </c>
      <c r="BI187" s="144">
        <f t="shared" si="92"/>
        <v>6.994969716894978E-7</v>
      </c>
      <c r="BJ187" s="158">
        <f t="shared" si="110"/>
        <v>1.2491017351598174E-4</v>
      </c>
      <c r="BK187" s="144">
        <f t="shared" si="93"/>
        <v>1.5793526725758797E-7</v>
      </c>
      <c r="BL187" s="158">
        <f t="shared" si="111"/>
        <v>5.2645089085862659E-4</v>
      </c>
      <c r="BM187" s="144">
        <f t="shared" si="94"/>
        <v>9.4846897663174863E-8</v>
      </c>
      <c r="BN187" s="158">
        <f t="shared" si="112"/>
        <v>2.6945141381583768E-5</v>
      </c>
      <c r="BO187" s="144">
        <f t="shared" si="95"/>
        <v>7.6412840451248989E-10</v>
      </c>
      <c r="BP187" s="158">
        <f t="shared" si="113"/>
        <v>8.8852140059591843E-6</v>
      </c>
      <c r="BQ187" s="144">
        <f t="shared" si="96"/>
        <v>6.3838571044856283E-8</v>
      </c>
      <c r="BR187" s="158">
        <f t="shared" si="114"/>
        <v>2.1279523681618762E-3</v>
      </c>
      <c r="BS187" s="144">
        <f t="shared" si="97"/>
        <v>4.9656191243620719E-10</v>
      </c>
      <c r="BT187" s="158">
        <f t="shared" si="115"/>
        <v>8.7116124988808278E-6</v>
      </c>
      <c r="BU187" s="144">
        <f t="shared" si="98"/>
        <v>3.2694493687886107E-8</v>
      </c>
      <c r="BV187" s="158">
        <f t="shared" si="116"/>
        <v>1.587111344072141E-6</v>
      </c>
    </row>
    <row r="188" spans="20:74">
      <c r="T188" s="53" t="s">
        <v>195</v>
      </c>
      <c r="U188" s="39" t="s">
        <v>196</v>
      </c>
      <c r="V188" s="155" t="s">
        <v>341</v>
      </c>
      <c r="W188" s="53">
        <v>0.22437199999999999</v>
      </c>
      <c r="X188" s="53">
        <v>34.800359999999998</v>
      </c>
      <c r="Y188" s="53" t="s">
        <v>356</v>
      </c>
      <c r="Z188" s="53" t="s">
        <v>330</v>
      </c>
      <c r="AA188" s="116" t="s">
        <v>347</v>
      </c>
      <c r="AB188" s="154" t="s">
        <v>371</v>
      </c>
      <c r="AC188" s="116" t="s">
        <v>687</v>
      </c>
      <c r="AD188" s="53" t="s">
        <v>367</v>
      </c>
      <c r="AE188" s="53" t="s">
        <v>684</v>
      </c>
      <c r="AF188" s="53" t="s">
        <v>683</v>
      </c>
      <c r="AG188" s="156">
        <v>39.299999999999997</v>
      </c>
      <c r="AH188" s="157">
        <v>18.100000000000001</v>
      </c>
      <c r="AI188" s="162">
        <v>0.24368499999999998</v>
      </c>
      <c r="AJ188" s="157">
        <v>319.7</v>
      </c>
      <c r="AK188" s="156">
        <v>0.17399999999999999</v>
      </c>
      <c r="AL188" s="157">
        <v>76.709999999999994</v>
      </c>
      <c r="AM188" s="144">
        <f t="shared" si="81"/>
        <v>5.0246575342465741E-4</v>
      </c>
      <c r="AN188" s="158">
        <f t="shared" si="99"/>
        <v>1.6748858447488582</v>
      </c>
      <c r="AO188" s="144">
        <f t="shared" si="82"/>
        <v>2.3141552511415529E-4</v>
      </c>
      <c r="AP188" s="158">
        <f t="shared" si="100"/>
        <v>6.4282090309487588E-2</v>
      </c>
      <c r="AQ188" s="144">
        <f t="shared" si="83"/>
        <v>3.1156073059360722E-6</v>
      </c>
      <c r="AR188" s="158">
        <f t="shared" si="101"/>
        <v>1.0385357686453574E-2</v>
      </c>
      <c r="AS188" s="144">
        <f t="shared" si="84"/>
        <v>4.0874885844748863E-3</v>
      </c>
      <c r="AT188" s="158">
        <f t="shared" si="102"/>
        <v>1.3624961948249621</v>
      </c>
      <c r="AU188" s="144">
        <f t="shared" si="85"/>
        <v>2.2246575342465746E-6</v>
      </c>
      <c r="AV188" s="158">
        <f t="shared" si="103"/>
        <v>4.4493150684931492E-3</v>
      </c>
      <c r="AW188" s="144">
        <f t="shared" si="86"/>
        <v>9.8076712328767088E-4</v>
      </c>
      <c r="AX188" s="158">
        <f t="shared" si="104"/>
        <v>4.903835616438354E-2</v>
      </c>
      <c r="AY188" s="144">
        <f t="shared" si="87"/>
        <v>9.0112208219178062E-6</v>
      </c>
      <c r="AZ188" s="144">
        <f t="shared" si="105"/>
        <v>3.0037402739726025E-2</v>
      </c>
      <c r="BA188" s="144">
        <f t="shared" si="88"/>
        <v>1.3834020091324204E-7</v>
      </c>
      <c r="BB188" s="158">
        <f t="shared" si="106"/>
        <v>3.9525771689497722E-5</v>
      </c>
      <c r="BC188" s="144">
        <f t="shared" si="89"/>
        <v>1.8625100474885846E-9</v>
      </c>
      <c r="BD188" s="158">
        <f t="shared" si="107"/>
        <v>6.2083668249619487E-6</v>
      </c>
      <c r="BE188" s="144">
        <f t="shared" si="90"/>
        <v>2.4435006757990871E-6</v>
      </c>
      <c r="BF188" s="158">
        <f t="shared" si="108"/>
        <v>4.8870013515981737E-4</v>
      </c>
      <c r="BG188" s="144">
        <f t="shared" si="91"/>
        <v>1.3299002739726026E-9</v>
      </c>
      <c r="BH188" s="158">
        <f t="shared" si="109"/>
        <v>2.6598005479452052E-6</v>
      </c>
      <c r="BI188" s="144">
        <f t="shared" si="92"/>
        <v>5.8630258630136994E-7</v>
      </c>
      <c r="BJ188" s="158">
        <f t="shared" si="110"/>
        <v>1.0469689041095892E-4</v>
      </c>
      <c r="BK188" s="144">
        <f t="shared" si="93"/>
        <v>1.4039484286865429E-8</v>
      </c>
      <c r="BL188" s="158">
        <f t="shared" si="111"/>
        <v>4.6798280956218097E-5</v>
      </c>
      <c r="BM188" s="144">
        <f t="shared" si="94"/>
        <v>6.4660220252484559E-9</v>
      </c>
      <c r="BN188" s="158">
        <f t="shared" si="112"/>
        <v>1.8369380753546748E-6</v>
      </c>
      <c r="BO188" s="144">
        <f t="shared" si="95"/>
        <v>8.7053733548213798E-11</v>
      </c>
      <c r="BP188" s="158">
        <f t="shared" si="113"/>
        <v>1.0122527156769046E-6</v>
      </c>
      <c r="BQ188" s="144">
        <f t="shared" si="96"/>
        <v>1.1420923986032767E-7</v>
      </c>
      <c r="BR188" s="158">
        <f t="shared" si="114"/>
        <v>3.8069746620109221E-3</v>
      </c>
      <c r="BS188" s="144">
        <f t="shared" si="97"/>
        <v>6.2159548751007236E-11</v>
      </c>
      <c r="BT188" s="158">
        <f t="shared" si="115"/>
        <v>1.0905183991404778E-6</v>
      </c>
      <c r="BU188" s="144">
        <f t="shared" si="98"/>
        <v>2.7403787268331991E-8</v>
      </c>
      <c r="BV188" s="158">
        <f t="shared" si="116"/>
        <v>1.3302809353559219E-6</v>
      </c>
    </row>
    <row r="189" spans="20:74">
      <c r="T189" s="53" t="s">
        <v>197</v>
      </c>
      <c r="U189" s="39" t="s">
        <v>198</v>
      </c>
      <c r="V189" s="155" t="s">
        <v>341</v>
      </c>
      <c r="W189" s="53">
        <v>0.224914</v>
      </c>
      <c r="X189" s="53">
        <v>34.799691000000003</v>
      </c>
      <c r="Y189" s="53" t="s">
        <v>356</v>
      </c>
      <c r="Z189" s="53" t="s">
        <v>330</v>
      </c>
      <c r="AA189" s="116" t="s">
        <v>347</v>
      </c>
      <c r="AB189" s="154" t="s">
        <v>371</v>
      </c>
      <c r="AC189" s="116" t="s">
        <v>687</v>
      </c>
      <c r="AD189" s="53" t="s">
        <v>366</v>
      </c>
      <c r="AE189" s="53" t="s">
        <v>684</v>
      </c>
      <c r="AF189" s="53" t="s">
        <v>683</v>
      </c>
      <c r="AG189" s="156">
        <v>36.799999999999997</v>
      </c>
      <c r="AH189" s="157">
        <v>8.5</v>
      </c>
      <c r="AI189" s="162">
        <v>5.1894999999999997E-2</v>
      </c>
      <c r="AJ189" s="157">
        <v>190.6</v>
      </c>
      <c r="AK189" s="156">
        <v>8.5000000000000006E-2</v>
      </c>
      <c r="AL189" s="157">
        <v>95.66</v>
      </c>
      <c r="AM189" s="144">
        <f t="shared" si="81"/>
        <v>4.7050228310502269E-4</v>
      </c>
      <c r="AN189" s="158">
        <f t="shared" si="99"/>
        <v>1.568340943683409</v>
      </c>
      <c r="AO189" s="144">
        <f t="shared" si="82"/>
        <v>1.0867579908675798E-4</v>
      </c>
      <c r="AP189" s="158">
        <f t="shared" si="100"/>
        <v>3.0187721968543885E-2</v>
      </c>
      <c r="AQ189" s="144">
        <f t="shared" si="83"/>
        <v>6.6349771689497708E-7</v>
      </c>
      <c r="AR189" s="158">
        <f t="shared" si="101"/>
        <v>2.2116590563165906E-3</v>
      </c>
      <c r="AS189" s="144">
        <f t="shared" si="84"/>
        <v>2.4368949771689497E-3</v>
      </c>
      <c r="AT189" s="158">
        <f t="shared" si="102"/>
        <v>0.81229832572298322</v>
      </c>
      <c r="AU189" s="144">
        <f t="shared" si="85"/>
        <v>1.0867579908675798E-6</v>
      </c>
      <c r="AV189" s="158">
        <f t="shared" si="103"/>
        <v>2.1735159817351597E-3</v>
      </c>
      <c r="AW189" s="144">
        <f t="shared" si="86"/>
        <v>1.2230502283105023E-3</v>
      </c>
      <c r="AX189" s="158">
        <f t="shared" si="104"/>
        <v>6.1152511415525114E-2</v>
      </c>
      <c r="AY189" s="144">
        <f t="shared" si="87"/>
        <v>8.4379879452054776E-6</v>
      </c>
      <c r="AZ189" s="144">
        <f t="shared" si="105"/>
        <v>2.8126626484018261E-2</v>
      </c>
      <c r="BA189" s="144">
        <f t="shared" si="88"/>
        <v>6.4966392694063926E-8</v>
      </c>
      <c r="BB189" s="158">
        <f t="shared" si="106"/>
        <v>1.8561826484018265E-5</v>
      </c>
      <c r="BC189" s="144">
        <f t="shared" si="89"/>
        <v>3.9663893515981739E-10</v>
      </c>
      <c r="BD189" s="158">
        <f t="shared" si="107"/>
        <v>1.3221297838660581E-6</v>
      </c>
      <c r="BE189" s="144">
        <f t="shared" si="90"/>
        <v>1.4567758173515983E-6</v>
      </c>
      <c r="BF189" s="158">
        <f t="shared" si="108"/>
        <v>2.9135516347031967E-4</v>
      </c>
      <c r="BG189" s="144">
        <f t="shared" si="91"/>
        <v>6.4966392694063925E-10</v>
      </c>
      <c r="BH189" s="158">
        <f t="shared" si="109"/>
        <v>1.2993278538812784E-6</v>
      </c>
      <c r="BI189" s="144">
        <f t="shared" si="92"/>
        <v>7.3113942648401829E-7</v>
      </c>
      <c r="BJ189" s="158">
        <f t="shared" si="110"/>
        <v>1.3056061187214613E-4</v>
      </c>
      <c r="BK189" s="144">
        <f t="shared" si="93"/>
        <v>1.3146387322052106E-8</v>
      </c>
      <c r="BL189" s="158">
        <f t="shared" si="111"/>
        <v>4.3821291073507026E-5</v>
      </c>
      <c r="BM189" s="144">
        <f t="shared" si="94"/>
        <v>3.0365296803652961E-9</v>
      </c>
      <c r="BN189" s="158">
        <f t="shared" si="112"/>
        <v>8.626504773765045E-7</v>
      </c>
      <c r="BO189" s="144">
        <f t="shared" si="95"/>
        <v>1.8538906795594947E-11</v>
      </c>
      <c r="BP189" s="158">
        <f t="shared" si="113"/>
        <v>2.1556868366970867E-7</v>
      </c>
      <c r="BQ189" s="144">
        <f t="shared" si="96"/>
        <v>6.808971259736772E-8</v>
      </c>
      <c r="BR189" s="158">
        <f t="shared" si="114"/>
        <v>2.2696570865789237E-3</v>
      </c>
      <c r="BS189" s="144">
        <f t="shared" si="97"/>
        <v>3.0365296803652965E-11</v>
      </c>
      <c r="BT189" s="158">
        <f t="shared" si="115"/>
        <v>5.3272450532724499E-7</v>
      </c>
      <c r="BU189" s="144">
        <f t="shared" si="98"/>
        <v>3.4173462261616971E-8</v>
      </c>
      <c r="BV189" s="158">
        <f t="shared" si="116"/>
        <v>1.65890593502995E-6</v>
      </c>
    </row>
    <row r="190" spans="20:74">
      <c r="T190" s="53" t="s">
        <v>199</v>
      </c>
      <c r="U190" s="39" t="s">
        <v>200</v>
      </c>
      <c r="V190" s="155" t="s">
        <v>341</v>
      </c>
      <c r="W190" s="53">
        <v>0.224914</v>
      </c>
      <c r="X190" s="53">
        <v>34.799691000000003</v>
      </c>
      <c r="Y190" s="53" t="s">
        <v>356</v>
      </c>
      <c r="Z190" s="53" t="s">
        <v>330</v>
      </c>
      <c r="AA190" s="116" t="s">
        <v>347</v>
      </c>
      <c r="AB190" s="154" t="s">
        <v>371</v>
      </c>
      <c r="AC190" s="116" t="s">
        <v>687</v>
      </c>
      <c r="AD190" s="53" t="s">
        <v>367</v>
      </c>
      <c r="AE190" s="53" t="s">
        <v>684</v>
      </c>
      <c r="AF190" s="53" t="s">
        <v>683</v>
      </c>
      <c r="AG190" s="156">
        <v>45.5</v>
      </c>
      <c r="AH190" s="157">
        <v>8.6</v>
      </c>
      <c r="AI190" s="162">
        <v>7.5795000000000001E-2</v>
      </c>
      <c r="AJ190" s="157">
        <v>210.8</v>
      </c>
      <c r="AK190" s="156">
        <v>7.1999999999999995E-2</v>
      </c>
      <c r="AL190" s="157">
        <v>93.97</v>
      </c>
      <c r="AM190" s="144">
        <f t="shared" si="81"/>
        <v>5.8173515981735163E-4</v>
      </c>
      <c r="AN190" s="158">
        <f t="shared" si="99"/>
        <v>1.9391171993911722</v>
      </c>
      <c r="AO190" s="144">
        <f t="shared" si="82"/>
        <v>1.0995433789954337E-4</v>
      </c>
      <c r="AP190" s="158">
        <f t="shared" si="100"/>
        <v>3.0542871638762049E-2</v>
      </c>
      <c r="AQ190" s="144">
        <f t="shared" si="83"/>
        <v>9.6906849315068496E-7</v>
      </c>
      <c r="AR190" s="158">
        <f t="shared" si="101"/>
        <v>3.2302283105022835E-3</v>
      </c>
      <c r="AS190" s="144">
        <f t="shared" si="84"/>
        <v>2.6951598173515982E-3</v>
      </c>
      <c r="AT190" s="158">
        <f t="shared" si="102"/>
        <v>0.89838660578386609</v>
      </c>
      <c r="AU190" s="144">
        <f t="shared" si="85"/>
        <v>9.2054794520547927E-7</v>
      </c>
      <c r="AV190" s="158">
        <f t="shared" si="103"/>
        <v>1.8410958904109586E-3</v>
      </c>
      <c r="AW190" s="144">
        <f t="shared" si="86"/>
        <v>1.2014429223744291E-3</v>
      </c>
      <c r="AX190" s="158">
        <f t="shared" si="104"/>
        <v>6.0072146118721449E-2</v>
      </c>
      <c r="AY190" s="144">
        <f t="shared" si="87"/>
        <v>1.0432838356164383E-5</v>
      </c>
      <c r="AZ190" s="144">
        <f t="shared" si="105"/>
        <v>3.4776127853881282E-2</v>
      </c>
      <c r="BA190" s="144">
        <f t="shared" si="88"/>
        <v>6.5730703196347044E-8</v>
      </c>
      <c r="BB190" s="158">
        <f t="shared" si="106"/>
        <v>1.8780200913242013E-5</v>
      </c>
      <c r="BC190" s="144">
        <f t="shared" si="89"/>
        <v>5.7930914520547958E-10</v>
      </c>
      <c r="BD190" s="158">
        <f t="shared" si="107"/>
        <v>1.9310304840182653E-6</v>
      </c>
      <c r="BE190" s="144">
        <f t="shared" si="90"/>
        <v>1.6111665388127854E-6</v>
      </c>
      <c r="BF190" s="158">
        <f t="shared" si="108"/>
        <v>3.2223330776255709E-4</v>
      </c>
      <c r="BG190" s="144">
        <f t="shared" si="91"/>
        <v>5.5030356164383575E-10</v>
      </c>
      <c r="BH190" s="158">
        <f t="shared" si="109"/>
        <v>1.1006071232876714E-6</v>
      </c>
      <c r="BI190" s="144">
        <f t="shared" si="92"/>
        <v>7.1822257899543398E-7</v>
      </c>
      <c r="BJ190" s="158">
        <f t="shared" si="110"/>
        <v>1.2825403196347035E-4</v>
      </c>
      <c r="BK190" s="144">
        <f t="shared" si="93"/>
        <v>1.6254364759602473E-8</v>
      </c>
      <c r="BL190" s="158">
        <f t="shared" si="111"/>
        <v>5.4181215865341581E-5</v>
      </c>
      <c r="BM190" s="144">
        <f t="shared" si="94"/>
        <v>3.0722535589578295E-9</v>
      </c>
      <c r="BN190" s="158">
        <f t="shared" si="112"/>
        <v>8.7279930652211064E-7</v>
      </c>
      <c r="BO190" s="144">
        <f t="shared" si="95"/>
        <v>2.7076913779210312E-11</v>
      </c>
      <c r="BP190" s="158">
        <f t="shared" si="113"/>
        <v>3.1484783464198037E-7</v>
      </c>
      <c r="BQ190" s="144">
        <f t="shared" si="96"/>
        <v>7.5305936073059363E-8</v>
      </c>
      <c r="BR190" s="158">
        <f t="shared" si="114"/>
        <v>2.5101978691019788E-3</v>
      </c>
      <c r="BS190" s="144">
        <f t="shared" si="97"/>
        <v>2.5721192586623688E-11</v>
      </c>
      <c r="BT190" s="158">
        <f t="shared" si="115"/>
        <v>4.51248992747784E-7</v>
      </c>
      <c r="BU190" s="144">
        <f t="shared" si="98"/>
        <v>3.3569728713403171E-8</v>
      </c>
      <c r="BV190" s="158">
        <f t="shared" si="116"/>
        <v>1.6295984812331637E-6</v>
      </c>
    </row>
    <row r="191" spans="20:74">
      <c r="T191" s="53" t="s">
        <v>201</v>
      </c>
      <c r="U191" s="39" t="s">
        <v>202</v>
      </c>
      <c r="V191" s="155" t="s">
        <v>341</v>
      </c>
      <c r="W191" s="53">
        <v>0.21770700000000001</v>
      </c>
      <c r="X191" s="53">
        <v>34.802644000000001</v>
      </c>
      <c r="Y191" s="53" t="s">
        <v>356</v>
      </c>
      <c r="Z191" s="53" t="s">
        <v>330</v>
      </c>
      <c r="AA191" s="116" t="s">
        <v>347</v>
      </c>
      <c r="AB191" s="154" t="s">
        <v>371</v>
      </c>
      <c r="AC191" s="116" t="s">
        <v>687</v>
      </c>
      <c r="AD191" s="53" t="s">
        <v>365</v>
      </c>
      <c r="AE191" s="53" t="s">
        <v>685</v>
      </c>
      <c r="AF191" s="53" t="s">
        <v>691</v>
      </c>
      <c r="AG191" s="156">
        <v>51.4</v>
      </c>
      <c r="AH191" s="157">
        <v>27.8</v>
      </c>
      <c r="AI191" s="162">
        <v>0.35456499999999996</v>
      </c>
      <c r="AJ191" s="157">
        <v>67.099999999999994</v>
      </c>
      <c r="AK191" s="156">
        <v>0.127</v>
      </c>
      <c r="AL191" s="157">
        <v>9.07</v>
      </c>
      <c r="AM191" s="144">
        <f t="shared" si="81"/>
        <v>6.5716894977168943E-4</v>
      </c>
      <c r="AN191" s="158">
        <f t="shared" si="99"/>
        <v>2.1905631659056315</v>
      </c>
      <c r="AO191" s="144">
        <f t="shared" si="82"/>
        <v>3.5543378995433789E-4</v>
      </c>
      <c r="AP191" s="158">
        <f t="shared" si="100"/>
        <v>9.8731608320649422E-2</v>
      </c>
      <c r="AQ191" s="144">
        <f t="shared" si="83"/>
        <v>4.5332511415525102E-6</v>
      </c>
      <c r="AR191" s="158">
        <f t="shared" si="101"/>
        <v>1.5110837138508368E-2</v>
      </c>
      <c r="AS191" s="144">
        <f t="shared" si="84"/>
        <v>8.5789954337899519E-4</v>
      </c>
      <c r="AT191" s="158">
        <f t="shared" si="102"/>
        <v>0.28596651445966503</v>
      </c>
      <c r="AU191" s="144">
        <f t="shared" si="85"/>
        <v>1.6237442922374428E-6</v>
      </c>
      <c r="AV191" s="158">
        <f t="shared" si="103"/>
        <v>3.2474885844748854E-3</v>
      </c>
      <c r="AW191" s="144">
        <f t="shared" si="86"/>
        <v>1.1596347031963469E-4</v>
      </c>
      <c r="AX191" s="158">
        <f t="shared" si="104"/>
        <v>5.7981735159817341E-3</v>
      </c>
      <c r="AY191" s="144">
        <f t="shared" si="87"/>
        <v>1.1785667945205478E-5</v>
      </c>
      <c r="AZ191" s="144">
        <f t="shared" si="105"/>
        <v>3.9285559817351594E-2</v>
      </c>
      <c r="BA191" s="144">
        <f t="shared" si="88"/>
        <v>2.1247831963470325E-7</v>
      </c>
      <c r="BB191" s="158">
        <f t="shared" si="106"/>
        <v>6.070809132420093E-5</v>
      </c>
      <c r="BC191" s="144">
        <f t="shared" si="89"/>
        <v>2.7099775324200916E-9</v>
      </c>
      <c r="BD191" s="158">
        <f t="shared" si="107"/>
        <v>9.033258441400306E-6</v>
      </c>
      <c r="BE191" s="144">
        <f t="shared" si="90"/>
        <v>5.1285234703196335E-7</v>
      </c>
      <c r="BF191" s="158">
        <f t="shared" si="108"/>
        <v>1.0257046940639266E-4</v>
      </c>
      <c r="BG191" s="144">
        <f t="shared" si="91"/>
        <v>9.7067433789954339E-10</v>
      </c>
      <c r="BH191" s="158">
        <f t="shared" si="109"/>
        <v>1.9413486757990867E-6</v>
      </c>
      <c r="BI191" s="144">
        <f t="shared" si="92"/>
        <v>6.9322962557077621E-8</v>
      </c>
      <c r="BJ191" s="158">
        <f t="shared" si="110"/>
        <v>1.2379100456621004E-5</v>
      </c>
      <c r="BK191" s="144">
        <f t="shared" si="93"/>
        <v>1.8362073596561913E-8</v>
      </c>
      <c r="BL191" s="158">
        <f t="shared" si="111"/>
        <v>6.120691198853971E-5</v>
      </c>
      <c r="BM191" s="144">
        <f t="shared" si="94"/>
        <v>9.9312382487241471E-9</v>
      </c>
      <c r="BN191" s="158">
        <f t="shared" si="112"/>
        <v>2.8213745024784506E-6</v>
      </c>
      <c r="BO191" s="144">
        <f t="shared" si="95"/>
        <v>1.2666437013161429E-10</v>
      </c>
      <c r="BP191" s="158">
        <f t="shared" si="113"/>
        <v>1.4728415131583056E-6</v>
      </c>
      <c r="BQ191" s="144">
        <f t="shared" si="96"/>
        <v>2.3970722535589574E-8</v>
      </c>
      <c r="BR191" s="158">
        <f t="shared" si="114"/>
        <v>7.9902408451965241E-4</v>
      </c>
      <c r="BS191" s="144">
        <f t="shared" si="97"/>
        <v>4.5369325812516786E-11</v>
      </c>
      <c r="BT191" s="158">
        <f t="shared" si="115"/>
        <v>7.9595308443011904E-7</v>
      </c>
      <c r="BU191" s="144">
        <f t="shared" si="98"/>
        <v>3.2401557883427347E-9</v>
      </c>
      <c r="BV191" s="158">
        <f t="shared" si="116"/>
        <v>1.572891159389677E-7</v>
      </c>
    </row>
    <row r="192" spans="20:74">
      <c r="T192" s="53" t="s">
        <v>203</v>
      </c>
      <c r="U192" s="39" t="s">
        <v>204</v>
      </c>
      <c r="V192" s="155" t="s">
        <v>341</v>
      </c>
      <c r="W192" s="53">
        <v>0.21768199999999999</v>
      </c>
      <c r="X192" s="53">
        <v>34.802346</v>
      </c>
      <c r="Y192" s="53" t="s">
        <v>356</v>
      </c>
      <c r="Z192" s="53" t="s">
        <v>330</v>
      </c>
      <c r="AA192" s="116" t="s">
        <v>347</v>
      </c>
      <c r="AB192" s="154" t="s">
        <v>371</v>
      </c>
      <c r="AC192" s="116" t="s">
        <v>687</v>
      </c>
      <c r="AD192" s="53" t="s">
        <v>367</v>
      </c>
      <c r="AE192" s="53" t="s">
        <v>684</v>
      </c>
      <c r="AF192" s="53" t="s">
        <v>683</v>
      </c>
      <c r="AG192" s="156">
        <v>11.5</v>
      </c>
      <c r="AH192" s="157">
        <v>17.100000000000001</v>
      </c>
      <c r="AI192" s="162">
        <v>0.45981499999999997</v>
      </c>
      <c r="AJ192" s="157">
        <v>55.5</v>
      </c>
      <c r="AK192" s="156">
        <v>9.2999999999999999E-2</v>
      </c>
      <c r="AL192" s="157">
        <v>15.18</v>
      </c>
      <c r="AM192" s="144">
        <f t="shared" si="81"/>
        <v>1.4703196347031963E-4</v>
      </c>
      <c r="AN192" s="158">
        <f t="shared" si="99"/>
        <v>0.49010654490106548</v>
      </c>
      <c r="AO192" s="144">
        <f t="shared" si="82"/>
        <v>2.1863013698630141E-4</v>
      </c>
      <c r="AP192" s="158">
        <f t="shared" si="100"/>
        <v>6.0730593607305948E-2</v>
      </c>
      <c r="AQ192" s="144">
        <f t="shared" si="83"/>
        <v>5.8789132420091311E-6</v>
      </c>
      <c r="AR192" s="158">
        <f t="shared" si="101"/>
        <v>1.9596377473363773E-2</v>
      </c>
      <c r="AS192" s="144">
        <f t="shared" si="84"/>
        <v>7.0958904109589042E-4</v>
      </c>
      <c r="AT192" s="158">
        <f t="shared" si="102"/>
        <v>0.23652968036529681</v>
      </c>
      <c r="AU192" s="144">
        <f t="shared" si="85"/>
        <v>1.1890410958904111E-6</v>
      </c>
      <c r="AV192" s="158">
        <f t="shared" si="103"/>
        <v>2.3780821917808222E-3</v>
      </c>
      <c r="AW192" s="144">
        <f t="shared" si="86"/>
        <v>1.940821917808219E-4</v>
      </c>
      <c r="AX192" s="158">
        <f t="shared" si="104"/>
        <v>9.7041095890410944E-3</v>
      </c>
      <c r="AY192" s="144">
        <f t="shared" si="87"/>
        <v>2.6368712328767125E-6</v>
      </c>
      <c r="AZ192" s="144">
        <f t="shared" si="105"/>
        <v>8.789570776255709E-3</v>
      </c>
      <c r="BA192" s="144">
        <f t="shared" si="88"/>
        <v>1.3069709589041096E-7</v>
      </c>
      <c r="BB192" s="158">
        <f t="shared" si="106"/>
        <v>3.7342027397260271E-5</v>
      </c>
      <c r="BC192" s="144">
        <f t="shared" si="89"/>
        <v>3.5144143360730593E-9</v>
      </c>
      <c r="BD192" s="158">
        <f t="shared" si="107"/>
        <v>1.1714714453576865E-5</v>
      </c>
      <c r="BE192" s="144">
        <f t="shared" si="90"/>
        <v>4.2419232876712335E-7</v>
      </c>
      <c r="BF192" s="158">
        <f t="shared" si="108"/>
        <v>8.4838465753424668E-5</v>
      </c>
      <c r="BG192" s="144">
        <f t="shared" si="91"/>
        <v>7.1080876712328757E-10</v>
      </c>
      <c r="BH192" s="158">
        <f t="shared" si="109"/>
        <v>1.421617534246575E-6</v>
      </c>
      <c r="BI192" s="144">
        <f t="shared" si="92"/>
        <v>1.1602233424657535E-7</v>
      </c>
      <c r="BJ192" s="158">
        <f t="shared" si="110"/>
        <v>2.0718273972602743E-5</v>
      </c>
      <c r="BK192" s="144">
        <f t="shared" si="93"/>
        <v>4.1082460381412833E-9</v>
      </c>
      <c r="BL192" s="158">
        <f t="shared" si="111"/>
        <v>1.3694153460470946E-5</v>
      </c>
      <c r="BM192" s="144">
        <f t="shared" si="94"/>
        <v>6.1087832393231264E-9</v>
      </c>
      <c r="BN192" s="158">
        <f t="shared" si="112"/>
        <v>1.7354497838986153E-6</v>
      </c>
      <c r="BO192" s="144">
        <f t="shared" si="95"/>
        <v>1.6426375235025516E-10</v>
      </c>
      <c r="BP192" s="158">
        <f t="shared" si="113"/>
        <v>1.9100436319797112E-6</v>
      </c>
      <c r="BQ192" s="144">
        <f t="shared" si="96"/>
        <v>1.9826752618855757E-8</v>
      </c>
      <c r="BR192" s="158">
        <f t="shared" si="114"/>
        <v>6.6089175396185859E-4</v>
      </c>
      <c r="BS192" s="144">
        <f t="shared" si="97"/>
        <v>3.3223207091055602E-11</v>
      </c>
      <c r="BT192" s="158">
        <f t="shared" si="115"/>
        <v>5.8286328229922102E-7</v>
      </c>
      <c r="BU192" s="144">
        <f t="shared" si="98"/>
        <v>5.4228847703464945E-9</v>
      </c>
      <c r="BV192" s="158">
        <f t="shared" si="116"/>
        <v>2.6324683351196575E-7</v>
      </c>
    </row>
    <row r="193" spans="20:74">
      <c r="T193" s="53" t="s">
        <v>205</v>
      </c>
      <c r="U193" s="39" t="s">
        <v>206</v>
      </c>
      <c r="V193" s="155" t="s">
        <v>341</v>
      </c>
      <c r="W193" s="53">
        <v>0.21768199999999999</v>
      </c>
      <c r="X193" s="53">
        <v>34.802346</v>
      </c>
      <c r="Y193" s="53" t="s">
        <v>356</v>
      </c>
      <c r="Z193" s="53" t="s">
        <v>330</v>
      </c>
      <c r="AA193" s="116" t="s">
        <v>347</v>
      </c>
      <c r="AB193" s="154" t="s">
        <v>371</v>
      </c>
      <c r="AC193" s="116" t="s">
        <v>687</v>
      </c>
      <c r="AD193" s="53" t="s">
        <v>361</v>
      </c>
      <c r="AE193" s="53" t="s">
        <v>685</v>
      </c>
      <c r="AF193" s="53" t="s">
        <v>690</v>
      </c>
      <c r="AG193" s="156">
        <v>44.5</v>
      </c>
      <c r="AH193" s="157">
        <v>36.299999999999997</v>
      </c>
      <c r="AI193" s="162">
        <v>1.5039950000000002</v>
      </c>
      <c r="AJ193" s="157">
        <v>112.5</v>
      </c>
      <c r="AK193" s="156">
        <v>0.11600000000000001</v>
      </c>
      <c r="AL193" s="157">
        <v>17.73</v>
      </c>
      <c r="AM193" s="144">
        <f t="shared" si="81"/>
        <v>5.6894977168949769E-4</v>
      </c>
      <c r="AN193" s="158">
        <f t="shared" si="99"/>
        <v>1.8964992389649924</v>
      </c>
      <c r="AO193" s="144">
        <f t="shared" si="82"/>
        <v>4.6410958904109572E-4</v>
      </c>
      <c r="AP193" s="158">
        <f t="shared" si="100"/>
        <v>0.12891933028919325</v>
      </c>
      <c r="AQ193" s="144">
        <f t="shared" si="83"/>
        <v>1.9229159817351598E-5</v>
      </c>
      <c r="AR193" s="158">
        <f t="shared" si="101"/>
        <v>6.4097199391172005E-2</v>
      </c>
      <c r="AS193" s="144">
        <f t="shared" si="84"/>
        <v>1.4383561643835617E-3</v>
      </c>
      <c r="AT193" s="158">
        <f t="shared" si="102"/>
        <v>0.47945205479452052</v>
      </c>
      <c r="AU193" s="144">
        <f t="shared" si="85"/>
        <v>1.4831050228310503E-6</v>
      </c>
      <c r="AV193" s="158">
        <f t="shared" si="103"/>
        <v>2.9662100456621008E-3</v>
      </c>
      <c r="AW193" s="144">
        <f t="shared" si="86"/>
        <v>2.266849315068493E-4</v>
      </c>
      <c r="AX193" s="158">
        <f t="shared" si="104"/>
        <v>1.1334246575342466E-2</v>
      </c>
      <c r="AY193" s="144">
        <f t="shared" si="87"/>
        <v>1.020354520547945E-5</v>
      </c>
      <c r="AZ193" s="144">
        <f t="shared" si="105"/>
        <v>3.4011817351598174E-2</v>
      </c>
      <c r="BA193" s="144">
        <f t="shared" si="88"/>
        <v>2.7744471232876707E-7</v>
      </c>
      <c r="BB193" s="158">
        <f t="shared" si="106"/>
        <v>7.9269917808219158E-5</v>
      </c>
      <c r="BC193" s="144">
        <f t="shared" si="89"/>
        <v>1.1495191738812788E-8</v>
      </c>
      <c r="BD193" s="158">
        <f t="shared" si="107"/>
        <v>3.8317305796042628E-5</v>
      </c>
      <c r="BE193" s="144">
        <f t="shared" si="90"/>
        <v>8.5984931506849317E-7</v>
      </c>
      <c r="BF193" s="158">
        <f t="shared" si="108"/>
        <v>1.7196986301369862E-4</v>
      </c>
      <c r="BG193" s="144">
        <f t="shared" si="91"/>
        <v>8.8660018264840215E-10</v>
      </c>
      <c r="BH193" s="158">
        <f t="shared" si="109"/>
        <v>1.7732003652968043E-6</v>
      </c>
      <c r="BI193" s="144">
        <f t="shared" si="92"/>
        <v>1.3551225205479453E-7</v>
      </c>
      <c r="BJ193" s="158">
        <f t="shared" si="110"/>
        <v>2.4198616438356165E-5</v>
      </c>
      <c r="BK193" s="144">
        <f t="shared" si="93"/>
        <v>1.5897125973677141E-8</v>
      </c>
      <c r="BL193" s="158">
        <f t="shared" si="111"/>
        <v>5.2990419912257146E-5</v>
      </c>
      <c r="BM193" s="144">
        <f t="shared" si="94"/>
        <v>1.2967767929089442E-8</v>
      </c>
      <c r="BN193" s="158">
        <f t="shared" si="112"/>
        <v>3.6840249798549551E-6</v>
      </c>
      <c r="BO193" s="144">
        <f t="shared" si="95"/>
        <v>5.3728534783776526E-10</v>
      </c>
      <c r="BP193" s="158">
        <f t="shared" si="113"/>
        <v>6.247504044625177E-6</v>
      </c>
      <c r="BQ193" s="144">
        <f t="shared" si="96"/>
        <v>4.0189363416599513E-8</v>
      </c>
      <c r="BR193" s="158">
        <f t="shared" si="114"/>
        <v>1.3396454472199837E-3</v>
      </c>
      <c r="BS193" s="144">
        <f t="shared" si="97"/>
        <v>4.1439699167338168E-11</v>
      </c>
      <c r="BT193" s="158">
        <f t="shared" si="115"/>
        <v>7.27012266093652E-7</v>
      </c>
      <c r="BU193" s="144">
        <f t="shared" si="98"/>
        <v>6.3338436744560833E-9</v>
      </c>
      <c r="BV193" s="158">
        <f t="shared" si="116"/>
        <v>3.0746813953670306E-7</v>
      </c>
    </row>
    <row r="194" spans="20:74">
      <c r="T194" s="53" t="s">
        <v>207</v>
      </c>
      <c r="U194" s="39" t="s">
        <v>208</v>
      </c>
      <c r="V194" s="155" t="s">
        <v>341</v>
      </c>
      <c r="W194" s="53">
        <v>0.21768199999999999</v>
      </c>
      <c r="X194" s="53">
        <v>34.802346</v>
      </c>
      <c r="Y194" s="53" t="s">
        <v>356</v>
      </c>
      <c r="Z194" s="53" t="s">
        <v>330</v>
      </c>
      <c r="AA194" s="116" t="s">
        <v>347</v>
      </c>
      <c r="AB194" s="154" t="s">
        <v>371</v>
      </c>
      <c r="AC194" s="116" t="s">
        <v>687</v>
      </c>
      <c r="AD194" s="53" t="s">
        <v>366</v>
      </c>
      <c r="AE194" s="53" t="s">
        <v>684</v>
      </c>
      <c r="AF194" s="53" t="s">
        <v>683</v>
      </c>
      <c r="AG194" s="156">
        <v>57.9</v>
      </c>
      <c r="AH194" s="157">
        <v>28.7</v>
      </c>
      <c r="AI194" s="162">
        <v>0.55713499999999994</v>
      </c>
      <c r="AJ194" s="157">
        <v>72.599999999999994</v>
      </c>
      <c r="AK194" s="156">
        <v>0.36799999999999999</v>
      </c>
      <c r="AL194" s="157">
        <v>12.14</v>
      </c>
      <c r="AM194" s="144">
        <f t="shared" si="81"/>
        <v>7.4027397260273962E-4</v>
      </c>
      <c r="AN194" s="158">
        <f t="shared" si="99"/>
        <v>2.4675799086757988</v>
      </c>
      <c r="AO194" s="144">
        <f t="shared" si="82"/>
        <v>3.6694063926940641E-4</v>
      </c>
      <c r="AP194" s="158">
        <f t="shared" si="100"/>
        <v>0.1019279553526129</v>
      </c>
      <c r="AQ194" s="144">
        <f t="shared" si="83"/>
        <v>7.1231872146118714E-6</v>
      </c>
      <c r="AR194" s="158">
        <f t="shared" si="101"/>
        <v>2.3743957382039573E-2</v>
      </c>
      <c r="AS194" s="144">
        <f t="shared" si="84"/>
        <v>9.2821917808219145E-4</v>
      </c>
      <c r="AT194" s="158">
        <f t="shared" si="102"/>
        <v>0.30940639269406384</v>
      </c>
      <c r="AU194" s="144">
        <f t="shared" si="85"/>
        <v>4.7050228310502275E-6</v>
      </c>
      <c r="AV194" s="158">
        <f t="shared" si="103"/>
        <v>9.4100456621004549E-3</v>
      </c>
      <c r="AW194" s="144">
        <f t="shared" si="86"/>
        <v>1.5521461187214611E-4</v>
      </c>
      <c r="AX194" s="158">
        <f t="shared" si="104"/>
        <v>7.7607305936073052E-3</v>
      </c>
      <c r="AY194" s="144">
        <f t="shared" si="87"/>
        <v>1.3276073424657535E-5</v>
      </c>
      <c r="AZ194" s="144">
        <f t="shared" si="105"/>
        <v>4.4253578082191783E-2</v>
      </c>
      <c r="BA194" s="144">
        <f t="shared" si="88"/>
        <v>2.193571141552512E-7</v>
      </c>
      <c r="BB194" s="158">
        <f t="shared" si="106"/>
        <v>6.2673461187214626E-5</v>
      </c>
      <c r="BC194" s="144">
        <f t="shared" si="89"/>
        <v>4.258241316894977E-9</v>
      </c>
      <c r="BD194" s="158">
        <f t="shared" si="107"/>
        <v>1.4194137722983257E-5</v>
      </c>
      <c r="BE194" s="144">
        <f t="shared" si="90"/>
        <v>5.5488942465753414E-7</v>
      </c>
      <c r="BF194" s="158">
        <f t="shared" si="108"/>
        <v>1.1097788493150682E-4</v>
      </c>
      <c r="BG194" s="144">
        <f t="shared" si="91"/>
        <v>2.8126626484018268E-9</v>
      </c>
      <c r="BH194" s="158">
        <f t="shared" si="109"/>
        <v>5.6253252968036534E-6</v>
      </c>
      <c r="BI194" s="144">
        <f t="shared" si="92"/>
        <v>9.2787294977168935E-8</v>
      </c>
      <c r="BJ194" s="158">
        <f t="shared" si="110"/>
        <v>1.6569159817351597E-5</v>
      </c>
      <c r="BK194" s="144">
        <f t="shared" si="93"/>
        <v>2.068412570507655E-8</v>
      </c>
      <c r="BL194" s="158">
        <f t="shared" si="111"/>
        <v>6.8947085683588509E-5</v>
      </c>
      <c r="BM194" s="144">
        <f t="shared" si="94"/>
        <v>1.0252753156056941E-8</v>
      </c>
      <c r="BN194" s="158">
        <f t="shared" si="112"/>
        <v>2.9127139647889035E-6</v>
      </c>
      <c r="BO194" s="144">
        <f t="shared" si="95"/>
        <v>1.9903023099650818E-10</v>
      </c>
      <c r="BP194" s="158">
        <f t="shared" si="113"/>
        <v>2.3143050115873044E-6</v>
      </c>
      <c r="BQ194" s="144">
        <f t="shared" si="96"/>
        <v>2.5935535858178884E-8</v>
      </c>
      <c r="BR194" s="158">
        <f t="shared" si="114"/>
        <v>8.6451786193929606E-4</v>
      </c>
      <c r="BS194" s="144">
        <f t="shared" si="97"/>
        <v>1.3146387322052106E-10</v>
      </c>
      <c r="BT194" s="158">
        <f t="shared" si="115"/>
        <v>2.3063837407108956E-6</v>
      </c>
      <c r="BU194" s="144">
        <f t="shared" si="98"/>
        <v>4.3368788611334942E-9</v>
      </c>
      <c r="BV194" s="158">
        <f t="shared" si="116"/>
        <v>2.1052810005502398E-7</v>
      </c>
    </row>
    <row r="195" spans="20:74">
      <c r="T195" s="53" t="s">
        <v>209</v>
      </c>
      <c r="U195" s="39" t="s">
        <v>210</v>
      </c>
      <c r="V195" s="155" t="s">
        <v>341</v>
      </c>
      <c r="W195" s="53">
        <v>0.16381399999999999</v>
      </c>
      <c r="X195" s="53">
        <v>34.761139</v>
      </c>
      <c r="Y195" s="53" t="s">
        <v>357</v>
      </c>
      <c r="Z195" s="53" t="s">
        <v>330</v>
      </c>
      <c r="AA195" s="116" t="s">
        <v>347</v>
      </c>
      <c r="AB195" s="154" t="s">
        <v>371</v>
      </c>
      <c r="AC195" s="116" t="s">
        <v>687</v>
      </c>
      <c r="AD195" s="53" t="s">
        <v>361</v>
      </c>
      <c r="AE195" s="53" t="s">
        <v>685</v>
      </c>
      <c r="AF195" s="53" t="s">
        <v>690</v>
      </c>
      <c r="AG195" s="156">
        <v>57.8</v>
      </c>
      <c r="AH195" s="157">
        <v>18.600000000000001</v>
      </c>
      <c r="AI195" s="162">
        <v>0.13077499999999997</v>
      </c>
      <c r="AJ195" s="157">
        <v>207.7</v>
      </c>
      <c r="AK195" s="156">
        <v>9.2999999999999999E-2</v>
      </c>
      <c r="AL195" s="157">
        <v>66.37</v>
      </c>
      <c r="AM195" s="144">
        <f t="shared" si="81"/>
        <v>7.3899543378995436E-4</v>
      </c>
      <c r="AN195" s="158">
        <f t="shared" si="99"/>
        <v>2.4633181126331816</v>
      </c>
      <c r="AO195" s="144">
        <f t="shared" si="82"/>
        <v>2.3780821917808223E-4</v>
      </c>
      <c r="AP195" s="158">
        <f t="shared" si="100"/>
        <v>6.6057838660578405E-2</v>
      </c>
      <c r="AQ195" s="144">
        <f t="shared" si="83"/>
        <v>1.6720091324200908E-6</v>
      </c>
      <c r="AR195" s="158">
        <f t="shared" si="101"/>
        <v>5.5733637747336362E-3</v>
      </c>
      <c r="AS195" s="144">
        <f t="shared" si="84"/>
        <v>2.655525114155251E-3</v>
      </c>
      <c r="AT195" s="158">
        <f t="shared" si="102"/>
        <v>0.88517503805175035</v>
      </c>
      <c r="AU195" s="144">
        <f t="shared" si="85"/>
        <v>1.1890410958904111E-6</v>
      </c>
      <c r="AV195" s="158">
        <f t="shared" si="103"/>
        <v>2.3780821917808222E-3</v>
      </c>
      <c r="AW195" s="144">
        <f t="shared" si="86"/>
        <v>8.485662100456621E-4</v>
      </c>
      <c r="AX195" s="158">
        <f t="shared" si="104"/>
        <v>4.2428310502283101E-2</v>
      </c>
      <c r="AY195" s="144">
        <f t="shared" si="87"/>
        <v>1.325314410958904E-5</v>
      </c>
      <c r="AZ195" s="144">
        <f t="shared" si="105"/>
        <v>4.4177147031963473E-2</v>
      </c>
      <c r="BA195" s="144">
        <f t="shared" si="88"/>
        <v>1.4216175342465754E-7</v>
      </c>
      <c r="BB195" s="158">
        <f t="shared" si="106"/>
        <v>4.0617643835616441E-5</v>
      </c>
      <c r="BC195" s="144">
        <f t="shared" si="89"/>
        <v>9.9952705936073031E-10</v>
      </c>
      <c r="BD195" s="158">
        <f t="shared" si="107"/>
        <v>3.3317568645357681E-6</v>
      </c>
      <c r="BE195" s="144">
        <f t="shared" si="90"/>
        <v>1.5874729132420095E-6</v>
      </c>
      <c r="BF195" s="158">
        <f t="shared" si="108"/>
        <v>3.1749458264840189E-4</v>
      </c>
      <c r="BG195" s="144">
        <f t="shared" si="91"/>
        <v>7.1080876712328757E-10</v>
      </c>
      <c r="BH195" s="158">
        <f t="shared" si="109"/>
        <v>1.421617534246575E-6</v>
      </c>
      <c r="BI195" s="144">
        <f t="shared" si="92"/>
        <v>5.0727288036529681E-7</v>
      </c>
      <c r="BJ195" s="158">
        <f t="shared" si="110"/>
        <v>9.0584442922374435E-5</v>
      </c>
      <c r="BK195" s="144">
        <f t="shared" si="93"/>
        <v>2.0648401826484017E-8</v>
      </c>
      <c r="BL195" s="158">
        <f t="shared" si="111"/>
        <v>6.8828006088280066E-5</v>
      </c>
      <c r="BM195" s="144">
        <f t="shared" si="94"/>
        <v>6.6446414182111215E-9</v>
      </c>
      <c r="BN195" s="158">
        <f t="shared" si="112"/>
        <v>1.8876822210827049E-6</v>
      </c>
      <c r="BO195" s="144">
        <f t="shared" si="95"/>
        <v>4.6717902229384892E-11</v>
      </c>
      <c r="BP195" s="158">
        <f t="shared" si="113"/>
        <v>5.4323142127191737E-7</v>
      </c>
      <c r="BQ195" s="144">
        <f t="shared" si="96"/>
        <v>7.4198495836690817E-8</v>
      </c>
      <c r="BR195" s="158">
        <f t="shared" si="114"/>
        <v>2.4732831945563603E-3</v>
      </c>
      <c r="BS195" s="144">
        <f t="shared" si="97"/>
        <v>3.3223207091055602E-11</v>
      </c>
      <c r="BT195" s="158">
        <f t="shared" si="115"/>
        <v>5.8286328229922102E-7</v>
      </c>
      <c r="BU195" s="144">
        <f t="shared" si="98"/>
        <v>2.3709938221864093E-8</v>
      </c>
      <c r="BV195" s="158">
        <f t="shared" si="116"/>
        <v>1.1509678748477716E-6</v>
      </c>
    </row>
    <row r="196" spans="20:74">
      <c r="T196" s="53" t="s">
        <v>211</v>
      </c>
      <c r="U196" s="39" t="s">
        <v>212</v>
      </c>
      <c r="V196" s="155" t="s">
        <v>341</v>
      </c>
      <c r="W196" s="53">
        <v>0.16381399999999999</v>
      </c>
      <c r="X196" s="53">
        <v>34.761139</v>
      </c>
      <c r="Y196" s="53" t="s">
        <v>357</v>
      </c>
      <c r="Z196" s="53" t="s">
        <v>330</v>
      </c>
      <c r="AA196" s="116" t="s">
        <v>347</v>
      </c>
      <c r="AB196" s="154" t="s">
        <v>371</v>
      </c>
      <c r="AC196" s="116" t="s">
        <v>687</v>
      </c>
      <c r="AD196" s="53" t="s">
        <v>367</v>
      </c>
      <c r="AE196" s="53" t="s">
        <v>684</v>
      </c>
      <c r="AF196" s="53" t="s">
        <v>683</v>
      </c>
      <c r="AG196" s="156">
        <v>55</v>
      </c>
      <c r="AH196" s="157">
        <v>23.5</v>
      </c>
      <c r="AI196" s="162">
        <v>0.46534500000000001</v>
      </c>
      <c r="AJ196" s="157">
        <v>135.19999999999999</v>
      </c>
      <c r="AK196" s="156">
        <v>0.06</v>
      </c>
      <c r="AL196" s="157">
        <v>40.54</v>
      </c>
      <c r="AM196" s="144">
        <f t="shared" si="81"/>
        <v>7.0319634703196339E-4</v>
      </c>
      <c r="AN196" s="158">
        <f t="shared" si="99"/>
        <v>2.3439878234398783</v>
      </c>
      <c r="AO196" s="144">
        <f t="shared" si="82"/>
        <v>3.0045662100456618E-4</v>
      </c>
      <c r="AP196" s="158">
        <f t="shared" si="100"/>
        <v>8.3460172501268387E-2</v>
      </c>
      <c r="AQ196" s="144">
        <f t="shared" si="83"/>
        <v>5.949616438356165E-6</v>
      </c>
      <c r="AR196" s="158">
        <f t="shared" si="101"/>
        <v>1.9832054794520552E-2</v>
      </c>
      <c r="AS196" s="144">
        <f t="shared" si="84"/>
        <v>1.7285844748858442E-3</v>
      </c>
      <c r="AT196" s="158">
        <f t="shared" si="102"/>
        <v>0.57619482496194807</v>
      </c>
      <c r="AU196" s="144">
        <f t="shared" si="85"/>
        <v>7.6712328767123286E-7</v>
      </c>
      <c r="AV196" s="158">
        <f t="shared" si="103"/>
        <v>1.5342465753424657E-3</v>
      </c>
      <c r="AW196" s="144">
        <f t="shared" si="86"/>
        <v>5.183196347031963E-4</v>
      </c>
      <c r="AX196" s="158">
        <f t="shared" si="104"/>
        <v>2.5915981735159816E-2</v>
      </c>
      <c r="AY196" s="144">
        <f t="shared" si="87"/>
        <v>1.2611123287671232E-5</v>
      </c>
      <c r="AZ196" s="144">
        <f t="shared" si="105"/>
        <v>4.2037077625570775E-2</v>
      </c>
      <c r="BA196" s="144">
        <f t="shared" si="88"/>
        <v>1.7961296803652972E-7</v>
      </c>
      <c r="BB196" s="158">
        <f t="shared" si="106"/>
        <v>5.1317990867579918E-5</v>
      </c>
      <c r="BC196" s="144">
        <f t="shared" si="89"/>
        <v>3.556680706849316E-9</v>
      </c>
      <c r="BD196" s="158">
        <f t="shared" si="107"/>
        <v>1.1855602356164387E-5</v>
      </c>
      <c r="BE196" s="144">
        <f t="shared" si="90"/>
        <v>1.0333477990867578E-6</v>
      </c>
      <c r="BF196" s="158">
        <f t="shared" si="108"/>
        <v>2.0666955981735156E-4</v>
      </c>
      <c r="BG196" s="144">
        <f t="shared" si="91"/>
        <v>4.5858630136986308E-10</v>
      </c>
      <c r="BH196" s="158">
        <f t="shared" si="109"/>
        <v>9.1717260273972617E-7</v>
      </c>
      <c r="BI196" s="144">
        <f t="shared" si="92"/>
        <v>3.0985147762557083E-7</v>
      </c>
      <c r="BJ196" s="158">
        <f t="shared" si="110"/>
        <v>5.5330621004566218E-5</v>
      </c>
      <c r="BK196" s="144">
        <f t="shared" si="93"/>
        <v>1.9648133225893097E-8</v>
      </c>
      <c r="BL196" s="158">
        <f t="shared" si="111"/>
        <v>6.5493777419643666E-5</v>
      </c>
      <c r="BM196" s="144">
        <f t="shared" si="94"/>
        <v>8.3951114692452321E-9</v>
      </c>
      <c r="BN196" s="158">
        <f t="shared" si="112"/>
        <v>2.3849748492173954E-6</v>
      </c>
      <c r="BO196" s="144">
        <f t="shared" si="95"/>
        <v>1.6623928283642226E-10</v>
      </c>
      <c r="BP196" s="158">
        <f t="shared" si="113"/>
        <v>1.9330149167025845E-6</v>
      </c>
      <c r="BQ196" s="144">
        <f t="shared" si="96"/>
        <v>4.8298683857104476E-8</v>
      </c>
      <c r="BR196" s="158">
        <f t="shared" si="114"/>
        <v>1.6099561285701492E-3</v>
      </c>
      <c r="BS196" s="144">
        <f t="shared" si="97"/>
        <v>2.143432715551974E-11</v>
      </c>
      <c r="BT196" s="158">
        <f t="shared" si="115"/>
        <v>3.7604082728981995E-7</v>
      </c>
      <c r="BU196" s="144">
        <f t="shared" si="98"/>
        <v>1.4482460381412838E-8</v>
      </c>
      <c r="BV196" s="158">
        <f t="shared" si="116"/>
        <v>7.0303205735013771E-7</v>
      </c>
    </row>
    <row r="197" spans="20:74">
      <c r="T197" s="53" t="s">
        <v>213</v>
      </c>
      <c r="U197" s="39" t="s">
        <v>214</v>
      </c>
      <c r="V197" s="155" t="s">
        <v>341</v>
      </c>
      <c r="W197" s="53">
        <v>0.16381399999999999</v>
      </c>
      <c r="X197" s="53">
        <v>34.761139</v>
      </c>
      <c r="Y197" s="53" t="s">
        <v>357</v>
      </c>
      <c r="Z197" s="53" t="s">
        <v>330</v>
      </c>
      <c r="AA197" s="116" t="s">
        <v>347</v>
      </c>
      <c r="AB197" s="154" t="s">
        <v>371</v>
      </c>
      <c r="AC197" s="116" t="s">
        <v>687</v>
      </c>
      <c r="AD197" s="53" t="s">
        <v>365</v>
      </c>
      <c r="AE197" s="53" t="s">
        <v>685</v>
      </c>
      <c r="AF197" s="53" t="s">
        <v>691</v>
      </c>
      <c r="AG197" s="156">
        <v>19.3</v>
      </c>
      <c r="AH197" s="157">
        <v>17.399999999999999</v>
      </c>
      <c r="AI197" s="162">
        <v>7.3565000000000005E-2</v>
      </c>
      <c r="AJ197" s="157">
        <v>141.69999999999999</v>
      </c>
      <c r="AK197" s="156">
        <v>4.4999999999999998E-2</v>
      </c>
      <c r="AL197" s="157">
        <v>54.66</v>
      </c>
      <c r="AM197" s="144">
        <f t="shared" si="81"/>
        <v>2.4675799086757989E-4</v>
      </c>
      <c r="AN197" s="158">
        <f t="shared" si="99"/>
        <v>0.82252663622526634</v>
      </c>
      <c r="AO197" s="144">
        <f t="shared" si="82"/>
        <v>2.2246575342465747E-4</v>
      </c>
      <c r="AP197" s="158">
        <f t="shared" si="100"/>
        <v>6.1796042617960407E-2</v>
      </c>
      <c r="AQ197" s="144">
        <f t="shared" si="83"/>
        <v>9.4055707762557087E-7</v>
      </c>
      <c r="AR197" s="158">
        <f t="shared" si="101"/>
        <v>3.1351902587519031E-3</v>
      </c>
      <c r="AS197" s="144">
        <f t="shared" si="84"/>
        <v>1.8116894977168944E-3</v>
      </c>
      <c r="AT197" s="158">
        <f t="shared" si="102"/>
        <v>0.60389649923896482</v>
      </c>
      <c r="AU197" s="144">
        <f t="shared" si="85"/>
        <v>5.753424657534247E-7</v>
      </c>
      <c r="AV197" s="158">
        <f t="shared" si="103"/>
        <v>1.1506849315068494E-3</v>
      </c>
      <c r="AW197" s="144">
        <f t="shared" si="86"/>
        <v>6.9884931506849319E-4</v>
      </c>
      <c r="AX197" s="158">
        <f t="shared" si="104"/>
        <v>3.4942465753424662E-2</v>
      </c>
      <c r="AY197" s="144">
        <f t="shared" si="87"/>
        <v>4.4253578082191768E-6</v>
      </c>
      <c r="AZ197" s="144">
        <f t="shared" si="105"/>
        <v>1.4751192694063924E-2</v>
      </c>
      <c r="BA197" s="144">
        <f t="shared" si="88"/>
        <v>1.3299002739726025E-7</v>
      </c>
      <c r="BB197" s="158">
        <f t="shared" si="106"/>
        <v>3.7997150684931501E-5</v>
      </c>
      <c r="BC197" s="144">
        <f t="shared" si="89"/>
        <v>5.622650210045663E-10</v>
      </c>
      <c r="BD197" s="158">
        <f t="shared" si="107"/>
        <v>1.8742167366818879E-6</v>
      </c>
      <c r="BE197" s="144">
        <f t="shared" si="90"/>
        <v>1.0830279817351594E-6</v>
      </c>
      <c r="BF197" s="158">
        <f t="shared" si="108"/>
        <v>2.1660559634703187E-4</v>
      </c>
      <c r="BG197" s="144">
        <f t="shared" si="91"/>
        <v>3.4393972602739732E-10</v>
      </c>
      <c r="BH197" s="158">
        <f t="shared" si="109"/>
        <v>6.8787945205479457E-7</v>
      </c>
      <c r="BI197" s="144">
        <f t="shared" si="92"/>
        <v>4.1777212054794527E-7</v>
      </c>
      <c r="BJ197" s="158">
        <f t="shared" si="110"/>
        <v>7.4602164383561655E-5</v>
      </c>
      <c r="BK197" s="144">
        <f t="shared" si="93"/>
        <v>6.8947085683588506E-9</v>
      </c>
      <c r="BL197" s="158">
        <f t="shared" si="111"/>
        <v>2.2982361894529505E-5</v>
      </c>
      <c r="BM197" s="144">
        <f t="shared" si="94"/>
        <v>6.2159548751007243E-9</v>
      </c>
      <c r="BN197" s="158">
        <f t="shared" si="112"/>
        <v>1.7658962713354329E-6</v>
      </c>
      <c r="BO197" s="144">
        <f t="shared" si="95"/>
        <v>2.6280271286596828E-11</v>
      </c>
      <c r="BP197" s="158">
        <f t="shared" si="113"/>
        <v>3.0558454984414917E-7</v>
      </c>
      <c r="BQ197" s="144">
        <f t="shared" si="96"/>
        <v>5.0620735965619114E-8</v>
      </c>
      <c r="BR197" s="158">
        <f t="shared" si="114"/>
        <v>1.6873578655206372E-3</v>
      </c>
      <c r="BS197" s="144">
        <f t="shared" si="97"/>
        <v>1.6075745366639807E-11</v>
      </c>
      <c r="BT197" s="158">
        <f t="shared" si="115"/>
        <v>2.82030620467365E-7</v>
      </c>
      <c r="BU197" s="144">
        <f t="shared" si="98"/>
        <v>1.952667203867848E-8</v>
      </c>
      <c r="BV197" s="158">
        <f t="shared" si="116"/>
        <v>9.4789670090672236E-7</v>
      </c>
    </row>
    <row r="198" spans="20:74">
      <c r="T198" s="53" t="s">
        <v>215</v>
      </c>
      <c r="U198" s="39" t="s">
        <v>216</v>
      </c>
      <c r="V198" s="155" t="s">
        <v>341</v>
      </c>
      <c r="W198" s="53">
        <v>0.16381399999999999</v>
      </c>
      <c r="X198" s="53">
        <v>34.761139</v>
      </c>
      <c r="Y198" s="53" t="s">
        <v>357</v>
      </c>
      <c r="Z198" s="53" t="s">
        <v>330</v>
      </c>
      <c r="AA198" s="116" t="s">
        <v>347</v>
      </c>
      <c r="AB198" s="154" t="s">
        <v>371</v>
      </c>
      <c r="AC198" s="116" t="s">
        <v>687</v>
      </c>
      <c r="AD198" s="53" t="s">
        <v>364</v>
      </c>
      <c r="AE198" s="53" t="s">
        <v>685</v>
      </c>
      <c r="AF198" s="53" t="s">
        <v>690</v>
      </c>
      <c r="AG198" s="156">
        <v>8.6999999999999993</v>
      </c>
      <c r="AH198" s="157">
        <v>6.8</v>
      </c>
      <c r="AI198" s="162">
        <v>0.16572500000000001</v>
      </c>
      <c r="AJ198" s="157">
        <v>208.7</v>
      </c>
      <c r="AK198" s="156">
        <v>3.1E-2</v>
      </c>
      <c r="AL198" s="157">
        <v>44.84</v>
      </c>
      <c r="AM198" s="144">
        <f t="shared" si="81"/>
        <v>1.1123287671232873E-4</v>
      </c>
      <c r="AN198" s="158">
        <f t="shared" si="99"/>
        <v>0.37077625570776246</v>
      </c>
      <c r="AO198" s="144">
        <f t="shared" si="82"/>
        <v>8.694063926940639E-5</v>
      </c>
      <c r="AP198" s="158">
        <f t="shared" si="100"/>
        <v>2.4150177574835108E-2</v>
      </c>
      <c r="AQ198" s="144">
        <f t="shared" si="83"/>
        <v>2.118858447488585E-6</v>
      </c>
      <c r="AR198" s="158">
        <f t="shared" si="101"/>
        <v>7.0628614916286173E-3</v>
      </c>
      <c r="AS198" s="144">
        <f t="shared" si="84"/>
        <v>2.668310502283105E-3</v>
      </c>
      <c r="AT198" s="158">
        <f t="shared" si="102"/>
        <v>0.88943683409436836</v>
      </c>
      <c r="AU198" s="144">
        <f t="shared" si="85"/>
        <v>3.9634703196347028E-7</v>
      </c>
      <c r="AV198" s="158">
        <f t="shared" si="103"/>
        <v>7.9269406392694049E-4</v>
      </c>
      <c r="AW198" s="144">
        <f t="shared" si="86"/>
        <v>5.7329680365296801E-4</v>
      </c>
      <c r="AX198" s="158">
        <f t="shared" si="104"/>
        <v>2.86648401826484E-2</v>
      </c>
      <c r="AY198" s="144">
        <f t="shared" si="87"/>
        <v>1.9948504109589036E-6</v>
      </c>
      <c r="AZ198" s="144">
        <f t="shared" si="105"/>
        <v>6.649501369863013E-3</v>
      </c>
      <c r="BA198" s="144">
        <f t="shared" si="88"/>
        <v>5.1973114155251148E-8</v>
      </c>
      <c r="BB198" s="158">
        <f t="shared" si="106"/>
        <v>1.4849461187214614E-5</v>
      </c>
      <c r="BC198" s="144">
        <f t="shared" si="89"/>
        <v>1.2666535799086761E-9</v>
      </c>
      <c r="BD198" s="158">
        <f t="shared" si="107"/>
        <v>4.2221785996955877E-6</v>
      </c>
      <c r="BE198" s="144">
        <f t="shared" si="90"/>
        <v>1.5951160182648404E-6</v>
      </c>
      <c r="BF198" s="158">
        <f t="shared" si="108"/>
        <v>3.1902320365296806E-4</v>
      </c>
      <c r="BG198" s="144">
        <f t="shared" si="91"/>
        <v>2.3693625570776259E-10</v>
      </c>
      <c r="BH198" s="158">
        <f t="shared" si="109"/>
        <v>4.7387251141552519E-7</v>
      </c>
      <c r="BI198" s="144">
        <f t="shared" si="92"/>
        <v>3.4271682922374431E-7</v>
      </c>
      <c r="BJ198" s="158">
        <f t="shared" si="110"/>
        <v>6.1199433789954337E-5</v>
      </c>
      <c r="BK198" s="144">
        <f t="shared" si="93"/>
        <v>3.1079774375503621E-9</v>
      </c>
      <c r="BL198" s="158">
        <f t="shared" si="111"/>
        <v>1.0359924791834542E-5</v>
      </c>
      <c r="BM198" s="144">
        <f t="shared" si="94"/>
        <v>2.4292237442922374E-9</v>
      </c>
      <c r="BN198" s="158">
        <f t="shared" si="112"/>
        <v>6.9012038190120377E-7</v>
      </c>
      <c r="BO198" s="144">
        <f t="shared" si="95"/>
        <v>5.9203397797475151E-11</v>
      </c>
      <c r="BP198" s="158">
        <f t="shared" si="113"/>
        <v>6.8841160229622266E-7</v>
      </c>
      <c r="BQ198" s="144">
        <f t="shared" si="96"/>
        <v>7.4555734622616171E-8</v>
      </c>
      <c r="BR198" s="158">
        <f t="shared" si="114"/>
        <v>2.4851911540872055E-3</v>
      </c>
      <c r="BS198" s="144">
        <f t="shared" si="97"/>
        <v>1.1074402363685199E-11</v>
      </c>
      <c r="BT198" s="158">
        <f t="shared" si="115"/>
        <v>1.9428776076640701E-7</v>
      </c>
      <c r="BU198" s="144">
        <f t="shared" si="98"/>
        <v>1.6018587160891751E-8</v>
      </c>
      <c r="BV198" s="158">
        <f t="shared" si="116"/>
        <v>7.7760131848989081E-7</v>
      </c>
    </row>
    <row r="199" spans="20:74">
      <c r="T199" s="53" t="s">
        <v>217</v>
      </c>
      <c r="U199" s="39" t="s">
        <v>218</v>
      </c>
      <c r="V199" s="155" t="s">
        <v>341</v>
      </c>
      <c r="W199" s="53">
        <v>0.17374600000000001</v>
      </c>
      <c r="X199" s="53">
        <v>34.768698000000001</v>
      </c>
      <c r="Y199" s="53" t="s">
        <v>358</v>
      </c>
      <c r="Z199" s="53" t="s">
        <v>330</v>
      </c>
      <c r="AA199" s="116" t="s">
        <v>347</v>
      </c>
      <c r="AB199" s="154" t="s">
        <v>371</v>
      </c>
      <c r="AC199" s="116" t="s">
        <v>687</v>
      </c>
      <c r="AD199" s="53" t="s">
        <v>365</v>
      </c>
      <c r="AE199" s="53" t="s">
        <v>685</v>
      </c>
      <c r="AF199" s="53" t="s">
        <v>691</v>
      </c>
      <c r="AG199" s="156">
        <v>251.9</v>
      </c>
      <c r="AH199" s="157">
        <v>11.6</v>
      </c>
      <c r="AI199" s="162">
        <v>0.30123499999999998</v>
      </c>
      <c r="AJ199" s="157">
        <v>427.2</v>
      </c>
      <c r="AK199" s="156">
        <v>0.14899999999999999</v>
      </c>
      <c r="AL199" s="157">
        <v>173.06</v>
      </c>
      <c r="AM199" s="144">
        <f t="shared" si="81"/>
        <v>3.2206392694063926E-3</v>
      </c>
      <c r="AN199" s="158">
        <f t="shared" si="99"/>
        <v>10.735464231354642</v>
      </c>
      <c r="AO199" s="144">
        <f t="shared" si="82"/>
        <v>1.4831050228310502E-4</v>
      </c>
      <c r="AP199" s="158">
        <f t="shared" si="100"/>
        <v>4.119736174530695E-2</v>
      </c>
      <c r="AQ199" s="144">
        <f t="shared" si="83"/>
        <v>3.8514063926940634E-6</v>
      </c>
      <c r="AR199" s="158">
        <f t="shared" si="101"/>
        <v>1.2838021308980213E-2</v>
      </c>
      <c r="AS199" s="144">
        <f t="shared" si="84"/>
        <v>5.4619178082191775E-3</v>
      </c>
      <c r="AT199" s="158">
        <f t="shared" si="102"/>
        <v>1.8206392694063924</v>
      </c>
      <c r="AU199" s="144">
        <f t="shared" si="85"/>
        <v>1.9050228310502279E-6</v>
      </c>
      <c r="AV199" s="158">
        <f t="shared" si="103"/>
        <v>3.8100456621004558E-3</v>
      </c>
      <c r="AW199" s="144">
        <f t="shared" si="86"/>
        <v>2.2126392694063923E-3</v>
      </c>
      <c r="AX199" s="158">
        <f t="shared" si="104"/>
        <v>0.11063196347031962</v>
      </c>
      <c r="AY199" s="144">
        <f t="shared" si="87"/>
        <v>5.7758944657534242E-5</v>
      </c>
      <c r="AZ199" s="144">
        <f t="shared" si="105"/>
        <v>0.19252981552511417</v>
      </c>
      <c r="BA199" s="144">
        <f t="shared" si="88"/>
        <v>8.8660018264840177E-8</v>
      </c>
      <c r="BB199" s="158">
        <f t="shared" si="106"/>
        <v>2.5331433789954334E-5</v>
      </c>
      <c r="BC199" s="144">
        <f t="shared" si="89"/>
        <v>2.3023707415525115E-9</v>
      </c>
      <c r="BD199" s="158">
        <f t="shared" si="107"/>
        <v>7.6745691385083721E-6</v>
      </c>
      <c r="BE199" s="144">
        <f t="shared" si="90"/>
        <v>3.2651344657534251E-6</v>
      </c>
      <c r="BF199" s="158">
        <f t="shared" si="108"/>
        <v>6.5302689315068505E-4</v>
      </c>
      <c r="BG199" s="144">
        <f t="shared" si="91"/>
        <v>1.1388226484018265E-9</v>
      </c>
      <c r="BH199" s="158">
        <f t="shared" si="109"/>
        <v>2.277645296803653E-6</v>
      </c>
      <c r="BI199" s="144">
        <f t="shared" si="92"/>
        <v>1.3227157552511416E-6</v>
      </c>
      <c r="BJ199" s="158">
        <f t="shared" si="110"/>
        <v>2.3619924200913244E-4</v>
      </c>
      <c r="BK199" s="144">
        <f t="shared" si="93"/>
        <v>8.9988450174590381E-8</v>
      </c>
      <c r="BL199" s="158">
        <f t="shared" si="111"/>
        <v>2.9996150058196798E-4</v>
      </c>
      <c r="BM199" s="144">
        <f t="shared" si="94"/>
        <v>4.1439699167338167E-9</v>
      </c>
      <c r="BN199" s="158">
        <f t="shared" si="112"/>
        <v>1.1772641808902888E-6</v>
      </c>
      <c r="BO199" s="144">
        <f t="shared" si="95"/>
        <v>1.0761282567821647E-10</v>
      </c>
      <c r="BP199" s="158">
        <f t="shared" si="113"/>
        <v>1.2513119264908891E-6</v>
      </c>
      <c r="BQ199" s="144">
        <f t="shared" si="96"/>
        <v>1.5261240934730057E-7</v>
      </c>
      <c r="BR199" s="158">
        <f t="shared" si="114"/>
        <v>5.0870803115766854E-3</v>
      </c>
      <c r="BS199" s="144">
        <f t="shared" si="97"/>
        <v>5.3228579102874023E-11</v>
      </c>
      <c r="BT199" s="158">
        <f t="shared" si="115"/>
        <v>9.3383472110305301E-7</v>
      </c>
      <c r="BU199" s="144">
        <f t="shared" si="98"/>
        <v>6.182374429223744E-8</v>
      </c>
      <c r="BV199" s="158">
        <f t="shared" si="116"/>
        <v>3.001152635545507E-6</v>
      </c>
    </row>
    <row r="200" spans="20:74">
      <c r="T200" s="53" t="s">
        <v>219</v>
      </c>
      <c r="U200" s="39" t="s">
        <v>220</v>
      </c>
      <c r="V200" s="155" t="s">
        <v>341</v>
      </c>
      <c r="W200" s="53">
        <v>0.17374600000000001</v>
      </c>
      <c r="X200" s="53">
        <v>34.768698000000001</v>
      </c>
      <c r="Y200" s="53" t="s">
        <v>358</v>
      </c>
      <c r="Z200" s="53" t="s">
        <v>330</v>
      </c>
      <c r="AA200" s="116" t="s">
        <v>347</v>
      </c>
      <c r="AB200" s="154" t="s">
        <v>371</v>
      </c>
      <c r="AC200" s="116" t="s">
        <v>687</v>
      </c>
      <c r="AD200" s="53" t="s">
        <v>364</v>
      </c>
      <c r="AE200" s="53" t="s">
        <v>685</v>
      </c>
      <c r="AF200" s="53" t="s">
        <v>690</v>
      </c>
      <c r="AG200" s="156">
        <v>97.4</v>
      </c>
      <c r="AH200" s="157">
        <v>91.6</v>
      </c>
      <c r="AI200" s="162">
        <v>8.9385000000000006E-2</v>
      </c>
      <c r="AJ200" s="157">
        <v>280.2</v>
      </c>
      <c r="AK200" s="156">
        <v>7.5999999999999998E-2</v>
      </c>
      <c r="AL200" s="157">
        <v>65.91</v>
      </c>
      <c r="AM200" s="144">
        <f t="shared" ref="AM200:AM247" si="117">(AG200*200*350*6*0.000001)/(15*6*365)</f>
        <v>1.2452968036529681E-3</v>
      </c>
      <c r="AN200" s="158">
        <f t="shared" si="99"/>
        <v>4.1509893455098936</v>
      </c>
      <c r="AO200" s="144">
        <f t="shared" ref="AO200:AO247" si="118">(AH200*200*350*6*0.000001)/(15*6*365)</f>
        <v>1.1711415525114156E-3</v>
      </c>
      <c r="AP200" s="158">
        <f t="shared" si="100"/>
        <v>0.32531709791983771</v>
      </c>
      <c r="AQ200" s="144">
        <f t="shared" ref="AQ200:AQ247" si="119">(AI200*200*350*6*0.000001)/(15*6*365)</f>
        <v>1.1428219178082192E-6</v>
      </c>
      <c r="AR200" s="158">
        <f t="shared" si="101"/>
        <v>3.8094063926940643E-3</v>
      </c>
      <c r="AS200" s="144">
        <f t="shared" ref="AS200:AS247" si="120">(AJ200*200*350*6*0.000001)/(15*6*365)</f>
        <v>3.5824657534246573E-3</v>
      </c>
      <c r="AT200" s="158">
        <f t="shared" si="102"/>
        <v>1.1941552511415523</v>
      </c>
      <c r="AU200" s="144">
        <f t="shared" ref="AU200:AU247" si="121">(AK200*200*350*6*0.000001)/(15*6*365)</f>
        <v>9.7168949771689487E-7</v>
      </c>
      <c r="AV200" s="158">
        <f t="shared" si="103"/>
        <v>1.9433789954337898E-3</v>
      </c>
      <c r="AW200" s="144">
        <f t="shared" ref="AW200:AW247" si="122">(AL200*200*350*6*0.000001)/(15*6*365)</f>
        <v>8.4268493150684921E-4</v>
      </c>
      <c r="AX200" s="158">
        <f t="shared" si="104"/>
        <v>4.2134246575342461E-2</v>
      </c>
      <c r="AY200" s="144">
        <f t="shared" ref="AY200:AY247" si="123">(AG200*2800*0.61*0.07*0.03*350*6*0.000001)/(15*6*365)</f>
        <v>2.2333152876712328E-5</v>
      </c>
      <c r="AZ200" s="144">
        <f t="shared" si="105"/>
        <v>7.4443842922374437E-2</v>
      </c>
      <c r="BA200" s="144">
        <f t="shared" ref="BA200:BA247" si="124">(AH200*2800*0.61*0.07*0.001*350*6*0.000001)/(15*6*365)</f>
        <v>7.0010842009132415E-7</v>
      </c>
      <c r="BB200" s="158">
        <f t="shared" si="106"/>
        <v>2.0003097716894975E-4</v>
      </c>
      <c r="BC200" s="144">
        <f t="shared" ref="BC200:BC247" si="125">(AI200*2800*0.61*0.07*0.001*350*6*0.000001)/(15*6*365)</f>
        <v>6.8317894246575339E-10</v>
      </c>
      <c r="BD200" s="158">
        <f t="shared" si="107"/>
        <v>2.2772631415525113E-6</v>
      </c>
      <c r="BE200" s="144">
        <f t="shared" ref="BE200:BE247" si="126">(AJ200*2800*0.61*0.07*0.001*350*6*0.000001)/(15*6*365)</f>
        <v>2.1415980273972603E-6</v>
      </c>
      <c r="BF200" s="158">
        <f t="shared" si="108"/>
        <v>4.2831960547945203E-4</v>
      </c>
      <c r="BG200" s="144">
        <f t="shared" ref="BG200:BG247" si="127">(AK200*2800*0.61*0.07*0.001*350*6*0.000001)/(15*6*365)</f>
        <v>5.8087598173515986E-10</v>
      </c>
      <c r="BH200" s="158">
        <f t="shared" si="109"/>
        <v>1.1617519634703197E-6</v>
      </c>
      <c r="BI200" s="144">
        <f t="shared" ref="BI200:BI247" si="128">(AL200*2800*0.61*0.07*0.001*350*6*0.000001)/(15*6*365)</f>
        <v>5.0375705205479467E-7</v>
      </c>
      <c r="BJ200" s="158">
        <f t="shared" si="110"/>
        <v>8.9956616438356188E-5</v>
      </c>
      <c r="BK200" s="144">
        <f t="shared" ref="BK200:BK247" si="129">(AG200*7.6*350*6)/(15*6*365*1360000000)</f>
        <v>3.4795057749127046E-8</v>
      </c>
      <c r="BL200" s="158">
        <f t="shared" si="111"/>
        <v>1.1598352583042349E-4</v>
      </c>
      <c r="BM200" s="144">
        <f t="shared" ref="BM200:BM247" si="130">(AH200*7.6*350*6)/(15*6*365*1360000000)</f>
        <v>3.2723072790760139E-8</v>
      </c>
      <c r="BN200" s="158">
        <f t="shared" si="112"/>
        <v>9.2963274973750395E-6</v>
      </c>
      <c r="BO200" s="144">
        <f t="shared" ref="BO200:BO247" si="131">(AI200*7.6*350*6)/(15*6*365*1360000000)</f>
        <v>3.1931788879935534E-11</v>
      </c>
      <c r="BP200" s="158">
        <f t="shared" si="113"/>
        <v>3.7129987069692479E-7</v>
      </c>
      <c r="BQ200" s="144">
        <f t="shared" ref="BQ200:BQ247" si="132">(AJ200*7.6*350*6)/(15*6*365*1360000000)</f>
        <v>1.000983078162772E-7</v>
      </c>
      <c r="BR200" s="158">
        <f t="shared" si="114"/>
        <v>3.336610260542573E-3</v>
      </c>
      <c r="BS200" s="144">
        <f t="shared" ref="BS200:BS247" si="133">(AK200*7.6*350*6)/(15*6*365*1360000000)</f>
        <v>2.7150147730325006E-11</v>
      </c>
      <c r="BT200" s="158">
        <f t="shared" si="115"/>
        <v>4.7631838123377201E-7</v>
      </c>
      <c r="BU200" s="144">
        <f t="shared" ref="BU200:BU247" si="134">(AL200*7.6*350*6)/(15*6*365*1360000000)</f>
        <v>2.3545608380338435E-8</v>
      </c>
      <c r="BV200" s="158">
        <f t="shared" si="116"/>
        <v>1.1429906980746812E-6</v>
      </c>
    </row>
    <row r="201" spans="20:74">
      <c r="T201" s="53" t="s">
        <v>221</v>
      </c>
      <c r="U201" s="39" t="s">
        <v>222</v>
      </c>
      <c r="V201" s="155" t="s">
        <v>341</v>
      </c>
      <c r="W201" s="53">
        <v>0.17374600000000001</v>
      </c>
      <c r="X201" s="53">
        <v>34.768698000000001</v>
      </c>
      <c r="Y201" s="53" t="s">
        <v>358</v>
      </c>
      <c r="Z201" s="53" t="s">
        <v>330</v>
      </c>
      <c r="AA201" s="116" t="s">
        <v>347</v>
      </c>
      <c r="AB201" s="154" t="s">
        <v>371</v>
      </c>
      <c r="AC201" s="116" t="s">
        <v>687</v>
      </c>
      <c r="AD201" s="53" t="s">
        <v>361</v>
      </c>
      <c r="AE201" s="53" t="s">
        <v>685</v>
      </c>
      <c r="AF201" s="53" t="s">
        <v>690</v>
      </c>
      <c r="AG201" s="156">
        <v>145.30000000000001</v>
      </c>
      <c r="AH201" s="157">
        <v>29</v>
      </c>
      <c r="AI201" s="162">
        <v>0.450735</v>
      </c>
      <c r="AJ201" s="157">
        <v>574.79999999999995</v>
      </c>
      <c r="AK201" s="156">
        <v>0.14499999999999999</v>
      </c>
      <c r="AL201" s="157">
        <v>357.86</v>
      </c>
      <c r="AM201" s="144">
        <f t="shared" si="117"/>
        <v>1.8577168949771693E-3</v>
      </c>
      <c r="AN201" s="158">
        <f t="shared" ref="AN201:AN257" si="135">AM201/0.0003</f>
        <v>6.1923896499238982</v>
      </c>
      <c r="AO201" s="144">
        <f t="shared" si="118"/>
        <v>3.7077625570776254E-4</v>
      </c>
      <c r="AP201" s="158">
        <f t="shared" ref="AP201:AP257" si="136">AO201/0.0036</f>
        <v>0.10299340436326737</v>
      </c>
      <c r="AQ201" s="144">
        <f t="shared" si="119"/>
        <v>5.7628219178082193E-6</v>
      </c>
      <c r="AR201" s="158">
        <f t="shared" ref="AR201:AR257" si="137">AQ201/0.0003</f>
        <v>1.9209406392694067E-2</v>
      </c>
      <c r="AS201" s="144">
        <f t="shared" si="120"/>
        <v>7.3490410958904091E-3</v>
      </c>
      <c r="AT201" s="158">
        <f t="shared" ref="AT201:AT257" si="138">AS201/0.003</f>
        <v>2.4496803652968029</v>
      </c>
      <c r="AU201" s="144">
        <f t="shared" si="121"/>
        <v>1.8538812785388123E-6</v>
      </c>
      <c r="AV201" s="158">
        <f t="shared" ref="AV201:AV257" si="139">AU201/0.0005</f>
        <v>3.7077625570776243E-3</v>
      </c>
      <c r="AW201" s="144">
        <f t="shared" si="122"/>
        <v>4.5753789954337898E-3</v>
      </c>
      <c r="AX201" s="158">
        <f t="shared" ref="AX201:AX257" si="140">AW201/0.02</f>
        <v>0.22876894977168949</v>
      </c>
      <c r="AY201" s="144">
        <f t="shared" si="123"/>
        <v>3.3316294794520552E-5</v>
      </c>
      <c r="AZ201" s="144">
        <f t="shared" ref="AZ201:AZ257" si="141">AY201/0.0003</f>
        <v>0.11105431598173518</v>
      </c>
      <c r="BA201" s="144">
        <f t="shared" si="124"/>
        <v>2.2165004566210046E-7</v>
      </c>
      <c r="BB201" s="158">
        <f t="shared" ref="BB201:BB257" si="142">BA201/0.0035</f>
        <v>6.3328584474885849E-5</v>
      </c>
      <c r="BC201" s="144">
        <f t="shared" si="125"/>
        <v>3.4450149424657534E-9</v>
      </c>
      <c r="BD201" s="158">
        <f t="shared" ref="BD201:BD257" si="143">BC201/0.0003</f>
        <v>1.1483383141552512E-5</v>
      </c>
      <c r="BE201" s="144">
        <f t="shared" si="126"/>
        <v>4.3932567671232868E-6</v>
      </c>
      <c r="BF201" s="158">
        <f t="shared" ref="BF201:BF257" si="144">BE201/0.005</f>
        <v>8.7865135342465731E-4</v>
      </c>
      <c r="BG201" s="144">
        <f t="shared" si="127"/>
        <v>1.1082502283105026E-9</v>
      </c>
      <c r="BH201" s="158">
        <f t="shared" ref="BH201:BH257" si="145">BG201/0.0005</f>
        <v>2.216500456621005E-6</v>
      </c>
      <c r="BI201" s="144">
        <f t="shared" si="128"/>
        <v>2.7351615634703198E-6</v>
      </c>
      <c r="BJ201" s="158">
        <f t="shared" ref="BJ201:BJ257" si="146">BI201/0.0056</f>
        <v>4.8842170776255706E-4</v>
      </c>
      <c r="BK201" s="144">
        <f t="shared" si="129"/>
        <v>5.1906795594950311E-8</v>
      </c>
      <c r="BL201" s="158">
        <f t="shared" ref="BL201:BL257" si="147">BK201/0.0003</f>
        <v>1.7302265198316773E-4</v>
      </c>
      <c r="BM201" s="144">
        <f t="shared" si="130"/>
        <v>1.035992479183454E-8</v>
      </c>
      <c r="BN201" s="158">
        <f t="shared" ref="BN201:BN257" si="148">BM201/0.00352</f>
        <v>2.9431604522257217E-6</v>
      </c>
      <c r="BO201" s="144">
        <f t="shared" si="131"/>
        <v>1.6102002417405316E-10</v>
      </c>
      <c r="BP201" s="158">
        <f t="shared" ref="BP201:BP257" si="149">BO201/0.000086</f>
        <v>1.8723258624889903E-6</v>
      </c>
      <c r="BQ201" s="144">
        <f t="shared" si="132"/>
        <v>2.0534085414987908E-7</v>
      </c>
      <c r="BR201" s="158">
        <f t="shared" ref="BR201:BR257" si="150">BQ201/0.00003</f>
        <v>6.8446951383293025E-3</v>
      </c>
      <c r="BS201" s="144">
        <f t="shared" si="133"/>
        <v>5.1799623959172705E-11</v>
      </c>
      <c r="BT201" s="158">
        <f t="shared" ref="BT201:BT257" si="151">BS201/0.000057</f>
        <v>9.08765332617065E-7</v>
      </c>
      <c r="BU201" s="144">
        <f t="shared" si="134"/>
        <v>1.2784147193123824E-7</v>
      </c>
      <c r="BV201" s="158">
        <f t="shared" ref="BV201:BV257" si="152">BU201/0.0206</f>
        <v>6.2058966956911769E-6</v>
      </c>
    </row>
    <row r="202" spans="20:74">
      <c r="T202" s="53" t="s">
        <v>223</v>
      </c>
      <c r="U202" s="39" t="s">
        <v>224</v>
      </c>
      <c r="V202" s="155" t="s">
        <v>341</v>
      </c>
      <c r="W202" s="53">
        <v>0.17374600000000001</v>
      </c>
      <c r="X202" s="53">
        <v>34.768698000000001</v>
      </c>
      <c r="Y202" s="53" t="s">
        <v>358</v>
      </c>
      <c r="Z202" s="53" t="s">
        <v>330</v>
      </c>
      <c r="AA202" s="116" t="s">
        <v>347</v>
      </c>
      <c r="AB202" s="154" t="s">
        <v>371</v>
      </c>
      <c r="AC202" s="116" t="s">
        <v>687</v>
      </c>
      <c r="AD202" s="53" t="s">
        <v>366</v>
      </c>
      <c r="AE202" s="53" t="s">
        <v>684</v>
      </c>
      <c r="AF202" s="53" t="s">
        <v>683</v>
      </c>
      <c r="AG202" s="156">
        <v>42.2</v>
      </c>
      <c r="AH202" s="157">
        <v>24.2</v>
      </c>
      <c r="AI202" s="162">
        <v>1.6044850000000002</v>
      </c>
      <c r="AJ202" s="157">
        <v>648.6</v>
      </c>
      <c r="AK202" s="156">
        <v>0.16800000000000001</v>
      </c>
      <c r="AL202" s="157">
        <v>375.29</v>
      </c>
      <c r="AM202" s="144">
        <f t="shared" si="117"/>
        <v>5.3954337899543374E-4</v>
      </c>
      <c r="AN202" s="158">
        <f t="shared" si="135"/>
        <v>1.7984779299847793</v>
      </c>
      <c r="AO202" s="144">
        <f t="shared" si="118"/>
        <v>3.0940639269406392E-4</v>
      </c>
      <c r="AP202" s="158">
        <f t="shared" si="136"/>
        <v>8.5946220192795533E-2</v>
      </c>
      <c r="AQ202" s="144">
        <f t="shared" si="119"/>
        <v>2.0513963470319637E-5</v>
      </c>
      <c r="AR202" s="158">
        <f t="shared" si="137"/>
        <v>6.8379878234398797E-2</v>
      </c>
      <c r="AS202" s="144">
        <f t="shared" si="120"/>
        <v>8.2926027397260266E-3</v>
      </c>
      <c r="AT202" s="158">
        <f t="shared" si="138"/>
        <v>2.7642009132420089</v>
      </c>
      <c r="AU202" s="144">
        <f t="shared" si="121"/>
        <v>2.1479452054794522E-6</v>
      </c>
      <c r="AV202" s="158">
        <f t="shared" si="139"/>
        <v>4.2958904109589042E-3</v>
      </c>
      <c r="AW202" s="144">
        <f t="shared" si="122"/>
        <v>4.7982283105022826E-3</v>
      </c>
      <c r="AX202" s="158">
        <f t="shared" si="140"/>
        <v>0.23991141552511414</v>
      </c>
      <c r="AY202" s="144">
        <f t="shared" si="123"/>
        <v>9.6761709589041091E-6</v>
      </c>
      <c r="AZ202" s="144">
        <f t="shared" si="141"/>
        <v>3.2253903196347036E-2</v>
      </c>
      <c r="BA202" s="144">
        <f t="shared" si="124"/>
        <v>1.8496314155251143E-7</v>
      </c>
      <c r="BB202" s="158">
        <f t="shared" si="142"/>
        <v>5.2846611872146126E-5</v>
      </c>
      <c r="BC202" s="144">
        <f t="shared" si="125"/>
        <v>1.226324736255708E-8</v>
      </c>
      <c r="BD202" s="158">
        <f t="shared" si="143"/>
        <v>4.0877491208523606E-5</v>
      </c>
      <c r="BE202" s="144">
        <f t="shared" si="126"/>
        <v>4.9573179178082207E-6</v>
      </c>
      <c r="BF202" s="158">
        <f t="shared" si="144"/>
        <v>9.9146358356164404E-4</v>
      </c>
      <c r="BG202" s="144">
        <f t="shared" si="127"/>
        <v>1.2840416438356166E-9</v>
      </c>
      <c r="BH202" s="158">
        <f t="shared" si="145"/>
        <v>2.568083287671233E-6</v>
      </c>
      <c r="BI202" s="144">
        <f t="shared" si="128"/>
        <v>2.868380884018265E-6</v>
      </c>
      <c r="BJ202" s="158">
        <f t="shared" si="146"/>
        <v>5.1221087214611881E-4</v>
      </c>
      <c r="BK202" s="144">
        <f t="shared" si="129"/>
        <v>1.5075476766048889E-8</v>
      </c>
      <c r="BL202" s="158">
        <f t="shared" si="147"/>
        <v>5.0251589220162967E-5</v>
      </c>
      <c r="BM202" s="144">
        <f t="shared" si="130"/>
        <v>8.6451786193929613E-9</v>
      </c>
      <c r="BN202" s="158">
        <f t="shared" si="148"/>
        <v>2.4560166532366365E-6</v>
      </c>
      <c r="BO202" s="144">
        <f t="shared" si="131"/>
        <v>5.7318427343540162E-10</v>
      </c>
      <c r="BP202" s="158">
        <f t="shared" si="149"/>
        <v>6.6649334120395539E-6</v>
      </c>
      <c r="BQ202" s="144">
        <f t="shared" si="132"/>
        <v>2.3170507655116842E-7</v>
      </c>
      <c r="BR202" s="158">
        <f t="shared" si="150"/>
        <v>7.7235025517056136E-3</v>
      </c>
      <c r="BS202" s="144">
        <f t="shared" si="133"/>
        <v>6.0016116035455272E-11</v>
      </c>
      <c r="BT202" s="158">
        <f t="shared" si="151"/>
        <v>1.052914316411496E-6</v>
      </c>
      <c r="BU202" s="144">
        <f t="shared" si="134"/>
        <v>1.3406814396991675E-7</v>
      </c>
      <c r="BV202" s="158">
        <f t="shared" si="152"/>
        <v>6.5081623286367354E-6</v>
      </c>
    </row>
    <row r="203" spans="20:74">
      <c r="T203" s="53" t="s">
        <v>225</v>
      </c>
      <c r="U203" s="39" t="s">
        <v>226</v>
      </c>
      <c r="V203" s="155" t="s">
        <v>341</v>
      </c>
      <c r="W203" s="53">
        <v>0.17394000000000001</v>
      </c>
      <c r="X203" s="53">
        <v>34.769052000000002</v>
      </c>
      <c r="Y203" s="53" t="s">
        <v>358</v>
      </c>
      <c r="Z203" s="53" t="s">
        <v>330</v>
      </c>
      <c r="AA203" s="116" t="s">
        <v>347</v>
      </c>
      <c r="AB203" s="154" t="s">
        <v>371</v>
      </c>
      <c r="AC203" s="116" t="s">
        <v>687</v>
      </c>
      <c r="AD203" s="53" t="s">
        <v>367</v>
      </c>
      <c r="AE203" s="53" t="s">
        <v>684</v>
      </c>
      <c r="AF203" s="53" t="s">
        <v>683</v>
      </c>
      <c r="AG203" s="156">
        <v>31.3</v>
      </c>
      <c r="AH203" s="157">
        <v>38.799999999999997</v>
      </c>
      <c r="AI203" s="162">
        <v>1.0580050000000001</v>
      </c>
      <c r="AJ203" s="157">
        <v>748.3</v>
      </c>
      <c r="AK203" s="156">
        <v>0.29799999999999999</v>
      </c>
      <c r="AL203" s="157">
        <v>459.85</v>
      </c>
      <c r="AM203" s="144">
        <f t="shared" si="117"/>
        <v>4.0018264840182644E-4</v>
      </c>
      <c r="AN203" s="158">
        <f t="shared" si="135"/>
        <v>1.3339421613394216</v>
      </c>
      <c r="AO203" s="144">
        <f t="shared" si="118"/>
        <v>4.960730593607305E-4</v>
      </c>
      <c r="AP203" s="158">
        <f t="shared" si="136"/>
        <v>0.13779807204464736</v>
      </c>
      <c r="AQ203" s="144">
        <f t="shared" si="119"/>
        <v>1.3527004566210046E-5</v>
      </c>
      <c r="AR203" s="158">
        <f t="shared" si="137"/>
        <v>4.5090015220700157E-2</v>
      </c>
      <c r="AS203" s="144">
        <f t="shared" si="120"/>
        <v>9.5673059360730592E-3</v>
      </c>
      <c r="AT203" s="158">
        <f t="shared" si="138"/>
        <v>3.1891019786910197</v>
      </c>
      <c r="AU203" s="144">
        <f t="shared" si="121"/>
        <v>3.8100456621004558E-6</v>
      </c>
      <c r="AV203" s="158">
        <f t="shared" si="139"/>
        <v>7.6200913242009116E-3</v>
      </c>
      <c r="AW203" s="144">
        <f t="shared" si="122"/>
        <v>5.8793607305936075E-3</v>
      </c>
      <c r="AX203" s="158">
        <f t="shared" si="140"/>
        <v>0.29396803652968034</v>
      </c>
      <c r="AY203" s="144">
        <f t="shared" si="123"/>
        <v>7.1768756164383577E-6</v>
      </c>
      <c r="AZ203" s="144">
        <f t="shared" si="141"/>
        <v>2.3922918721461194E-2</v>
      </c>
      <c r="BA203" s="144">
        <f t="shared" si="124"/>
        <v>2.9655247488584476E-7</v>
      </c>
      <c r="BB203" s="158">
        <f t="shared" si="142"/>
        <v>8.4729278538812791E-5</v>
      </c>
      <c r="BC203" s="144">
        <f t="shared" si="125"/>
        <v>8.0864433296803648E-9</v>
      </c>
      <c r="BD203" s="158">
        <f t="shared" si="143"/>
        <v>2.6954811098934551E-5</v>
      </c>
      <c r="BE203" s="144">
        <f t="shared" si="126"/>
        <v>5.7193354885844752E-6</v>
      </c>
      <c r="BF203" s="158">
        <f t="shared" si="144"/>
        <v>1.1438670977168949E-3</v>
      </c>
      <c r="BG203" s="144">
        <f t="shared" si="127"/>
        <v>2.277645296803653E-9</v>
      </c>
      <c r="BH203" s="158">
        <f t="shared" si="145"/>
        <v>4.555290593607306E-6</v>
      </c>
      <c r="BI203" s="144">
        <f t="shared" si="128"/>
        <v>3.5146818447488582E-6</v>
      </c>
      <c r="BJ203" s="158">
        <f t="shared" si="146"/>
        <v>6.2762175799086753E-4</v>
      </c>
      <c r="BK203" s="144">
        <f t="shared" si="129"/>
        <v>1.1181573999462799E-8</v>
      </c>
      <c r="BL203" s="158">
        <f t="shared" si="147"/>
        <v>3.7271913331542668E-5</v>
      </c>
      <c r="BM203" s="144">
        <f t="shared" si="130"/>
        <v>1.3860864893902765E-8</v>
      </c>
      <c r="BN203" s="158">
        <f t="shared" si="148"/>
        <v>3.9377457084951033E-6</v>
      </c>
      <c r="BO203" s="144">
        <f t="shared" si="131"/>
        <v>3.7796042170292775E-10</v>
      </c>
      <c r="BP203" s="158">
        <f t="shared" si="149"/>
        <v>4.3948886244526479E-6</v>
      </c>
      <c r="BQ203" s="144">
        <f t="shared" si="132"/>
        <v>2.6732178350792367E-7</v>
      </c>
      <c r="BR203" s="158">
        <f t="shared" si="150"/>
        <v>8.9107261169307887E-3</v>
      </c>
      <c r="BS203" s="144">
        <f t="shared" si="133"/>
        <v>1.0645715820574805E-10</v>
      </c>
      <c r="BT203" s="158">
        <f t="shared" si="151"/>
        <v>1.867669442206106E-6</v>
      </c>
      <c r="BU203" s="144">
        <f t="shared" si="134"/>
        <v>1.6427625570776255E-7</v>
      </c>
      <c r="BV203" s="158">
        <f t="shared" si="152"/>
        <v>7.9745755197942989E-6</v>
      </c>
    </row>
    <row r="204" spans="20:74">
      <c r="T204" s="53" t="s">
        <v>227</v>
      </c>
      <c r="U204" s="39" t="s">
        <v>228</v>
      </c>
      <c r="V204" s="155" t="s">
        <v>341</v>
      </c>
      <c r="W204" s="53">
        <v>0.10542700000000001</v>
      </c>
      <c r="X204" s="53">
        <v>34.698397999999997</v>
      </c>
      <c r="Y204" s="53" t="s">
        <v>359</v>
      </c>
      <c r="Z204" s="53" t="s">
        <v>334</v>
      </c>
      <c r="AA204" s="116" t="s">
        <v>347</v>
      </c>
      <c r="AB204" s="154" t="s">
        <v>371</v>
      </c>
      <c r="AC204" s="116" t="s">
        <v>687</v>
      </c>
      <c r="AD204" s="53" t="s">
        <v>364</v>
      </c>
      <c r="AE204" s="53" t="s">
        <v>685</v>
      </c>
      <c r="AF204" s="53" t="s">
        <v>690</v>
      </c>
      <c r="AG204" s="156">
        <v>847.1</v>
      </c>
      <c r="AH204" s="157">
        <v>290.39999999999998</v>
      </c>
      <c r="AI204" s="162">
        <v>3.3985000000000001E-2</v>
      </c>
      <c r="AJ204" s="157">
        <v>250.7</v>
      </c>
      <c r="AK204" s="156">
        <v>0.753</v>
      </c>
      <c r="AL204" s="157">
        <v>124.68</v>
      </c>
      <c r="AM204" s="144">
        <f t="shared" si="117"/>
        <v>1.0830502283105023E-2</v>
      </c>
      <c r="AN204" s="158">
        <f t="shared" si="135"/>
        <v>36.101674277016748</v>
      </c>
      <c r="AO204" s="144">
        <f t="shared" si="118"/>
        <v>3.7128767123287658E-3</v>
      </c>
      <c r="AP204" s="158">
        <f t="shared" si="136"/>
        <v>1.031354642313546</v>
      </c>
      <c r="AQ204" s="144">
        <f t="shared" si="119"/>
        <v>4.3451141552511415E-7</v>
      </c>
      <c r="AR204" s="158">
        <f t="shared" si="137"/>
        <v>1.448371385083714E-3</v>
      </c>
      <c r="AS204" s="144">
        <f t="shared" si="120"/>
        <v>3.2052968036529678E-3</v>
      </c>
      <c r="AT204" s="158">
        <f t="shared" si="138"/>
        <v>1.0684322678843226</v>
      </c>
      <c r="AU204" s="144">
        <f t="shared" si="121"/>
        <v>9.6273972602739721E-6</v>
      </c>
      <c r="AV204" s="158">
        <f t="shared" si="139"/>
        <v>1.9254794520547944E-2</v>
      </c>
      <c r="AW204" s="144">
        <f t="shared" si="122"/>
        <v>1.5940821917808218E-3</v>
      </c>
      <c r="AX204" s="158">
        <f t="shared" si="140"/>
        <v>7.9704109589041089E-2</v>
      </c>
      <c r="AY204" s="144">
        <f t="shared" si="123"/>
        <v>1.9423422794520546E-4</v>
      </c>
      <c r="AZ204" s="144">
        <f t="shared" si="141"/>
        <v>0.64744742648401821</v>
      </c>
      <c r="BA204" s="144">
        <f t="shared" si="124"/>
        <v>2.2195576986301366E-6</v>
      </c>
      <c r="BB204" s="158">
        <f t="shared" si="142"/>
        <v>6.3415934246575326E-4</v>
      </c>
      <c r="BC204" s="144">
        <f t="shared" si="125"/>
        <v>2.5975092420091328E-10</v>
      </c>
      <c r="BD204" s="158">
        <f t="shared" si="143"/>
        <v>8.6583641400304433E-7</v>
      </c>
      <c r="BE204" s="144">
        <f t="shared" si="126"/>
        <v>1.9161264292237444E-6</v>
      </c>
      <c r="BF204" s="158">
        <f t="shared" si="144"/>
        <v>3.8322528584474886E-4</v>
      </c>
      <c r="BG204" s="144">
        <f t="shared" si="127"/>
        <v>5.7552580821917813E-9</v>
      </c>
      <c r="BH204" s="158">
        <f t="shared" si="145"/>
        <v>1.1510516164383562E-5</v>
      </c>
      <c r="BI204" s="144">
        <f t="shared" si="128"/>
        <v>9.5294233424657537E-7</v>
      </c>
      <c r="BJ204" s="158">
        <f t="shared" si="146"/>
        <v>1.7016827397260274E-4</v>
      </c>
      <c r="BK204" s="144">
        <f t="shared" si="129"/>
        <v>3.0261697555734623E-7</v>
      </c>
      <c r="BL204" s="158">
        <f t="shared" si="147"/>
        <v>1.0087232518578208E-3</v>
      </c>
      <c r="BM204" s="144">
        <f t="shared" si="130"/>
        <v>1.0374214343271554E-7</v>
      </c>
      <c r="BN204" s="158">
        <f t="shared" si="148"/>
        <v>2.9472199838839641E-5</v>
      </c>
      <c r="BO204" s="144">
        <f t="shared" si="131"/>
        <v>1.2140760139672308E-11</v>
      </c>
      <c r="BP204" s="158">
        <f t="shared" si="149"/>
        <v>1.4117162953107335E-7</v>
      </c>
      <c r="BQ204" s="144">
        <f t="shared" si="132"/>
        <v>8.9559763631479993E-8</v>
      </c>
      <c r="BR204" s="158">
        <f t="shared" si="150"/>
        <v>2.9853254543826665E-3</v>
      </c>
      <c r="BS204" s="144">
        <f t="shared" si="133"/>
        <v>2.6900080580177275E-10</v>
      </c>
      <c r="BT204" s="158">
        <f t="shared" si="151"/>
        <v>4.7193123824872406E-6</v>
      </c>
      <c r="BU204" s="144">
        <f t="shared" si="134"/>
        <v>4.4540531829170023E-8</v>
      </c>
      <c r="BV204" s="158">
        <f t="shared" si="152"/>
        <v>2.1621617392800982E-6</v>
      </c>
    </row>
    <row r="205" spans="20:74">
      <c r="T205" s="53" t="s">
        <v>229</v>
      </c>
      <c r="U205" s="39" t="s">
        <v>230</v>
      </c>
      <c r="V205" s="155" t="s">
        <v>341</v>
      </c>
      <c r="W205" s="53">
        <v>0.10542700000000001</v>
      </c>
      <c r="X205" s="53">
        <v>34.698397999999997</v>
      </c>
      <c r="Y205" s="53" t="s">
        <v>359</v>
      </c>
      <c r="Z205" s="53" t="s">
        <v>334</v>
      </c>
      <c r="AA205" s="116" t="s">
        <v>347</v>
      </c>
      <c r="AB205" s="154" t="s">
        <v>371</v>
      </c>
      <c r="AC205" s="116" t="s">
        <v>687</v>
      </c>
      <c r="AD205" s="53" t="s">
        <v>361</v>
      </c>
      <c r="AE205" s="53" t="s">
        <v>685</v>
      </c>
      <c r="AF205" s="53" t="s">
        <v>690</v>
      </c>
      <c r="AG205" s="156">
        <v>575.70000000000005</v>
      </c>
      <c r="AH205" s="157">
        <v>140.19999999999999</v>
      </c>
      <c r="AI205" s="162">
        <v>0.159215</v>
      </c>
      <c r="AJ205" s="157">
        <v>248.5</v>
      </c>
      <c r="AK205" s="156">
        <v>0.45800000000000002</v>
      </c>
      <c r="AL205" s="157">
        <v>105.19</v>
      </c>
      <c r="AM205" s="144">
        <f t="shared" si="117"/>
        <v>7.360547945205481E-3</v>
      </c>
      <c r="AN205" s="158">
        <f t="shared" si="135"/>
        <v>24.535159817351605</v>
      </c>
      <c r="AO205" s="144">
        <f t="shared" si="118"/>
        <v>1.7925114155251136E-3</v>
      </c>
      <c r="AP205" s="158">
        <f t="shared" si="136"/>
        <v>0.49791983764586489</v>
      </c>
      <c r="AQ205" s="144">
        <f t="shared" si="119"/>
        <v>2.0356255707762551E-6</v>
      </c>
      <c r="AR205" s="158">
        <f t="shared" si="137"/>
        <v>6.7854185692541842E-3</v>
      </c>
      <c r="AS205" s="144">
        <f t="shared" si="120"/>
        <v>3.177168949771689E-3</v>
      </c>
      <c r="AT205" s="158">
        <f t="shared" si="138"/>
        <v>1.0590563165905629</v>
      </c>
      <c r="AU205" s="144">
        <f t="shared" si="121"/>
        <v>5.8557077625570788E-6</v>
      </c>
      <c r="AV205" s="158">
        <f t="shared" si="139"/>
        <v>1.1711415525114158E-2</v>
      </c>
      <c r="AW205" s="144">
        <f t="shared" si="122"/>
        <v>1.3448949771689498E-3</v>
      </c>
      <c r="AX205" s="158">
        <f t="shared" si="140"/>
        <v>6.7244748858447487E-2</v>
      </c>
      <c r="AY205" s="144">
        <f t="shared" si="123"/>
        <v>1.3200406684931508E-4</v>
      </c>
      <c r="AZ205" s="144">
        <f t="shared" si="141"/>
        <v>0.44001355616438365</v>
      </c>
      <c r="BA205" s="144">
        <f t="shared" si="124"/>
        <v>1.0715633242009132E-6</v>
      </c>
      <c r="BB205" s="158">
        <f t="shared" si="142"/>
        <v>3.061609497716895E-4</v>
      </c>
      <c r="BC205" s="144">
        <f t="shared" si="125"/>
        <v>1.2168969662100459E-9</v>
      </c>
      <c r="BD205" s="158">
        <f t="shared" si="143"/>
        <v>4.0563232207001536E-6</v>
      </c>
      <c r="BE205" s="144">
        <f t="shared" si="126"/>
        <v>1.8993115981735163E-6</v>
      </c>
      <c r="BF205" s="158">
        <f t="shared" si="144"/>
        <v>3.7986231963470327E-4</v>
      </c>
      <c r="BG205" s="144">
        <f t="shared" si="127"/>
        <v>3.5005421004566209E-9</v>
      </c>
      <c r="BH205" s="158">
        <f t="shared" si="145"/>
        <v>7.0010842009132413E-6</v>
      </c>
      <c r="BI205" s="144">
        <f t="shared" si="128"/>
        <v>8.039782173515981E-7</v>
      </c>
      <c r="BJ205" s="158">
        <f t="shared" si="146"/>
        <v>1.4356753881278537E-4</v>
      </c>
      <c r="BK205" s="144">
        <f t="shared" si="129"/>
        <v>2.0566236905721193E-7</v>
      </c>
      <c r="BL205" s="158">
        <f t="shared" si="147"/>
        <v>6.8554123019070646E-4</v>
      </c>
      <c r="BM205" s="144">
        <f t="shared" si="130"/>
        <v>5.0084877786731122E-8</v>
      </c>
      <c r="BN205" s="158">
        <f t="shared" si="148"/>
        <v>1.4228658462139523E-5</v>
      </c>
      <c r="BO205" s="144">
        <f t="shared" si="131"/>
        <v>5.6877773301101261E-11</v>
      </c>
      <c r="BP205" s="158">
        <f t="shared" si="149"/>
        <v>6.6136945698954951E-7</v>
      </c>
      <c r="BQ205" s="144">
        <f t="shared" si="132"/>
        <v>8.8773838302444264E-8</v>
      </c>
      <c r="BR205" s="158">
        <f t="shared" si="150"/>
        <v>2.9591279434148087E-3</v>
      </c>
      <c r="BS205" s="144">
        <f t="shared" si="133"/>
        <v>1.6361536395380071E-10</v>
      </c>
      <c r="BT205" s="158">
        <f t="shared" si="151"/>
        <v>2.8704449816456264E-6</v>
      </c>
      <c r="BU205" s="144">
        <f t="shared" si="134"/>
        <v>3.7577947891485362E-8</v>
      </c>
      <c r="BV205" s="158">
        <f t="shared" si="152"/>
        <v>1.8241722277420078E-6</v>
      </c>
    </row>
    <row r="206" spans="20:74">
      <c r="T206" s="53" t="s">
        <v>231</v>
      </c>
      <c r="U206" s="39" t="s">
        <v>232</v>
      </c>
      <c r="V206" s="155" t="s">
        <v>341</v>
      </c>
      <c r="W206" s="53">
        <v>0.105117</v>
      </c>
      <c r="X206" s="53">
        <v>34.698954000000001</v>
      </c>
      <c r="Y206" s="53" t="s">
        <v>359</v>
      </c>
      <c r="Z206" s="53" t="s">
        <v>334</v>
      </c>
      <c r="AA206" s="116" t="s">
        <v>347</v>
      </c>
      <c r="AB206" s="154" t="s">
        <v>371</v>
      </c>
      <c r="AC206" s="116" t="s">
        <v>687</v>
      </c>
      <c r="AD206" s="53" t="s">
        <v>366</v>
      </c>
      <c r="AE206" s="53" t="s">
        <v>684</v>
      </c>
      <c r="AF206" s="53" t="s">
        <v>683</v>
      </c>
      <c r="AG206" s="156">
        <v>1347.5</v>
      </c>
      <c r="AH206" s="157">
        <v>148.9</v>
      </c>
      <c r="AI206" s="162">
        <v>1.294535</v>
      </c>
      <c r="AJ206" s="157">
        <v>191.6</v>
      </c>
      <c r="AK206" s="156">
        <v>0.67700000000000005</v>
      </c>
      <c r="AL206" s="157">
        <v>72.87</v>
      </c>
      <c r="AM206" s="144">
        <f t="shared" si="117"/>
        <v>1.7228310502283104E-2</v>
      </c>
      <c r="AN206" s="158">
        <f t="shared" si="135"/>
        <v>57.427701674277017</v>
      </c>
      <c r="AO206" s="144">
        <f t="shared" si="118"/>
        <v>1.9037442922374428E-3</v>
      </c>
      <c r="AP206" s="158">
        <f t="shared" si="136"/>
        <v>0.52881785895484523</v>
      </c>
      <c r="AQ206" s="144">
        <f t="shared" si="119"/>
        <v>1.6551132420091322E-5</v>
      </c>
      <c r="AR206" s="158">
        <f t="shared" si="137"/>
        <v>5.5170441400304415E-2</v>
      </c>
      <c r="AS206" s="144">
        <f t="shared" si="120"/>
        <v>2.4496803652968033E-3</v>
      </c>
      <c r="AT206" s="158">
        <f t="shared" si="138"/>
        <v>0.81656012176560111</v>
      </c>
      <c r="AU206" s="144">
        <f t="shared" si="121"/>
        <v>8.6557077625570775E-6</v>
      </c>
      <c r="AV206" s="158">
        <f t="shared" si="139"/>
        <v>1.7311415525114154E-2</v>
      </c>
      <c r="AW206" s="144">
        <f t="shared" si="122"/>
        <v>9.3167123287671229E-4</v>
      </c>
      <c r="AX206" s="158">
        <f t="shared" si="140"/>
        <v>4.6583561643835612E-2</v>
      </c>
      <c r="AY206" s="144">
        <f t="shared" si="123"/>
        <v>3.0897252054794516E-4</v>
      </c>
      <c r="AZ206" s="144">
        <f t="shared" si="141"/>
        <v>1.0299084018264839</v>
      </c>
      <c r="BA206" s="144">
        <f t="shared" si="124"/>
        <v>1.1380583378995434E-6</v>
      </c>
      <c r="BB206" s="158">
        <f t="shared" si="142"/>
        <v>3.2515952511415522E-4</v>
      </c>
      <c r="BC206" s="144">
        <f t="shared" si="125"/>
        <v>9.8942669607305946E-9</v>
      </c>
      <c r="BD206" s="158">
        <f t="shared" si="143"/>
        <v>3.2980889869101982E-5</v>
      </c>
      <c r="BE206" s="144">
        <f t="shared" si="126"/>
        <v>1.4644189223744294E-6</v>
      </c>
      <c r="BF206" s="158">
        <f t="shared" si="144"/>
        <v>2.9288378447488584E-4</v>
      </c>
      <c r="BG206" s="144">
        <f t="shared" si="127"/>
        <v>5.1743821004566218E-9</v>
      </c>
      <c r="BH206" s="158">
        <f t="shared" si="145"/>
        <v>1.0348764200913243E-5</v>
      </c>
      <c r="BI206" s="144">
        <f t="shared" si="128"/>
        <v>5.5695306301369865E-7</v>
      </c>
      <c r="BJ206" s="158">
        <f t="shared" si="146"/>
        <v>9.945590410958905E-5</v>
      </c>
      <c r="BK206" s="144">
        <f t="shared" si="129"/>
        <v>4.8137926403438087E-7</v>
      </c>
      <c r="BL206" s="158">
        <f t="shared" si="147"/>
        <v>1.6045975467812697E-3</v>
      </c>
      <c r="BM206" s="144">
        <f t="shared" si="130"/>
        <v>5.3192855224281502E-8</v>
      </c>
      <c r="BN206" s="158">
        <f t="shared" si="148"/>
        <v>1.5111606597807244E-5</v>
      </c>
      <c r="BO206" s="144">
        <f t="shared" si="131"/>
        <v>4.6245811173784575E-10</v>
      </c>
      <c r="BP206" s="158">
        <f t="shared" si="149"/>
        <v>5.377419903928439E-6</v>
      </c>
      <c r="BQ206" s="144">
        <f t="shared" si="132"/>
        <v>6.8446951383293035E-8</v>
      </c>
      <c r="BR206" s="158">
        <f t="shared" si="150"/>
        <v>2.2815650461097676E-3</v>
      </c>
      <c r="BS206" s="144">
        <f t="shared" si="133"/>
        <v>2.4185065807144778E-10</v>
      </c>
      <c r="BT206" s="158">
        <f t="shared" si="151"/>
        <v>4.24299400125347E-6</v>
      </c>
      <c r="BU206" s="144">
        <f t="shared" si="134"/>
        <v>2.603199033037873E-8</v>
      </c>
      <c r="BV206" s="158">
        <f t="shared" si="152"/>
        <v>1.2636888509892587E-6</v>
      </c>
    </row>
    <row r="207" spans="20:74">
      <c r="T207" s="53" t="s">
        <v>233</v>
      </c>
      <c r="U207" s="39" t="s">
        <v>234</v>
      </c>
      <c r="V207" s="155" t="s">
        <v>341</v>
      </c>
      <c r="W207" s="53">
        <v>0.105117</v>
      </c>
      <c r="X207" s="53">
        <v>34.698954000000001</v>
      </c>
      <c r="Y207" s="53" t="s">
        <v>359</v>
      </c>
      <c r="Z207" s="53" t="s">
        <v>334</v>
      </c>
      <c r="AA207" s="116" t="s">
        <v>347</v>
      </c>
      <c r="AB207" s="154" t="s">
        <v>371</v>
      </c>
      <c r="AC207" s="116" t="s">
        <v>687</v>
      </c>
      <c r="AD207" s="53" t="s">
        <v>367</v>
      </c>
      <c r="AE207" s="53" t="s">
        <v>684</v>
      </c>
      <c r="AF207" s="53" t="s">
        <v>683</v>
      </c>
      <c r="AG207" s="156">
        <v>435.3</v>
      </c>
      <c r="AH207" s="157">
        <v>52</v>
      </c>
      <c r="AI207" s="162">
        <v>0.83558500000000002</v>
      </c>
      <c r="AJ207" s="157">
        <v>177.4</v>
      </c>
      <c r="AK207" s="156">
        <v>0.22500000000000001</v>
      </c>
      <c r="AL207" s="157">
        <v>56.1</v>
      </c>
      <c r="AM207" s="144">
        <f t="shared" si="117"/>
        <v>5.5654794520547946E-3</v>
      </c>
      <c r="AN207" s="158">
        <f t="shared" si="135"/>
        <v>18.551598173515984</v>
      </c>
      <c r="AO207" s="144">
        <f t="shared" si="118"/>
        <v>6.6484018264840181E-4</v>
      </c>
      <c r="AP207" s="158">
        <f t="shared" si="136"/>
        <v>0.18467782851344494</v>
      </c>
      <c r="AQ207" s="144">
        <f t="shared" si="119"/>
        <v>1.0683278538812784E-5</v>
      </c>
      <c r="AR207" s="158">
        <f t="shared" si="137"/>
        <v>3.5610928462709281E-2</v>
      </c>
      <c r="AS207" s="144">
        <f t="shared" si="120"/>
        <v>2.2681278538812786E-3</v>
      </c>
      <c r="AT207" s="158">
        <f t="shared" si="138"/>
        <v>0.75604261796042616</v>
      </c>
      <c r="AU207" s="144">
        <f t="shared" si="121"/>
        <v>2.8767123287671232E-6</v>
      </c>
      <c r="AV207" s="158">
        <f t="shared" si="139"/>
        <v>5.7534246575342458E-3</v>
      </c>
      <c r="AW207" s="144">
        <f t="shared" si="122"/>
        <v>7.1726027397260269E-4</v>
      </c>
      <c r="AX207" s="158">
        <f t="shared" si="140"/>
        <v>3.5863013698630132E-2</v>
      </c>
      <c r="AY207" s="144">
        <f t="shared" si="123"/>
        <v>9.9811308493150699E-5</v>
      </c>
      <c r="AZ207" s="144">
        <f t="shared" si="141"/>
        <v>0.33270436164383571</v>
      </c>
      <c r="BA207" s="144">
        <f t="shared" si="124"/>
        <v>3.9744146118721477E-7</v>
      </c>
      <c r="BB207" s="158">
        <f t="shared" si="142"/>
        <v>1.1355470319634708E-4</v>
      </c>
      <c r="BC207" s="144">
        <f t="shared" si="125"/>
        <v>6.3864639105022828E-9</v>
      </c>
      <c r="BD207" s="158">
        <f t="shared" si="143"/>
        <v>2.128821303500761E-5</v>
      </c>
      <c r="BE207" s="144">
        <f t="shared" si="126"/>
        <v>1.3558868310502286E-6</v>
      </c>
      <c r="BF207" s="158">
        <f t="shared" si="144"/>
        <v>2.7117736621004574E-4</v>
      </c>
      <c r="BG207" s="144">
        <f t="shared" si="127"/>
        <v>1.7196986301369866E-9</v>
      </c>
      <c r="BH207" s="158">
        <f t="shared" si="145"/>
        <v>3.4393972602739731E-6</v>
      </c>
      <c r="BI207" s="144">
        <f t="shared" si="128"/>
        <v>4.2877819178082192E-7</v>
      </c>
      <c r="BJ207" s="158">
        <f t="shared" si="146"/>
        <v>7.6567534246575338E-5</v>
      </c>
      <c r="BK207" s="144">
        <f t="shared" si="129"/>
        <v>1.5550604351329573E-7</v>
      </c>
      <c r="BL207" s="158">
        <f t="shared" si="147"/>
        <v>5.1835347837765253E-4</v>
      </c>
      <c r="BM207" s="144">
        <f t="shared" si="130"/>
        <v>1.857641686811711E-8</v>
      </c>
      <c r="BN207" s="158">
        <f t="shared" si="148"/>
        <v>5.2773911557150879E-6</v>
      </c>
      <c r="BO207" s="144">
        <f t="shared" si="131"/>
        <v>2.985033709374161E-10</v>
      </c>
      <c r="BP207" s="158">
        <f t="shared" si="149"/>
        <v>3.4709694295048383E-6</v>
      </c>
      <c r="BQ207" s="144">
        <f t="shared" si="132"/>
        <v>6.3374160623153371E-8</v>
      </c>
      <c r="BR207" s="158">
        <f t="shared" si="150"/>
        <v>2.112472020771779E-3</v>
      </c>
      <c r="BS207" s="144">
        <f t="shared" si="133"/>
        <v>8.0378726833199036E-11</v>
      </c>
      <c r="BT207" s="158">
        <f t="shared" si="151"/>
        <v>1.4101531023368252E-6</v>
      </c>
      <c r="BU207" s="144">
        <f t="shared" si="134"/>
        <v>2.0041095890410958E-8</v>
      </c>
      <c r="BV207" s="158">
        <f t="shared" si="152"/>
        <v>9.7286873254422132E-7</v>
      </c>
    </row>
    <row r="208" spans="20:74">
      <c r="T208" s="53" t="s">
        <v>235</v>
      </c>
      <c r="U208" s="39" t="s">
        <v>236</v>
      </c>
      <c r="V208" s="155" t="s">
        <v>341</v>
      </c>
      <c r="W208" s="53">
        <v>0.105629</v>
      </c>
      <c r="X208" s="53">
        <v>34.699337</v>
      </c>
      <c r="Y208" s="53" t="s">
        <v>359</v>
      </c>
      <c r="Z208" s="53" t="s">
        <v>334</v>
      </c>
      <c r="AA208" s="116" t="s">
        <v>347</v>
      </c>
      <c r="AB208" s="154" t="s">
        <v>371</v>
      </c>
      <c r="AC208" s="116" t="s">
        <v>687</v>
      </c>
      <c r="AD208" s="53" t="s">
        <v>361</v>
      </c>
      <c r="AE208" s="53" t="s">
        <v>685</v>
      </c>
      <c r="AF208" s="53" t="s">
        <v>690</v>
      </c>
      <c r="AG208" s="156">
        <v>3405.1</v>
      </c>
      <c r="AH208" s="157">
        <v>141.1</v>
      </c>
      <c r="AI208" s="162">
        <v>9.0802549999999993</v>
      </c>
      <c r="AJ208" s="157">
        <v>237.8</v>
      </c>
      <c r="AK208" s="156">
        <v>0.95899999999999996</v>
      </c>
      <c r="AL208" s="157">
        <v>98.85</v>
      </c>
      <c r="AM208" s="144">
        <f t="shared" si="117"/>
        <v>4.3535525114155246E-2</v>
      </c>
      <c r="AN208" s="158">
        <f t="shared" si="135"/>
        <v>145.11841704718418</v>
      </c>
      <c r="AO208" s="144">
        <f t="shared" si="118"/>
        <v>1.8040182648401827E-3</v>
      </c>
      <c r="AP208" s="158">
        <f t="shared" si="136"/>
        <v>0.50111618467782848</v>
      </c>
      <c r="AQ208" s="144">
        <f t="shared" si="119"/>
        <v>1.1609458447488582E-4</v>
      </c>
      <c r="AR208" s="158">
        <f t="shared" si="137"/>
        <v>0.38698194824961946</v>
      </c>
      <c r="AS208" s="144">
        <f t="shared" si="120"/>
        <v>3.0403652968036526E-3</v>
      </c>
      <c r="AT208" s="158">
        <f t="shared" si="138"/>
        <v>1.0134550989345508</v>
      </c>
      <c r="AU208" s="144">
        <f t="shared" si="121"/>
        <v>1.2261187214611872E-5</v>
      </c>
      <c r="AV208" s="158">
        <f t="shared" si="139"/>
        <v>2.4522374429223743E-2</v>
      </c>
      <c r="AW208" s="144">
        <f t="shared" si="122"/>
        <v>1.2638356164383561E-3</v>
      </c>
      <c r="AX208" s="158">
        <f t="shared" si="140"/>
        <v>6.3191780821917801E-2</v>
      </c>
      <c r="AY208" s="144">
        <f t="shared" si="123"/>
        <v>7.8076610739726026E-4</v>
      </c>
      <c r="AZ208" s="144">
        <f t="shared" si="141"/>
        <v>2.6025536913242009</v>
      </c>
      <c r="BA208" s="144">
        <f t="shared" si="124"/>
        <v>1.0784421187214612E-6</v>
      </c>
      <c r="BB208" s="158">
        <f t="shared" si="142"/>
        <v>3.0812631963470318E-4</v>
      </c>
      <c r="BC208" s="144">
        <f t="shared" si="125"/>
        <v>6.9401342599086747E-8</v>
      </c>
      <c r="BD208" s="158">
        <f t="shared" si="143"/>
        <v>2.313378086636225E-4</v>
      </c>
      <c r="BE208" s="144">
        <f t="shared" si="126"/>
        <v>1.8175303744292236E-6</v>
      </c>
      <c r="BF208" s="158">
        <f t="shared" si="144"/>
        <v>3.6350607488584469E-4</v>
      </c>
      <c r="BG208" s="144">
        <f t="shared" si="127"/>
        <v>7.3297377168949771E-9</v>
      </c>
      <c r="BH208" s="158">
        <f t="shared" si="145"/>
        <v>1.4659475433789954E-5</v>
      </c>
      <c r="BI208" s="144">
        <f t="shared" si="128"/>
        <v>7.5552093150684929E-7</v>
      </c>
      <c r="BJ208" s="158">
        <f t="shared" si="146"/>
        <v>1.3491445205479451E-4</v>
      </c>
      <c r="BK208" s="144">
        <f t="shared" si="129"/>
        <v>1.2164337899543378E-6</v>
      </c>
      <c r="BL208" s="158">
        <f t="shared" si="147"/>
        <v>4.054779299847793E-3</v>
      </c>
      <c r="BM208" s="144">
        <f t="shared" si="130"/>
        <v>5.040639269406392E-8</v>
      </c>
      <c r="BN208" s="158">
        <f t="shared" si="148"/>
        <v>1.4319997924449977E-5</v>
      </c>
      <c r="BO208" s="144">
        <f t="shared" si="131"/>
        <v>3.2438192720923984E-9</v>
      </c>
      <c r="BP208" s="158">
        <f t="shared" si="149"/>
        <v>3.7718828745260447E-5</v>
      </c>
      <c r="BQ208" s="144">
        <f t="shared" si="132"/>
        <v>8.4951383293043241E-8</v>
      </c>
      <c r="BR208" s="158">
        <f t="shared" si="150"/>
        <v>2.8317127764347747E-3</v>
      </c>
      <c r="BS208" s="144">
        <f t="shared" si="133"/>
        <v>3.4259199570239049E-10</v>
      </c>
      <c r="BT208" s="158">
        <f t="shared" si="151"/>
        <v>6.010385889515622E-6</v>
      </c>
      <c r="BU208" s="144">
        <f t="shared" si="134"/>
        <v>3.5313053988718763E-8</v>
      </c>
      <c r="BV208" s="158">
        <f t="shared" si="152"/>
        <v>1.7142259217824642E-6</v>
      </c>
    </row>
    <row r="209" spans="20:74">
      <c r="T209" s="53" t="s">
        <v>237</v>
      </c>
      <c r="U209" s="39" t="s">
        <v>238</v>
      </c>
      <c r="V209" s="155" t="s">
        <v>341</v>
      </c>
      <c r="W209" s="53">
        <v>0.105629</v>
      </c>
      <c r="X209" s="53">
        <v>34.699337</v>
      </c>
      <c r="Y209" s="53" t="s">
        <v>359</v>
      </c>
      <c r="Z209" s="53" t="s">
        <v>334</v>
      </c>
      <c r="AA209" s="116" t="s">
        <v>347</v>
      </c>
      <c r="AB209" s="154" t="s">
        <v>371</v>
      </c>
      <c r="AC209" s="116" t="s">
        <v>687</v>
      </c>
      <c r="AD209" s="53" t="s">
        <v>368</v>
      </c>
      <c r="AE209" s="53" t="s">
        <v>684</v>
      </c>
      <c r="AF209" s="53" t="s">
        <v>683</v>
      </c>
      <c r="AG209" s="156">
        <v>1615.5</v>
      </c>
      <c r="AH209" s="157">
        <v>99.2</v>
      </c>
      <c r="AI209" s="74">
        <v>2.3111900000000003</v>
      </c>
      <c r="AJ209" s="157">
        <v>148.19999999999999</v>
      </c>
      <c r="AK209" s="156">
        <v>0.53200000000000003</v>
      </c>
      <c r="AL209" s="157">
        <v>58.89</v>
      </c>
      <c r="AM209" s="144">
        <f t="shared" si="117"/>
        <v>2.0654794520547946E-2</v>
      </c>
      <c r="AN209" s="158">
        <f t="shared" si="135"/>
        <v>68.849315068493155</v>
      </c>
      <c r="AO209" s="144">
        <f t="shared" si="118"/>
        <v>1.268310502283105E-3</v>
      </c>
      <c r="AP209" s="158">
        <f t="shared" si="136"/>
        <v>0.35230847285641809</v>
      </c>
      <c r="AQ209" s="144">
        <f t="shared" si="119"/>
        <v>2.9549461187214612E-5</v>
      </c>
      <c r="AR209" s="158">
        <f t="shared" si="137"/>
        <v>9.8498203957382055E-2</v>
      </c>
      <c r="AS209" s="144">
        <f t="shared" si="120"/>
        <v>1.8947945205479448E-3</v>
      </c>
      <c r="AT209" s="158">
        <f t="shared" si="138"/>
        <v>0.63159817351598158</v>
      </c>
      <c r="AU209" s="144">
        <f t="shared" si="121"/>
        <v>6.8018264840182652E-6</v>
      </c>
      <c r="AV209" s="158">
        <f t="shared" si="139"/>
        <v>1.360365296803653E-2</v>
      </c>
      <c r="AW209" s="144">
        <f t="shared" si="122"/>
        <v>7.5293150684931499E-4</v>
      </c>
      <c r="AX209" s="158">
        <f t="shared" si="140"/>
        <v>3.7646575342465752E-2</v>
      </c>
      <c r="AY209" s="144">
        <f t="shared" si="123"/>
        <v>3.7042308493150686E-4</v>
      </c>
      <c r="AZ209" s="144">
        <f t="shared" si="141"/>
        <v>1.2347436164383563</v>
      </c>
      <c r="BA209" s="144">
        <f t="shared" si="124"/>
        <v>7.5819601826484016E-7</v>
      </c>
      <c r="BB209" s="158">
        <f t="shared" si="142"/>
        <v>2.1662743378995431E-4</v>
      </c>
      <c r="BC209" s="144">
        <f t="shared" si="125"/>
        <v>1.76646678977169E-8</v>
      </c>
      <c r="BD209" s="158">
        <f t="shared" si="143"/>
        <v>5.8882226325723004E-5</v>
      </c>
      <c r="BE209" s="144">
        <f t="shared" si="126"/>
        <v>1.1327081643835612E-6</v>
      </c>
      <c r="BF209" s="158">
        <f t="shared" si="144"/>
        <v>2.2654163287671224E-4</v>
      </c>
      <c r="BG209" s="144">
        <f t="shared" si="127"/>
        <v>4.0661318721461194E-9</v>
      </c>
      <c r="BH209" s="158">
        <f t="shared" si="145"/>
        <v>8.1322637442922389E-6</v>
      </c>
      <c r="BI209" s="144">
        <f t="shared" si="128"/>
        <v>4.5010245479452061E-7</v>
      </c>
      <c r="BJ209" s="158">
        <f t="shared" si="146"/>
        <v>8.0375438356164398E-5</v>
      </c>
      <c r="BK209" s="144">
        <f t="shared" si="129"/>
        <v>5.771192586623691E-7</v>
      </c>
      <c r="BL209" s="158">
        <f t="shared" si="147"/>
        <v>1.9237308622078971E-3</v>
      </c>
      <c r="BM209" s="144">
        <f t="shared" si="130"/>
        <v>3.5438087563792641E-8</v>
      </c>
      <c r="BN209" s="158">
        <f t="shared" si="148"/>
        <v>1.0067638512441091E-5</v>
      </c>
      <c r="BO209" s="144">
        <f t="shared" si="131"/>
        <v>8.2564670964276123E-10</v>
      </c>
      <c r="BP209" s="158">
        <f t="shared" si="149"/>
        <v>9.6005431353809439E-6</v>
      </c>
      <c r="BQ209" s="144">
        <f t="shared" si="132"/>
        <v>5.2942788074133764E-8</v>
      </c>
      <c r="BR209" s="158">
        <f t="shared" si="150"/>
        <v>1.7647596024711254E-3</v>
      </c>
      <c r="BS209" s="144">
        <f t="shared" si="133"/>
        <v>1.9005103411227503E-10</v>
      </c>
      <c r="BT209" s="158">
        <f t="shared" si="151"/>
        <v>3.3342286686364038E-6</v>
      </c>
      <c r="BU209" s="144">
        <f t="shared" si="134"/>
        <v>2.1037792103142626E-8</v>
      </c>
      <c r="BV209" s="158">
        <f t="shared" si="152"/>
        <v>1.021252043841875E-6</v>
      </c>
    </row>
    <row r="210" spans="20:74">
      <c r="T210" s="53" t="s">
        <v>239</v>
      </c>
      <c r="U210" s="39" t="s">
        <v>240</v>
      </c>
      <c r="V210" s="155" t="s">
        <v>341</v>
      </c>
      <c r="W210" s="53">
        <v>0.10542700000000001</v>
      </c>
      <c r="X210" s="53">
        <v>34.698397999999997</v>
      </c>
      <c r="Y210" s="53" t="s">
        <v>359</v>
      </c>
      <c r="Z210" s="53" t="s">
        <v>334</v>
      </c>
      <c r="AA210" s="116" t="s">
        <v>347</v>
      </c>
      <c r="AB210" s="154" t="s">
        <v>371</v>
      </c>
      <c r="AC210" s="116" t="s">
        <v>687</v>
      </c>
      <c r="AD210" s="53" t="s">
        <v>365</v>
      </c>
      <c r="AE210" s="53" t="s">
        <v>685</v>
      </c>
      <c r="AF210" s="53" t="s">
        <v>691</v>
      </c>
      <c r="AG210" s="156">
        <v>4071.7</v>
      </c>
      <c r="AH210" s="157">
        <v>224.7</v>
      </c>
      <c r="AI210" s="74">
        <v>5.1827399999999999</v>
      </c>
      <c r="AJ210" s="157">
        <v>186.3</v>
      </c>
      <c r="AK210" s="156">
        <v>2.0920000000000001</v>
      </c>
      <c r="AL210" s="157">
        <v>56.3</v>
      </c>
      <c r="AM210" s="144">
        <f t="shared" si="117"/>
        <v>5.2058264840182653E-2</v>
      </c>
      <c r="AN210" s="158">
        <f t="shared" si="135"/>
        <v>173.52754946727552</v>
      </c>
      <c r="AO210" s="144">
        <f t="shared" si="118"/>
        <v>2.8728767123287671E-3</v>
      </c>
      <c r="AP210" s="158">
        <f t="shared" si="136"/>
        <v>0.79802130898021306</v>
      </c>
      <c r="AQ210" s="144">
        <f t="shared" si="119"/>
        <v>6.6263342465753414E-5</v>
      </c>
      <c r="AR210" s="158">
        <f t="shared" si="137"/>
        <v>0.22087780821917807</v>
      </c>
      <c r="AS210" s="144">
        <f t="shared" si="120"/>
        <v>2.3819178082191781E-3</v>
      </c>
      <c r="AT210" s="158">
        <f t="shared" si="138"/>
        <v>0.79397260273972603</v>
      </c>
      <c r="AU210" s="144">
        <f t="shared" si="121"/>
        <v>2.6747031963470319E-5</v>
      </c>
      <c r="AV210" s="158">
        <f t="shared" si="139"/>
        <v>5.3494063926940637E-2</v>
      </c>
      <c r="AW210" s="144">
        <f t="shared" si="122"/>
        <v>7.1981735159817341E-4</v>
      </c>
      <c r="AX210" s="158">
        <f t="shared" si="140"/>
        <v>3.5990867579908672E-2</v>
      </c>
      <c r="AY210" s="144">
        <f t="shared" si="123"/>
        <v>9.3361292164383569E-4</v>
      </c>
      <c r="AZ210" s="144">
        <f t="shared" si="141"/>
        <v>3.1120430721461192</v>
      </c>
      <c r="BA210" s="144">
        <f t="shared" si="124"/>
        <v>1.717405698630137E-6</v>
      </c>
      <c r="BB210" s="158">
        <f t="shared" si="142"/>
        <v>4.9068734246575341E-4</v>
      </c>
      <c r="BC210" s="144">
        <f t="shared" si="125"/>
        <v>3.9612226126027409E-8</v>
      </c>
      <c r="BD210" s="158">
        <f t="shared" si="143"/>
        <v>1.3204075375342471E-4</v>
      </c>
      <c r="BE210" s="144">
        <f t="shared" si="126"/>
        <v>1.4239104657534246E-6</v>
      </c>
      <c r="BF210" s="158">
        <f t="shared" si="144"/>
        <v>2.8478209315068489E-4</v>
      </c>
      <c r="BG210" s="144">
        <f t="shared" si="127"/>
        <v>1.5989375707762558E-8</v>
      </c>
      <c r="BH210" s="158">
        <f t="shared" si="145"/>
        <v>3.1978751415525116E-5</v>
      </c>
      <c r="BI210" s="144">
        <f t="shared" si="128"/>
        <v>4.3030681278538808E-7</v>
      </c>
      <c r="BJ210" s="158">
        <f t="shared" si="146"/>
        <v>7.6840502283105017E-5</v>
      </c>
      <c r="BK210" s="144">
        <f t="shared" si="129"/>
        <v>1.4545691646521622E-6</v>
      </c>
      <c r="BL210" s="158">
        <f t="shared" si="147"/>
        <v>4.8485638821738741E-3</v>
      </c>
      <c r="BM210" s="144">
        <f t="shared" si="130"/>
        <v>8.0271555197421416E-8</v>
      </c>
      <c r="BN210" s="158">
        <f t="shared" si="148"/>
        <v>2.2804419090176537E-5</v>
      </c>
      <c r="BO210" s="144">
        <f t="shared" si="131"/>
        <v>1.8514757453666398E-9</v>
      </c>
      <c r="BP210" s="158">
        <f t="shared" si="149"/>
        <v>2.1528787736821392E-5</v>
      </c>
      <c r="BQ210" s="144">
        <f t="shared" si="132"/>
        <v>6.6553585817888812E-8</v>
      </c>
      <c r="BR210" s="158">
        <f t="shared" si="150"/>
        <v>2.2184528605962935E-3</v>
      </c>
      <c r="BS210" s="144">
        <f t="shared" si="133"/>
        <v>7.4734354015578838E-10</v>
      </c>
      <c r="BT210" s="158">
        <f t="shared" si="151"/>
        <v>1.3111290178171726E-5</v>
      </c>
      <c r="BU210" s="144">
        <f t="shared" si="134"/>
        <v>2.0112543647596018E-8</v>
      </c>
      <c r="BV210" s="158">
        <f t="shared" si="152"/>
        <v>9.7633707027165139E-7</v>
      </c>
    </row>
    <row r="211" spans="20:74">
      <c r="T211" s="53" t="s">
        <v>241</v>
      </c>
      <c r="U211" s="39" t="s">
        <v>242</v>
      </c>
      <c r="V211" s="155" t="s">
        <v>341</v>
      </c>
      <c r="W211" s="53">
        <v>0.105629</v>
      </c>
      <c r="X211" s="53">
        <v>34.699337</v>
      </c>
      <c r="Y211" s="53" t="s">
        <v>359</v>
      </c>
      <c r="Z211" s="53" t="s">
        <v>334</v>
      </c>
      <c r="AA211" s="116" t="s">
        <v>347</v>
      </c>
      <c r="AB211" s="154" t="s">
        <v>371</v>
      </c>
      <c r="AC211" s="116" t="s">
        <v>687</v>
      </c>
      <c r="AD211" s="53" t="s">
        <v>367</v>
      </c>
      <c r="AE211" s="53" t="s">
        <v>684</v>
      </c>
      <c r="AF211" s="53" t="s">
        <v>683</v>
      </c>
      <c r="AG211" s="156">
        <v>668.9</v>
      </c>
      <c r="AH211" s="157">
        <v>153.9</v>
      </c>
      <c r="AI211" s="74">
        <v>2.6561400000000002</v>
      </c>
      <c r="AJ211" s="157">
        <v>197.5</v>
      </c>
      <c r="AK211" s="156">
        <v>1.0369999999999999</v>
      </c>
      <c r="AL211" s="157">
        <v>54.39</v>
      </c>
      <c r="AM211" s="144">
        <f t="shared" si="117"/>
        <v>8.5521461187214615E-3</v>
      </c>
      <c r="AN211" s="158">
        <f t="shared" si="135"/>
        <v>28.50715372907154</v>
      </c>
      <c r="AO211" s="144">
        <f t="shared" si="118"/>
        <v>1.9676712328767121E-3</v>
      </c>
      <c r="AP211" s="158">
        <f t="shared" si="136"/>
        <v>0.54657534246575334</v>
      </c>
      <c r="AQ211" s="144">
        <f t="shared" si="119"/>
        <v>3.3959780821917809E-5</v>
      </c>
      <c r="AR211" s="158">
        <f t="shared" si="137"/>
        <v>0.1131992694063927</v>
      </c>
      <c r="AS211" s="144">
        <f t="shared" si="120"/>
        <v>2.5251141552511415E-3</v>
      </c>
      <c r="AT211" s="158">
        <f t="shared" si="138"/>
        <v>0.84170471841704719</v>
      </c>
      <c r="AU211" s="144">
        <f t="shared" si="121"/>
        <v>1.3258447488584471E-5</v>
      </c>
      <c r="AV211" s="158">
        <f t="shared" si="139"/>
        <v>2.6516894977168942E-2</v>
      </c>
      <c r="AW211" s="144">
        <f t="shared" si="122"/>
        <v>6.9539726027397256E-4</v>
      </c>
      <c r="AX211" s="158">
        <f t="shared" si="140"/>
        <v>3.4769863013698631E-2</v>
      </c>
      <c r="AY211" s="144">
        <f t="shared" si="123"/>
        <v>1.5337418849315068E-4</v>
      </c>
      <c r="AZ211" s="144">
        <f t="shared" si="141"/>
        <v>0.51124729497716903</v>
      </c>
      <c r="BA211" s="144">
        <f t="shared" si="124"/>
        <v>1.1762738630136989E-6</v>
      </c>
      <c r="BB211" s="158">
        <f t="shared" si="142"/>
        <v>3.3607824657534252E-4</v>
      </c>
      <c r="BC211" s="144">
        <f t="shared" si="125"/>
        <v>2.0301156975342469E-8</v>
      </c>
      <c r="BD211" s="158">
        <f t="shared" si="143"/>
        <v>6.7670523251141574E-5</v>
      </c>
      <c r="BE211" s="144">
        <f t="shared" si="126"/>
        <v>1.5095132420091326E-6</v>
      </c>
      <c r="BF211" s="158">
        <f t="shared" si="144"/>
        <v>3.0190264840182653E-4</v>
      </c>
      <c r="BG211" s="144">
        <f t="shared" si="127"/>
        <v>7.9258999086757983E-9</v>
      </c>
      <c r="BH211" s="158">
        <f t="shared" si="145"/>
        <v>1.5851799817351595E-5</v>
      </c>
      <c r="BI211" s="144">
        <f t="shared" si="128"/>
        <v>4.1570848219178081E-7</v>
      </c>
      <c r="BJ211" s="158">
        <f t="shared" si="146"/>
        <v>7.423365753424658E-5</v>
      </c>
      <c r="BK211" s="144">
        <f t="shared" si="129"/>
        <v>2.3895702390545256E-7</v>
      </c>
      <c r="BL211" s="158">
        <f t="shared" si="147"/>
        <v>7.9652341301817526E-4</v>
      </c>
      <c r="BM211" s="144">
        <f t="shared" si="130"/>
        <v>5.4979049153908148E-8</v>
      </c>
      <c r="BN211" s="158">
        <f t="shared" si="148"/>
        <v>1.5619048055087542E-5</v>
      </c>
      <c r="BO211" s="144">
        <f t="shared" si="131"/>
        <v>9.4887622884770359E-10</v>
      </c>
      <c r="BP211" s="158">
        <f t="shared" si="149"/>
        <v>1.1033444521484925E-5</v>
      </c>
      <c r="BQ211" s="144">
        <f t="shared" si="132"/>
        <v>7.0554660220252478E-8</v>
      </c>
      <c r="BR211" s="158">
        <f t="shared" si="150"/>
        <v>2.3518220073417491E-3</v>
      </c>
      <c r="BS211" s="144">
        <f t="shared" si="133"/>
        <v>3.7045662100456615E-10</v>
      </c>
      <c r="BT211" s="158">
        <f t="shared" si="151"/>
        <v>6.4992389649923879E-6</v>
      </c>
      <c r="BU211" s="144">
        <f t="shared" si="134"/>
        <v>1.9430217566478644E-8</v>
      </c>
      <c r="BV211" s="158">
        <f t="shared" si="152"/>
        <v>9.4321444497469141E-7</v>
      </c>
    </row>
    <row r="212" spans="20:74">
      <c r="T212" s="53" t="s">
        <v>243</v>
      </c>
      <c r="U212" s="39" t="s">
        <v>244</v>
      </c>
      <c r="V212" s="155" t="s">
        <v>341</v>
      </c>
      <c r="W212" s="53">
        <v>0.105629</v>
      </c>
      <c r="X212" s="53">
        <v>34.699337</v>
      </c>
      <c r="Y212" s="53" t="s">
        <v>359</v>
      </c>
      <c r="Z212" s="53" t="s">
        <v>334</v>
      </c>
      <c r="AA212" s="116" t="s">
        <v>347</v>
      </c>
      <c r="AB212" s="154" t="s">
        <v>371</v>
      </c>
      <c r="AC212" s="116" t="s">
        <v>687</v>
      </c>
      <c r="AD212" s="53" t="s">
        <v>361</v>
      </c>
      <c r="AE212" s="53" t="s">
        <v>685</v>
      </c>
      <c r="AF212" s="53" t="s">
        <v>690</v>
      </c>
      <c r="AG212" s="156">
        <v>1730.2</v>
      </c>
      <c r="AH212" s="157">
        <v>115.1</v>
      </c>
      <c r="AI212" s="74">
        <v>2.89608</v>
      </c>
      <c r="AJ212" s="157">
        <v>224.1</v>
      </c>
      <c r="AK212" s="156">
        <v>1.1439999999999999</v>
      </c>
      <c r="AL212" s="157">
        <v>83.07</v>
      </c>
      <c r="AM212" s="144">
        <f t="shared" si="117"/>
        <v>2.2121278538812784E-2</v>
      </c>
      <c r="AN212" s="158">
        <f t="shared" si="135"/>
        <v>73.737595129375947</v>
      </c>
      <c r="AO212" s="144">
        <f t="shared" si="118"/>
        <v>1.4715981735159817E-3</v>
      </c>
      <c r="AP212" s="158">
        <f t="shared" si="136"/>
        <v>0.40877727042110606</v>
      </c>
      <c r="AQ212" s="144">
        <f t="shared" si="119"/>
        <v>3.7027506849315071E-5</v>
      </c>
      <c r="AR212" s="158">
        <f t="shared" si="137"/>
        <v>0.12342502283105025</v>
      </c>
      <c r="AS212" s="144">
        <f t="shared" si="120"/>
        <v>2.8652054794520549E-3</v>
      </c>
      <c r="AT212" s="158">
        <f t="shared" si="138"/>
        <v>0.95506849315068498</v>
      </c>
      <c r="AU212" s="144">
        <f t="shared" si="121"/>
        <v>1.4626484018264838E-5</v>
      </c>
      <c r="AV212" s="158">
        <f t="shared" si="139"/>
        <v>2.9252968036529676E-2</v>
      </c>
      <c r="AW212" s="144">
        <f t="shared" si="122"/>
        <v>1.0620821917808219E-3</v>
      </c>
      <c r="AX212" s="158">
        <f t="shared" si="140"/>
        <v>5.3104109589041097E-2</v>
      </c>
      <c r="AY212" s="144">
        <f t="shared" si="123"/>
        <v>3.9672300931506855E-4</v>
      </c>
      <c r="AZ212" s="144">
        <f t="shared" si="141"/>
        <v>1.3224100310502287</v>
      </c>
      <c r="BA212" s="144">
        <f t="shared" si="124"/>
        <v>8.797213881278538E-7</v>
      </c>
      <c r="BB212" s="158">
        <f t="shared" si="142"/>
        <v>2.5134896803652966E-4</v>
      </c>
      <c r="BC212" s="144">
        <f t="shared" si="125"/>
        <v>2.2135043594520547E-8</v>
      </c>
      <c r="BD212" s="158">
        <f t="shared" si="143"/>
        <v>7.3783478648401833E-5</v>
      </c>
      <c r="BE212" s="144">
        <f t="shared" si="126"/>
        <v>1.7128198356164386E-6</v>
      </c>
      <c r="BF212" s="158">
        <f t="shared" si="144"/>
        <v>3.425639671232877E-4</v>
      </c>
      <c r="BG212" s="144">
        <f t="shared" si="127"/>
        <v>8.7437121461187185E-9</v>
      </c>
      <c r="BH212" s="158">
        <f t="shared" si="145"/>
        <v>1.7487424292237436E-5</v>
      </c>
      <c r="BI212" s="144">
        <f t="shared" si="128"/>
        <v>6.3491273424657519E-7</v>
      </c>
      <c r="BJ212" s="158">
        <f t="shared" si="146"/>
        <v>1.1337727397260271E-4</v>
      </c>
      <c r="BK212" s="144">
        <f t="shared" si="129"/>
        <v>6.1809454740800431E-7</v>
      </c>
      <c r="BL212" s="158">
        <f t="shared" si="147"/>
        <v>2.0603151580266812E-3</v>
      </c>
      <c r="BM212" s="144">
        <f t="shared" si="130"/>
        <v>4.1118184260005363E-8</v>
      </c>
      <c r="BN212" s="158">
        <f t="shared" si="148"/>
        <v>1.1681302346592433E-5</v>
      </c>
      <c r="BO212" s="144">
        <f t="shared" si="131"/>
        <v>1.0345921031426267E-9</v>
      </c>
      <c r="BP212" s="158">
        <f t="shared" si="149"/>
        <v>1.203014073421659E-5</v>
      </c>
      <c r="BQ212" s="144">
        <f t="shared" si="132"/>
        <v>8.0057211925866235E-8</v>
      </c>
      <c r="BR212" s="158">
        <f t="shared" si="150"/>
        <v>2.6685737308622076E-3</v>
      </c>
      <c r="BS212" s="144">
        <f t="shared" si="133"/>
        <v>4.0868117109857637E-10</v>
      </c>
      <c r="BT212" s="158">
        <f t="shared" si="151"/>
        <v>7.1698451069925671E-6</v>
      </c>
      <c r="BU212" s="144">
        <f t="shared" si="134"/>
        <v>2.9675825946817076E-8</v>
      </c>
      <c r="BV212" s="158">
        <f t="shared" si="152"/>
        <v>1.4405740750882076E-6</v>
      </c>
    </row>
    <row r="213" spans="20:74">
      <c r="T213" s="53" t="s">
        <v>245</v>
      </c>
      <c r="U213" s="39" t="s">
        <v>246</v>
      </c>
      <c r="V213" s="155" t="s">
        <v>341</v>
      </c>
      <c r="W213" s="53">
        <v>0.105629</v>
      </c>
      <c r="X213" s="53">
        <v>34.699337</v>
      </c>
      <c r="Y213" s="53" t="s">
        <v>359</v>
      </c>
      <c r="Z213" s="53" t="s">
        <v>334</v>
      </c>
      <c r="AA213" s="116" t="s">
        <v>347</v>
      </c>
      <c r="AB213" s="154" t="s">
        <v>371</v>
      </c>
      <c r="AC213" s="116" t="s">
        <v>687</v>
      </c>
      <c r="AD213" s="53" t="s">
        <v>365</v>
      </c>
      <c r="AE213" s="53" t="s">
        <v>685</v>
      </c>
      <c r="AF213" s="53" t="s">
        <v>691</v>
      </c>
      <c r="AG213" s="156">
        <v>95239.4</v>
      </c>
      <c r="AH213" s="157">
        <v>6453.5</v>
      </c>
      <c r="AI213" s="74">
        <v>144.67769999999999</v>
      </c>
      <c r="AJ213" s="157">
        <v>385.2</v>
      </c>
      <c r="AK213" s="156">
        <v>14.455</v>
      </c>
      <c r="AL213" s="157">
        <v>641.96</v>
      </c>
      <c r="AM213" s="144">
        <f t="shared" si="117"/>
        <v>1.2176726940639269</v>
      </c>
      <c r="AN213" s="158">
        <f t="shared" si="135"/>
        <v>4058.9089802130898</v>
      </c>
      <c r="AO213" s="144">
        <f t="shared" si="118"/>
        <v>8.2510502283105011E-2</v>
      </c>
      <c r="AP213" s="158">
        <f t="shared" si="136"/>
        <v>22.919583967529171</v>
      </c>
      <c r="AQ213" s="144">
        <f t="shared" si="119"/>
        <v>1.8497605479452048E-3</v>
      </c>
      <c r="AR213" s="158">
        <f t="shared" si="137"/>
        <v>6.1658684931506835</v>
      </c>
      <c r="AS213" s="144">
        <f t="shared" si="120"/>
        <v>4.9249315068493147E-3</v>
      </c>
      <c r="AT213" s="158">
        <f t="shared" si="138"/>
        <v>1.6416438356164382</v>
      </c>
      <c r="AU213" s="144">
        <f t="shared" si="121"/>
        <v>1.8481278538812784E-4</v>
      </c>
      <c r="AV213" s="158">
        <f t="shared" si="139"/>
        <v>0.36962557077625569</v>
      </c>
      <c r="AW213" s="144">
        <f t="shared" si="122"/>
        <v>8.2077077625570781E-3</v>
      </c>
      <c r="AX213" s="158">
        <f t="shared" si="140"/>
        <v>0.41038538812785391</v>
      </c>
      <c r="AY213" s="144">
        <f t="shared" si="123"/>
        <v>2.1837742095342463E-2</v>
      </c>
      <c r="AZ213" s="144">
        <f t="shared" si="141"/>
        <v>72.792473651141549</v>
      </c>
      <c r="BA213" s="144">
        <f t="shared" si="124"/>
        <v>4.9324778264840178E-5</v>
      </c>
      <c r="BB213" s="158">
        <f t="shared" si="142"/>
        <v>1.4092793789954336E-2</v>
      </c>
      <c r="BC213" s="144">
        <f t="shared" si="125"/>
        <v>1.1057868555616438E-6</v>
      </c>
      <c r="BD213" s="158">
        <f t="shared" si="143"/>
        <v>3.6859561852054796E-3</v>
      </c>
      <c r="BE213" s="144">
        <f t="shared" si="126"/>
        <v>2.9441240547945204E-6</v>
      </c>
      <c r="BF213" s="158">
        <f t="shared" si="144"/>
        <v>5.8882481095890403E-4</v>
      </c>
      <c r="BG213" s="144">
        <f t="shared" si="127"/>
        <v>1.1048108310502285E-7</v>
      </c>
      <c r="BH213" s="158">
        <f t="shared" si="145"/>
        <v>2.209621662100457E-4</v>
      </c>
      <c r="BI213" s="144">
        <f t="shared" si="128"/>
        <v>4.9065677004566201E-6</v>
      </c>
      <c r="BJ213" s="158">
        <f t="shared" si="146"/>
        <v>8.7617280365296789E-4</v>
      </c>
      <c r="BK213" s="144">
        <f t="shared" si="129"/>
        <v>3.4023207628256774E-5</v>
      </c>
      <c r="BL213" s="158">
        <f t="shared" si="147"/>
        <v>0.11341069209418926</v>
      </c>
      <c r="BM213" s="144">
        <f t="shared" si="130"/>
        <v>2.3054405049691111E-6</v>
      </c>
      <c r="BN213" s="158">
        <f t="shared" si="148"/>
        <v>6.5495468891167924E-4</v>
      </c>
      <c r="BO213" s="144">
        <f t="shared" si="131"/>
        <v>5.1684485898468957E-8</v>
      </c>
      <c r="BP213" s="158">
        <f t="shared" si="149"/>
        <v>6.0098239416824363E-4</v>
      </c>
      <c r="BQ213" s="144">
        <f t="shared" si="132"/>
        <v>1.3760838033843675E-7</v>
      </c>
      <c r="BR213" s="158">
        <f t="shared" si="150"/>
        <v>4.5869460112812248E-3</v>
      </c>
      <c r="BS213" s="144">
        <f t="shared" si="133"/>
        <v>5.1638866505506312E-9</v>
      </c>
      <c r="BT213" s="158">
        <f t="shared" si="151"/>
        <v>9.0594502641239144E-5</v>
      </c>
      <c r="BU213" s="144">
        <f t="shared" si="134"/>
        <v>2.2933301101262423E-7</v>
      </c>
      <c r="BV213" s="158">
        <f t="shared" si="152"/>
        <v>1.113267043750603E-5</v>
      </c>
    </row>
    <row r="214" spans="20:74">
      <c r="T214" s="53" t="s">
        <v>247</v>
      </c>
      <c r="U214" s="39" t="s">
        <v>248</v>
      </c>
      <c r="V214" s="155" t="s">
        <v>341</v>
      </c>
      <c r="W214" s="53">
        <v>0.105629</v>
      </c>
      <c r="X214" s="53">
        <v>34.699337</v>
      </c>
      <c r="Y214" s="53" t="s">
        <v>359</v>
      </c>
      <c r="Z214" s="53" t="s">
        <v>334</v>
      </c>
      <c r="AA214" s="116" t="s">
        <v>347</v>
      </c>
      <c r="AB214" s="154" t="s">
        <v>371</v>
      </c>
      <c r="AC214" s="116" t="s">
        <v>687</v>
      </c>
      <c r="AD214" s="53" t="s">
        <v>364</v>
      </c>
      <c r="AE214" s="53" t="s">
        <v>685</v>
      </c>
      <c r="AF214" s="53" t="s">
        <v>690</v>
      </c>
      <c r="AG214" s="156">
        <v>420.1</v>
      </c>
      <c r="AH214" s="157">
        <v>71.3</v>
      </c>
      <c r="AI214" s="74">
        <v>9.3579999999999997E-2</v>
      </c>
      <c r="AJ214" s="157">
        <v>257</v>
      </c>
      <c r="AK214" s="156">
        <v>0.23699999999999999</v>
      </c>
      <c r="AL214" s="157">
        <v>103.2</v>
      </c>
      <c r="AM214" s="144">
        <f t="shared" si="117"/>
        <v>5.3711415525114145E-3</v>
      </c>
      <c r="AN214" s="158">
        <f t="shared" si="135"/>
        <v>17.903805175038048</v>
      </c>
      <c r="AO214" s="144">
        <f t="shared" si="118"/>
        <v>9.1159817351598165E-4</v>
      </c>
      <c r="AP214" s="158">
        <f t="shared" si="136"/>
        <v>0.25322171486555045</v>
      </c>
      <c r="AQ214" s="144">
        <f t="shared" si="119"/>
        <v>1.1964566210045663E-6</v>
      </c>
      <c r="AR214" s="158">
        <f t="shared" si="137"/>
        <v>3.9881887366818884E-3</v>
      </c>
      <c r="AS214" s="144">
        <f t="shared" si="120"/>
        <v>3.2858447488584475E-3</v>
      </c>
      <c r="AT214" s="158">
        <f t="shared" si="138"/>
        <v>1.0952815829528157</v>
      </c>
      <c r="AU214" s="144">
        <f t="shared" si="121"/>
        <v>3.0301369863013694E-6</v>
      </c>
      <c r="AV214" s="158">
        <f t="shared" si="139"/>
        <v>6.0602739726027385E-3</v>
      </c>
      <c r="AW214" s="144">
        <f t="shared" si="122"/>
        <v>1.3194520547945205E-3</v>
      </c>
      <c r="AX214" s="158">
        <f t="shared" si="140"/>
        <v>6.5972602739726022E-2</v>
      </c>
      <c r="AY214" s="144">
        <f t="shared" si="123"/>
        <v>9.6326052602739722E-5</v>
      </c>
      <c r="AZ214" s="144">
        <f t="shared" si="141"/>
        <v>0.32108684200913246</v>
      </c>
      <c r="BA214" s="144">
        <f t="shared" si="124"/>
        <v>5.4495338812785388E-7</v>
      </c>
      <c r="BB214" s="158">
        <f t="shared" si="142"/>
        <v>1.5570096803652967E-4</v>
      </c>
      <c r="BC214" s="144">
        <f t="shared" si="125"/>
        <v>7.1524176803652979E-10</v>
      </c>
      <c r="BD214" s="158">
        <f t="shared" si="143"/>
        <v>2.3841392267884326E-6</v>
      </c>
      <c r="BE214" s="144">
        <f t="shared" si="126"/>
        <v>1.9642779908675798E-6</v>
      </c>
      <c r="BF214" s="158">
        <f t="shared" si="144"/>
        <v>3.9285559817351593E-4</v>
      </c>
      <c r="BG214" s="144">
        <f t="shared" si="127"/>
        <v>1.8114158904109591E-9</v>
      </c>
      <c r="BH214" s="158">
        <f t="shared" si="145"/>
        <v>3.6228317808219179E-6</v>
      </c>
      <c r="BI214" s="144">
        <f t="shared" si="128"/>
        <v>7.8876843835616458E-7</v>
      </c>
      <c r="BJ214" s="158">
        <f t="shared" si="146"/>
        <v>1.4085150684931509E-4</v>
      </c>
      <c r="BK214" s="144">
        <f t="shared" si="129"/>
        <v>1.5007601396723073E-7</v>
      </c>
      <c r="BL214" s="158">
        <f t="shared" si="147"/>
        <v>5.0025337989076911E-4</v>
      </c>
      <c r="BM214" s="144">
        <f t="shared" si="130"/>
        <v>2.5471125436475959E-8</v>
      </c>
      <c r="BN214" s="158">
        <f t="shared" si="148"/>
        <v>7.2361151808170332E-6</v>
      </c>
      <c r="BO214" s="144">
        <f t="shared" si="131"/>
        <v>3.3430405586892285E-11</v>
      </c>
      <c r="BP214" s="158">
        <f t="shared" si="149"/>
        <v>3.8872564635921259E-7</v>
      </c>
      <c r="BQ214" s="144">
        <f t="shared" si="132"/>
        <v>9.1810367982809544E-8</v>
      </c>
      <c r="BR214" s="158">
        <f t="shared" si="150"/>
        <v>3.0603455994269845E-3</v>
      </c>
      <c r="BS214" s="144">
        <f t="shared" si="133"/>
        <v>8.4665592264302977E-11</v>
      </c>
      <c r="BT214" s="158">
        <f t="shared" si="151"/>
        <v>1.485361267794789E-6</v>
      </c>
      <c r="BU214" s="144">
        <f t="shared" si="134"/>
        <v>3.6867042707493959E-8</v>
      </c>
      <c r="BV214" s="158">
        <f t="shared" si="152"/>
        <v>1.7896622673540757E-6</v>
      </c>
    </row>
    <row r="215" spans="20:74">
      <c r="T215" s="53" t="s">
        <v>249</v>
      </c>
      <c r="U215" s="39" t="s">
        <v>250</v>
      </c>
      <c r="V215" s="155" t="s">
        <v>341</v>
      </c>
      <c r="W215" s="53">
        <v>0.105629</v>
      </c>
      <c r="X215" s="53">
        <v>34.699337</v>
      </c>
      <c r="Y215" s="53" t="s">
        <v>359</v>
      </c>
      <c r="Z215" s="53" t="s">
        <v>334</v>
      </c>
      <c r="AA215" s="116" t="s">
        <v>347</v>
      </c>
      <c r="AB215" s="154" t="s">
        <v>371</v>
      </c>
      <c r="AC215" s="116" t="s">
        <v>687</v>
      </c>
      <c r="AD215" s="53" t="s">
        <v>366</v>
      </c>
      <c r="AE215" s="53" t="s">
        <v>684</v>
      </c>
      <c r="AF215" s="53" t="s">
        <v>683</v>
      </c>
      <c r="AG215" s="156">
        <v>8567.4</v>
      </c>
      <c r="AH215" s="157">
        <v>181.4</v>
      </c>
      <c r="AI215" s="74">
        <v>5.7652700000000001</v>
      </c>
      <c r="AJ215" s="157">
        <v>120.8</v>
      </c>
      <c r="AK215" s="156">
        <v>1.0309999999999999</v>
      </c>
      <c r="AL215" s="157">
        <v>61.82</v>
      </c>
      <c r="AM215" s="144">
        <f t="shared" si="117"/>
        <v>0.10953753424657534</v>
      </c>
      <c r="AN215" s="158">
        <f t="shared" si="135"/>
        <v>365.12511415525114</v>
      </c>
      <c r="AO215" s="144">
        <f t="shared" si="118"/>
        <v>2.3192694063926943E-3</v>
      </c>
      <c r="AP215" s="158">
        <f t="shared" si="136"/>
        <v>0.64424150177574846</v>
      </c>
      <c r="AQ215" s="144">
        <f t="shared" si="119"/>
        <v>7.3711214611872151E-5</v>
      </c>
      <c r="AR215" s="158">
        <f t="shared" si="137"/>
        <v>0.24570404870624052</v>
      </c>
      <c r="AS215" s="144">
        <f t="shared" si="120"/>
        <v>1.5444748858447488E-3</v>
      </c>
      <c r="AT215" s="158">
        <f t="shared" si="138"/>
        <v>0.51482496194824956</v>
      </c>
      <c r="AU215" s="144">
        <f t="shared" si="121"/>
        <v>1.318173515981735E-5</v>
      </c>
      <c r="AV215" s="158">
        <f t="shared" si="139"/>
        <v>2.6363470319634701E-2</v>
      </c>
      <c r="AW215" s="144">
        <f t="shared" si="122"/>
        <v>7.9039269406392689E-4</v>
      </c>
      <c r="AX215" s="158">
        <f t="shared" si="140"/>
        <v>3.9519634703196346E-2</v>
      </c>
      <c r="AY215" s="144">
        <f t="shared" si="123"/>
        <v>1.9644461391780822E-3</v>
      </c>
      <c r="AZ215" s="144">
        <f t="shared" si="141"/>
        <v>6.5481537972602748</v>
      </c>
      <c r="BA215" s="144">
        <f t="shared" si="124"/>
        <v>1.3864592511415526E-6</v>
      </c>
      <c r="BB215" s="158">
        <f t="shared" si="142"/>
        <v>3.9613121461187214E-4</v>
      </c>
      <c r="BC215" s="144">
        <f t="shared" si="125"/>
        <v>4.4064564094977174E-8</v>
      </c>
      <c r="BD215" s="158">
        <f t="shared" si="143"/>
        <v>1.4688188031659058E-4</v>
      </c>
      <c r="BE215" s="144">
        <f t="shared" si="126"/>
        <v>9.2328708675799101E-7</v>
      </c>
      <c r="BF215" s="158">
        <f t="shared" si="144"/>
        <v>1.846574173515982E-4</v>
      </c>
      <c r="BG215" s="144">
        <f t="shared" si="127"/>
        <v>7.8800412785388123E-9</v>
      </c>
      <c r="BH215" s="158">
        <f t="shared" si="145"/>
        <v>1.5760082557077624E-5</v>
      </c>
      <c r="BI215" s="144">
        <f t="shared" si="128"/>
        <v>4.7249675251141557E-7</v>
      </c>
      <c r="BJ215" s="158">
        <f t="shared" si="146"/>
        <v>8.437442009132421E-5</v>
      </c>
      <c r="BK215" s="144">
        <f t="shared" si="129"/>
        <v>3.0606075745366633E-6</v>
      </c>
      <c r="BL215" s="158">
        <f t="shared" si="147"/>
        <v>1.0202025248455544E-2</v>
      </c>
      <c r="BM215" s="144">
        <f t="shared" si="130"/>
        <v>6.4803115766854683E-8</v>
      </c>
      <c r="BN215" s="158">
        <f t="shared" si="148"/>
        <v>1.8409976070129171E-5</v>
      </c>
      <c r="BO215" s="144">
        <f t="shared" si="131"/>
        <v>2.0595780553317215E-9</v>
      </c>
      <c r="BP215" s="158">
        <f t="shared" si="149"/>
        <v>2.3948582038740946E-5</v>
      </c>
      <c r="BQ215" s="144">
        <f t="shared" si="132"/>
        <v>4.3154445339779746E-8</v>
      </c>
      <c r="BR215" s="158">
        <f t="shared" si="150"/>
        <v>1.4384815113259914E-3</v>
      </c>
      <c r="BS215" s="144">
        <f t="shared" si="133"/>
        <v>3.6831318828901422E-10</v>
      </c>
      <c r="BT215" s="158">
        <f t="shared" si="151"/>
        <v>6.4616348822634071E-6</v>
      </c>
      <c r="BU215" s="144">
        <f t="shared" si="134"/>
        <v>2.2084501745903843E-8</v>
      </c>
      <c r="BV215" s="158">
        <f t="shared" si="152"/>
        <v>1.0720631915487302E-6</v>
      </c>
    </row>
    <row r="216" spans="20:74">
      <c r="T216" s="53" t="s">
        <v>251</v>
      </c>
      <c r="U216" s="39" t="s">
        <v>252</v>
      </c>
      <c r="V216" s="155" t="s">
        <v>341</v>
      </c>
      <c r="W216" s="53">
        <v>0.105494</v>
      </c>
      <c r="X216" s="53">
        <v>34.699541000000004</v>
      </c>
      <c r="Y216" s="53" t="s">
        <v>359</v>
      </c>
      <c r="Z216" s="53" t="s">
        <v>334</v>
      </c>
      <c r="AA216" s="116" t="s">
        <v>347</v>
      </c>
      <c r="AB216" s="154" t="s">
        <v>371</v>
      </c>
      <c r="AC216" s="39" t="s">
        <v>688</v>
      </c>
      <c r="AD216" s="53" t="s">
        <v>369</v>
      </c>
      <c r="AE216" s="53" t="s">
        <v>685</v>
      </c>
      <c r="AF216" s="53" t="s">
        <v>691</v>
      </c>
      <c r="AG216" s="156">
        <v>3694.8</v>
      </c>
      <c r="AH216" s="157">
        <v>204.5</v>
      </c>
      <c r="AI216" s="74">
        <v>7.8705299999999996</v>
      </c>
      <c r="AJ216" s="157">
        <v>188.7</v>
      </c>
      <c r="AK216" s="156">
        <v>2.1360000000000001</v>
      </c>
      <c r="AL216" s="157">
        <v>57.71</v>
      </c>
      <c r="AM216" s="144">
        <f t="shared" si="117"/>
        <v>4.7239452054794524E-2</v>
      </c>
      <c r="AN216" s="158">
        <f t="shared" si="135"/>
        <v>157.46484018264843</v>
      </c>
      <c r="AO216" s="144">
        <f t="shared" si="118"/>
        <v>2.6146118721461185E-3</v>
      </c>
      <c r="AP216" s="158">
        <f t="shared" si="136"/>
        <v>0.72628107559614408</v>
      </c>
      <c r="AQ216" s="144">
        <f t="shared" si="119"/>
        <v>1.0062778082191779E-4</v>
      </c>
      <c r="AR216" s="158">
        <f t="shared" si="137"/>
        <v>0.33542593607305937</v>
      </c>
      <c r="AS216" s="144">
        <f t="shared" si="120"/>
        <v>2.4126027397260272E-3</v>
      </c>
      <c r="AT216" s="158">
        <f t="shared" si="138"/>
        <v>0.80420091324200904</v>
      </c>
      <c r="AU216" s="144">
        <f t="shared" si="121"/>
        <v>2.7309589041095894E-5</v>
      </c>
      <c r="AV216" s="158">
        <f t="shared" si="139"/>
        <v>5.4619178082191785E-2</v>
      </c>
      <c r="AW216" s="144">
        <f t="shared" si="122"/>
        <v>7.3784474885844745E-4</v>
      </c>
      <c r="AX216" s="158">
        <f t="shared" si="140"/>
        <v>3.6892237442922374E-2</v>
      </c>
      <c r="AY216" s="144">
        <f t="shared" si="123"/>
        <v>8.4719233315068497E-4</v>
      </c>
      <c r="AZ216" s="144">
        <f t="shared" si="141"/>
        <v>2.8239744438356169</v>
      </c>
      <c r="BA216" s="144">
        <f t="shared" si="124"/>
        <v>1.56301497716895E-6</v>
      </c>
      <c r="BB216" s="158">
        <f t="shared" si="142"/>
        <v>4.4657570776255711E-4</v>
      </c>
      <c r="BC216" s="144">
        <f t="shared" si="125"/>
        <v>6.0155287375342474E-8</v>
      </c>
      <c r="BD216" s="158">
        <f t="shared" si="143"/>
        <v>2.0051762458447492E-4</v>
      </c>
      <c r="BE216" s="144">
        <f t="shared" si="126"/>
        <v>1.4422539178082193E-6</v>
      </c>
      <c r="BF216" s="158">
        <f t="shared" si="144"/>
        <v>2.8845078356164384E-4</v>
      </c>
      <c r="BG216" s="144">
        <f t="shared" si="127"/>
        <v>1.6325672328767125E-8</v>
      </c>
      <c r="BH216" s="158">
        <f t="shared" si="145"/>
        <v>3.2651344657534246E-5</v>
      </c>
      <c r="BI216" s="144">
        <f t="shared" si="128"/>
        <v>4.4108359086757988E-7</v>
      </c>
      <c r="BJ216" s="158">
        <f t="shared" si="146"/>
        <v>7.876492694063927E-5</v>
      </c>
      <c r="BK216" s="144">
        <f t="shared" si="129"/>
        <v>1.3199258662369057E-6</v>
      </c>
      <c r="BL216" s="158">
        <f t="shared" si="147"/>
        <v>4.399752887456353E-3</v>
      </c>
      <c r="BM216" s="144">
        <f t="shared" si="130"/>
        <v>7.3055331721729773E-8</v>
      </c>
      <c r="BN216" s="158">
        <f t="shared" si="148"/>
        <v>2.0754355602764138E-5</v>
      </c>
      <c r="BO216" s="144">
        <f t="shared" si="131"/>
        <v>2.8116585817888799E-9</v>
      </c>
      <c r="BP216" s="158">
        <f t="shared" si="149"/>
        <v>3.2693704439405578E-5</v>
      </c>
      <c r="BQ216" s="144">
        <f t="shared" si="132"/>
        <v>6.7410958904109575E-8</v>
      </c>
      <c r="BR216" s="158">
        <f t="shared" si="150"/>
        <v>2.2470319634703192E-3</v>
      </c>
      <c r="BS216" s="144">
        <f t="shared" si="133"/>
        <v>7.630620467365028E-10</v>
      </c>
      <c r="BT216" s="158">
        <f t="shared" si="151"/>
        <v>1.3387053451517593E-5</v>
      </c>
      <c r="BU216" s="144">
        <f t="shared" si="134"/>
        <v>2.0616250335750742E-8</v>
      </c>
      <c r="BV216" s="158">
        <f t="shared" si="152"/>
        <v>1.000788851250036E-6</v>
      </c>
    </row>
    <row r="217" spans="20:74">
      <c r="T217" s="53" t="s">
        <v>253</v>
      </c>
      <c r="U217" s="39" t="s">
        <v>254</v>
      </c>
      <c r="V217" s="155" t="s">
        <v>341</v>
      </c>
      <c r="W217" s="53">
        <v>0.105494</v>
      </c>
      <c r="X217" s="53">
        <v>34.699541000000004</v>
      </c>
      <c r="Y217" s="53" t="s">
        <v>359</v>
      </c>
      <c r="Z217" s="53" t="s">
        <v>334</v>
      </c>
      <c r="AA217" s="116" t="s">
        <v>347</v>
      </c>
      <c r="AB217" s="154" t="s">
        <v>371</v>
      </c>
      <c r="AC217" s="116" t="s">
        <v>687</v>
      </c>
      <c r="AD217" s="53" t="s">
        <v>365</v>
      </c>
      <c r="AE217" s="53" t="s">
        <v>685</v>
      </c>
      <c r="AF217" s="53" t="s">
        <v>691</v>
      </c>
      <c r="AG217" s="156">
        <v>2492.6</v>
      </c>
      <c r="AH217" s="157">
        <v>262.10000000000002</v>
      </c>
      <c r="AI217" s="74">
        <v>70.893924999999996</v>
      </c>
      <c r="AJ217" s="157">
        <v>205.9</v>
      </c>
      <c r="AK217" s="156">
        <v>2.2000000000000002</v>
      </c>
      <c r="AL217" s="157">
        <v>72.430000000000007</v>
      </c>
      <c r="AM217" s="144">
        <f t="shared" si="117"/>
        <v>3.1868858447488588E-2</v>
      </c>
      <c r="AN217" s="158">
        <f t="shared" si="135"/>
        <v>106.2295281582953</v>
      </c>
      <c r="AO217" s="144">
        <f t="shared" si="118"/>
        <v>3.3510502283105028E-3</v>
      </c>
      <c r="AP217" s="158">
        <f t="shared" si="136"/>
        <v>0.93084728564180641</v>
      </c>
      <c r="AQ217" s="144">
        <f t="shared" si="119"/>
        <v>9.064063470319635E-4</v>
      </c>
      <c r="AR217" s="158">
        <f t="shared" si="137"/>
        <v>3.0213544901065452</v>
      </c>
      <c r="AS217" s="144">
        <f t="shared" si="120"/>
        <v>2.632511415525114E-3</v>
      </c>
      <c r="AT217" s="158">
        <f t="shared" si="138"/>
        <v>0.87750380517503801</v>
      </c>
      <c r="AU217" s="144">
        <f t="shared" si="121"/>
        <v>2.8127853881278544E-5</v>
      </c>
      <c r="AV217" s="158">
        <f t="shared" si="139"/>
        <v>5.6255707762557089E-2</v>
      </c>
      <c r="AW217" s="144">
        <f t="shared" si="122"/>
        <v>9.2604566210045683E-4</v>
      </c>
      <c r="AX217" s="158">
        <f t="shared" si="140"/>
        <v>4.6302283105022837E-2</v>
      </c>
      <c r="AY217" s="144">
        <f t="shared" si="123"/>
        <v>5.7153610739726023E-4</v>
      </c>
      <c r="AZ217" s="144">
        <f t="shared" si="141"/>
        <v>1.9051203579908675</v>
      </c>
      <c r="BA217" s="144">
        <f t="shared" si="124"/>
        <v>2.0032578264840188E-6</v>
      </c>
      <c r="BB217" s="158">
        <f t="shared" si="142"/>
        <v>5.7235937899543393E-4</v>
      </c>
      <c r="BC217" s="144">
        <f t="shared" si="125"/>
        <v>5.4184971425570778E-7</v>
      </c>
      <c r="BD217" s="158">
        <f t="shared" si="143"/>
        <v>1.8061657141856928E-3</v>
      </c>
      <c r="BE217" s="144">
        <f t="shared" si="126"/>
        <v>1.5737153242009134E-6</v>
      </c>
      <c r="BF217" s="158">
        <f t="shared" si="144"/>
        <v>3.1474306484018268E-4</v>
      </c>
      <c r="BG217" s="144">
        <f t="shared" si="127"/>
        <v>1.6814831050228314E-8</v>
      </c>
      <c r="BH217" s="158">
        <f t="shared" si="145"/>
        <v>3.3629662100456627E-5</v>
      </c>
      <c r="BI217" s="144">
        <f t="shared" si="128"/>
        <v>5.5359009680365295E-7</v>
      </c>
      <c r="BJ217" s="158">
        <f t="shared" si="146"/>
        <v>9.8855374429223739E-5</v>
      </c>
      <c r="BK217" s="144">
        <f t="shared" si="129"/>
        <v>8.9045339779747498E-7</v>
      </c>
      <c r="BL217" s="158">
        <f t="shared" si="147"/>
        <v>2.9681779926582501E-3</v>
      </c>
      <c r="BM217" s="144">
        <f t="shared" si="130"/>
        <v>9.3632285791028746E-8</v>
      </c>
      <c r="BN217" s="158">
        <f t="shared" si="148"/>
        <v>2.6600081190633165E-5</v>
      </c>
      <c r="BO217" s="144">
        <f t="shared" si="131"/>
        <v>2.5326059696481335E-8</v>
      </c>
      <c r="BP217" s="158">
        <f t="shared" si="149"/>
        <v>2.9448906623815504E-4</v>
      </c>
      <c r="BQ217" s="144">
        <f t="shared" si="132"/>
        <v>7.3555466022025248E-8</v>
      </c>
      <c r="BR217" s="158">
        <f t="shared" si="150"/>
        <v>2.4518488674008417E-3</v>
      </c>
      <c r="BS217" s="144">
        <f t="shared" si="133"/>
        <v>7.8592532903572389E-10</v>
      </c>
      <c r="BT217" s="158">
        <f t="shared" si="151"/>
        <v>1.3788163667293401E-5</v>
      </c>
      <c r="BU217" s="144">
        <f t="shared" si="134"/>
        <v>2.5874805264571584E-8</v>
      </c>
      <c r="BV217" s="158">
        <f t="shared" si="152"/>
        <v>1.2560585079889119E-6</v>
      </c>
    </row>
    <row r="218" spans="20:74">
      <c r="T218" s="53" t="s">
        <v>255</v>
      </c>
      <c r="U218" s="39" t="s">
        <v>256</v>
      </c>
      <c r="V218" s="155" t="s">
        <v>342</v>
      </c>
      <c r="W218" s="53">
        <v>0.10229199999999999</v>
      </c>
      <c r="X218" s="53">
        <v>34.713501999999998</v>
      </c>
      <c r="Y218" s="53" t="s">
        <v>335</v>
      </c>
      <c r="Z218" s="53" t="s">
        <v>334</v>
      </c>
      <c r="AA218" s="116" t="s">
        <v>347</v>
      </c>
      <c r="AB218" s="154" t="s">
        <v>371</v>
      </c>
      <c r="AC218" s="116" t="s">
        <v>687</v>
      </c>
      <c r="AD218" s="53" t="s">
        <v>365</v>
      </c>
      <c r="AE218" s="53" t="s">
        <v>685</v>
      </c>
      <c r="AF218" s="53" t="s">
        <v>691</v>
      </c>
      <c r="AG218" s="156">
        <v>10005.1</v>
      </c>
      <c r="AH218" s="157">
        <v>24.2</v>
      </c>
      <c r="AI218" s="74">
        <v>0.89992500000000009</v>
      </c>
      <c r="AJ218" s="157">
        <v>137.4</v>
      </c>
      <c r="AK218" s="156">
        <v>0.32400000000000001</v>
      </c>
      <c r="AL218" s="157">
        <v>76.260000000000005</v>
      </c>
      <c r="AM218" s="144">
        <f t="shared" si="117"/>
        <v>0.12791908675799085</v>
      </c>
      <c r="AN218" s="158">
        <f t="shared" si="135"/>
        <v>426.39695585996952</v>
      </c>
      <c r="AO218" s="144">
        <f t="shared" si="118"/>
        <v>3.0940639269406392E-4</v>
      </c>
      <c r="AP218" s="158">
        <f t="shared" si="136"/>
        <v>8.5946220192795533E-2</v>
      </c>
      <c r="AQ218" s="144">
        <f t="shared" si="119"/>
        <v>1.1505890410958906E-5</v>
      </c>
      <c r="AR218" s="158">
        <f t="shared" si="137"/>
        <v>3.835296803652969E-2</v>
      </c>
      <c r="AS218" s="144">
        <f t="shared" si="120"/>
        <v>1.7567123287671232E-3</v>
      </c>
      <c r="AT218" s="158">
        <f t="shared" si="138"/>
        <v>0.58557077625570775</v>
      </c>
      <c r="AU218" s="144">
        <f t="shared" si="121"/>
        <v>4.1424657534246578E-6</v>
      </c>
      <c r="AV218" s="158">
        <f t="shared" si="139"/>
        <v>8.2849315068493148E-3</v>
      </c>
      <c r="AW218" s="144">
        <f t="shared" si="122"/>
        <v>9.7501369863013708E-4</v>
      </c>
      <c r="AX218" s="158">
        <f t="shared" si="140"/>
        <v>4.8750684931506853E-2</v>
      </c>
      <c r="AY218" s="144">
        <f t="shared" si="123"/>
        <v>2.2941009019178077E-3</v>
      </c>
      <c r="AZ218" s="144">
        <f t="shared" si="141"/>
        <v>7.6470030063926933</v>
      </c>
      <c r="BA218" s="144">
        <f t="shared" si="124"/>
        <v>1.8496314155251143E-7</v>
      </c>
      <c r="BB218" s="158">
        <f t="shared" si="142"/>
        <v>5.2846611872146126E-5</v>
      </c>
      <c r="BC218" s="144">
        <f t="shared" si="125"/>
        <v>6.8782212876712335E-9</v>
      </c>
      <c r="BD218" s="158">
        <f t="shared" si="143"/>
        <v>2.2927404292237447E-5</v>
      </c>
      <c r="BE218" s="144">
        <f t="shared" si="126"/>
        <v>1.0501626301369863E-6</v>
      </c>
      <c r="BF218" s="158">
        <f t="shared" si="144"/>
        <v>2.1003252602739726E-4</v>
      </c>
      <c r="BG218" s="144">
        <f t="shared" si="127"/>
        <v>2.4763660273972606E-9</v>
      </c>
      <c r="BH218" s="158">
        <f t="shared" si="145"/>
        <v>4.9527320547945208E-6</v>
      </c>
      <c r="BI218" s="144">
        <f t="shared" si="128"/>
        <v>5.8286318904109597E-7</v>
      </c>
      <c r="BJ218" s="158">
        <f t="shared" si="146"/>
        <v>1.0408271232876714E-4</v>
      </c>
      <c r="BK218" s="144">
        <f t="shared" si="129"/>
        <v>3.5742097770615096E-6</v>
      </c>
      <c r="BL218" s="158">
        <f t="shared" si="147"/>
        <v>1.1914032590205034E-2</v>
      </c>
      <c r="BM218" s="144">
        <f t="shared" si="130"/>
        <v>8.6451786193929613E-9</v>
      </c>
      <c r="BN218" s="158">
        <f t="shared" si="148"/>
        <v>2.4560166532366365E-6</v>
      </c>
      <c r="BO218" s="144">
        <f t="shared" si="131"/>
        <v>3.2148811442385172E-10</v>
      </c>
      <c r="BP218" s="158">
        <f t="shared" si="149"/>
        <v>3.7382338886494385E-6</v>
      </c>
      <c r="BQ218" s="144">
        <f t="shared" si="132"/>
        <v>4.9084609186140212E-8</v>
      </c>
      <c r="BR218" s="158">
        <f t="shared" si="150"/>
        <v>1.636153639538007E-3</v>
      </c>
      <c r="BS218" s="144">
        <f t="shared" si="133"/>
        <v>1.157453666398066E-10</v>
      </c>
      <c r="BT218" s="158">
        <f t="shared" si="151"/>
        <v>2.0306204673650279E-6</v>
      </c>
      <c r="BU218" s="144">
        <f t="shared" si="134"/>
        <v>2.7243029814665595E-8</v>
      </c>
      <c r="BV218" s="158">
        <f t="shared" si="152"/>
        <v>1.3224771754692037E-6</v>
      </c>
    </row>
    <row r="219" spans="20:74">
      <c r="T219" s="53" t="s">
        <v>257</v>
      </c>
      <c r="U219" s="39" t="s">
        <v>258</v>
      </c>
      <c r="V219" s="155" t="s">
        <v>342</v>
      </c>
      <c r="W219" s="53">
        <v>0.10229199999999999</v>
      </c>
      <c r="X219" s="53">
        <v>34.713501999999998</v>
      </c>
      <c r="Y219" s="53" t="s">
        <v>335</v>
      </c>
      <c r="Z219" s="53" t="s">
        <v>334</v>
      </c>
      <c r="AA219" s="116" t="s">
        <v>347</v>
      </c>
      <c r="AB219" s="154" t="s">
        <v>371</v>
      </c>
      <c r="AC219" s="116" t="s">
        <v>687</v>
      </c>
      <c r="AD219" s="53" t="s">
        <v>361</v>
      </c>
      <c r="AE219" s="53" t="s">
        <v>685</v>
      </c>
      <c r="AF219" s="53" t="s">
        <v>690</v>
      </c>
      <c r="AG219" s="156">
        <v>5348.2</v>
      </c>
      <c r="AH219" s="157">
        <v>105.9</v>
      </c>
      <c r="AI219" s="74">
        <v>88.313275000000004</v>
      </c>
      <c r="AJ219" s="157">
        <v>128.30000000000001</v>
      </c>
      <c r="AK219" s="156">
        <v>0.90300000000000002</v>
      </c>
      <c r="AL219" s="157">
        <v>81.83</v>
      </c>
      <c r="AM219" s="144">
        <f t="shared" si="117"/>
        <v>6.8378812785388113E-2</v>
      </c>
      <c r="AN219" s="158">
        <f t="shared" si="135"/>
        <v>227.92937595129374</v>
      </c>
      <c r="AO219" s="144">
        <f t="shared" si="118"/>
        <v>1.3539726027397261E-3</v>
      </c>
      <c r="AP219" s="158">
        <f t="shared" si="136"/>
        <v>0.37610350076103505</v>
      </c>
      <c r="AQ219" s="144">
        <f t="shared" si="119"/>
        <v>1.1291194977168951E-3</v>
      </c>
      <c r="AR219" s="158">
        <f t="shared" si="137"/>
        <v>3.7637316590563175</v>
      </c>
      <c r="AS219" s="144">
        <f t="shared" si="120"/>
        <v>1.6403652968036532E-3</v>
      </c>
      <c r="AT219" s="158">
        <f t="shared" si="138"/>
        <v>0.54678843226788443</v>
      </c>
      <c r="AU219" s="144">
        <f t="shared" si="121"/>
        <v>1.1545205479452054E-5</v>
      </c>
      <c r="AV219" s="158">
        <f t="shared" si="139"/>
        <v>2.3090410958904108E-2</v>
      </c>
      <c r="AW219" s="144">
        <f t="shared" si="122"/>
        <v>1.0462283105022831E-3</v>
      </c>
      <c r="AX219" s="158">
        <f t="shared" si="140"/>
        <v>5.2311415525114154E-2</v>
      </c>
      <c r="AY219" s="144">
        <f t="shared" si="123"/>
        <v>1.226305628493151E-3</v>
      </c>
      <c r="AZ219" s="144">
        <f t="shared" si="141"/>
        <v>4.087685428310504</v>
      </c>
      <c r="BA219" s="144">
        <f t="shared" si="124"/>
        <v>8.0940482191780832E-7</v>
      </c>
      <c r="BB219" s="158">
        <f t="shared" si="142"/>
        <v>2.3125852054794522E-4</v>
      </c>
      <c r="BC219" s="144">
        <f t="shared" si="125"/>
        <v>6.7498763573515994E-7</v>
      </c>
      <c r="BD219" s="158">
        <f t="shared" si="143"/>
        <v>2.2499587857838666E-3</v>
      </c>
      <c r="BE219" s="144">
        <f t="shared" si="126"/>
        <v>9.8061037442922391E-7</v>
      </c>
      <c r="BF219" s="158">
        <f t="shared" si="144"/>
        <v>1.9612207488584478E-4</v>
      </c>
      <c r="BG219" s="144">
        <f t="shared" si="127"/>
        <v>6.9017238356164392E-9</v>
      </c>
      <c r="BH219" s="158">
        <f t="shared" si="145"/>
        <v>1.3803447671232878E-5</v>
      </c>
      <c r="BI219" s="144">
        <f t="shared" si="128"/>
        <v>6.2543528401826485E-7</v>
      </c>
      <c r="BJ219" s="158">
        <f t="shared" si="146"/>
        <v>1.1168487214611872E-4</v>
      </c>
      <c r="BK219" s="144">
        <f t="shared" si="129"/>
        <v>1.9105844748858446E-6</v>
      </c>
      <c r="BL219" s="158">
        <f t="shared" si="147"/>
        <v>6.3686149162861493E-3</v>
      </c>
      <c r="BM219" s="144">
        <f t="shared" si="130"/>
        <v>3.7831587429492346E-8</v>
      </c>
      <c r="BN219" s="158">
        <f t="shared" si="148"/>
        <v>1.0747610065196689E-5</v>
      </c>
      <c r="BO219" s="144">
        <f t="shared" si="131"/>
        <v>3.1548927142089711E-8</v>
      </c>
      <c r="BP219" s="158">
        <f t="shared" si="149"/>
        <v>3.6684799002429893E-4</v>
      </c>
      <c r="BQ219" s="144">
        <f t="shared" si="132"/>
        <v>4.5833736234219718E-8</v>
      </c>
      <c r="BR219" s="158">
        <f t="shared" si="150"/>
        <v>1.527791207807324E-3</v>
      </c>
      <c r="BS219" s="144">
        <f t="shared" si="133"/>
        <v>3.2258662369057214E-10</v>
      </c>
      <c r="BT219" s="158">
        <f t="shared" si="151"/>
        <v>5.6594144507117915E-6</v>
      </c>
      <c r="BU219" s="144">
        <f t="shared" si="134"/>
        <v>2.9232849852269671E-8</v>
      </c>
      <c r="BV219" s="158">
        <f t="shared" si="152"/>
        <v>1.4190703811781394E-6</v>
      </c>
    </row>
    <row r="220" spans="20:74">
      <c r="T220" s="53" t="s">
        <v>259</v>
      </c>
      <c r="U220" s="39" t="s">
        <v>260</v>
      </c>
      <c r="V220" s="155" t="s">
        <v>342</v>
      </c>
      <c r="W220" s="53">
        <v>0.10333000000000001</v>
      </c>
      <c r="X220" s="53">
        <v>34.713628999999997</v>
      </c>
      <c r="Y220" s="53" t="s">
        <v>335</v>
      </c>
      <c r="Z220" s="53" t="s">
        <v>334</v>
      </c>
      <c r="AA220" s="116" t="s">
        <v>347</v>
      </c>
      <c r="AB220" s="154" t="s">
        <v>371</v>
      </c>
      <c r="AC220" s="116" t="s">
        <v>687</v>
      </c>
      <c r="AD220" s="53" t="s">
        <v>365</v>
      </c>
      <c r="AE220" s="53" t="s">
        <v>685</v>
      </c>
      <c r="AF220" s="53" t="s">
        <v>691</v>
      </c>
      <c r="AG220" s="156">
        <v>7897.1</v>
      </c>
      <c r="AH220" s="157">
        <v>68.900000000000006</v>
      </c>
      <c r="AI220" s="74">
        <v>15.309225000000001</v>
      </c>
      <c r="AJ220" s="157">
        <v>73.599999999999994</v>
      </c>
      <c r="AK220" s="156">
        <v>0.78400000000000003</v>
      </c>
      <c r="AL220" s="157">
        <v>50.31</v>
      </c>
      <c r="AM220" s="144">
        <f t="shared" si="117"/>
        <v>0.10096748858447488</v>
      </c>
      <c r="AN220" s="158">
        <f t="shared" si="135"/>
        <v>336.55829528158296</v>
      </c>
      <c r="AO220" s="144">
        <f t="shared" si="118"/>
        <v>8.8091324200913256E-4</v>
      </c>
      <c r="AP220" s="158">
        <f t="shared" si="136"/>
        <v>0.24469812278031461</v>
      </c>
      <c r="AQ220" s="144">
        <f t="shared" si="119"/>
        <v>1.9573438356164382E-4</v>
      </c>
      <c r="AR220" s="158">
        <f t="shared" si="137"/>
        <v>0.65244794520547944</v>
      </c>
      <c r="AS220" s="144">
        <f t="shared" si="120"/>
        <v>9.4100456621004538E-4</v>
      </c>
      <c r="AT220" s="158">
        <f t="shared" si="138"/>
        <v>0.31366818873668179</v>
      </c>
      <c r="AU220" s="144">
        <f t="shared" si="121"/>
        <v>1.0023744292237443E-5</v>
      </c>
      <c r="AV220" s="158">
        <f t="shared" si="139"/>
        <v>2.0047488584474887E-2</v>
      </c>
      <c r="AW220" s="144">
        <f t="shared" si="122"/>
        <v>6.4323287671232869E-4</v>
      </c>
      <c r="AX220" s="158">
        <f t="shared" si="140"/>
        <v>3.2161643835616434E-2</v>
      </c>
      <c r="AY220" s="144">
        <f t="shared" si="123"/>
        <v>1.8107509402739723E-3</v>
      </c>
      <c r="AZ220" s="144">
        <f t="shared" si="141"/>
        <v>6.0358364675799079</v>
      </c>
      <c r="BA220" s="144">
        <f t="shared" si="124"/>
        <v>5.2660993607305946E-7</v>
      </c>
      <c r="BB220" s="158">
        <f t="shared" si="142"/>
        <v>1.5045998173515983E-4</v>
      </c>
      <c r="BC220" s="144">
        <f t="shared" si="125"/>
        <v>1.1701001449315069E-7</v>
      </c>
      <c r="BD220" s="158">
        <f t="shared" si="143"/>
        <v>3.900333816438357E-4</v>
      </c>
      <c r="BE220" s="144">
        <f t="shared" si="126"/>
        <v>5.625325296803653E-7</v>
      </c>
      <c r="BF220" s="158">
        <f t="shared" si="144"/>
        <v>1.1250650593607306E-4</v>
      </c>
      <c r="BG220" s="144">
        <f t="shared" si="127"/>
        <v>5.9921943378995436E-9</v>
      </c>
      <c r="BH220" s="158">
        <f t="shared" si="145"/>
        <v>1.1984388675799086E-5</v>
      </c>
      <c r="BI220" s="144">
        <f t="shared" si="128"/>
        <v>3.8452461369863019E-7</v>
      </c>
      <c r="BJ220" s="158">
        <f t="shared" si="146"/>
        <v>6.866510958904111E-5</v>
      </c>
      <c r="BK220" s="144">
        <f t="shared" si="129"/>
        <v>2.8211504163309158E-6</v>
      </c>
      <c r="BL220" s="158">
        <f t="shared" si="147"/>
        <v>9.4038347211030538E-3</v>
      </c>
      <c r="BM220" s="144">
        <f t="shared" si="130"/>
        <v>2.461375235025517E-8</v>
      </c>
      <c r="BN220" s="158">
        <f t="shared" si="148"/>
        <v>6.992543281322491E-6</v>
      </c>
      <c r="BO220" s="144">
        <f t="shared" si="131"/>
        <v>5.4690489524576958E-9</v>
      </c>
      <c r="BP220" s="158">
        <f t="shared" si="149"/>
        <v>6.3593592470438323E-5</v>
      </c>
      <c r="BQ220" s="144">
        <f t="shared" si="132"/>
        <v>2.6292774644104212E-8</v>
      </c>
      <c r="BR220" s="158">
        <f t="shared" si="150"/>
        <v>8.764258214701404E-4</v>
      </c>
      <c r="BS220" s="144">
        <f t="shared" si="133"/>
        <v>2.8007520816545794E-10</v>
      </c>
      <c r="BT220" s="158">
        <f t="shared" si="151"/>
        <v>4.9136001432536475E-6</v>
      </c>
      <c r="BU220" s="144">
        <f t="shared" si="134"/>
        <v>1.7972683319903307E-8</v>
      </c>
      <c r="BV220" s="158">
        <f t="shared" si="152"/>
        <v>8.7246035533511195E-7</v>
      </c>
    </row>
    <row r="221" spans="20:74">
      <c r="T221" s="53" t="s">
        <v>261</v>
      </c>
      <c r="U221" s="39" t="s">
        <v>262</v>
      </c>
      <c r="V221" s="155" t="s">
        <v>342</v>
      </c>
      <c r="W221" s="53">
        <v>0.10229199999999999</v>
      </c>
      <c r="X221" s="53">
        <v>34.713501999999998</v>
      </c>
      <c r="Y221" s="53" t="s">
        <v>335</v>
      </c>
      <c r="Z221" s="53" t="s">
        <v>334</v>
      </c>
      <c r="AA221" s="116" t="s">
        <v>347</v>
      </c>
      <c r="AB221" s="154" t="s">
        <v>371</v>
      </c>
      <c r="AC221" s="116" t="s">
        <v>687</v>
      </c>
      <c r="AD221" s="53" t="s">
        <v>364</v>
      </c>
      <c r="AE221" s="53" t="s">
        <v>685</v>
      </c>
      <c r="AF221" s="53" t="s">
        <v>690</v>
      </c>
      <c r="AG221" s="156">
        <v>10325.700000000001</v>
      </c>
      <c r="AH221" s="157">
        <v>26.6</v>
      </c>
      <c r="AI221" s="74">
        <v>8.342625</v>
      </c>
      <c r="AJ221" s="157">
        <v>167.4</v>
      </c>
      <c r="AK221" s="156">
        <v>0.38100000000000001</v>
      </c>
      <c r="AL221" s="157">
        <v>78.48</v>
      </c>
      <c r="AM221" s="144">
        <f t="shared" si="117"/>
        <v>0.13201808219178085</v>
      </c>
      <c r="AN221" s="158">
        <f t="shared" si="135"/>
        <v>440.06027397260289</v>
      </c>
      <c r="AO221" s="144">
        <f t="shared" si="118"/>
        <v>3.4009132420091318E-4</v>
      </c>
      <c r="AP221" s="158">
        <f t="shared" si="136"/>
        <v>9.4469812278031445E-2</v>
      </c>
      <c r="AQ221" s="144">
        <f t="shared" si="119"/>
        <v>1.0666369863013698E-4</v>
      </c>
      <c r="AR221" s="158">
        <f t="shared" si="137"/>
        <v>0.35554566210045663</v>
      </c>
      <c r="AS221" s="144">
        <f t="shared" si="120"/>
        <v>2.1402739726027395E-3</v>
      </c>
      <c r="AT221" s="158">
        <f t="shared" si="138"/>
        <v>0.71342465753424644</v>
      </c>
      <c r="AU221" s="144">
        <f t="shared" si="121"/>
        <v>4.8712328767123287E-6</v>
      </c>
      <c r="AV221" s="158">
        <f t="shared" si="139"/>
        <v>9.7424657534246565E-3</v>
      </c>
      <c r="AW221" s="144">
        <f t="shared" si="122"/>
        <v>1.0033972602739726E-3</v>
      </c>
      <c r="AX221" s="158">
        <f t="shared" si="140"/>
        <v>5.0169863013698628E-2</v>
      </c>
      <c r="AY221" s="144">
        <f t="shared" si="123"/>
        <v>2.3676122860273974E-3</v>
      </c>
      <c r="AZ221" s="144">
        <f t="shared" si="141"/>
        <v>7.8920409534246589</v>
      </c>
      <c r="BA221" s="144">
        <f t="shared" si="124"/>
        <v>2.0330659360730591E-7</v>
      </c>
      <c r="BB221" s="158">
        <f t="shared" si="142"/>
        <v>5.808759817351597E-5</v>
      </c>
      <c r="BC221" s="144">
        <f t="shared" si="125"/>
        <v>6.3763559041095884E-8</v>
      </c>
      <c r="BD221" s="158">
        <f t="shared" si="143"/>
        <v>2.1254519680365296E-4</v>
      </c>
      <c r="BE221" s="144">
        <f t="shared" si="126"/>
        <v>1.2794557808219179E-6</v>
      </c>
      <c r="BF221" s="158">
        <f t="shared" si="144"/>
        <v>2.5589115616438357E-4</v>
      </c>
      <c r="BG221" s="144">
        <f t="shared" si="127"/>
        <v>2.9120230136986302E-9</v>
      </c>
      <c r="BH221" s="158">
        <f t="shared" si="145"/>
        <v>5.82404602739726E-6</v>
      </c>
      <c r="BI221" s="144">
        <f t="shared" si="128"/>
        <v>5.9983088219178093E-7</v>
      </c>
      <c r="BJ221" s="158">
        <f t="shared" si="146"/>
        <v>1.071126575342466E-4</v>
      </c>
      <c r="BK221" s="144">
        <f t="shared" si="129"/>
        <v>3.6887405318291708E-6</v>
      </c>
      <c r="BL221" s="158">
        <f t="shared" si="147"/>
        <v>1.2295801772763904E-2</v>
      </c>
      <c r="BM221" s="144">
        <f t="shared" si="130"/>
        <v>9.5025517056137524E-9</v>
      </c>
      <c r="BN221" s="158">
        <f t="shared" si="148"/>
        <v>2.6995885527311795E-6</v>
      </c>
      <c r="BO221" s="144">
        <f t="shared" si="131"/>
        <v>2.9803092264302976E-9</v>
      </c>
      <c r="BP221" s="158">
        <f t="shared" si="149"/>
        <v>3.4654758446863925E-5</v>
      </c>
      <c r="BQ221" s="144">
        <f t="shared" si="132"/>
        <v>5.980177276390008E-8</v>
      </c>
      <c r="BR221" s="158">
        <f t="shared" si="150"/>
        <v>1.9933924254633361E-3</v>
      </c>
      <c r="BS221" s="144">
        <f t="shared" si="133"/>
        <v>1.3610797743755037E-10</v>
      </c>
      <c r="BT221" s="158">
        <f t="shared" si="151"/>
        <v>2.3878592532903573E-6</v>
      </c>
      <c r="BU221" s="144">
        <f t="shared" si="134"/>
        <v>2.8036099919419819E-8</v>
      </c>
      <c r="BV221" s="158">
        <f t="shared" si="152"/>
        <v>1.3609757242436806E-6</v>
      </c>
    </row>
    <row r="222" spans="20:74">
      <c r="T222" s="53" t="s">
        <v>263</v>
      </c>
      <c r="U222" s="39" t="s">
        <v>264</v>
      </c>
      <c r="V222" s="155" t="s">
        <v>342</v>
      </c>
      <c r="W222" s="53">
        <v>0.1033</v>
      </c>
      <c r="X222" s="53">
        <v>34.713628999999997</v>
      </c>
      <c r="Y222" s="53" t="s">
        <v>335</v>
      </c>
      <c r="Z222" s="53" t="s">
        <v>334</v>
      </c>
      <c r="AA222" s="116" t="s">
        <v>347</v>
      </c>
      <c r="AB222" s="154" t="s">
        <v>371</v>
      </c>
      <c r="AC222" s="116" t="s">
        <v>687</v>
      </c>
      <c r="AD222" s="53" t="s">
        <v>366</v>
      </c>
      <c r="AE222" s="53" t="s">
        <v>684</v>
      </c>
      <c r="AF222" s="53" t="s">
        <v>683</v>
      </c>
      <c r="AG222" s="156">
        <v>994</v>
      </c>
      <c r="AH222" s="157">
        <v>38</v>
      </c>
      <c r="AI222" s="74">
        <v>5.6278050000000004</v>
      </c>
      <c r="AJ222" s="157">
        <v>99.7</v>
      </c>
      <c r="AK222" s="156">
        <v>0.26500000000000001</v>
      </c>
      <c r="AL222" s="157">
        <v>33.380000000000003</v>
      </c>
      <c r="AM222" s="144">
        <f t="shared" si="117"/>
        <v>1.2708675799086756E-2</v>
      </c>
      <c r="AN222" s="158">
        <f t="shared" si="135"/>
        <v>42.36225266362252</v>
      </c>
      <c r="AO222" s="144">
        <f t="shared" si="118"/>
        <v>4.8584474885844745E-4</v>
      </c>
      <c r="AP222" s="158">
        <f t="shared" si="136"/>
        <v>0.13495687468290207</v>
      </c>
      <c r="AQ222" s="144">
        <f t="shared" si="119"/>
        <v>7.1953671232876716E-5</v>
      </c>
      <c r="AR222" s="158">
        <f t="shared" si="137"/>
        <v>0.23984557077625573</v>
      </c>
      <c r="AS222" s="144">
        <f t="shared" si="120"/>
        <v>1.2747031963470318E-3</v>
      </c>
      <c r="AT222" s="158">
        <f t="shared" si="138"/>
        <v>0.42490106544901057</v>
      </c>
      <c r="AU222" s="144">
        <f t="shared" si="121"/>
        <v>3.3881278538812784E-6</v>
      </c>
      <c r="AV222" s="158">
        <f t="shared" si="139"/>
        <v>6.776255707762557E-3</v>
      </c>
      <c r="AW222" s="144">
        <f t="shared" si="122"/>
        <v>4.267762557077626E-4</v>
      </c>
      <c r="AX222" s="158">
        <f t="shared" si="140"/>
        <v>2.1338812785388128E-2</v>
      </c>
      <c r="AY222" s="144">
        <f t="shared" si="123"/>
        <v>2.2791739178082196E-4</v>
      </c>
      <c r="AZ222" s="144">
        <f t="shared" si="141"/>
        <v>0.75972463926940659</v>
      </c>
      <c r="BA222" s="144">
        <f t="shared" si="124"/>
        <v>2.9043799086757997E-7</v>
      </c>
      <c r="BB222" s="158">
        <f t="shared" si="142"/>
        <v>8.298228310502285E-5</v>
      </c>
      <c r="BC222" s="144">
        <f t="shared" si="125"/>
        <v>4.3013904663013702E-8</v>
      </c>
      <c r="BD222" s="158">
        <f t="shared" si="143"/>
        <v>1.4337968221004568E-4</v>
      </c>
      <c r="BE222" s="144">
        <f t="shared" si="126"/>
        <v>7.6201757077625579E-7</v>
      </c>
      <c r="BF222" s="158">
        <f t="shared" si="144"/>
        <v>1.5240351415525115E-4</v>
      </c>
      <c r="BG222" s="144">
        <f t="shared" si="127"/>
        <v>2.025422831050228E-9</v>
      </c>
      <c r="BH222" s="158">
        <f t="shared" si="145"/>
        <v>4.0508456621004556E-6</v>
      </c>
      <c r="BI222" s="144">
        <f t="shared" si="128"/>
        <v>2.5512684566210053E-7</v>
      </c>
      <c r="BJ222" s="158">
        <f t="shared" si="146"/>
        <v>4.555836529680367E-5</v>
      </c>
      <c r="BK222" s="144">
        <f t="shared" si="129"/>
        <v>3.5509535320977705E-7</v>
      </c>
      <c r="BL222" s="158">
        <f t="shared" si="147"/>
        <v>1.1836511773659236E-3</v>
      </c>
      <c r="BM222" s="144">
        <f t="shared" si="130"/>
        <v>1.3575073865162504E-8</v>
      </c>
      <c r="BN222" s="158">
        <f t="shared" si="148"/>
        <v>3.8565550753302567E-6</v>
      </c>
      <c r="BO222" s="144">
        <f t="shared" si="131"/>
        <v>2.0104702256244966E-9</v>
      </c>
      <c r="BP222" s="158">
        <f t="shared" si="149"/>
        <v>2.3377560763075541E-5</v>
      </c>
      <c r="BQ222" s="144">
        <f t="shared" si="132"/>
        <v>3.5616706956755305E-8</v>
      </c>
      <c r="BR222" s="158">
        <f t="shared" si="150"/>
        <v>1.1872235652251768E-3</v>
      </c>
      <c r="BS222" s="144">
        <f t="shared" si="133"/>
        <v>9.4668278270212191E-11</v>
      </c>
      <c r="BT222" s="158">
        <f t="shared" si="151"/>
        <v>1.6608469871967051E-6</v>
      </c>
      <c r="BU222" s="144">
        <f t="shared" si="134"/>
        <v>1.1924630674187484E-8</v>
      </c>
      <c r="BV222" s="158">
        <f t="shared" si="152"/>
        <v>5.7886556670813024E-7</v>
      </c>
    </row>
    <row r="223" spans="20:74">
      <c r="T223" s="53" t="s">
        <v>265</v>
      </c>
      <c r="U223" s="39" t="s">
        <v>266</v>
      </c>
      <c r="V223" s="155" t="s">
        <v>342</v>
      </c>
      <c r="W223" s="53">
        <v>0.15733900000000001</v>
      </c>
      <c r="X223" s="53">
        <v>34.817802</v>
      </c>
      <c r="Y223" s="53" t="s">
        <v>679</v>
      </c>
      <c r="Z223" s="53" t="s">
        <v>334</v>
      </c>
      <c r="AA223" s="116" t="s">
        <v>347</v>
      </c>
      <c r="AB223" s="154" t="s">
        <v>371</v>
      </c>
      <c r="AC223" s="116" t="s">
        <v>687</v>
      </c>
      <c r="AD223" s="53" t="s">
        <v>364</v>
      </c>
      <c r="AE223" s="53" t="s">
        <v>685</v>
      </c>
      <c r="AF223" s="53" t="s">
        <v>690</v>
      </c>
      <c r="AG223" s="156">
        <v>632.29999999999995</v>
      </c>
      <c r="AH223" s="157">
        <v>36.6</v>
      </c>
      <c r="AI223" s="74">
        <v>0.45077499999999998</v>
      </c>
      <c r="AJ223" s="157">
        <v>123.9</v>
      </c>
      <c r="AK223" s="156">
        <v>0.29599999999999999</v>
      </c>
      <c r="AL223" s="157">
        <v>99.52</v>
      </c>
      <c r="AM223" s="144">
        <f t="shared" si="117"/>
        <v>8.084200913242006E-3</v>
      </c>
      <c r="AN223" s="158">
        <f t="shared" si="135"/>
        <v>26.947336377473356</v>
      </c>
      <c r="AO223" s="144">
        <f t="shared" si="118"/>
        <v>4.6794520547945208E-4</v>
      </c>
      <c r="AP223" s="158">
        <f t="shared" si="136"/>
        <v>0.12998477929984781</v>
      </c>
      <c r="AQ223" s="144">
        <f t="shared" si="119"/>
        <v>5.7633333333333329E-6</v>
      </c>
      <c r="AR223" s="158">
        <f t="shared" si="137"/>
        <v>1.9211111111111113E-2</v>
      </c>
      <c r="AS223" s="144">
        <f t="shared" si="120"/>
        <v>1.5841095890410958E-3</v>
      </c>
      <c r="AT223" s="158">
        <f t="shared" si="138"/>
        <v>0.5280365296803653</v>
      </c>
      <c r="AU223" s="144">
        <f t="shared" si="121"/>
        <v>3.7844748858447487E-6</v>
      </c>
      <c r="AV223" s="158">
        <f t="shared" si="139"/>
        <v>7.5689497716894972E-3</v>
      </c>
      <c r="AW223" s="144">
        <f t="shared" si="122"/>
        <v>1.2724018264840182E-3</v>
      </c>
      <c r="AX223" s="158">
        <f t="shared" si="140"/>
        <v>6.3620091324200906E-2</v>
      </c>
      <c r="AY223" s="144">
        <f t="shared" si="123"/>
        <v>1.4498205917808218E-4</v>
      </c>
      <c r="AZ223" s="144">
        <f t="shared" si="141"/>
        <v>0.48327353059360734</v>
      </c>
      <c r="BA223" s="144">
        <f t="shared" si="124"/>
        <v>2.7973764383561649E-7</v>
      </c>
      <c r="BB223" s="158">
        <f t="shared" si="142"/>
        <v>7.9925041095890422E-5</v>
      </c>
      <c r="BC223" s="144">
        <f t="shared" si="125"/>
        <v>3.445320666666667E-9</v>
      </c>
      <c r="BD223" s="158">
        <f t="shared" si="143"/>
        <v>1.1484402222222225E-5</v>
      </c>
      <c r="BE223" s="144">
        <f t="shared" si="126"/>
        <v>9.4698071232876707E-7</v>
      </c>
      <c r="BF223" s="158">
        <f t="shared" si="144"/>
        <v>1.893961424657534E-4</v>
      </c>
      <c r="BG223" s="144">
        <f t="shared" si="127"/>
        <v>2.2623590867579912E-9</v>
      </c>
      <c r="BH223" s="158">
        <f t="shared" si="145"/>
        <v>4.5247181735159826E-6</v>
      </c>
      <c r="BI223" s="144">
        <f t="shared" si="128"/>
        <v>7.6064181187214601E-7</v>
      </c>
      <c r="BJ223" s="158">
        <f t="shared" si="146"/>
        <v>1.3582889497716893E-4</v>
      </c>
      <c r="BK223" s="144">
        <f t="shared" si="129"/>
        <v>2.2588208434058551E-7</v>
      </c>
      <c r="BL223" s="158">
        <f t="shared" si="147"/>
        <v>7.5294028113528509E-4</v>
      </c>
      <c r="BM223" s="144">
        <f t="shared" si="130"/>
        <v>1.3074939564867046E-8</v>
      </c>
      <c r="BN223" s="158">
        <f t="shared" si="148"/>
        <v>3.7144714672917742E-6</v>
      </c>
      <c r="BO223" s="144">
        <f t="shared" si="131"/>
        <v>1.6103431372549022E-10</v>
      </c>
      <c r="BP223" s="158">
        <f t="shared" si="149"/>
        <v>1.8724920200638397E-6</v>
      </c>
      <c r="BQ223" s="144">
        <f t="shared" si="132"/>
        <v>4.4261885576148266E-8</v>
      </c>
      <c r="BR223" s="158">
        <f t="shared" si="150"/>
        <v>1.4753961858716088E-3</v>
      </c>
      <c r="BS223" s="144">
        <f t="shared" si="133"/>
        <v>1.0574268063389739E-10</v>
      </c>
      <c r="BT223" s="158">
        <f t="shared" si="151"/>
        <v>1.855134747963112E-6</v>
      </c>
      <c r="BU223" s="144">
        <f t="shared" si="134"/>
        <v>3.555240397528875E-8</v>
      </c>
      <c r="BV223" s="158">
        <f t="shared" si="152"/>
        <v>1.7258448531693569E-6</v>
      </c>
    </row>
    <row r="224" spans="20:74">
      <c r="T224" s="53" t="s">
        <v>267</v>
      </c>
      <c r="U224" s="39" t="s">
        <v>268</v>
      </c>
      <c r="V224" s="155" t="s">
        <v>342</v>
      </c>
      <c r="W224" s="53">
        <v>0.15733900000000001</v>
      </c>
      <c r="X224" s="53">
        <v>34.817802</v>
      </c>
      <c r="Y224" s="53" t="s">
        <v>360</v>
      </c>
      <c r="Z224" s="53" t="s">
        <v>334</v>
      </c>
      <c r="AA224" s="116" t="s">
        <v>347</v>
      </c>
      <c r="AB224" s="154" t="s">
        <v>371</v>
      </c>
      <c r="AC224" s="116" t="s">
        <v>687</v>
      </c>
      <c r="AD224" s="53" t="s">
        <v>365</v>
      </c>
      <c r="AE224" s="53" t="s">
        <v>685</v>
      </c>
      <c r="AF224" s="53" t="s">
        <v>691</v>
      </c>
      <c r="AG224" s="156">
        <v>27.3</v>
      </c>
      <c r="AH224" s="157">
        <v>8.1999999999999993</v>
      </c>
      <c r="AI224" s="74">
        <v>1.075005</v>
      </c>
      <c r="AJ224" s="157">
        <v>245.1</v>
      </c>
      <c r="AK224" s="156">
        <v>3.5000000000000003E-2</v>
      </c>
      <c r="AL224" s="157">
        <v>13.43</v>
      </c>
      <c r="AM224" s="144">
        <f t="shared" si="117"/>
        <v>3.4904109589041092E-4</v>
      </c>
      <c r="AN224" s="158">
        <f t="shared" si="135"/>
        <v>1.1634703196347032</v>
      </c>
      <c r="AO224" s="144">
        <f t="shared" si="118"/>
        <v>1.0484018264840179E-4</v>
      </c>
      <c r="AP224" s="158">
        <f t="shared" si="136"/>
        <v>2.9122272957889387E-2</v>
      </c>
      <c r="AQ224" s="144">
        <f t="shared" si="119"/>
        <v>1.3744356164383562E-5</v>
      </c>
      <c r="AR224" s="158">
        <f t="shared" si="137"/>
        <v>4.5814520547945208E-2</v>
      </c>
      <c r="AS224" s="144">
        <f t="shared" si="120"/>
        <v>3.1336986301369863E-3</v>
      </c>
      <c r="AT224" s="158">
        <f t="shared" si="138"/>
        <v>1.0445662100456621</v>
      </c>
      <c r="AU224" s="144">
        <f t="shared" si="121"/>
        <v>4.4748858447488594E-7</v>
      </c>
      <c r="AV224" s="158">
        <f t="shared" si="139"/>
        <v>8.9497716894977185E-4</v>
      </c>
      <c r="AW224" s="144">
        <f t="shared" si="122"/>
        <v>1.7170776255707762E-4</v>
      </c>
      <c r="AX224" s="158">
        <f t="shared" si="140"/>
        <v>8.5853881278538813E-3</v>
      </c>
      <c r="AY224" s="144">
        <f t="shared" si="123"/>
        <v>6.2597030136986296E-6</v>
      </c>
      <c r="AZ224" s="144">
        <f t="shared" si="141"/>
        <v>2.0865676712328769E-2</v>
      </c>
      <c r="BA224" s="144">
        <f t="shared" si="124"/>
        <v>6.2673461187214596E-8</v>
      </c>
      <c r="BB224" s="158">
        <f t="shared" si="142"/>
        <v>1.7906703196347029E-5</v>
      </c>
      <c r="BC224" s="144">
        <f t="shared" si="125"/>
        <v>8.2163761150684908E-9</v>
      </c>
      <c r="BD224" s="158">
        <f t="shared" si="143"/>
        <v>2.7387920383561639E-5</v>
      </c>
      <c r="BE224" s="144">
        <f t="shared" si="126"/>
        <v>1.8733250410958905E-6</v>
      </c>
      <c r="BF224" s="158">
        <f t="shared" si="144"/>
        <v>3.746650082191781E-4</v>
      </c>
      <c r="BG224" s="144">
        <f t="shared" si="127"/>
        <v>2.6750867579908685E-10</v>
      </c>
      <c r="BH224" s="158">
        <f t="shared" si="145"/>
        <v>5.3501735159817372E-7</v>
      </c>
      <c r="BI224" s="144">
        <f t="shared" si="128"/>
        <v>1.0264690045662101E-7</v>
      </c>
      <c r="BJ224" s="158">
        <f t="shared" si="146"/>
        <v>1.8329803652968036E-5</v>
      </c>
      <c r="BK224" s="144">
        <f t="shared" si="129"/>
        <v>9.7526188557614832E-9</v>
      </c>
      <c r="BL224" s="158">
        <f t="shared" si="147"/>
        <v>3.2508729519204947E-5</v>
      </c>
      <c r="BM224" s="144">
        <f t="shared" si="130"/>
        <v>2.9293580445876974E-9</v>
      </c>
      <c r="BN224" s="158">
        <f t="shared" si="148"/>
        <v>8.3220398993968672E-7</v>
      </c>
      <c r="BO224" s="144">
        <f t="shared" si="131"/>
        <v>3.8403348106365832E-10</v>
      </c>
      <c r="BP224" s="158">
        <f t="shared" si="149"/>
        <v>4.465505593763469E-6</v>
      </c>
      <c r="BQ224" s="144">
        <f t="shared" si="132"/>
        <v>8.755922643029812E-8</v>
      </c>
      <c r="BR224" s="158">
        <f t="shared" si="150"/>
        <v>2.9186408810099374E-3</v>
      </c>
      <c r="BS224" s="144">
        <f t="shared" si="133"/>
        <v>1.2503357507386516E-11</v>
      </c>
      <c r="BT224" s="158">
        <f t="shared" si="151"/>
        <v>2.1935714925239499E-7</v>
      </c>
      <c r="BU224" s="144">
        <f t="shared" si="134"/>
        <v>4.7977168949771683E-9</v>
      </c>
      <c r="BV224" s="158">
        <f t="shared" si="152"/>
        <v>2.3289887839694993E-7</v>
      </c>
    </row>
    <row r="225" spans="20:74">
      <c r="T225" s="53" t="s">
        <v>269</v>
      </c>
      <c r="U225" s="39" t="s">
        <v>270</v>
      </c>
      <c r="V225" s="155" t="s">
        <v>342</v>
      </c>
      <c r="W225" s="53">
        <v>0.15733900000000001</v>
      </c>
      <c r="X225" s="53">
        <v>34.817802</v>
      </c>
      <c r="Y225" s="53" t="s">
        <v>679</v>
      </c>
      <c r="Z225" s="53" t="s">
        <v>334</v>
      </c>
      <c r="AA225" s="116" t="s">
        <v>347</v>
      </c>
      <c r="AB225" s="154" t="s">
        <v>371</v>
      </c>
      <c r="AC225" s="116" t="s">
        <v>687</v>
      </c>
      <c r="AD225" s="53" t="s">
        <v>361</v>
      </c>
      <c r="AE225" s="53" t="s">
        <v>685</v>
      </c>
      <c r="AF225" s="53" t="s">
        <v>690</v>
      </c>
      <c r="AG225" s="156">
        <v>507.7</v>
      </c>
      <c r="AH225" s="157">
        <v>28.1</v>
      </c>
      <c r="AI225" s="74">
        <v>3.6753849999999999</v>
      </c>
      <c r="AJ225" s="157">
        <v>133.69999999999999</v>
      </c>
      <c r="AK225" s="156">
        <v>0.185</v>
      </c>
      <c r="AL225" s="157">
        <v>27.95</v>
      </c>
      <c r="AM225" s="144">
        <f t="shared" si="117"/>
        <v>6.4911415525114148E-3</v>
      </c>
      <c r="AN225" s="158">
        <f t="shared" si="135"/>
        <v>21.637138508371386</v>
      </c>
      <c r="AO225" s="144">
        <f t="shared" si="118"/>
        <v>3.5926940639269402E-4</v>
      </c>
      <c r="AP225" s="158">
        <f t="shared" si="136"/>
        <v>9.9797057331303896E-2</v>
      </c>
      <c r="AQ225" s="144">
        <f t="shared" si="119"/>
        <v>4.6991223744292243E-5</v>
      </c>
      <c r="AR225" s="158">
        <f t="shared" si="137"/>
        <v>0.15663741248097415</v>
      </c>
      <c r="AS225" s="144">
        <f t="shared" si="120"/>
        <v>1.7094063926940634E-3</v>
      </c>
      <c r="AT225" s="158">
        <f t="shared" si="138"/>
        <v>0.56980213089802112</v>
      </c>
      <c r="AU225" s="144">
        <f t="shared" si="121"/>
        <v>2.3652968036529679E-6</v>
      </c>
      <c r="AV225" s="158">
        <f t="shared" si="139"/>
        <v>4.7305936073059355E-3</v>
      </c>
      <c r="AW225" s="144">
        <f t="shared" si="122"/>
        <v>3.5735159817351593E-4</v>
      </c>
      <c r="AX225" s="158">
        <f t="shared" si="140"/>
        <v>1.7867579908675796E-2</v>
      </c>
      <c r="AY225" s="144">
        <f t="shared" si="123"/>
        <v>1.1641213260273972E-4</v>
      </c>
      <c r="AZ225" s="144">
        <f t="shared" si="141"/>
        <v>0.38804044200913246</v>
      </c>
      <c r="BA225" s="144">
        <f t="shared" si="124"/>
        <v>2.1477125114155249E-7</v>
      </c>
      <c r="BB225" s="158">
        <f t="shared" si="142"/>
        <v>6.1363214611872139E-5</v>
      </c>
      <c r="BC225" s="144">
        <f t="shared" si="125"/>
        <v>2.8091353554337906E-8</v>
      </c>
      <c r="BD225" s="158">
        <f t="shared" si="143"/>
        <v>9.3637845181126364E-5</v>
      </c>
      <c r="BE225" s="144">
        <f t="shared" si="126"/>
        <v>1.0218831415525114E-6</v>
      </c>
      <c r="BF225" s="158">
        <f t="shared" si="144"/>
        <v>2.0437662831050227E-4</v>
      </c>
      <c r="BG225" s="144">
        <f t="shared" si="127"/>
        <v>1.4139744292237445E-9</v>
      </c>
      <c r="BH225" s="158">
        <f t="shared" si="145"/>
        <v>2.8279488584474888E-6</v>
      </c>
      <c r="BI225" s="144">
        <f t="shared" si="128"/>
        <v>2.1362478538812786E-7</v>
      </c>
      <c r="BJ225" s="158">
        <f t="shared" si="146"/>
        <v>3.8147283105022829E-5</v>
      </c>
      <c r="BK225" s="144">
        <f t="shared" si="129"/>
        <v>1.8137013161428951E-7</v>
      </c>
      <c r="BL225" s="158">
        <f t="shared" si="147"/>
        <v>6.045671053809651E-4</v>
      </c>
      <c r="BM225" s="144">
        <f t="shared" si="130"/>
        <v>1.0038409884501746E-8</v>
      </c>
      <c r="BN225" s="158">
        <f t="shared" si="148"/>
        <v>2.8518209899152684E-6</v>
      </c>
      <c r="BO225" s="144">
        <f t="shared" si="131"/>
        <v>1.3129900752081652E-9</v>
      </c>
      <c r="BP225" s="158">
        <f t="shared" si="149"/>
        <v>1.5267326455908897E-5</v>
      </c>
      <c r="BQ225" s="144">
        <f t="shared" si="132"/>
        <v>4.7762825678216484E-8</v>
      </c>
      <c r="BR225" s="158">
        <f t="shared" si="150"/>
        <v>1.5920941892738829E-3</v>
      </c>
      <c r="BS225" s="144">
        <f t="shared" si="133"/>
        <v>6.6089175396185867E-11</v>
      </c>
      <c r="BT225" s="158">
        <f t="shared" si="151"/>
        <v>1.159459217476945E-6</v>
      </c>
      <c r="BU225" s="144">
        <f t="shared" si="134"/>
        <v>9.9848240666129473E-9</v>
      </c>
      <c r="BV225" s="158">
        <f t="shared" si="152"/>
        <v>4.8470019740839553E-7</v>
      </c>
    </row>
    <row r="226" spans="20:74">
      <c r="T226" s="53" t="s">
        <v>271</v>
      </c>
      <c r="U226" s="39" t="s">
        <v>272</v>
      </c>
      <c r="V226" s="155" t="s">
        <v>342</v>
      </c>
      <c r="W226" s="53">
        <v>0.156809</v>
      </c>
      <c r="X226" s="53">
        <v>34.818221000000001</v>
      </c>
      <c r="Y226" s="53" t="s">
        <v>679</v>
      </c>
      <c r="Z226" s="53" t="s">
        <v>334</v>
      </c>
      <c r="AA226" s="116" t="s">
        <v>347</v>
      </c>
      <c r="AB226" s="154" t="s">
        <v>371</v>
      </c>
      <c r="AC226" s="116" t="s">
        <v>687</v>
      </c>
      <c r="AD226" s="53" t="s">
        <v>361</v>
      </c>
      <c r="AE226" s="53" t="s">
        <v>685</v>
      </c>
      <c r="AF226" s="53" t="s">
        <v>690</v>
      </c>
      <c r="AG226" s="156">
        <v>197.5</v>
      </c>
      <c r="AH226" s="157">
        <v>36.4</v>
      </c>
      <c r="AI226" s="74">
        <v>0.92200500000000007</v>
      </c>
      <c r="AJ226" s="157">
        <v>80.2</v>
      </c>
      <c r="AK226" s="156">
        <v>8.7999999999999995E-2</v>
      </c>
      <c r="AL226" s="157">
        <v>24.18</v>
      </c>
      <c r="AM226" s="144">
        <f t="shared" si="117"/>
        <v>2.5251141552511415E-3</v>
      </c>
      <c r="AN226" s="158">
        <f t="shared" si="135"/>
        <v>8.4170471841704728</v>
      </c>
      <c r="AO226" s="144">
        <f t="shared" si="118"/>
        <v>4.6538812785388125E-4</v>
      </c>
      <c r="AP226" s="158">
        <f t="shared" si="136"/>
        <v>0.12927447995941146</v>
      </c>
      <c r="AQ226" s="144">
        <f t="shared" si="119"/>
        <v>1.1788191780821919E-5</v>
      </c>
      <c r="AR226" s="158">
        <f t="shared" si="137"/>
        <v>3.929397260273973E-2</v>
      </c>
      <c r="AS226" s="144">
        <f t="shared" si="120"/>
        <v>1.0253881278538813E-3</v>
      </c>
      <c r="AT226" s="158">
        <f t="shared" si="138"/>
        <v>0.34179604261796043</v>
      </c>
      <c r="AU226" s="144">
        <f t="shared" si="121"/>
        <v>1.1251141552511413E-6</v>
      </c>
      <c r="AV226" s="158">
        <f t="shared" si="139"/>
        <v>2.2502283105022827E-3</v>
      </c>
      <c r="AW226" s="144">
        <f t="shared" si="122"/>
        <v>3.0915068493150686E-4</v>
      </c>
      <c r="AX226" s="158">
        <f t="shared" si="140"/>
        <v>1.5457534246575344E-2</v>
      </c>
      <c r="AY226" s="144">
        <f t="shared" si="123"/>
        <v>4.528539726027397E-5</v>
      </c>
      <c r="AZ226" s="144">
        <f t="shared" si="141"/>
        <v>0.15095132420091326</v>
      </c>
      <c r="BA226" s="144">
        <f t="shared" si="124"/>
        <v>2.7820902283105023E-7</v>
      </c>
      <c r="BB226" s="158">
        <f t="shared" si="142"/>
        <v>7.9488292237442926E-5</v>
      </c>
      <c r="BC226" s="144">
        <f t="shared" si="125"/>
        <v>7.0469810465753423E-9</v>
      </c>
      <c r="BD226" s="158">
        <f t="shared" si="143"/>
        <v>2.3489936821917809E-5</v>
      </c>
      <c r="BE226" s="144">
        <f t="shared" si="126"/>
        <v>6.1297702283105025E-7</v>
      </c>
      <c r="BF226" s="158">
        <f t="shared" si="144"/>
        <v>1.2259540456621004E-4</v>
      </c>
      <c r="BG226" s="144">
        <f t="shared" si="127"/>
        <v>6.7259324200913238E-10</v>
      </c>
      <c r="BH226" s="158">
        <f t="shared" si="145"/>
        <v>1.3451864840182647E-6</v>
      </c>
      <c r="BI226" s="144">
        <f t="shared" si="128"/>
        <v>1.8481027945205482E-7</v>
      </c>
      <c r="BJ226" s="158">
        <f t="shared" si="146"/>
        <v>3.300183561643836E-5</v>
      </c>
      <c r="BK226" s="144">
        <f t="shared" si="129"/>
        <v>7.0554660220252478E-8</v>
      </c>
      <c r="BL226" s="158">
        <f t="shared" si="147"/>
        <v>2.3518220073417495E-4</v>
      </c>
      <c r="BM226" s="144">
        <f t="shared" si="130"/>
        <v>1.3003491807681977E-8</v>
      </c>
      <c r="BN226" s="158">
        <f t="shared" si="148"/>
        <v>3.6941738090005615E-6</v>
      </c>
      <c r="BO226" s="144">
        <f t="shared" si="131"/>
        <v>3.2937594681708299E-10</v>
      </c>
      <c r="BP226" s="158">
        <f t="shared" si="149"/>
        <v>3.8299528699660815E-6</v>
      </c>
      <c r="BQ226" s="144">
        <f t="shared" si="132"/>
        <v>2.8650550631211389E-8</v>
      </c>
      <c r="BR226" s="158">
        <f t="shared" si="150"/>
        <v>9.5501835437371296E-4</v>
      </c>
      <c r="BS226" s="144">
        <f t="shared" si="133"/>
        <v>3.1437013161428954E-11</v>
      </c>
      <c r="BT226" s="158">
        <f t="shared" si="151"/>
        <v>5.51526546691736E-7</v>
      </c>
      <c r="BU226" s="144">
        <f t="shared" si="134"/>
        <v>8.6380338436744566E-9</v>
      </c>
      <c r="BV226" s="158">
        <f t="shared" si="152"/>
        <v>4.1932203124633283E-7</v>
      </c>
    </row>
    <row r="227" spans="20:74">
      <c r="T227" s="53" t="s">
        <v>273</v>
      </c>
      <c r="U227" s="39" t="s">
        <v>274</v>
      </c>
      <c r="V227" s="155" t="s">
        <v>342</v>
      </c>
      <c r="W227" s="53">
        <v>0.156809</v>
      </c>
      <c r="X227" s="53">
        <v>34.818221000000001</v>
      </c>
      <c r="Y227" s="53" t="s">
        <v>679</v>
      </c>
      <c r="Z227" s="53" t="s">
        <v>334</v>
      </c>
      <c r="AA227" s="116" t="s">
        <v>347</v>
      </c>
      <c r="AB227" s="154" t="s">
        <v>371</v>
      </c>
      <c r="AC227" s="116" t="s">
        <v>687</v>
      </c>
      <c r="AD227" s="53" t="s">
        <v>365</v>
      </c>
      <c r="AE227" s="53" t="s">
        <v>685</v>
      </c>
      <c r="AF227" s="53" t="s">
        <v>691</v>
      </c>
      <c r="AG227" s="156">
        <v>1283.7</v>
      </c>
      <c r="AH227" s="157">
        <v>40.5</v>
      </c>
      <c r="AI227" s="74">
        <v>0.257525</v>
      </c>
      <c r="AJ227" s="157">
        <v>170.1</v>
      </c>
      <c r="AK227" s="156">
        <v>0.17199999999999999</v>
      </c>
      <c r="AL227" s="157">
        <v>17.170000000000002</v>
      </c>
      <c r="AM227" s="144">
        <f t="shared" si="117"/>
        <v>1.6412602739726029E-2</v>
      </c>
      <c r="AN227" s="158">
        <f t="shared" si="135"/>
        <v>54.70867579908677</v>
      </c>
      <c r="AO227" s="144">
        <f t="shared" si="118"/>
        <v>5.1780821917808218E-4</v>
      </c>
      <c r="AP227" s="158">
        <f t="shared" si="136"/>
        <v>0.14383561643835616</v>
      </c>
      <c r="AQ227" s="144">
        <f t="shared" si="119"/>
        <v>3.2925570776255708E-6</v>
      </c>
      <c r="AR227" s="158">
        <f t="shared" si="137"/>
        <v>1.0975190258751903E-2</v>
      </c>
      <c r="AS227" s="144">
        <f t="shared" si="120"/>
        <v>2.1747945205479449E-3</v>
      </c>
      <c r="AT227" s="158">
        <f t="shared" si="138"/>
        <v>0.72493150684931495</v>
      </c>
      <c r="AU227" s="144">
        <f t="shared" si="121"/>
        <v>2.1990867579908676E-6</v>
      </c>
      <c r="AV227" s="158">
        <f t="shared" si="139"/>
        <v>4.3981735159817348E-3</v>
      </c>
      <c r="AW227" s="144">
        <f t="shared" si="122"/>
        <v>2.1952511415525118E-4</v>
      </c>
      <c r="AX227" s="158">
        <f t="shared" si="140"/>
        <v>1.0976255707762559E-2</v>
      </c>
      <c r="AY227" s="144">
        <f t="shared" si="123"/>
        <v>2.9434361753424658E-4</v>
      </c>
      <c r="AZ227" s="144">
        <f t="shared" si="141"/>
        <v>0.98114539178082205</v>
      </c>
      <c r="BA227" s="144">
        <f t="shared" si="124"/>
        <v>3.0954575342465755E-7</v>
      </c>
      <c r="BB227" s="158">
        <f t="shared" si="142"/>
        <v>8.8441643835616442E-5</v>
      </c>
      <c r="BC227" s="144">
        <f t="shared" si="125"/>
        <v>1.9682906210045665E-9</v>
      </c>
      <c r="BD227" s="158">
        <f t="shared" si="143"/>
        <v>6.5609687366818891E-6</v>
      </c>
      <c r="BE227" s="144">
        <f t="shared" si="126"/>
        <v>1.3000921643835617E-6</v>
      </c>
      <c r="BF227" s="158">
        <f t="shared" si="144"/>
        <v>2.6001843287671233E-4</v>
      </c>
      <c r="BG227" s="144">
        <f t="shared" si="127"/>
        <v>1.3146140639269409E-9</v>
      </c>
      <c r="BH227" s="158">
        <f t="shared" si="145"/>
        <v>2.6292281278538819E-6</v>
      </c>
      <c r="BI227" s="144">
        <f t="shared" si="128"/>
        <v>1.3123211324200918E-7</v>
      </c>
      <c r="BJ227" s="158">
        <f t="shared" si="146"/>
        <v>2.3434305936073068E-5</v>
      </c>
      <c r="BK227" s="144">
        <f t="shared" si="129"/>
        <v>4.5858742949234481E-7</v>
      </c>
      <c r="BL227" s="158">
        <f t="shared" si="147"/>
        <v>1.5286247649744828E-3</v>
      </c>
      <c r="BM227" s="144">
        <f t="shared" si="130"/>
        <v>1.4468170829975827E-8</v>
      </c>
      <c r="BN227" s="158">
        <f t="shared" si="148"/>
        <v>4.1102758039704048E-6</v>
      </c>
      <c r="BO227" s="144">
        <f t="shared" si="131"/>
        <v>9.1997918345420367E-11</v>
      </c>
      <c r="BP227" s="158">
        <f t="shared" si="149"/>
        <v>1.0697432365746553E-6</v>
      </c>
      <c r="BQ227" s="144">
        <f t="shared" si="132"/>
        <v>6.0766317485898466E-8</v>
      </c>
      <c r="BR227" s="158">
        <f t="shared" si="150"/>
        <v>2.0255439161966154E-3</v>
      </c>
      <c r="BS227" s="144">
        <f t="shared" si="133"/>
        <v>6.144507117915659E-11</v>
      </c>
      <c r="BT227" s="158">
        <f t="shared" si="151"/>
        <v>1.077983704897484E-6</v>
      </c>
      <c r="BU227" s="144">
        <f t="shared" si="134"/>
        <v>6.1337899543378995E-9</v>
      </c>
      <c r="BV227" s="158">
        <f t="shared" si="152"/>
        <v>2.9775679389989802E-7</v>
      </c>
    </row>
    <row r="228" spans="20:74">
      <c r="T228" s="53" t="s">
        <v>275</v>
      </c>
      <c r="U228" s="39" t="s">
        <v>276</v>
      </c>
      <c r="V228" s="155" t="s">
        <v>342</v>
      </c>
      <c r="W228" s="53">
        <v>0.156809</v>
      </c>
      <c r="X228" s="53">
        <v>34.818221000000001</v>
      </c>
      <c r="Y228" s="53" t="s">
        <v>679</v>
      </c>
      <c r="Z228" s="53" t="s">
        <v>334</v>
      </c>
      <c r="AA228" s="116" t="s">
        <v>347</v>
      </c>
      <c r="AB228" s="154" t="s">
        <v>371</v>
      </c>
      <c r="AC228" s="116" t="s">
        <v>687</v>
      </c>
      <c r="AD228" s="53" t="s">
        <v>364</v>
      </c>
      <c r="AE228" s="53" t="s">
        <v>685</v>
      </c>
      <c r="AF228" s="53" t="s">
        <v>690</v>
      </c>
      <c r="AG228" s="156">
        <v>56.7</v>
      </c>
      <c r="AH228" s="157">
        <v>10.8</v>
      </c>
      <c r="AI228" s="74">
        <v>0.136435</v>
      </c>
      <c r="AJ228" s="157">
        <v>103.2</v>
      </c>
      <c r="AK228" s="156">
        <v>1.2E-2</v>
      </c>
      <c r="AL228" s="157">
        <v>5.39</v>
      </c>
      <c r="AM228" s="144">
        <f t="shared" si="117"/>
        <v>7.2493150684931507E-4</v>
      </c>
      <c r="AN228" s="158">
        <f t="shared" si="135"/>
        <v>2.4164383561643836</v>
      </c>
      <c r="AO228" s="144">
        <f t="shared" si="118"/>
        <v>1.3808219178082189E-4</v>
      </c>
      <c r="AP228" s="158">
        <f t="shared" si="136"/>
        <v>3.8356164383561639E-2</v>
      </c>
      <c r="AQ228" s="144">
        <f t="shared" si="119"/>
        <v>1.744374429223744E-6</v>
      </c>
      <c r="AR228" s="158">
        <f t="shared" si="137"/>
        <v>5.8145814307458141E-3</v>
      </c>
      <c r="AS228" s="144">
        <f t="shared" si="120"/>
        <v>1.3194520547945205E-3</v>
      </c>
      <c r="AT228" s="158">
        <f t="shared" si="138"/>
        <v>0.43981735159817348</v>
      </c>
      <c r="AU228" s="144">
        <f t="shared" si="121"/>
        <v>1.5342465753424656E-7</v>
      </c>
      <c r="AV228" s="158">
        <f t="shared" si="139"/>
        <v>3.0684931506849309E-4</v>
      </c>
      <c r="AW228" s="144">
        <f t="shared" si="122"/>
        <v>6.8913242009132416E-5</v>
      </c>
      <c r="AX228" s="158">
        <f t="shared" si="140"/>
        <v>3.4456621004566208E-3</v>
      </c>
      <c r="AY228" s="144">
        <f t="shared" si="123"/>
        <v>1.3000921643835615E-5</v>
      </c>
      <c r="AZ228" s="144">
        <f t="shared" si="141"/>
        <v>4.3336405479452056E-2</v>
      </c>
      <c r="BA228" s="144">
        <f t="shared" si="124"/>
        <v>8.2545534246575348E-8</v>
      </c>
      <c r="BB228" s="158">
        <f t="shared" si="142"/>
        <v>2.3584438356164386E-5</v>
      </c>
      <c r="BC228" s="144">
        <f t="shared" si="125"/>
        <v>1.0427870337899545E-9</v>
      </c>
      <c r="BD228" s="158">
        <f t="shared" si="143"/>
        <v>3.4759567792998487E-6</v>
      </c>
      <c r="BE228" s="144">
        <f t="shared" si="126"/>
        <v>7.8876843835616458E-7</v>
      </c>
      <c r="BF228" s="158">
        <f t="shared" si="144"/>
        <v>1.5775368767123292E-4</v>
      </c>
      <c r="BG228" s="144">
        <f t="shared" si="127"/>
        <v>9.17172602739726E-11</v>
      </c>
      <c r="BH228" s="158">
        <f t="shared" si="145"/>
        <v>1.834345205479452E-7</v>
      </c>
      <c r="BI228" s="144">
        <f t="shared" si="128"/>
        <v>4.1196336073059359E-8</v>
      </c>
      <c r="BJ228" s="158">
        <f t="shared" si="146"/>
        <v>7.3564885844748855E-6</v>
      </c>
      <c r="BK228" s="144">
        <f t="shared" si="129"/>
        <v>2.0255439161966155E-8</v>
      </c>
      <c r="BL228" s="158">
        <f t="shared" si="147"/>
        <v>6.7518130539887195E-5</v>
      </c>
      <c r="BM228" s="144">
        <f t="shared" si="130"/>
        <v>3.8581788879935533E-9</v>
      </c>
      <c r="BN228" s="158">
        <f t="shared" si="148"/>
        <v>1.0960735477254412E-6</v>
      </c>
      <c r="BO228" s="144">
        <f t="shared" si="131"/>
        <v>4.8739873757722265E-11</v>
      </c>
      <c r="BP228" s="158">
        <f t="shared" si="149"/>
        <v>5.6674271811304953E-7</v>
      </c>
      <c r="BQ228" s="144">
        <f t="shared" si="132"/>
        <v>3.6867042707493959E-8</v>
      </c>
      <c r="BR228" s="158">
        <f t="shared" si="150"/>
        <v>1.228901423583132E-3</v>
      </c>
      <c r="BS228" s="144">
        <f t="shared" si="133"/>
        <v>4.2868654311039488E-12</v>
      </c>
      <c r="BT228" s="158">
        <f t="shared" si="151"/>
        <v>7.5208165457964004E-8</v>
      </c>
      <c r="BU228" s="144">
        <f t="shared" si="134"/>
        <v>1.9255170561375235E-9</v>
      </c>
      <c r="BV228" s="158">
        <f t="shared" si="152"/>
        <v>9.3471701754248712E-8</v>
      </c>
    </row>
    <row r="229" spans="20:74">
      <c r="T229" s="53" t="s">
        <v>277</v>
      </c>
      <c r="U229" s="39" t="s">
        <v>278</v>
      </c>
      <c r="V229" s="155" t="s">
        <v>342</v>
      </c>
      <c r="W229" s="53">
        <v>0.156392</v>
      </c>
      <c r="X229" s="53">
        <v>34.817486000000002</v>
      </c>
      <c r="Y229" s="53" t="s">
        <v>679</v>
      </c>
      <c r="Z229" s="53" t="s">
        <v>334</v>
      </c>
      <c r="AA229" s="116" t="s">
        <v>347</v>
      </c>
      <c r="AB229" s="154" t="s">
        <v>371</v>
      </c>
      <c r="AC229" s="116" t="s">
        <v>687</v>
      </c>
      <c r="AD229" s="53" t="s">
        <v>367</v>
      </c>
      <c r="AE229" s="53" t="s">
        <v>684</v>
      </c>
      <c r="AF229" s="53" t="s">
        <v>683</v>
      </c>
      <c r="AG229" s="156">
        <v>15.7</v>
      </c>
      <c r="AH229" s="157">
        <v>24.4</v>
      </c>
      <c r="AI229" s="74">
        <v>0.22564500000000001</v>
      </c>
      <c r="AJ229" s="157">
        <v>115.1</v>
      </c>
      <c r="AK229" s="156">
        <v>5.6000000000000001E-2</v>
      </c>
      <c r="AL229" s="157">
        <v>36.33</v>
      </c>
      <c r="AM229" s="144">
        <f t="shared" si="117"/>
        <v>2.0073059360730593E-4</v>
      </c>
      <c r="AN229" s="158">
        <f t="shared" si="135"/>
        <v>0.66910197869101984</v>
      </c>
      <c r="AO229" s="144">
        <f t="shared" si="118"/>
        <v>3.119634703196347E-4</v>
      </c>
      <c r="AP229" s="158">
        <f t="shared" si="136"/>
        <v>8.6656519533231863E-2</v>
      </c>
      <c r="AQ229" s="144">
        <f t="shared" si="119"/>
        <v>2.884958904109589E-6</v>
      </c>
      <c r="AR229" s="158">
        <f t="shared" si="137"/>
        <v>9.6165296803652975E-3</v>
      </c>
      <c r="AS229" s="144">
        <f t="shared" si="120"/>
        <v>1.4715981735159817E-3</v>
      </c>
      <c r="AT229" s="158">
        <f t="shared" si="138"/>
        <v>0.4905327245053272</v>
      </c>
      <c r="AU229" s="144">
        <f t="shared" si="121"/>
        <v>7.1598173515981747E-7</v>
      </c>
      <c r="AV229" s="158">
        <f t="shared" si="139"/>
        <v>1.4319634703196349E-3</v>
      </c>
      <c r="AW229" s="144">
        <f t="shared" si="122"/>
        <v>4.6449315068493151E-4</v>
      </c>
      <c r="AX229" s="158">
        <f t="shared" si="140"/>
        <v>2.3224657534246573E-2</v>
      </c>
      <c r="AY229" s="144">
        <f t="shared" si="123"/>
        <v>3.5999024657534248E-6</v>
      </c>
      <c r="AZ229" s="144">
        <f t="shared" si="141"/>
        <v>1.199967488584475E-2</v>
      </c>
      <c r="BA229" s="144">
        <f t="shared" si="124"/>
        <v>1.8649176255707764E-7</v>
      </c>
      <c r="BB229" s="158">
        <f t="shared" si="142"/>
        <v>5.3283360730593614E-5</v>
      </c>
      <c r="BC229" s="144">
        <f t="shared" si="125"/>
        <v>1.7246284328767122E-9</v>
      </c>
      <c r="BD229" s="158">
        <f t="shared" si="143"/>
        <v>5.7487614429223744E-6</v>
      </c>
      <c r="BE229" s="144">
        <f t="shared" si="126"/>
        <v>8.797213881278538E-7</v>
      </c>
      <c r="BF229" s="158">
        <f t="shared" si="144"/>
        <v>1.7594427762557076E-4</v>
      </c>
      <c r="BG229" s="144">
        <f t="shared" si="127"/>
        <v>4.2801388127853887E-10</v>
      </c>
      <c r="BH229" s="158">
        <f t="shared" si="145"/>
        <v>8.5602776255707774E-7</v>
      </c>
      <c r="BI229" s="144">
        <f t="shared" si="128"/>
        <v>2.7767400547945204E-7</v>
      </c>
      <c r="BJ229" s="158">
        <f t="shared" si="146"/>
        <v>4.9584643835616438E-5</v>
      </c>
      <c r="BK229" s="144">
        <f t="shared" si="129"/>
        <v>5.6086489390276656E-9</v>
      </c>
      <c r="BL229" s="158">
        <f t="shared" si="147"/>
        <v>1.8695496463425552E-5</v>
      </c>
      <c r="BM229" s="144">
        <f t="shared" si="130"/>
        <v>8.7166263765780265E-9</v>
      </c>
      <c r="BN229" s="158">
        <f t="shared" si="148"/>
        <v>2.4763143115278483E-6</v>
      </c>
      <c r="BO229" s="144">
        <f t="shared" si="131"/>
        <v>8.0609145850120862E-11</v>
      </c>
      <c r="BP229" s="158">
        <f t="shared" si="149"/>
        <v>9.3731564942000999E-7</v>
      </c>
      <c r="BQ229" s="144">
        <f t="shared" si="132"/>
        <v>4.1118184260005363E-8</v>
      </c>
      <c r="BR229" s="158">
        <f t="shared" si="150"/>
        <v>1.3706061420001787E-3</v>
      </c>
      <c r="BS229" s="144">
        <f t="shared" si="133"/>
        <v>2.0005372011818422E-11</v>
      </c>
      <c r="BT229" s="158">
        <f t="shared" si="151"/>
        <v>3.5097143880383194E-7</v>
      </c>
      <c r="BU229" s="144">
        <f t="shared" si="134"/>
        <v>1.2978485092667202E-8</v>
      </c>
      <c r="BV229" s="158">
        <f t="shared" si="152"/>
        <v>6.3002354818772821E-7</v>
      </c>
    </row>
    <row r="230" spans="20:74">
      <c r="T230" s="53" t="s">
        <v>279</v>
      </c>
      <c r="U230" s="39" t="s">
        <v>280</v>
      </c>
      <c r="V230" s="155" t="s">
        <v>342</v>
      </c>
      <c r="W230" s="53">
        <v>0.156392</v>
      </c>
      <c r="X230" s="53">
        <v>34.817486000000002</v>
      </c>
      <c r="Y230" s="53" t="s">
        <v>679</v>
      </c>
      <c r="Z230" s="53" t="s">
        <v>334</v>
      </c>
      <c r="AA230" s="116" t="s">
        <v>347</v>
      </c>
      <c r="AB230" s="154" t="s">
        <v>371</v>
      </c>
      <c r="AC230" s="116" t="s">
        <v>687</v>
      </c>
      <c r="AD230" s="53" t="s">
        <v>361</v>
      </c>
      <c r="AE230" s="53" t="s">
        <v>685</v>
      </c>
      <c r="AF230" s="53" t="s">
        <v>690</v>
      </c>
      <c r="AG230" s="156">
        <v>1662.2</v>
      </c>
      <c r="AH230" s="157">
        <v>63.9</v>
      </c>
      <c r="AI230" s="74">
        <v>4.1999950000000004</v>
      </c>
      <c r="AJ230" s="157">
        <v>190.4</v>
      </c>
      <c r="AK230" s="156">
        <v>0.219</v>
      </c>
      <c r="AL230" s="157">
        <v>16.37</v>
      </c>
      <c r="AM230" s="144">
        <f t="shared" si="117"/>
        <v>2.1251872146118723E-2</v>
      </c>
      <c r="AN230" s="158">
        <f t="shared" si="135"/>
        <v>70.839573820395742</v>
      </c>
      <c r="AO230" s="144">
        <f t="shared" si="118"/>
        <v>8.1698630136986289E-4</v>
      </c>
      <c r="AP230" s="158">
        <f t="shared" si="136"/>
        <v>0.22694063926940636</v>
      </c>
      <c r="AQ230" s="144">
        <f t="shared" si="119"/>
        <v>5.3698566210045666E-5</v>
      </c>
      <c r="AR230" s="158">
        <f t="shared" si="137"/>
        <v>0.17899522070015222</v>
      </c>
      <c r="AS230" s="144">
        <f t="shared" si="120"/>
        <v>2.4343378995433785E-3</v>
      </c>
      <c r="AT230" s="158">
        <f t="shared" si="138"/>
        <v>0.81144596651445955</v>
      </c>
      <c r="AU230" s="144">
        <f t="shared" si="121"/>
        <v>2.7999999999999994E-6</v>
      </c>
      <c r="AV230" s="158">
        <f t="shared" si="139"/>
        <v>5.5999999999999991E-3</v>
      </c>
      <c r="AW230" s="144">
        <f t="shared" si="122"/>
        <v>2.0929680365296802E-4</v>
      </c>
      <c r="AX230" s="158">
        <f t="shared" si="140"/>
        <v>1.0464840182648401E-2</v>
      </c>
      <c r="AY230" s="144">
        <f t="shared" si="123"/>
        <v>3.8113107506849319E-4</v>
      </c>
      <c r="AZ230" s="144">
        <f t="shared" si="141"/>
        <v>1.2704369168949774</v>
      </c>
      <c r="BA230" s="144">
        <f t="shared" si="124"/>
        <v>4.883944109589043E-7</v>
      </c>
      <c r="BB230" s="158">
        <f t="shared" si="142"/>
        <v>1.3954126027397265E-4</v>
      </c>
      <c r="BC230" s="144">
        <f t="shared" si="125"/>
        <v>3.21010028803653E-8</v>
      </c>
      <c r="BD230" s="158">
        <f t="shared" si="143"/>
        <v>1.0700334293455101E-4</v>
      </c>
      <c r="BE230" s="144">
        <f t="shared" si="126"/>
        <v>1.4552471963470321E-6</v>
      </c>
      <c r="BF230" s="158">
        <f t="shared" si="144"/>
        <v>2.9104943926940642E-4</v>
      </c>
      <c r="BG230" s="144">
        <f t="shared" si="127"/>
        <v>1.6738400000000003E-9</v>
      </c>
      <c r="BH230" s="158">
        <f t="shared" si="145"/>
        <v>3.3476800000000004E-6</v>
      </c>
      <c r="BI230" s="144">
        <f t="shared" si="128"/>
        <v>1.2511762922374431E-7</v>
      </c>
      <c r="BJ230" s="158">
        <f t="shared" si="146"/>
        <v>2.234243378995434E-5</v>
      </c>
      <c r="BK230" s="144">
        <f t="shared" si="129"/>
        <v>5.9380230996508197E-7</v>
      </c>
      <c r="BL230" s="158">
        <f t="shared" si="147"/>
        <v>1.97934103321694E-3</v>
      </c>
      <c r="BM230" s="144">
        <f t="shared" si="130"/>
        <v>2.2827558420628524E-8</v>
      </c>
      <c r="BN230" s="158">
        <f t="shared" si="148"/>
        <v>6.4851018240421939E-6</v>
      </c>
      <c r="BO230" s="144">
        <f t="shared" si="131"/>
        <v>1.5004011146924524E-9</v>
      </c>
      <c r="BP230" s="158">
        <f t="shared" si="149"/>
        <v>1.744652458944712E-5</v>
      </c>
      <c r="BQ230" s="144">
        <f t="shared" si="132"/>
        <v>6.8018264840182646E-8</v>
      </c>
      <c r="BR230" s="158">
        <f t="shared" si="150"/>
        <v>2.267275494672755E-3</v>
      </c>
      <c r="BS230" s="144">
        <f t="shared" si="133"/>
        <v>7.8235294117647059E-11</v>
      </c>
      <c r="BT230" s="158">
        <f t="shared" si="151"/>
        <v>1.3725490196078432E-6</v>
      </c>
      <c r="BU230" s="144">
        <f t="shared" si="134"/>
        <v>5.8479989255976369E-9</v>
      </c>
      <c r="BV230" s="158">
        <f t="shared" si="152"/>
        <v>2.8388344299017656E-7</v>
      </c>
    </row>
    <row r="231" spans="20:74">
      <c r="T231" s="53" t="s">
        <v>281</v>
      </c>
      <c r="U231" s="39" t="s">
        <v>282</v>
      </c>
      <c r="V231" s="155" t="s">
        <v>342</v>
      </c>
      <c r="W231" s="53">
        <v>0.156392</v>
      </c>
      <c r="X231" s="53">
        <v>34.817486000000002</v>
      </c>
      <c r="Y231" s="53" t="s">
        <v>679</v>
      </c>
      <c r="Z231" s="53" t="s">
        <v>334</v>
      </c>
      <c r="AA231" s="116" t="s">
        <v>347</v>
      </c>
      <c r="AB231" s="154" t="s">
        <v>371</v>
      </c>
      <c r="AC231" s="116" t="s">
        <v>687</v>
      </c>
      <c r="AD231" s="53" t="s">
        <v>365</v>
      </c>
      <c r="AE231" s="53" t="s">
        <v>685</v>
      </c>
      <c r="AF231" s="53" t="s">
        <v>691</v>
      </c>
      <c r="AG231" s="156">
        <v>531.9</v>
      </c>
      <c r="AH231" s="157">
        <v>29.6</v>
      </c>
      <c r="AI231" s="74">
        <v>3.6206849999999999</v>
      </c>
      <c r="AJ231" s="157">
        <v>75.7</v>
      </c>
      <c r="AK231" s="156">
        <v>0.14199999999999999</v>
      </c>
      <c r="AL231" s="157">
        <v>7.12</v>
      </c>
      <c r="AM231" s="144">
        <f t="shared" si="117"/>
        <v>6.8005479452054795E-3</v>
      </c>
      <c r="AN231" s="158">
        <f t="shared" si="135"/>
        <v>22.668493150684935</v>
      </c>
      <c r="AO231" s="144">
        <f t="shared" si="118"/>
        <v>3.7844748858447487E-4</v>
      </c>
      <c r="AP231" s="158">
        <f t="shared" si="136"/>
        <v>0.10512430238457636</v>
      </c>
      <c r="AQ231" s="144">
        <f t="shared" si="119"/>
        <v>4.6291863013698625E-5</v>
      </c>
      <c r="AR231" s="158">
        <f t="shared" si="137"/>
        <v>0.15430621004566208</v>
      </c>
      <c r="AS231" s="144">
        <f t="shared" si="120"/>
        <v>9.6785388127853872E-4</v>
      </c>
      <c r="AT231" s="158">
        <f t="shared" si="138"/>
        <v>0.32261796042617957</v>
      </c>
      <c r="AU231" s="144">
        <f t="shared" si="121"/>
        <v>1.815525114155251E-6</v>
      </c>
      <c r="AV231" s="158">
        <f t="shared" si="139"/>
        <v>3.6310502283105018E-3</v>
      </c>
      <c r="AW231" s="144">
        <f t="shared" si="122"/>
        <v>9.1031963470319629E-5</v>
      </c>
      <c r="AX231" s="158">
        <f t="shared" si="140"/>
        <v>4.5515981735159815E-3</v>
      </c>
      <c r="AY231" s="144">
        <f t="shared" si="123"/>
        <v>1.2196102684931506E-4</v>
      </c>
      <c r="AZ231" s="144">
        <f t="shared" si="141"/>
        <v>0.40653675616438356</v>
      </c>
      <c r="BA231" s="144">
        <f t="shared" si="124"/>
        <v>2.2623590867579912E-7</v>
      </c>
      <c r="BB231" s="158">
        <f t="shared" si="142"/>
        <v>6.4638831050228322E-5</v>
      </c>
      <c r="BC231" s="144">
        <f t="shared" si="125"/>
        <v>2.7673275709589044E-8</v>
      </c>
      <c r="BD231" s="158">
        <f t="shared" si="143"/>
        <v>9.2244252365296825E-5</v>
      </c>
      <c r="BE231" s="144">
        <f t="shared" si="126"/>
        <v>5.7858305022831062E-7</v>
      </c>
      <c r="BF231" s="158">
        <f t="shared" si="144"/>
        <v>1.1571661004566213E-4</v>
      </c>
      <c r="BG231" s="144">
        <f t="shared" si="127"/>
        <v>1.0853209132420089E-9</v>
      </c>
      <c r="BH231" s="158">
        <f t="shared" si="145"/>
        <v>2.1706418264840178E-6</v>
      </c>
      <c r="BI231" s="144">
        <f t="shared" si="128"/>
        <v>5.4418907762557067E-8</v>
      </c>
      <c r="BJ231" s="158">
        <f t="shared" si="146"/>
        <v>9.7176621004566197E-6</v>
      </c>
      <c r="BK231" s="144">
        <f t="shared" si="129"/>
        <v>1.9001531023368248E-7</v>
      </c>
      <c r="BL231" s="158">
        <f t="shared" si="147"/>
        <v>6.333843674456083E-4</v>
      </c>
      <c r="BM231" s="144">
        <f t="shared" si="130"/>
        <v>1.0574268063389739E-8</v>
      </c>
      <c r="BN231" s="158">
        <f t="shared" si="148"/>
        <v>3.0040534270993577E-6</v>
      </c>
      <c r="BO231" s="144">
        <f t="shared" si="131"/>
        <v>1.2934491136180498E-9</v>
      </c>
      <c r="BP231" s="158">
        <f t="shared" si="149"/>
        <v>1.5040105972302905E-5</v>
      </c>
      <c r="BQ231" s="144">
        <f t="shared" si="132"/>
        <v>2.7042976094547414E-8</v>
      </c>
      <c r="BR231" s="158">
        <f t="shared" si="150"/>
        <v>9.0143253648491376E-4</v>
      </c>
      <c r="BS231" s="144">
        <f t="shared" si="133"/>
        <v>5.0727907601396717E-11</v>
      </c>
      <c r="BT231" s="158">
        <f t="shared" si="151"/>
        <v>8.8996329125257388E-7</v>
      </c>
      <c r="BU231" s="144">
        <f t="shared" si="134"/>
        <v>2.5435401557883425E-9</v>
      </c>
      <c r="BV231" s="158">
        <f t="shared" si="152"/>
        <v>1.2347282309652147E-7</v>
      </c>
    </row>
    <row r="232" spans="20:74">
      <c r="T232" s="53" t="s">
        <v>283</v>
      </c>
      <c r="U232" s="39" t="s">
        <v>284</v>
      </c>
      <c r="V232" s="155" t="s">
        <v>342</v>
      </c>
      <c r="W232" s="53">
        <v>0.156392</v>
      </c>
      <c r="X232" s="53">
        <v>34.817486000000002</v>
      </c>
      <c r="Y232" s="53" t="s">
        <v>679</v>
      </c>
      <c r="Z232" s="53" t="s">
        <v>334</v>
      </c>
      <c r="AA232" s="116" t="s">
        <v>347</v>
      </c>
      <c r="AB232" s="154" t="s">
        <v>371</v>
      </c>
      <c r="AC232" s="116" t="s">
        <v>687</v>
      </c>
      <c r="AD232" s="53" t="s">
        <v>364</v>
      </c>
      <c r="AE232" s="53" t="s">
        <v>685</v>
      </c>
      <c r="AF232" s="53" t="s">
        <v>690</v>
      </c>
      <c r="AG232" s="156">
        <v>1360.6</v>
      </c>
      <c r="AH232" s="157">
        <v>45</v>
      </c>
      <c r="AI232" s="74">
        <v>0.20890500000000001</v>
      </c>
      <c r="AJ232" s="157">
        <v>208</v>
      </c>
      <c r="AK232" s="156">
        <v>0.25</v>
      </c>
      <c r="AL232" s="157">
        <v>12.19</v>
      </c>
      <c r="AM232" s="144">
        <f t="shared" si="117"/>
        <v>1.739579908675799E-2</v>
      </c>
      <c r="AN232" s="158">
        <f t="shared" si="135"/>
        <v>57.985996955859967</v>
      </c>
      <c r="AO232" s="144">
        <f t="shared" si="118"/>
        <v>5.7534246575342461E-4</v>
      </c>
      <c r="AP232" s="158">
        <f t="shared" si="136"/>
        <v>0.15981735159817351</v>
      </c>
      <c r="AQ232" s="144">
        <f t="shared" si="119"/>
        <v>2.6709315068493151E-6</v>
      </c>
      <c r="AR232" s="158">
        <f t="shared" si="137"/>
        <v>8.903105022831051E-3</v>
      </c>
      <c r="AS232" s="144">
        <f t="shared" si="120"/>
        <v>2.6593607305936072E-3</v>
      </c>
      <c r="AT232" s="158">
        <f t="shared" si="138"/>
        <v>0.88645357686453574</v>
      </c>
      <c r="AU232" s="144">
        <f t="shared" si="121"/>
        <v>3.1963470319634702E-6</v>
      </c>
      <c r="AV232" s="158">
        <f t="shared" si="139"/>
        <v>6.3926940639269401E-3</v>
      </c>
      <c r="AW232" s="144">
        <f t="shared" si="122"/>
        <v>1.5585388127853879E-4</v>
      </c>
      <c r="AX232" s="158">
        <f t="shared" si="140"/>
        <v>7.7926940639269394E-3</v>
      </c>
      <c r="AY232" s="144">
        <f t="shared" si="123"/>
        <v>3.1197626082191782E-4</v>
      </c>
      <c r="AZ232" s="144">
        <f t="shared" si="141"/>
        <v>1.0399208694063928</v>
      </c>
      <c r="BA232" s="144">
        <f t="shared" si="124"/>
        <v>3.4393972602739729E-7</v>
      </c>
      <c r="BB232" s="158">
        <f t="shared" si="142"/>
        <v>9.8268493150684936E-5</v>
      </c>
      <c r="BC232" s="144">
        <f t="shared" si="125"/>
        <v>1.5966828547945206E-9</v>
      </c>
      <c r="BD232" s="158">
        <f t="shared" si="143"/>
        <v>5.3222761826484021E-6</v>
      </c>
      <c r="BE232" s="144">
        <f t="shared" si="126"/>
        <v>1.5897658447488591E-6</v>
      </c>
      <c r="BF232" s="158">
        <f t="shared" si="144"/>
        <v>3.1795316894977181E-4</v>
      </c>
      <c r="BG232" s="144">
        <f t="shared" si="127"/>
        <v>1.9107762557077629E-9</v>
      </c>
      <c r="BH232" s="158">
        <f t="shared" si="145"/>
        <v>3.8215525114155257E-6</v>
      </c>
      <c r="BI232" s="144">
        <f t="shared" si="128"/>
        <v>9.3169450228310514E-8</v>
      </c>
      <c r="BJ232" s="158">
        <f t="shared" si="146"/>
        <v>1.663740182648402E-5</v>
      </c>
      <c r="BK232" s="144">
        <f t="shared" si="129"/>
        <v>4.8605909213000266E-7</v>
      </c>
      <c r="BL232" s="158">
        <f t="shared" si="147"/>
        <v>1.6201969737666758E-3</v>
      </c>
      <c r="BM232" s="144">
        <f t="shared" si="130"/>
        <v>1.6075745366639805E-8</v>
      </c>
      <c r="BN232" s="158">
        <f t="shared" si="148"/>
        <v>4.5669731155226715E-6</v>
      </c>
      <c r="BO232" s="144">
        <f t="shared" si="131"/>
        <v>7.4628968573730848E-11</v>
      </c>
      <c r="BP232" s="158">
        <f t="shared" si="149"/>
        <v>8.6777870434570751E-7</v>
      </c>
      <c r="BQ232" s="144">
        <f t="shared" si="132"/>
        <v>7.430566747246844E-8</v>
      </c>
      <c r="BR232" s="158">
        <f t="shared" si="150"/>
        <v>2.4768555824156145E-3</v>
      </c>
      <c r="BS232" s="144">
        <f t="shared" si="133"/>
        <v>8.9309696481332255E-11</v>
      </c>
      <c r="BT232" s="158">
        <f t="shared" si="151"/>
        <v>1.5668367803742501E-6</v>
      </c>
      <c r="BU232" s="144">
        <f t="shared" si="134"/>
        <v>4.3547408004297609E-9</v>
      </c>
      <c r="BV232" s="158">
        <f t="shared" si="152"/>
        <v>2.1139518448688161E-7</v>
      </c>
    </row>
    <row r="233" spans="20:74">
      <c r="T233" s="53" t="s">
        <v>285</v>
      </c>
      <c r="U233" s="39" t="s">
        <v>286</v>
      </c>
      <c r="V233" s="155" t="s">
        <v>342</v>
      </c>
      <c r="W233" s="53">
        <v>0.156392</v>
      </c>
      <c r="X233" s="53">
        <v>34.817486000000002</v>
      </c>
      <c r="Y233" s="53" t="s">
        <v>679</v>
      </c>
      <c r="Z233" s="53" t="s">
        <v>334</v>
      </c>
      <c r="AA233" s="116" t="s">
        <v>347</v>
      </c>
      <c r="AB233" s="154" t="s">
        <v>371</v>
      </c>
      <c r="AC233" s="116" t="s">
        <v>687</v>
      </c>
      <c r="AD233" s="53" t="s">
        <v>366</v>
      </c>
      <c r="AE233" s="53" t="s">
        <v>684</v>
      </c>
      <c r="AF233" s="53" t="s">
        <v>683</v>
      </c>
      <c r="AG233" s="156">
        <v>34.4</v>
      </c>
      <c r="AH233" s="157">
        <v>25</v>
      </c>
      <c r="AI233" s="74">
        <v>0.78137500000000004</v>
      </c>
      <c r="AJ233" s="157">
        <v>128.5</v>
      </c>
      <c r="AK233" s="156">
        <v>9.0999999999999998E-2</v>
      </c>
      <c r="AL233" s="157">
        <v>30.54</v>
      </c>
      <c r="AM233" s="144">
        <f t="shared" si="117"/>
        <v>4.3981735159817349E-4</v>
      </c>
      <c r="AN233" s="158">
        <f t="shared" si="135"/>
        <v>1.4660578386605785</v>
      </c>
      <c r="AO233" s="144">
        <f t="shared" si="118"/>
        <v>3.1963470319634703E-4</v>
      </c>
      <c r="AP233" s="158">
        <f t="shared" si="136"/>
        <v>8.8787417554540837E-2</v>
      </c>
      <c r="AQ233" s="144">
        <f t="shared" si="119"/>
        <v>9.9901826484018276E-6</v>
      </c>
      <c r="AR233" s="158">
        <f t="shared" si="137"/>
        <v>3.3300608828006097E-2</v>
      </c>
      <c r="AS233" s="144">
        <f t="shared" si="120"/>
        <v>1.6429223744292237E-3</v>
      </c>
      <c r="AT233" s="158">
        <f t="shared" si="138"/>
        <v>0.54764079147640787</v>
      </c>
      <c r="AU233" s="144">
        <f t="shared" si="121"/>
        <v>1.1634703196347031E-6</v>
      </c>
      <c r="AV233" s="158">
        <f t="shared" si="139"/>
        <v>2.3269406392694061E-3</v>
      </c>
      <c r="AW233" s="144">
        <f t="shared" si="122"/>
        <v>3.9046575342465751E-4</v>
      </c>
      <c r="AX233" s="158">
        <f t="shared" si="140"/>
        <v>1.9523287671232875E-2</v>
      </c>
      <c r="AY233" s="144">
        <f t="shared" si="123"/>
        <v>7.8876843835616435E-6</v>
      </c>
      <c r="AZ233" s="144">
        <f t="shared" si="141"/>
        <v>2.6292281278538814E-2</v>
      </c>
      <c r="BA233" s="144">
        <f t="shared" si="124"/>
        <v>1.9107762557077625E-7</v>
      </c>
      <c r="BB233" s="158">
        <f t="shared" si="142"/>
        <v>5.4593607305936067E-5</v>
      </c>
      <c r="BC233" s="144">
        <f t="shared" si="125"/>
        <v>5.9721311872146118E-9</v>
      </c>
      <c r="BD233" s="158">
        <f t="shared" si="143"/>
        <v>1.9907103957382041E-5</v>
      </c>
      <c r="BE233" s="144">
        <f t="shared" si="126"/>
        <v>9.8213899543378991E-7</v>
      </c>
      <c r="BF233" s="158">
        <f t="shared" si="144"/>
        <v>1.9642779908675797E-4</v>
      </c>
      <c r="BG233" s="144">
        <f t="shared" si="127"/>
        <v>6.9552255707762562E-10</v>
      </c>
      <c r="BH233" s="158">
        <f t="shared" si="145"/>
        <v>1.3910451141552513E-6</v>
      </c>
      <c r="BI233" s="144">
        <f t="shared" si="128"/>
        <v>2.3342042739726033E-7</v>
      </c>
      <c r="BJ233" s="158">
        <f t="shared" si="146"/>
        <v>4.1682219178082203E-5</v>
      </c>
      <c r="BK233" s="144">
        <f t="shared" si="129"/>
        <v>1.2289014235831318E-8</v>
      </c>
      <c r="BL233" s="158">
        <f t="shared" si="147"/>
        <v>4.0963380786104397E-5</v>
      </c>
      <c r="BM233" s="144">
        <f t="shared" si="130"/>
        <v>8.9309696481332255E-9</v>
      </c>
      <c r="BN233" s="158">
        <f t="shared" si="148"/>
        <v>2.5372072864014843E-6</v>
      </c>
      <c r="BO233" s="144">
        <f t="shared" si="131"/>
        <v>2.7913745635240397E-10</v>
      </c>
      <c r="BP233" s="158">
        <f t="shared" si="149"/>
        <v>3.2457843761907438E-6</v>
      </c>
      <c r="BQ233" s="144">
        <f t="shared" si="132"/>
        <v>4.5905183991404772E-8</v>
      </c>
      <c r="BR233" s="158">
        <f t="shared" si="150"/>
        <v>1.5301727997134923E-3</v>
      </c>
      <c r="BS233" s="144">
        <f t="shared" si="133"/>
        <v>3.2508729519204943E-11</v>
      </c>
      <c r="BT233" s="158">
        <f t="shared" si="151"/>
        <v>5.7032858805622701E-7</v>
      </c>
      <c r="BU233" s="144">
        <f t="shared" si="134"/>
        <v>1.0910072522159548E-8</v>
      </c>
      <c r="BV233" s="158">
        <f t="shared" si="152"/>
        <v>5.2961517097861883E-7</v>
      </c>
    </row>
    <row r="234" spans="20:74">
      <c r="T234" s="41" t="s">
        <v>287</v>
      </c>
      <c r="U234" s="154" t="s">
        <v>98</v>
      </c>
      <c r="V234" s="155" t="s">
        <v>339</v>
      </c>
      <c r="W234" s="53">
        <v>0.258245</v>
      </c>
      <c r="X234" s="53">
        <v>34.717754999999997</v>
      </c>
      <c r="Y234" s="53" t="s">
        <v>332</v>
      </c>
      <c r="Z234" s="53" t="s">
        <v>330</v>
      </c>
      <c r="AA234" s="116" t="s">
        <v>347</v>
      </c>
      <c r="AB234" s="154" t="s">
        <v>371</v>
      </c>
      <c r="AC234" s="116" t="s">
        <v>687</v>
      </c>
      <c r="AD234" s="41" t="s">
        <v>366</v>
      </c>
      <c r="AE234" s="53" t="s">
        <v>684</v>
      </c>
      <c r="AF234" s="53" t="s">
        <v>683</v>
      </c>
      <c r="AG234" s="156">
        <v>8.3000000000000007</v>
      </c>
      <c r="AH234" s="157">
        <v>19.7</v>
      </c>
      <c r="AI234" s="74">
        <v>0.45</v>
      </c>
      <c r="AJ234" s="157">
        <v>1330.5</v>
      </c>
      <c r="AK234" s="156">
        <v>9.6000000000000002E-2</v>
      </c>
      <c r="AL234" s="157">
        <v>281.38</v>
      </c>
      <c r="AM234" s="144">
        <f t="shared" si="117"/>
        <v>1.0611872146118724E-4</v>
      </c>
      <c r="AN234" s="158">
        <f t="shared" si="135"/>
        <v>0.35372907153729083</v>
      </c>
      <c r="AO234" s="144">
        <f t="shared" si="118"/>
        <v>2.5187214611872144E-4</v>
      </c>
      <c r="AP234" s="158">
        <f t="shared" si="136"/>
        <v>6.9964485032978183E-2</v>
      </c>
      <c r="AQ234" s="144">
        <f t="shared" si="119"/>
        <v>5.7534246575342464E-6</v>
      </c>
      <c r="AR234" s="158">
        <f t="shared" si="137"/>
        <v>1.9178082191780823E-2</v>
      </c>
      <c r="AS234" s="144">
        <f t="shared" si="120"/>
        <v>1.7010958904109589E-2</v>
      </c>
      <c r="AT234" s="158">
        <f t="shared" si="138"/>
        <v>5.6703196347031959</v>
      </c>
      <c r="AU234" s="144">
        <f t="shared" si="121"/>
        <v>1.2273972602739725E-6</v>
      </c>
      <c r="AV234" s="158">
        <f t="shared" si="139"/>
        <v>2.4547945205479448E-3</v>
      </c>
      <c r="AW234" s="144">
        <f t="shared" si="122"/>
        <v>3.5975525114155249E-3</v>
      </c>
      <c r="AX234" s="158">
        <f t="shared" si="140"/>
        <v>0.17987762557077625</v>
      </c>
      <c r="AY234" s="144">
        <f t="shared" si="123"/>
        <v>1.903133150684932E-6</v>
      </c>
      <c r="AZ234" s="144">
        <f t="shared" si="141"/>
        <v>6.3437771689497744E-3</v>
      </c>
      <c r="BA234" s="144">
        <f t="shared" si="124"/>
        <v>1.5056916894977169E-7</v>
      </c>
      <c r="BB234" s="158">
        <f t="shared" si="142"/>
        <v>4.3019762557077625E-5</v>
      </c>
      <c r="BC234" s="144">
        <f t="shared" si="125"/>
        <v>3.4393972602739731E-9</v>
      </c>
      <c r="BD234" s="158">
        <f t="shared" si="143"/>
        <v>1.1464657534246578E-5</v>
      </c>
      <c r="BE234" s="144">
        <f t="shared" si="126"/>
        <v>1.0169151232876715E-5</v>
      </c>
      <c r="BF234" s="158">
        <f t="shared" si="144"/>
        <v>2.033830246575343E-3</v>
      </c>
      <c r="BG234" s="144">
        <f t="shared" si="127"/>
        <v>7.337380821917808E-10</v>
      </c>
      <c r="BH234" s="158">
        <f t="shared" si="145"/>
        <v>1.4674761643835616E-6</v>
      </c>
      <c r="BI234" s="144">
        <f t="shared" si="128"/>
        <v>2.1506168913242012E-6</v>
      </c>
      <c r="BJ234" s="158">
        <f t="shared" si="146"/>
        <v>3.8403873059360738E-4</v>
      </c>
      <c r="BK234" s="144">
        <f t="shared" si="129"/>
        <v>2.9650819231802317E-9</v>
      </c>
      <c r="BL234" s="158">
        <f t="shared" si="147"/>
        <v>9.8836064106007724E-6</v>
      </c>
      <c r="BM234" s="144">
        <f t="shared" si="130"/>
        <v>7.0376040827289819E-9</v>
      </c>
      <c r="BN234" s="158">
        <f t="shared" si="148"/>
        <v>1.9993193416843698E-6</v>
      </c>
      <c r="BO234" s="144">
        <f t="shared" si="131"/>
        <v>1.6075745366639807E-10</v>
      </c>
      <c r="BP234" s="158">
        <f t="shared" si="149"/>
        <v>1.8692727170511403E-6</v>
      </c>
      <c r="BQ234" s="144">
        <f t="shared" si="132"/>
        <v>4.7530620467365021E-7</v>
      </c>
      <c r="BR234" s="158">
        <f t="shared" si="150"/>
        <v>1.584354015578834E-2</v>
      </c>
      <c r="BS234" s="144">
        <f t="shared" si="133"/>
        <v>3.429492344883159E-11</v>
      </c>
      <c r="BT234" s="158">
        <f t="shared" si="151"/>
        <v>6.0166532366371203E-7</v>
      </c>
      <c r="BU234" s="144">
        <f t="shared" si="134"/>
        <v>1.0051984958366908E-7</v>
      </c>
      <c r="BV234" s="158">
        <f t="shared" si="152"/>
        <v>4.8796043487217999E-6</v>
      </c>
    </row>
    <row r="235" spans="20:74">
      <c r="T235" s="41" t="s">
        <v>289</v>
      </c>
      <c r="U235" s="53" t="s">
        <v>110</v>
      </c>
      <c r="V235" s="155" t="s">
        <v>339</v>
      </c>
      <c r="W235" s="53">
        <v>0.26076500000000002</v>
      </c>
      <c r="X235" s="53">
        <v>34.720081</v>
      </c>
      <c r="Y235" s="53" t="s">
        <v>332</v>
      </c>
      <c r="Z235" s="53" t="s">
        <v>330</v>
      </c>
      <c r="AA235" s="116" t="s">
        <v>347</v>
      </c>
      <c r="AB235" s="154" t="s">
        <v>371</v>
      </c>
      <c r="AC235" s="116" t="s">
        <v>687</v>
      </c>
      <c r="AD235" s="41" t="s">
        <v>361</v>
      </c>
      <c r="AE235" s="53" t="s">
        <v>685</v>
      </c>
      <c r="AF235" s="53" t="s">
        <v>690</v>
      </c>
      <c r="AG235" s="156">
        <v>105.8</v>
      </c>
      <c r="AH235" s="157">
        <v>25.1</v>
      </c>
      <c r="AI235" s="74">
        <v>4.9800000000000004</v>
      </c>
      <c r="AJ235" s="157">
        <v>987.2</v>
      </c>
      <c r="AK235" s="156">
        <v>0.111</v>
      </c>
      <c r="AL235" s="157">
        <v>240.73</v>
      </c>
      <c r="AM235" s="144">
        <f t="shared" si="117"/>
        <v>1.3526940639269406E-3</v>
      </c>
      <c r="AN235" s="158">
        <f t="shared" si="135"/>
        <v>4.508980213089802</v>
      </c>
      <c r="AO235" s="144">
        <f t="shared" si="118"/>
        <v>3.2091324200913239E-4</v>
      </c>
      <c r="AP235" s="158">
        <f t="shared" si="136"/>
        <v>8.9142567224758995E-2</v>
      </c>
      <c r="AQ235" s="144">
        <f t="shared" si="119"/>
        <v>6.3671232876712347E-5</v>
      </c>
      <c r="AR235" s="158">
        <f t="shared" si="137"/>
        <v>0.21223744292237451</v>
      </c>
      <c r="AS235" s="144">
        <f t="shared" si="120"/>
        <v>1.2621735159817351E-2</v>
      </c>
      <c r="AT235" s="158">
        <f t="shared" si="138"/>
        <v>4.2072450532724499</v>
      </c>
      <c r="AU235" s="144">
        <f t="shared" si="121"/>
        <v>1.4191780821917808E-6</v>
      </c>
      <c r="AV235" s="158">
        <f t="shared" si="139"/>
        <v>2.8383561643835617E-3</v>
      </c>
      <c r="AW235" s="144">
        <f t="shared" si="122"/>
        <v>3.0778264840182648E-3</v>
      </c>
      <c r="AX235" s="158">
        <f t="shared" si="140"/>
        <v>0.15389132420091323</v>
      </c>
      <c r="AY235" s="144">
        <f t="shared" si="123"/>
        <v>2.4259215342465752E-5</v>
      </c>
      <c r="AZ235" s="144">
        <f t="shared" si="141"/>
        <v>8.0864051141552512E-2</v>
      </c>
      <c r="BA235" s="144">
        <f t="shared" si="124"/>
        <v>1.9184193607305938E-7</v>
      </c>
      <c r="BB235" s="158">
        <f t="shared" si="142"/>
        <v>5.4811981735159822E-5</v>
      </c>
      <c r="BC235" s="144">
        <f t="shared" si="125"/>
        <v>3.806266301369863E-8</v>
      </c>
      <c r="BD235" s="158">
        <f t="shared" si="143"/>
        <v>1.2687554337899545E-4</v>
      </c>
      <c r="BE235" s="144">
        <f t="shared" si="126"/>
        <v>7.5452732785388132E-6</v>
      </c>
      <c r="BF235" s="158">
        <f t="shared" si="144"/>
        <v>1.5090546557077625E-3</v>
      </c>
      <c r="BG235" s="144">
        <f t="shared" si="127"/>
        <v>8.4838465753424666E-10</v>
      </c>
      <c r="BH235" s="158">
        <f t="shared" si="145"/>
        <v>1.6967693150684934E-6</v>
      </c>
      <c r="BI235" s="144">
        <f t="shared" si="128"/>
        <v>1.839924672146119E-6</v>
      </c>
      <c r="BJ235" s="158">
        <f t="shared" si="146"/>
        <v>3.2855797716894981E-4</v>
      </c>
      <c r="BK235" s="144">
        <f t="shared" si="129"/>
        <v>3.7795863550899809E-8</v>
      </c>
      <c r="BL235" s="158">
        <f t="shared" si="147"/>
        <v>1.2598621183633271E-4</v>
      </c>
      <c r="BM235" s="144">
        <f t="shared" si="130"/>
        <v>8.966693526725759E-9</v>
      </c>
      <c r="BN235" s="158">
        <f t="shared" si="148"/>
        <v>2.5473561155470906E-6</v>
      </c>
      <c r="BO235" s="144">
        <f t="shared" si="131"/>
        <v>1.7790491539081384E-9</v>
      </c>
      <c r="BP235" s="158">
        <f t="shared" si="149"/>
        <v>2.0686618068699283E-5</v>
      </c>
      <c r="BQ235" s="144">
        <f t="shared" si="132"/>
        <v>3.5266612946548482E-7</v>
      </c>
      <c r="BR235" s="158">
        <f t="shared" si="150"/>
        <v>1.1755537648849493E-2</v>
      </c>
      <c r="BS235" s="144">
        <f t="shared" si="133"/>
        <v>3.965350523771152E-11</v>
      </c>
      <c r="BT235" s="158">
        <f t="shared" si="151"/>
        <v>6.9567553048616698E-7</v>
      </c>
      <c r="BU235" s="144">
        <f t="shared" si="134"/>
        <v>8.5998092935804452E-8</v>
      </c>
      <c r="BV235" s="158">
        <f t="shared" si="152"/>
        <v>4.174664705621575E-6</v>
      </c>
    </row>
    <row r="236" spans="20:74">
      <c r="T236" s="41" t="s">
        <v>290</v>
      </c>
      <c r="U236" s="53" t="s">
        <v>133</v>
      </c>
      <c r="V236" s="155" t="s">
        <v>339</v>
      </c>
      <c r="W236" s="53">
        <v>0.31578899999999999</v>
      </c>
      <c r="X236" s="53">
        <v>34.648187999999998</v>
      </c>
      <c r="Y236" s="53" t="s">
        <v>350</v>
      </c>
      <c r="Z236" s="53" t="s">
        <v>330</v>
      </c>
      <c r="AA236" s="116" t="s">
        <v>347</v>
      </c>
      <c r="AB236" s="154" t="s">
        <v>371</v>
      </c>
      <c r="AC236" s="116" t="s">
        <v>687</v>
      </c>
      <c r="AD236" s="41" t="s">
        <v>367</v>
      </c>
      <c r="AE236" s="53" t="s">
        <v>684</v>
      </c>
      <c r="AF236" s="53" t="s">
        <v>683</v>
      </c>
      <c r="AG236" s="156">
        <v>1.4</v>
      </c>
      <c r="AH236" s="157">
        <v>16.899999999999999</v>
      </c>
      <c r="AI236" s="74">
        <v>0.06</v>
      </c>
      <c r="AJ236" s="157">
        <v>47.3</v>
      </c>
      <c r="AK236" s="156">
        <v>0.04</v>
      </c>
      <c r="AL236" s="157">
        <v>18.7</v>
      </c>
      <c r="AM236" s="144">
        <f t="shared" si="117"/>
        <v>1.7899543378995434E-5</v>
      </c>
      <c r="AN236" s="158">
        <f t="shared" si="135"/>
        <v>5.9665144596651454E-2</v>
      </c>
      <c r="AO236" s="144">
        <f t="shared" si="118"/>
        <v>2.1607305936073053E-4</v>
      </c>
      <c r="AP236" s="158">
        <f t="shared" si="136"/>
        <v>6.0020294266869591E-2</v>
      </c>
      <c r="AQ236" s="144">
        <f t="shared" si="119"/>
        <v>7.6712328767123286E-7</v>
      </c>
      <c r="AR236" s="158">
        <f t="shared" si="137"/>
        <v>2.5570776255707762E-3</v>
      </c>
      <c r="AS236" s="144">
        <f t="shared" si="120"/>
        <v>6.0474885844748855E-4</v>
      </c>
      <c r="AT236" s="158">
        <f t="shared" si="138"/>
        <v>0.20158295281582952</v>
      </c>
      <c r="AU236" s="144">
        <f t="shared" si="121"/>
        <v>5.1141552511415524E-7</v>
      </c>
      <c r="AV236" s="158">
        <f t="shared" si="139"/>
        <v>1.0228310502283105E-3</v>
      </c>
      <c r="AW236" s="144">
        <f t="shared" si="122"/>
        <v>2.3908675799086756E-4</v>
      </c>
      <c r="AX236" s="158">
        <f t="shared" si="140"/>
        <v>1.1954337899543378E-2</v>
      </c>
      <c r="AY236" s="144">
        <f t="shared" si="123"/>
        <v>3.2101041095890413E-7</v>
      </c>
      <c r="AZ236" s="144">
        <f t="shared" si="141"/>
        <v>1.0700347031963472E-3</v>
      </c>
      <c r="BA236" s="144">
        <f t="shared" si="124"/>
        <v>1.2916847488584472E-7</v>
      </c>
      <c r="BB236" s="158">
        <f t="shared" si="142"/>
        <v>3.6905278538812776E-5</v>
      </c>
      <c r="BC236" s="144">
        <f t="shared" si="125"/>
        <v>4.5858630136986308E-10</v>
      </c>
      <c r="BD236" s="158">
        <f t="shared" si="143"/>
        <v>1.5286210045662104E-6</v>
      </c>
      <c r="BE236" s="144">
        <f t="shared" si="126"/>
        <v>3.615188675799086E-7</v>
      </c>
      <c r="BF236" s="158">
        <f t="shared" si="144"/>
        <v>7.2303773515981724E-5</v>
      </c>
      <c r="BG236" s="144">
        <f t="shared" si="127"/>
        <v>3.0572420091324198E-10</v>
      </c>
      <c r="BH236" s="158">
        <f t="shared" si="145"/>
        <v>6.1144840182648394E-7</v>
      </c>
      <c r="BI236" s="144">
        <f t="shared" si="128"/>
        <v>1.4292606392694062E-7</v>
      </c>
      <c r="BJ236" s="158">
        <f t="shared" si="146"/>
        <v>2.5522511415525109E-5</v>
      </c>
      <c r="BK236" s="144">
        <f t="shared" si="129"/>
        <v>5.0013430029546058E-10</v>
      </c>
      <c r="BL236" s="158">
        <f t="shared" si="147"/>
        <v>1.6671143343182021E-6</v>
      </c>
      <c r="BM236" s="144">
        <f t="shared" si="130"/>
        <v>6.0373354821380595E-9</v>
      </c>
      <c r="BN236" s="158">
        <f t="shared" si="148"/>
        <v>1.7151521256074033E-6</v>
      </c>
      <c r="BO236" s="144">
        <f t="shared" si="131"/>
        <v>2.143432715551974E-11</v>
      </c>
      <c r="BP236" s="158">
        <f t="shared" si="149"/>
        <v>2.4923636227348535E-7</v>
      </c>
      <c r="BQ236" s="144">
        <f t="shared" si="132"/>
        <v>1.6897394574268061E-8</v>
      </c>
      <c r="BR236" s="158">
        <f t="shared" si="150"/>
        <v>5.6324648580893539E-4</v>
      </c>
      <c r="BS236" s="144">
        <f t="shared" si="133"/>
        <v>1.428955143701316E-11</v>
      </c>
      <c r="BT236" s="158">
        <f t="shared" si="151"/>
        <v>2.5069388485987999E-7</v>
      </c>
      <c r="BU236" s="144">
        <f t="shared" si="134"/>
        <v>6.6803652968036516E-9</v>
      </c>
      <c r="BV236" s="158">
        <f t="shared" si="152"/>
        <v>3.2428957751474039E-7</v>
      </c>
    </row>
    <row r="237" spans="20:74">
      <c r="T237" s="41" t="s">
        <v>291</v>
      </c>
      <c r="U237" s="53" t="s">
        <v>162</v>
      </c>
      <c r="V237" s="155" t="s">
        <v>343</v>
      </c>
      <c r="W237" s="53">
        <v>0.18987899999999999</v>
      </c>
      <c r="X237" s="53">
        <v>34.735692999999998</v>
      </c>
      <c r="Y237" s="53" t="s">
        <v>352</v>
      </c>
      <c r="Z237" s="53" t="s">
        <v>330</v>
      </c>
      <c r="AA237" s="116" t="s">
        <v>347</v>
      </c>
      <c r="AB237" s="154" t="s">
        <v>371</v>
      </c>
      <c r="AC237" s="116" t="s">
        <v>687</v>
      </c>
      <c r="AD237" s="41" t="s">
        <v>364</v>
      </c>
      <c r="AE237" s="53" t="s">
        <v>685</v>
      </c>
      <c r="AF237" s="53" t="s">
        <v>690</v>
      </c>
      <c r="AG237" s="156">
        <v>20.8</v>
      </c>
      <c r="AH237" s="157">
        <v>37.6</v>
      </c>
      <c r="AI237" s="74">
        <v>4.76</v>
      </c>
      <c r="AJ237" s="157">
        <v>142.19999999999999</v>
      </c>
      <c r="AK237" s="156">
        <v>0.249</v>
      </c>
      <c r="AL237" s="157">
        <v>52.58</v>
      </c>
      <c r="AM237" s="144">
        <f t="shared" si="117"/>
        <v>2.6593607305936068E-4</v>
      </c>
      <c r="AN237" s="158">
        <f t="shared" si="135"/>
        <v>0.88645357686453563</v>
      </c>
      <c r="AO237" s="144">
        <f t="shared" si="118"/>
        <v>4.8073059360730596E-4</v>
      </c>
      <c r="AP237" s="158">
        <f t="shared" si="136"/>
        <v>0.13353627600202944</v>
      </c>
      <c r="AQ237" s="144">
        <f t="shared" si="119"/>
        <v>6.0858447488584469E-5</v>
      </c>
      <c r="AR237" s="158">
        <f t="shared" si="137"/>
        <v>0.20286149162861492</v>
      </c>
      <c r="AS237" s="144">
        <f t="shared" si="120"/>
        <v>1.8180821917808214E-3</v>
      </c>
      <c r="AT237" s="158">
        <f t="shared" si="138"/>
        <v>0.60602739726027377</v>
      </c>
      <c r="AU237" s="144">
        <f t="shared" si="121"/>
        <v>3.1835616438356164E-6</v>
      </c>
      <c r="AV237" s="158">
        <f t="shared" si="139"/>
        <v>6.3671232876712329E-3</v>
      </c>
      <c r="AW237" s="144">
        <f t="shared" si="122"/>
        <v>6.7225570776255708E-4</v>
      </c>
      <c r="AX237" s="158">
        <f t="shared" si="140"/>
        <v>3.3612785388127855E-2</v>
      </c>
      <c r="AY237" s="144">
        <f t="shared" si="123"/>
        <v>4.7692975342465763E-6</v>
      </c>
      <c r="AZ237" s="144">
        <f t="shared" si="141"/>
        <v>1.589765844748859E-2</v>
      </c>
      <c r="BA237" s="144">
        <f t="shared" si="124"/>
        <v>2.8738074885844744E-7</v>
      </c>
      <c r="BB237" s="158">
        <f t="shared" si="142"/>
        <v>8.2108785388127845E-5</v>
      </c>
      <c r="BC237" s="144">
        <f t="shared" si="125"/>
        <v>3.6381179908675804E-8</v>
      </c>
      <c r="BD237" s="158">
        <f t="shared" si="143"/>
        <v>1.2127059969558602E-4</v>
      </c>
      <c r="BE237" s="144">
        <f t="shared" si="126"/>
        <v>1.0868495342465751E-6</v>
      </c>
      <c r="BF237" s="158">
        <f t="shared" si="144"/>
        <v>2.1736990684931501E-4</v>
      </c>
      <c r="BG237" s="144">
        <f t="shared" si="127"/>
        <v>1.9031331506849316E-9</v>
      </c>
      <c r="BH237" s="158">
        <f t="shared" si="145"/>
        <v>3.8062663013698632E-6</v>
      </c>
      <c r="BI237" s="144">
        <f t="shared" si="128"/>
        <v>4.018744621004567E-7</v>
      </c>
      <c r="BJ237" s="158">
        <f t="shared" si="146"/>
        <v>7.1763296803652982E-5</v>
      </c>
      <c r="BK237" s="144">
        <f t="shared" si="129"/>
        <v>7.4305667472468424E-9</v>
      </c>
      <c r="BL237" s="158">
        <f t="shared" si="147"/>
        <v>2.4768555824156145E-5</v>
      </c>
      <c r="BM237" s="144">
        <f t="shared" si="130"/>
        <v>1.3432178350792372E-8</v>
      </c>
      <c r="BN237" s="158">
        <f t="shared" si="148"/>
        <v>3.815959758747833E-6</v>
      </c>
      <c r="BO237" s="144">
        <f t="shared" si="131"/>
        <v>1.700456621004566E-9</v>
      </c>
      <c r="BP237" s="158">
        <f t="shared" si="149"/>
        <v>1.9772751407029835E-5</v>
      </c>
      <c r="BQ237" s="144">
        <f t="shared" si="132"/>
        <v>5.0799355358581778E-8</v>
      </c>
      <c r="BR237" s="158">
        <f t="shared" si="150"/>
        <v>1.6933118452860591E-3</v>
      </c>
      <c r="BS237" s="144">
        <f t="shared" si="133"/>
        <v>8.8952457695406919E-11</v>
      </c>
      <c r="BT237" s="158">
        <f t="shared" si="151"/>
        <v>1.5605694332527528E-6</v>
      </c>
      <c r="BU237" s="144">
        <f t="shared" si="134"/>
        <v>1.8783615363953799E-8</v>
      </c>
      <c r="BV237" s="158">
        <f t="shared" si="152"/>
        <v>9.1182598854144658E-7</v>
      </c>
    </row>
    <row r="238" spans="20:74">
      <c r="T238" s="41" t="s">
        <v>292</v>
      </c>
      <c r="U238" s="39" t="s">
        <v>188</v>
      </c>
      <c r="V238" s="155" t="s">
        <v>343</v>
      </c>
      <c r="W238" s="53">
        <v>0.19523199999999999</v>
      </c>
      <c r="X238" s="53">
        <v>34.751345000000001</v>
      </c>
      <c r="Y238" s="53" t="s">
        <v>355</v>
      </c>
      <c r="Z238" s="53" t="s">
        <v>330</v>
      </c>
      <c r="AA238" s="116" t="s">
        <v>347</v>
      </c>
      <c r="AB238" s="154" t="s">
        <v>371</v>
      </c>
      <c r="AC238" s="116" t="s">
        <v>687</v>
      </c>
      <c r="AD238" s="41" t="s">
        <v>361</v>
      </c>
      <c r="AE238" s="53" t="s">
        <v>685</v>
      </c>
      <c r="AF238" s="53" t="s">
        <v>690</v>
      </c>
      <c r="AG238" s="156">
        <v>408.2</v>
      </c>
      <c r="AH238" s="157">
        <v>197.6</v>
      </c>
      <c r="AI238" s="74">
        <v>0.17</v>
      </c>
      <c r="AJ238" s="157">
        <v>102</v>
      </c>
      <c r="AK238" s="156">
        <v>0.73899999999999999</v>
      </c>
      <c r="AL238" s="157">
        <v>47.07</v>
      </c>
      <c r="AM238" s="144">
        <f t="shared" si="117"/>
        <v>5.2189954337899542E-3</v>
      </c>
      <c r="AN238" s="158">
        <f t="shared" si="135"/>
        <v>17.396651445966516</v>
      </c>
      <c r="AO238" s="144">
        <f t="shared" si="118"/>
        <v>2.5263926940639267E-3</v>
      </c>
      <c r="AP238" s="158">
        <f t="shared" si="136"/>
        <v>0.7017757483510908</v>
      </c>
      <c r="AQ238" s="144">
        <f t="shared" si="119"/>
        <v>2.1735159817351597E-6</v>
      </c>
      <c r="AR238" s="158">
        <f t="shared" si="137"/>
        <v>7.2450532724505331E-3</v>
      </c>
      <c r="AS238" s="144">
        <f t="shared" si="120"/>
        <v>1.3041095890410958E-3</v>
      </c>
      <c r="AT238" s="158">
        <f t="shared" si="138"/>
        <v>0.43470319634703192</v>
      </c>
      <c r="AU238" s="144">
        <f t="shared" si="121"/>
        <v>9.4484018264840197E-6</v>
      </c>
      <c r="AV238" s="158">
        <f t="shared" si="139"/>
        <v>1.8896803652968037E-2</v>
      </c>
      <c r="AW238" s="144">
        <f t="shared" si="122"/>
        <v>6.0180821917808216E-4</v>
      </c>
      <c r="AX238" s="158">
        <f t="shared" si="140"/>
        <v>3.0090410958904107E-2</v>
      </c>
      <c r="AY238" s="144">
        <f t="shared" si="123"/>
        <v>9.3597464109589036E-5</v>
      </c>
      <c r="AZ238" s="144">
        <f t="shared" si="141"/>
        <v>0.31199154703196347</v>
      </c>
      <c r="BA238" s="144">
        <f t="shared" si="124"/>
        <v>1.5102775525114155E-6</v>
      </c>
      <c r="BB238" s="158">
        <f t="shared" si="142"/>
        <v>4.315078721461187E-4</v>
      </c>
      <c r="BC238" s="144">
        <f t="shared" si="125"/>
        <v>1.2993278538812785E-9</v>
      </c>
      <c r="BD238" s="158">
        <f t="shared" si="143"/>
        <v>4.331092846270929E-6</v>
      </c>
      <c r="BE238" s="144">
        <f t="shared" si="126"/>
        <v>7.7959671232876711E-7</v>
      </c>
      <c r="BF238" s="158">
        <f t="shared" si="144"/>
        <v>1.5591934246575342E-4</v>
      </c>
      <c r="BG238" s="144">
        <f t="shared" si="127"/>
        <v>5.6482546118721458E-9</v>
      </c>
      <c r="BH238" s="158">
        <f t="shared" si="145"/>
        <v>1.1296509223744291E-5</v>
      </c>
      <c r="BI238" s="144">
        <f t="shared" si="128"/>
        <v>3.5976095342465754E-7</v>
      </c>
      <c r="BJ238" s="158">
        <f t="shared" si="146"/>
        <v>6.424302739726027E-5</v>
      </c>
      <c r="BK238" s="144">
        <f t="shared" si="129"/>
        <v>1.458248724147193E-7</v>
      </c>
      <c r="BL238" s="158">
        <f t="shared" si="147"/>
        <v>4.8608290804906437E-4</v>
      </c>
      <c r="BM238" s="144">
        <f t="shared" si="130"/>
        <v>7.0590384098845015E-8</v>
      </c>
      <c r="BN238" s="158">
        <f t="shared" si="148"/>
        <v>2.0054086391717332E-5</v>
      </c>
      <c r="BO238" s="144">
        <f t="shared" si="131"/>
        <v>6.0730593607305931E-11</v>
      </c>
      <c r="BP238" s="158">
        <f t="shared" si="149"/>
        <v>7.0616969310820843E-7</v>
      </c>
      <c r="BQ238" s="144">
        <f t="shared" si="132"/>
        <v>3.6438356164383564E-8</v>
      </c>
      <c r="BR238" s="158">
        <f t="shared" si="150"/>
        <v>1.2146118721461188E-3</v>
      </c>
      <c r="BS238" s="144">
        <f t="shared" si="133"/>
        <v>2.6399946279881812E-10</v>
      </c>
      <c r="BT238" s="158">
        <f t="shared" si="151"/>
        <v>4.6315695227862829E-6</v>
      </c>
      <c r="BU238" s="144">
        <f t="shared" si="134"/>
        <v>1.6815229653505237E-8</v>
      </c>
      <c r="BV238" s="158">
        <f t="shared" si="152"/>
        <v>8.1627328415073967E-7</v>
      </c>
    </row>
    <row r="239" spans="20:74">
      <c r="T239" s="41" t="s">
        <v>293</v>
      </c>
      <c r="U239" s="39" t="s">
        <v>206</v>
      </c>
      <c r="V239" s="155" t="s">
        <v>341</v>
      </c>
      <c r="W239" s="53">
        <v>0.21768199999999999</v>
      </c>
      <c r="X239" s="53">
        <v>34.802346</v>
      </c>
      <c r="Y239" s="53" t="s">
        <v>356</v>
      </c>
      <c r="Z239" s="53" t="s">
        <v>330</v>
      </c>
      <c r="AA239" s="116" t="s">
        <v>347</v>
      </c>
      <c r="AB239" s="154" t="s">
        <v>371</v>
      </c>
      <c r="AC239" s="116" t="s">
        <v>687</v>
      </c>
      <c r="AD239" s="41" t="s">
        <v>361</v>
      </c>
      <c r="AE239" s="53" t="s">
        <v>685</v>
      </c>
      <c r="AF239" s="53" t="s">
        <v>690</v>
      </c>
      <c r="AG239" s="156">
        <v>44.8</v>
      </c>
      <c r="AH239" s="157">
        <v>36.5</v>
      </c>
      <c r="AI239" s="74">
        <v>1.56</v>
      </c>
      <c r="AJ239" s="157">
        <v>112.1</v>
      </c>
      <c r="AK239" s="156">
        <v>0.121</v>
      </c>
      <c r="AL239" s="157">
        <v>17.72</v>
      </c>
      <c r="AM239" s="144">
        <f t="shared" si="117"/>
        <v>5.7278538812785388E-4</v>
      </c>
      <c r="AN239" s="158">
        <f t="shared" si="135"/>
        <v>1.9092846270928465</v>
      </c>
      <c r="AO239" s="144">
        <f t="shared" si="118"/>
        <v>4.6666666666666666E-4</v>
      </c>
      <c r="AP239" s="158">
        <f t="shared" si="136"/>
        <v>0.12962962962962962</v>
      </c>
      <c r="AQ239" s="144">
        <f t="shared" si="119"/>
        <v>1.9945205479452057E-5</v>
      </c>
      <c r="AR239" s="158">
        <f t="shared" si="137"/>
        <v>6.6484018264840197E-2</v>
      </c>
      <c r="AS239" s="144">
        <f t="shared" si="120"/>
        <v>1.43324200913242E-3</v>
      </c>
      <c r="AT239" s="158">
        <f t="shared" si="138"/>
        <v>0.47774733637747335</v>
      </c>
      <c r="AU239" s="144">
        <f t="shared" si="121"/>
        <v>1.5470319634703195E-6</v>
      </c>
      <c r="AV239" s="158">
        <f t="shared" si="139"/>
        <v>3.094063926940639E-3</v>
      </c>
      <c r="AW239" s="144">
        <f t="shared" si="122"/>
        <v>2.2655707762557075E-4</v>
      </c>
      <c r="AX239" s="158">
        <f t="shared" si="140"/>
        <v>1.1327853881278537E-2</v>
      </c>
      <c r="AY239" s="144">
        <f t="shared" si="123"/>
        <v>1.0272333150684932E-5</v>
      </c>
      <c r="AZ239" s="144">
        <f t="shared" si="141"/>
        <v>3.4241110502283109E-2</v>
      </c>
      <c r="BA239" s="144">
        <f t="shared" si="124"/>
        <v>2.7897333333333334E-7</v>
      </c>
      <c r="BB239" s="158">
        <f t="shared" si="142"/>
        <v>7.9706666666666667E-5</v>
      </c>
      <c r="BC239" s="144">
        <f t="shared" si="125"/>
        <v>1.192324383561644E-8</v>
      </c>
      <c r="BD239" s="158">
        <f t="shared" si="143"/>
        <v>3.974414611872147E-5</v>
      </c>
      <c r="BE239" s="144">
        <f t="shared" si="126"/>
        <v>8.5679207305936085E-7</v>
      </c>
      <c r="BF239" s="158">
        <f t="shared" si="144"/>
        <v>1.7135841461187216E-4</v>
      </c>
      <c r="BG239" s="144">
        <f t="shared" si="127"/>
        <v>9.2481570776255713E-10</v>
      </c>
      <c r="BH239" s="158">
        <f t="shared" si="145"/>
        <v>1.8496314155251142E-6</v>
      </c>
      <c r="BI239" s="144">
        <f t="shared" si="128"/>
        <v>1.354358210045662E-7</v>
      </c>
      <c r="BJ239" s="158">
        <f t="shared" si="146"/>
        <v>2.418496803652968E-5</v>
      </c>
      <c r="BK239" s="144">
        <f t="shared" si="129"/>
        <v>1.6004297609454738E-8</v>
      </c>
      <c r="BL239" s="158">
        <f t="shared" si="147"/>
        <v>5.3347658698182468E-5</v>
      </c>
      <c r="BM239" s="144">
        <f t="shared" si="130"/>
        <v>1.3039215686274507E-8</v>
      </c>
      <c r="BN239" s="158">
        <f t="shared" si="148"/>
        <v>3.7043226381461666E-6</v>
      </c>
      <c r="BO239" s="144">
        <f t="shared" si="131"/>
        <v>5.572925060435133E-10</v>
      </c>
      <c r="BP239" s="158">
        <f t="shared" si="149"/>
        <v>6.4801454191106197E-6</v>
      </c>
      <c r="BQ239" s="144">
        <f t="shared" si="132"/>
        <v>4.0046467902229386E-8</v>
      </c>
      <c r="BR239" s="158">
        <f t="shared" si="150"/>
        <v>1.3348822634076461E-3</v>
      </c>
      <c r="BS239" s="144">
        <f t="shared" si="133"/>
        <v>4.3225893096964816E-11</v>
      </c>
      <c r="BT239" s="158">
        <f t="shared" si="151"/>
        <v>7.5834900170113712E-7</v>
      </c>
      <c r="BU239" s="144">
        <f t="shared" si="134"/>
        <v>6.3302712865968293E-9</v>
      </c>
      <c r="BV239" s="158">
        <f t="shared" si="152"/>
        <v>3.0729472265033154E-7</v>
      </c>
    </row>
    <row r="240" spans="20:74">
      <c r="T240" s="41" t="s">
        <v>294</v>
      </c>
      <c r="U240" s="39" t="s">
        <v>240</v>
      </c>
      <c r="V240" s="155" t="s">
        <v>341</v>
      </c>
      <c r="W240" s="53">
        <v>0.10542700000000001</v>
      </c>
      <c r="X240" s="53">
        <v>34.698397999999997</v>
      </c>
      <c r="Y240" s="53" t="s">
        <v>359</v>
      </c>
      <c r="Z240" s="53" t="s">
        <v>334</v>
      </c>
      <c r="AA240" s="116" t="s">
        <v>347</v>
      </c>
      <c r="AB240" s="154" t="s">
        <v>371</v>
      </c>
      <c r="AC240" s="116" t="s">
        <v>687</v>
      </c>
      <c r="AD240" s="41" t="s">
        <v>365</v>
      </c>
      <c r="AE240" s="53" t="s">
        <v>685</v>
      </c>
      <c r="AF240" s="53" t="s">
        <v>691</v>
      </c>
      <c r="AG240" s="156">
        <v>4062.8</v>
      </c>
      <c r="AH240" s="157">
        <v>230.1</v>
      </c>
      <c r="AI240" s="74">
        <v>5.18</v>
      </c>
      <c r="AJ240" s="157">
        <v>183</v>
      </c>
      <c r="AK240" s="156">
        <v>2.093</v>
      </c>
      <c r="AL240" s="157">
        <v>57.05</v>
      </c>
      <c r="AM240" s="144">
        <f t="shared" si="117"/>
        <v>5.1944474885844749E-2</v>
      </c>
      <c r="AN240" s="158">
        <f t="shared" si="135"/>
        <v>173.1482496194825</v>
      </c>
      <c r="AO240" s="144">
        <f t="shared" si="118"/>
        <v>2.9419178082191778E-3</v>
      </c>
      <c r="AP240" s="158">
        <f t="shared" si="136"/>
        <v>0.81719939117199392</v>
      </c>
      <c r="AQ240" s="144">
        <f t="shared" si="119"/>
        <v>6.6228310502283096E-5</v>
      </c>
      <c r="AR240" s="158">
        <f t="shared" si="137"/>
        <v>0.22076103500761035</v>
      </c>
      <c r="AS240" s="144">
        <f t="shared" si="120"/>
        <v>2.3397260273972601E-3</v>
      </c>
      <c r="AT240" s="158">
        <f t="shared" si="138"/>
        <v>0.77990867579908674</v>
      </c>
      <c r="AU240" s="144">
        <f t="shared" si="121"/>
        <v>2.6759817351598173E-5</v>
      </c>
      <c r="AV240" s="158">
        <f t="shared" si="139"/>
        <v>5.3519634703196345E-2</v>
      </c>
      <c r="AW240" s="144">
        <f t="shared" si="122"/>
        <v>7.2940639269406383E-4</v>
      </c>
      <c r="AX240" s="158">
        <f t="shared" si="140"/>
        <v>3.6470319634703194E-2</v>
      </c>
      <c r="AY240" s="144">
        <f t="shared" si="123"/>
        <v>9.3157221260273975E-4</v>
      </c>
      <c r="AZ240" s="144">
        <f t="shared" si="141"/>
        <v>3.1052407086757996</v>
      </c>
      <c r="BA240" s="144">
        <f t="shared" si="124"/>
        <v>1.7586784657534245E-6</v>
      </c>
      <c r="BB240" s="158">
        <f t="shared" si="142"/>
        <v>5.0247956164383551E-4</v>
      </c>
      <c r="BC240" s="144">
        <f t="shared" si="125"/>
        <v>3.9591284018264841E-8</v>
      </c>
      <c r="BD240" s="158">
        <f t="shared" si="143"/>
        <v>1.3197094672754949E-4</v>
      </c>
      <c r="BE240" s="144">
        <f t="shared" si="126"/>
        <v>1.3986882191780825E-6</v>
      </c>
      <c r="BF240" s="158">
        <f t="shared" si="144"/>
        <v>2.797376438356165E-4</v>
      </c>
      <c r="BG240" s="144">
        <f t="shared" si="127"/>
        <v>1.5997018812785387E-8</v>
      </c>
      <c r="BH240" s="158">
        <f t="shared" si="145"/>
        <v>3.1994037625570776E-5</v>
      </c>
      <c r="BI240" s="144">
        <f t="shared" si="128"/>
        <v>4.3603914155251143E-7</v>
      </c>
      <c r="BJ240" s="158">
        <f t="shared" si="146"/>
        <v>7.786413242009133E-5</v>
      </c>
      <c r="BK240" s="144">
        <f t="shared" si="129"/>
        <v>1.4513897394574267E-6</v>
      </c>
      <c r="BL240" s="158">
        <f t="shared" si="147"/>
        <v>4.8379657981914232E-3</v>
      </c>
      <c r="BM240" s="144">
        <f t="shared" si="130"/>
        <v>8.2200644641418189E-8</v>
      </c>
      <c r="BN240" s="158">
        <f t="shared" si="148"/>
        <v>2.3352455864039259E-5</v>
      </c>
      <c r="BO240" s="144">
        <f t="shared" si="131"/>
        <v>1.8504969110932042E-9</v>
      </c>
      <c r="BP240" s="158">
        <f t="shared" si="149"/>
        <v>2.1517405942944235E-5</v>
      </c>
      <c r="BQ240" s="144">
        <f t="shared" si="132"/>
        <v>6.5374697824335218E-8</v>
      </c>
      <c r="BR240" s="158">
        <f t="shared" si="150"/>
        <v>2.1791565941445073E-3</v>
      </c>
      <c r="BS240" s="144">
        <f t="shared" si="133"/>
        <v>7.4770077894171368E-10</v>
      </c>
      <c r="BT240" s="158">
        <f t="shared" si="151"/>
        <v>1.3117557525293222E-5</v>
      </c>
      <c r="BU240" s="144">
        <f t="shared" si="134"/>
        <v>2.0380472737040021E-8</v>
      </c>
      <c r="BV240" s="158">
        <f t="shared" si="152"/>
        <v>9.893433367495156E-7</v>
      </c>
    </row>
    <row r="241" spans="20:76">
      <c r="T241" s="41" t="s">
        <v>295</v>
      </c>
      <c r="U241" s="39" t="s">
        <v>260</v>
      </c>
      <c r="V241" s="155" t="s">
        <v>342</v>
      </c>
      <c r="W241" s="53">
        <v>0.10333000000000001</v>
      </c>
      <c r="X241" s="53">
        <v>34.713628999999997</v>
      </c>
      <c r="Y241" s="53" t="s">
        <v>335</v>
      </c>
      <c r="Z241" s="53" t="s">
        <v>334</v>
      </c>
      <c r="AA241" s="116" t="s">
        <v>347</v>
      </c>
      <c r="AB241" s="154" t="s">
        <v>371</v>
      </c>
      <c r="AC241" s="116" t="s">
        <v>687</v>
      </c>
      <c r="AD241" s="41" t="s">
        <v>365</v>
      </c>
      <c r="AE241" s="53" t="s">
        <v>685</v>
      </c>
      <c r="AF241" s="53" t="s">
        <v>691</v>
      </c>
      <c r="AG241" s="156">
        <v>7890.2</v>
      </c>
      <c r="AH241" s="157">
        <v>69.099999999999994</v>
      </c>
      <c r="AI241" s="74">
        <v>15.3</v>
      </c>
      <c r="AJ241" s="157">
        <v>76.099999999999994</v>
      </c>
      <c r="AK241" s="156">
        <v>0.83499999999999996</v>
      </c>
      <c r="AL241" s="157">
        <v>50.85</v>
      </c>
      <c r="AM241" s="144">
        <f t="shared" si="117"/>
        <v>0.10087926940639269</v>
      </c>
      <c r="AN241" s="158">
        <f t="shared" si="135"/>
        <v>336.26423135464233</v>
      </c>
      <c r="AO241" s="144">
        <f t="shared" si="118"/>
        <v>8.8347031963470295E-4</v>
      </c>
      <c r="AP241" s="158">
        <f t="shared" si="136"/>
        <v>0.24540842212075081</v>
      </c>
      <c r="AQ241" s="144">
        <f t="shared" si="119"/>
        <v>1.9561643835616437E-4</v>
      </c>
      <c r="AR241" s="158">
        <f t="shared" si="137"/>
        <v>0.65205479452054793</v>
      </c>
      <c r="AS241" s="144">
        <f t="shared" si="120"/>
        <v>9.7296803652968016E-4</v>
      </c>
      <c r="AT241" s="158">
        <f t="shared" si="138"/>
        <v>0.32432267884322669</v>
      </c>
      <c r="AU241" s="144">
        <f t="shared" si="121"/>
        <v>1.0675799086757991E-5</v>
      </c>
      <c r="AV241" s="158">
        <f t="shared" si="139"/>
        <v>2.1351598173515982E-2</v>
      </c>
      <c r="AW241" s="144">
        <f t="shared" si="122"/>
        <v>6.5013698630136984E-4</v>
      </c>
      <c r="AX241" s="158">
        <f t="shared" si="140"/>
        <v>3.250684931506849E-2</v>
      </c>
      <c r="AY241" s="144">
        <f t="shared" si="123"/>
        <v>1.8091688175342466E-3</v>
      </c>
      <c r="AZ241" s="144">
        <f t="shared" si="141"/>
        <v>6.030562725114156</v>
      </c>
      <c r="BA241" s="144">
        <f t="shared" si="124"/>
        <v>5.2813855707762546E-7</v>
      </c>
      <c r="BB241" s="158">
        <f t="shared" si="142"/>
        <v>1.5089673059360726E-4</v>
      </c>
      <c r="BC241" s="144">
        <f t="shared" si="125"/>
        <v>1.1693950684931507E-7</v>
      </c>
      <c r="BD241" s="158">
        <f t="shared" si="143"/>
        <v>3.8979835616438364E-4</v>
      </c>
      <c r="BE241" s="144">
        <f t="shared" si="126"/>
        <v>5.8164029223744294E-7</v>
      </c>
      <c r="BF241" s="158">
        <f t="shared" si="144"/>
        <v>1.1632805844748859E-4</v>
      </c>
      <c r="BG241" s="144">
        <f t="shared" si="127"/>
        <v>6.3819926940639276E-9</v>
      </c>
      <c r="BH241" s="158">
        <f t="shared" si="145"/>
        <v>1.2763985388127855E-5</v>
      </c>
      <c r="BI241" s="144">
        <f t="shared" si="128"/>
        <v>3.8865189041095895E-7</v>
      </c>
      <c r="BJ241" s="158">
        <f t="shared" si="146"/>
        <v>6.9402123287671248E-5</v>
      </c>
      <c r="BK241" s="144">
        <f t="shared" si="129"/>
        <v>2.818685468708031E-6</v>
      </c>
      <c r="BL241" s="158">
        <f t="shared" si="147"/>
        <v>9.3956182290267712E-3</v>
      </c>
      <c r="BM241" s="144">
        <f t="shared" si="130"/>
        <v>2.4685200107440236E-8</v>
      </c>
      <c r="BN241" s="158">
        <f t="shared" si="148"/>
        <v>7.0128409396137029E-6</v>
      </c>
      <c r="BO241" s="144">
        <f t="shared" si="131"/>
        <v>5.4657534246575343E-9</v>
      </c>
      <c r="BP241" s="158">
        <f t="shared" si="149"/>
        <v>6.355527237973877E-5</v>
      </c>
      <c r="BQ241" s="144">
        <f t="shared" si="132"/>
        <v>2.7185871608917535E-8</v>
      </c>
      <c r="BR241" s="158">
        <f t="shared" si="150"/>
        <v>9.0619572029725115E-4</v>
      </c>
      <c r="BS241" s="144">
        <f t="shared" si="133"/>
        <v>2.982943862476497E-10</v>
      </c>
      <c r="BT241" s="158">
        <f t="shared" si="151"/>
        <v>5.2332348464499944E-6</v>
      </c>
      <c r="BU241" s="144">
        <f t="shared" si="134"/>
        <v>1.816559226430298E-8</v>
      </c>
      <c r="BV241" s="158">
        <f t="shared" si="152"/>
        <v>8.8182486719917383E-7</v>
      </c>
    </row>
    <row r="242" spans="20:76">
      <c r="T242" s="41" t="s">
        <v>296</v>
      </c>
      <c r="U242" s="39" t="s">
        <v>282</v>
      </c>
      <c r="V242" s="155" t="s">
        <v>342</v>
      </c>
      <c r="W242" s="53">
        <v>0.156392</v>
      </c>
      <c r="X242" s="53">
        <v>34.817486000000002</v>
      </c>
      <c r="Y242" s="53" t="s">
        <v>360</v>
      </c>
      <c r="Z242" s="53" t="s">
        <v>330</v>
      </c>
      <c r="AA242" s="116" t="s">
        <v>347</v>
      </c>
      <c r="AB242" s="154" t="s">
        <v>371</v>
      </c>
      <c r="AC242" s="116" t="s">
        <v>687</v>
      </c>
      <c r="AD242" s="41" t="s">
        <v>365</v>
      </c>
      <c r="AE242" s="53" t="s">
        <v>685</v>
      </c>
      <c r="AF242" s="53" t="s">
        <v>691</v>
      </c>
      <c r="AG242" s="156">
        <v>514.4</v>
      </c>
      <c r="AH242" s="157">
        <v>30.4</v>
      </c>
      <c r="AI242" s="74">
        <v>3.62</v>
      </c>
      <c r="AJ242" s="157">
        <v>78.400000000000006</v>
      </c>
      <c r="AK242" s="156">
        <v>0.13500000000000001</v>
      </c>
      <c r="AL242" s="157">
        <v>7.08</v>
      </c>
      <c r="AM242" s="144">
        <f t="shared" si="117"/>
        <v>6.5768036529680364E-3</v>
      </c>
      <c r="AN242" s="158">
        <f t="shared" si="135"/>
        <v>21.922678843226791</v>
      </c>
      <c r="AO242" s="144">
        <f t="shared" si="118"/>
        <v>3.8867579908675797E-4</v>
      </c>
      <c r="AP242" s="158">
        <f t="shared" si="136"/>
        <v>0.10796549974632166</v>
      </c>
      <c r="AQ242" s="144">
        <f t="shared" si="119"/>
        <v>4.6283105022831053E-5</v>
      </c>
      <c r="AR242" s="158">
        <f t="shared" si="137"/>
        <v>0.1542770167427702</v>
      </c>
      <c r="AS242" s="144">
        <f t="shared" si="120"/>
        <v>1.0023744292237443E-3</v>
      </c>
      <c r="AT242" s="158">
        <f t="shared" si="138"/>
        <v>0.33412480974124809</v>
      </c>
      <c r="AU242" s="144">
        <f t="shared" si="121"/>
        <v>1.726027397260274E-6</v>
      </c>
      <c r="AV242" s="158">
        <f t="shared" si="139"/>
        <v>3.4520547945205479E-3</v>
      </c>
      <c r="AW242" s="144">
        <f t="shared" si="122"/>
        <v>9.0520547945205479E-5</v>
      </c>
      <c r="AX242" s="158">
        <f t="shared" si="140"/>
        <v>4.5260273972602735E-3</v>
      </c>
      <c r="AY242" s="144">
        <f t="shared" si="123"/>
        <v>1.1794839671232878E-4</v>
      </c>
      <c r="AZ242" s="144">
        <f t="shared" si="141"/>
        <v>0.3931613223744293</v>
      </c>
      <c r="BA242" s="144">
        <f t="shared" si="124"/>
        <v>2.3235039269406396E-7</v>
      </c>
      <c r="BB242" s="158">
        <f t="shared" si="142"/>
        <v>6.6385826484018277E-5</v>
      </c>
      <c r="BC242" s="144">
        <f t="shared" si="125"/>
        <v>2.7668040182648404E-8</v>
      </c>
      <c r="BD242" s="158">
        <f t="shared" si="143"/>
        <v>9.222680060882802E-5</v>
      </c>
      <c r="BE242" s="144">
        <f t="shared" si="126"/>
        <v>5.9921943378995436E-7</v>
      </c>
      <c r="BF242" s="158">
        <f t="shared" si="144"/>
        <v>1.1984388675799087E-4</v>
      </c>
      <c r="BG242" s="144">
        <f t="shared" si="127"/>
        <v>1.0318191780821916E-9</v>
      </c>
      <c r="BH242" s="158">
        <f t="shared" si="145"/>
        <v>2.0636383561643831E-6</v>
      </c>
      <c r="BI242" s="144">
        <f t="shared" si="128"/>
        <v>5.4113183561643829E-8</v>
      </c>
      <c r="BJ242" s="158">
        <f t="shared" si="146"/>
        <v>9.6630684931506844E-6</v>
      </c>
      <c r="BK242" s="144">
        <f t="shared" si="129"/>
        <v>1.8376363147998921E-7</v>
      </c>
      <c r="BL242" s="158">
        <f t="shared" si="147"/>
        <v>6.1254543826663071E-4</v>
      </c>
      <c r="BM242" s="144">
        <f t="shared" si="130"/>
        <v>1.0860059092130003E-8</v>
      </c>
      <c r="BN242" s="158">
        <f t="shared" si="148"/>
        <v>3.0852440602642055E-6</v>
      </c>
      <c r="BO242" s="144">
        <f t="shared" si="131"/>
        <v>1.2932044050496911E-9</v>
      </c>
      <c r="BP242" s="158">
        <f t="shared" si="149"/>
        <v>1.5037260523833618E-5</v>
      </c>
      <c r="BQ242" s="144">
        <f t="shared" si="132"/>
        <v>2.8007520816545797E-8</v>
      </c>
      <c r="BR242" s="158">
        <f t="shared" si="150"/>
        <v>9.3358402721819319E-4</v>
      </c>
      <c r="BS242" s="144">
        <f t="shared" si="133"/>
        <v>4.8227236099919429E-11</v>
      </c>
      <c r="BT242" s="158">
        <f t="shared" si="151"/>
        <v>8.4609186140209517E-7</v>
      </c>
      <c r="BU242" s="144">
        <f t="shared" si="134"/>
        <v>2.5292506043513293E-9</v>
      </c>
      <c r="BV242" s="158">
        <f t="shared" si="152"/>
        <v>1.227791555510354E-7</v>
      </c>
    </row>
    <row r="243" spans="20:76">
      <c r="T243" s="53" t="s">
        <v>305</v>
      </c>
      <c r="U243" s="53" t="s">
        <v>90</v>
      </c>
      <c r="V243" s="165">
        <v>43887</v>
      </c>
      <c r="W243" s="166">
        <v>0.258245</v>
      </c>
      <c r="X243" s="166">
        <v>34.717759999999998</v>
      </c>
      <c r="Y243" s="166" t="s">
        <v>332</v>
      </c>
      <c r="Z243" s="165" t="s">
        <v>330</v>
      </c>
      <c r="AA243" s="116" t="s">
        <v>347</v>
      </c>
      <c r="AB243" s="154" t="s">
        <v>371</v>
      </c>
      <c r="AC243" s="116" t="s">
        <v>687</v>
      </c>
      <c r="AD243" s="165" t="s">
        <v>364</v>
      </c>
      <c r="AE243" s="53" t="s">
        <v>685</v>
      </c>
      <c r="AF243" s="53" t="s">
        <v>690</v>
      </c>
      <c r="AG243" s="167">
        <v>10.6</v>
      </c>
      <c r="AH243" s="157">
        <v>5.76</v>
      </c>
      <c r="AI243" s="75">
        <v>1.65222</v>
      </c>
      <c r="AJ243" s="157">
        <v>173.5</v>
      </c>
      <c r="AK243" s="156">
        <v>3.2000000000000001E-2</v>
      </c>
      <c r="AL243" s="157">
        <v>50</v>
      </c>
      <c r="AM243" s="144">
        <f t="shared" si="117"/>
        <v>1.3552511415525114E-4</v>
      </c>
      <c r="AN243" s="158">
        <f t="shared" si="135"/>
        <v>0.45175038051750382</v>
      </c>
      <c r="AO243" s="144">
        <f t="shared" si="118"/>
        <v>7.3643835616438362E-5</v>
      </c>
      <c r="AP243" s="158">
        <f t="shared" si="136"/>
        <v>2.0456621004566213E-2</v>
      </c>
      <c r="AQ243" s="144">
        <f t="shared" si="119"/>
        <v>2.1124273972602739E-5</v>
      </c>
      <c r="AR243" s="158">
        <f t="shared" si="137"/>
        <v>7.0414246575342468E-2</v>
      </c>
      <c r="AS243" s="144">
        <f t="shared" si="120"/>
        <v>2.218264840182648E-3</v>
      </c>
      <c r="AT243" s="158">
        <f t="shared" si="138"/>
        <v>0.73942161339421597</v>
      </c>
      <c r="AU243" s="144">
        <f t="shared" si="121"/>
        <v>4.0913242009132418E-7</v>
      </c>
      <c r="AV243" s="158">
        <f t="shared" si="139"/>
        <v>8.1826484018264836E-4</v>
      </c>
      <c r="AW243" s="144">
        <f t="shared" si="122"/>
        <v>6.3926940639269405E-4</v>
      </c>
      <c r="AX243" s="158">
        <f t="shared" si="140"/>
        <v>3.1963470319634701E-2</v>
      </c>
      <c r="AY243" s="144">
        <f t="shared" si="123"/>
        <v>2.4305073972602741E-6</v>
      </c>
      <c r="AZ243" s="144">
        <f t="shared" si="141"/>
        <v>8.1016913242009138E-3</v>
      </c>
      <c r="BA243" s="144">
        <f t="shared" si="124"/>
        <v>4.4024284931506857E-8</v>
      </c>
      <c r="BB243" s="158">
        <f t="shared" si="142"/>
        <v>1.2578367123287673E-5</v>
      </c>
      <c r="BC243" s="144">
        <f t="shared" si="125"/>
        <v>1.262809098082192E-8</v>
      </c>
      <c r="BD243" s="158">
        <f t="shared" si="143"/>
        <v>4.2093636602739739E-5</v>
      </c>
      <c r="BE243" s="144">
        <f t="shared" si="126"/>
        <v>1.3260787214611875E-6</v>
      </c>
      <c r="BF243" s="158">
        <f t="shared" si="144"/>
        <v>2.652157442922375E-4</v>
      </c>
      <c r="BG243" s="144">
        <f t="shared" si="127"/>
        <v>2.4457936073059367E-10</v>
      </c>
      <c r="BH243" s="158">
        <f t="shared" si="145"/>
        <v>4.891587214611873E-7</v>
      </c>
      <c r="BI243" s="144">
        <f t="shared" si="128"/>
        <v>3.821552511415525E-7</v>
      </c>
      <c r="BJ243" s="158">
        <f t="shared" si="146"/>
        <v>6.8242009132420096E-5</v>
      </c>
      <c r="BK243" s="144">
        <f t="shared" si="129"/>
        <v>3.7867311308084872E-9</v>
      </c>
      <c r="BL243" s="158">
        <f t="shared" si="147"/>
        <v>1.2622437102694958E-5</v>
      </c>
      <c r="BM243" s="144">
        <f t="shared" si="130"/>
        <v>2.0576954069298952E-9</v>
      </c>
      <c r="BN243" s="158">
        <f t="shared" si="148"/>
        <v>5.8457255878690204E-7</v>
      </c>
      <c r="BO243" s="144">
        <f t="shared" si="131"/>
        <v>5.9023706688154708E-10</v>
      </c>
      <c r="BP243" s="158">
        <f t="shared" si="149"/>
        <v>6.8632217079249658E-6</v>
      </c>
      <c r="BQ243" s="144">
        <f t="shared" si="132"/>
        <v>6.1980929358044584E-8</v>
      </c>
      <c r="BR243" s="158">
        <f t="shared" si="150"/>
        <v>2.0660309786014863E-3</v>
      </c>
      <c r="BS243" s="144">
        <f t="shared" si="133"/>
        <v>1.1431641149610529E-11</v>
      </c>
      <c r="BT243" s="158">
        <f t="shared" si="151"/>
        <v>2.0055510788790401E-7</v>
      </c>
      <c r="BU243" s="144">
        <f t="shared" si="134"/>
        <v>1.7861939296266451E-8</v>
      </c>
      <c r="BV243" s="158">
        <f t="shared" si="152"/>
        <v>8.6708443185759469E-7</v>
      </c>
    </row>
    <row r="244" spans="20:76">
      <c r="T244" s="53" t="s">
        <v>307</v>
      </c>
      <c r="U244" s="53" t="s">
        <v>137</v>
      </c>
      <c r="V244" s="165">
        <v>43888</v>
      </c>
      <c r="W244" s="166">
        <v>0.25163200000000002</v>
      </c>
      <c r="X244" s="166">
        <v>34.723950000000002</v>
      </c>
      <c r="Y244" s="166" t="s">
        <v>333</v>
      </c>
      <c r="Z244" s="165" t="s">
        <v>330</v>
      </c>
      <c r="AA244" s="116" t="s">
        <v>347</v>
      </c>
      <c r="AB244" s="154" t="s">
        <v>371</v>
      </c>
      <c r="AC244" s="55" t="s">
        <v>689</v>
      </c>
      <c r="AD244" s="165" t="s">
        <v>369</v>
      </c>
      <c r="AE244" s="53" t="s">
        <v>685</v>
      </c>
      <c r="AF244" s="53" t="s">
        <v>691</v>
      </c>
      <c r="AG244" s="156">
        <v>2456.5</v>
      </c>
      <c r="AH244" s="157">
        <v>93.53</v>
      </c>
      <c r="AI244" s="75">
        <v>2.9848599999999998</v>
      </c>
      <c r="AJ244" s="157">
        <v>200.5</v>
      </c>
      <c r="AK244" s="156">
        <v>5.0279999999999996</v>
      </c>
      <c r="AL244" s="157">
        <v>57.3</v>
      </c>
      <c r="AM244" s="144">
        <f t="shared" si="117"/>
        <v>3.1407305936073063E-2</v>
      </c>
      <c r="AN244" s="158">
        <f t="shared" si="135"/>
        <v>104.69101978691022</v>
      </c>
      <c r="AO244" s="144">
        <f t="shared" si="118"/>
        <v>1.1958173515981734E-3</v>
      </c>
      <c r="AP244" s="158">
        <f t="shared" si="136"/>
        <v>0.33217148655504819</v>
      </c>
      <c r="AQ244" s="144">
        <f t="shared" si="119"/>
        <v>3.8162593607305934E-5</v>
      </c>
      <c r="AR244" s="158">
        <f t="shared" si="137"/>
        <v>0.12720864535768645</v>
      </c>
      <c r="AS244" s="144">
        <f t="shared" si="120"/>
        <v>2.5634703196347028E-3</v>
      </c>
      <c r="AT244" s="158">
        <f t="shared" si="138"/>
        <v>0.85449010654490087</v>
      </c>
      <c r="AU244" s="144">
        <f t="shared" si="121"/>
        <v>6.4284931506849299E-5</v>
      </c>
      <c r="AV244" s="158">
        <f t="shared" si="139"/>
        <v>0.1285698630136986</v>
      </c>
      <c r="AW244" s="144">
        <f t="shared" si="122"/>
        <v>7.3260273972602734E-4</v>
      </c>
      <c r="AX244" s="158">
        <f t="shared" si="140"/>
        <v>3.6630136986301368E-2</v>
      </c>
      <c r="AY244" s="144">
        <f t="shared" si="123"/>
        <v>5.6325862465753421E-4</v>
      </c>
      <c r="AZ244" s="144">
        <f t="shared" si="141"/>
        <v>1.8775287488584476</v>
      </c>
      <c r="BA244" s="144">
        <f t="shared" si="124"/>
        <v>7.1485961278538807E-7</v>
      </c>
      <c r="BB244" s="158">
        <f t="shared" si="142"/>
        <v>2.0424560365296801E-4</v>
      </c>
      <c r="BC244" s="144">
        <f t="shared" si="125"/>
        <v>2.281359845844749E-8</v>
      </c>
      <c r="BD244" s="158">
        <f t="shared" si="143"/>
        <v>7.6045328194824976E-5</v>
      </c>
      <c r="BE244" s="144">
        <f t="shared" si="126"/>
        <v>1.532442557077626E-6</v>
      </c>
      <c r="BF244" s="158">
        <f t="shared" si="144"/>
        <v>3.0648851141552516E-4</v>
      </c>
      <c r="BG244" s="144">
        <f t="shared" si="127"/>
        <v>3.8429532054794519E-8</v>
      </c>
      <c r="BH244" s="158">
        <f t="shared" si="145"/>
        <v>7.6859064109589034E-5</v>
      </c>
      <c r="BI244" s="144">
        <f t="shared" si="128"/>
        <v>4.3794991780821919E-7</v>
      </c>
      <c r="BJ244" s="158">
        <f t="shared" si="146"/>
        <v>7.8205342465753429E-5</v>
      </c>
      <c r="BK244" s="144">
        <f t="shared" si="129"/>
        <v>8.7755707762557059E-7</v>
      </c>
      <c r="BL244" s="158">
        <f t="shared" si="147"/>
        <v>2.9251902587519021E-3</v>
      </c>
      <c r="BM244" s="144">
        <f t="shared" si="130"/>
        <v>3.3412543647596022E-8</v>
      </c>
      <c r="BN244" s="158">
        <f t="shared" si="148"/>
        <v>9.4921998998852325E-6</v>
      </c>
      <c r="BO244" s="144">
        <f t="shared" si="131"/>
        <v>1.0663077625570777E-9</v>
      </c>
      <c r="BP244" s="158">
        <f t="shared" si="149"/>
        <v>1.2398927471593926E-5</v>
      </c>
      <c r="BQ244" s="144">
        <f t="shared" si="132"/>
        <v>7.1626376578028475E-8</v>
      </c>
      <c r="BR244" s="158">
        <f t="shared" si="150"/>
        <v>2.3875458859342826E-3</v>
      </c>
      <c r="BS244" s="144">
        <f t="shared" si="133"/>
        <v>1.7961966156325541E-9</v>
      </c>
      <c r="BT244" s="158">
        <f t="shared" si="151"/>
        <v>3.1512221326886911E-5</v>
      </c>
      <c r="BU244" s="144">
        <f t="shared" si="134"/>
        <v>2.0469782433521353E-8</v>
      </c>
      <c r="BV244" s="158">
        <f t="shared" si="152"/>
        <v>9.936787589088036E-7</v>
      </c>
    </row>
    <row r="245" spans="20:76">
      <c r="T245" s="53" t="s">
        <v>308</v>
      </c>
      <c r="U245" s="53" t="s">
        <v>309</v>
      </c>
      <c r="V245" s="165">
        <v>43888</v>
      </c>
      <c r="W245" s="166">
        <v>0.25193900000000002</v>
      </c>
      <c r="X245" s="166">
        <v>34.723799999999997</v>
      </c>
      <c r="Y245" s="166" t="s">
        <v>333</v>
      </c>
      <c r="Z245" s="165" t="s">
        <v>330</v>
      </c>
      <c r="AA245" s="116" t="s">
        <v>347</v>
      </c>
      <c r="AB245" s="154" t="s">
        <v>371</v>
      </c>
      <c r="AC245" s="116" t="s">
        <v>687</v>
      </c>
      <c r="AD245" s="165" t="s">
        <v>367</v>
      </c>
      <c r="AE245" s="53" t="s">
        <v>684</v>
      </c>
      <c r="AF245" s="53" t="s">
        <v>683</v>
      </c>
      <c r="AG245" s="167">
        <v>8</v>
      </c>
      <c r="AH245" s="157">
        <v>16.100000000000001</v>
      </c>
      <c r="AI245" s="75">
        <v>4.1962899999999994</v>
      </c>
      <c r="AJ245" s="157">
        <v>299.60000000000002</v>
      </c>
      <c r="AK245" s="156">
        <v>0.28499999999999998</v>
      </c>
      <c r="AL245" s="157">
        <v>110.8</v>
      </c>
      <c r="AM245" s="144">
        <f t="shared" si="117"/>
        <v>1.0228310502283104E-4</v>
      </c>
      <c r="AN245" s="158">
        <f t="shared" si="135"/>
        <v>0.34094368340943687</v>
      </c>
      <c r="AO245" s="144">
        <f t="shared" si="118"/>
        <v>2.0584474885844753E-4</v>
      </c>
      <c r="AP245" s="158">
        <f t="shared" si="136"/>
        <v>5.7179096905124314E-2</v>
      </c>
      <c r="AQ245" s="144">
        <f t="shared" si="119"/>
        <v>5.3651196347031954E-5</v>
      </c>
      <c r="AR245" s="158">
        <f t="shared" si="137"/>
        <v>0.1788373211567732</v>
      </c>
      <c r="AS245" s="144">
        <f t="shared" si="120"/>
        <v>3.8305022831050233E-3</v>
      </c>
      <c r="AT245" s="158">
        <f t="shared" si="138"/>
        <v>1.2768340943683412</v>
      </c>
      <c r="AU245" s="144">
        <f t="shared" si="121"/>
        <v>3.643835616438355E-6</v>
      </c>
      <c r="AV245" s="158">
        <f t="shared" si="139"/>
        <v>7.28767123287671E-3</v>
      </c>
      <c r="AW245" s="144">
        <f t="shared" si="122"/>
        <v>1.4166210045662101E-3</v>
      </c>
      <c r="AX245" s="158">
        <f t="shared" si="140"/>
        <v>7.0831050228310502E-2</v>
      </c>
      <c r="AY245" s="144">
        <f t="shared" si="123"/>
        <v>1.8343452054794521E-6</v>
      </c>
      <c r="AZ245" s="144">
        <f t="shared" si="141"/>
        <v>6.1144840182648409E-3</v>
      </c>
      <c r="BA245" s="144">
        <f t="shared" si="124"/>
        <v>1.2305399086757996E-7</v>
      </c>
      <c r="BB245" s="158">
        <f t="shared" si="142"/>
        <v>3.5158283105022841E-5</v>
      </c>
      <c r="BC245" s="144">
        <f t="shared" si="125"/>
        <v>3.2072685176255705E-8</v>
      </c>
      <c r="BD245" s="158">
        <f t="shared" si="143"/>
        <v>1.0690895058751903E-4</v>
      </c>
      <c r="BE245" s="144">
        <f t="shared" si="126"/>
        <v>2.2898742648401835E-6</v>
      </c>
      <c r="BF245" s="158">
        <f t="shared" si="144"/>
        <v>4.5797485296803669E-4</v>
      </c>
      <c r="BG245" s="144">
        <f t="shared" si="127"/>
        <v>2.1782849315068492E-9</v>
      </c>
      <c r="BH245" s="158">
        <f t="shared" si="145"/>
        <v>4.3565698630136986E-6</v>
      </c>
      <c r="BI245" s="144">
        <f t="shared" si="128"/>
        <v>8.4685603652968038E-7</v>
      </c>
      <c r="BJ245" s="158">
        <f t="shared" si="146"/>
        <v>1.5122429223744292E-4</v>
      </c>
      <c r="BK245" s="144">
        <f t="shared" si="129"/>
        <v>2.8579102874026322E-9</v>
      </c>
      <c r="BL245" s="158">
        <f t="shared" si="147"/>
        <v>9.5263676246754421E-6</v>
      </c>
      <c r="BM245" s="144">
        <f t="shared" si="130"/>
        <v>5.7515444533977978E-9</v>
      </c>
      <c r="BN245" s="158">
        <f t="shared" si="148"/>
        <v>1.6339614924425561E-6</v>
      </c>
      <c r="BO245" s="144">
        <f t="shared" si="131"/>
        <v>1.4990775449905988E-9</v>
      </c>
      <c r="BP245" s="158">
        <f t="shared" si="149"/>
        <v>1.7431134244076728E-5</v>
      </c>
      <c r="BQ245" s="144">
        <f t="shared" si="132"/>
        <v>1.0702874026322857E-7</v>
      </c>
      <c r="BR245" s="158">
        <f t="shared" si="150"/>
        <v>3.5676246754409524E-3</v>
      </c>
      <c r="BS245" s="144">
        <f t="shared" si="133"/>
        <v>1.0181305398871878E-10</v>
      </c>
      <c r="BT245" s="158">
        <f t="shared" si="151"/>
        <v>1.7861939296266452E-6</v>
      </c>
      <c r="BU245" s="144">
        <f t="shared" si="134"/>
        <v>3.9582057480526455E-8</v>
      </c>
      <c r="BV245" s="158">
        <f t="shared" si="152"/>
        <v>1.9214591009964297E-6</v>
      </c>
    </row>
    <row r="246" spans="20:76">
      <c r="T246" s="53" t="s">
        <v>310</v>
      </c>
      <c r="U246" s="53" t="s">
        <v>260</v>
      </c>
      <c r="V246" s="165">
        <v>43891</v>
      </c>
      <c r="W246" s="166">
        <v>0.10333000000000001</v>
      </c>
      <c r="X246" s="166">
        <v>34.713630000000002</v>
      </c>
      <c r="Y246" s="166" t="s">
        <v>344</v>
      </c>
      <c r="Z246" s="166" t="s">
        <v>334</v>
      </c>
      <c r="AA246" s="116" t="s">
        <v>347</v>
      </c>
      <c r="AB246" s="154" t="s">
        <v>371</v>
      </c>
      <c r="AC246" s="116" t="s">
        <v>687</v>
      </c>
      <c r="AD246" s="165" t="s">
        <v>365</v>
      </c>
      <c r="AE246" s="53" t="s">
        <v>685</v>
      </c>
      <c r="AF246" s="53" t="s">
        <v>691</v>
      </c>
      <c r="AG246" s="156">
        <v>8705.7000000000007</v>
      </c>
      <c r="AH246" s="157">
        <v>69.150000000000006</v>
      </c>
      <c r="AI246" s="75">
        <v>16.282150000000001</v>
      </c>
      <c r="AJ246" s="157">
        <v>81.3</v>
      </c>
      <c r="AK246" s="156">
        <v>0.78600000000000003</v>
      </c>
      <c r="AL246" s="157">
        <v>49.9</v>
      </c>
      <c r="AM246" s="144">
        <f t="shared" si="117"/>
        <v>0.11130575342465755</v>
      </c>
      <c r="AN246" s="158">
        <f t="shared" si="135"/>
        <v>371.0191780821919</v>
      </c>
      <c r="AO246" s="144">
        <f t="shared" si="118"/>
        <v>8.8410958904109607E-4</v>
      </c>
      <c r="AP246" s="158">
        <f t="shared" si="136"/>
        <v>0.24558599695586003</v>
      </c>
      <c r="AQ246" s="144">
        <f t="shared" si="119"/>
        <v>2.0817360730593606E-4</v>
      </c>
      <c r="AR246" s="158">
        <f t="shared" si="137"/>
        <v>0.69391202435312027</v>
      </c>
      <c r="AS246" s="144">
        <f t="shared" si="120"/>
        <v>1.0394520547945207E-3</v>
      </c>
      <c r="AT246" s="158">
        <f t="shared" si="138"/>
        <v>0.34648401826484021</v>
      </c>
      <c r="AU246" s="144">
        <f t="shared" si="121"/>
        <v>1.0049315068493151E-5</v>
      </c>
      <c r="AV246" s="158">
        <f t="shared" si="139"/>
        <v>2.00986301369863E-2</v>
      </c>
      <c r="AW246" s="144">
        <f t="shared" si="122"/>
        <v>6.3799086757990859E-4</v>
      </c>
      <c r="AX246" s="158">
        <f t="shared" si="140"/>
        <v>3.1899543378995428E-2</v>
      </c>
      <c r="AY246" s="144">
        <f t="shared" si="123"/>
        <v>1.9961573819178087E-3</v>
      </c>
      <c r="AZ246" s="144">
        <f t="shared" si="141"/>
        <v>6.6538579397260298</v>
      </c>
      <c r="BA246" s="144">
        <f t="shared" si="124"/>
        <v>5.2852071232876733E-7</v>
      </c>
      <c r="BB246" s="158">
        <f t="shared" si="142"/>
        <v>1.5100591780821924E-4</v>
      </c>
      <c r="BC246" s="144">
        <f t="shared" si="125"/>
        <v>1.2444618244748859E-7</v>
      </c>
      <c r="BD246" s="158">
        <f t="shared" si="143"/>
        <v>4.1482060815829536E-4</v>
      </c>
      <c r="BE246" s="144">
        <f t="shared" si="126"/>
        <v>6.2138443835616441E-7</v>
      </c>
      <c r="BF246" s="158">
        <f t="shared" si="144"/>
        <v>1.2427688767123289E-4</v>
      </c>
      <c r="BG246" s="144">
        <f t="shared" si="127"/>
        <v>6.0074805479452062E-9</v>
      </c>
      <c r="BH246" s="158">
        <f t="shared" si="145"/>
        <v>1.2014961095890412E-5</v>
      </c>
      <c r="BI246" s="144">
        <f t="shared" si="128"/>
        <v>3.813909406392694E-7</v>
      </c>
      <c r="BJ246" s="158">
        <f t="shared" si="146"/>
        <v>6.8105525114155256E-5</v>
      </c>
      <c r="BK246" s="144">
        <f t="shared" si="129"/>
        <v>3.1100136986301377E-6</v>
      </c>
      <c r="BL246" s="158">
        <f t="shared" si="147"/>
        <v>1.0366712328767127E-2</v>
      </c>
      <c r="BM246" s="144">
        <f t="shared" si="130"/>
        <v>2.4703062046736502E-8</v>
      </c>
      <c r="BN246" s="158">
        <f t="shared" si="148"/>
        <v>7.0179153541865063E-6</v>
      </c>
      <c r="BO246" s="144">
        <f t="shared" si="131"/>
        <v>5.8166154982540963E-9</v>
      </c>
      <c r="BP246" s="158">
        <f t="shared" si="149"/>
        <v>6.7635063933187166E-5</v>
      </c>
      <c r="BQ246" s="144">
        <f t="shared" si="132"/>
        <v>2.9043513295729251E-8</v>
      </c>
      <c r="BR246" s="158">
        <f t="shared" si="150"/>
        <v>9.6811710985764165E-4</v>
      </c>
      <c r="BS246" s="144">
        <f t="shared" si="133"/>
        <v>2.8078968573730864E-10</v>
      </c>
      <c r="BT246" s="158">
        <f t="shared" si="151"/>
        <v>4.9261348374966427E-6</v>
      </c>
      <c r="BU246" s="144">
        <f t="shared" si="134"/>
        <v>1.7826215417673914E-8</v>
      </c>
      <c r="BV246" s="158">
        <f t="shared" si="152"/>
        <v>8.6535026299387934E-7</v>
      </c>
    </row>
    <row r="247" spans="20:76">
      <c r="T247" s="53" t="s">
        <v>311</v>
      </c>
      <c r="U247" s="53" t="s">
        <v>312</v>
      </c>
      <c r="V247" s="165">
        <v>43891</v>
      </c>
      <c r="W247" s="166">
        <v>0.1033</v>
      </c>
      <c r="X247" s="166">
        <v>34.713630000000002</v>
      </c>
      <c r="Y247" s="166" t="s">
        <v>344</v>
      </c>
      <c r="Z247" s="166" t="s">
        <v>334</v>
      </c>
      <c r="AA247" s="116" t="s">
        <v>347</v>
      </c>
      <c r="AB247" s="154" t="s">
        <v>371</v>
      </c>
      <c r="AC247" s="116" t="s">
        <v>687</v>
      </c>
      <c r="AD247" s="165" t="s">
        <v>367</v>
      </c>
      <c r="AE247" s="53" t="s">
        <v>684</v>
      </c>
      <c r="AF247" s="53" t="s">
        <v>683</v>
      </c>
      <c r="AG247" s="156">
        <v>55.7</v>
      </c>
      <c r="AH247" s="157">
        <v>28.79</v>
      </c>
      <c r="AI247" s="75">
        <v>0.90408999999999995</v>
      </c>
      <c r="AJ247" s="157">
        <v>146.69999999999999</v>
      </c>
      <c r="AK247" s="156">
        <v>0.27200000000000002</v>
      </c>
      <c r="AL247" s="157">
        <v>71.900000000000006</v>
      </c>
      <c r="AM247" s="144">
        <f t="shared" si="117"/>
        <v>7.1214611872146114E-4</v>
      </c>
      <c r="AN247" s="158">
        <f t="shared" si="135"/>
        <v>2.3738203957382038</v>
      </c>
      <c r="AO247" s="144">
        <f t="shared" si="118"/>
        <v>3.6809132420091321E-4</v>
      </c>
      <c r="AP247" s="158">
        <f t="shared" si="136"/>
        <v>0.10224759005580923</v>
      </c>
      <c r="AQ247" s="144">
        <f t="shared" si="119"/>
        <v>1.1559141552511416E-5</v>
      </c>
      <c r="AR247" s="158">
        <f t="shared" si="137"/>
        <v>3.8530471841704723E-2</v>
      </c>
      <c r="AS247" s="144">
        <f t="shared" si="120"/>
        <v>1.875616438356164E-3</v>
      </c>
      <c r="AT247" s="158">
        <f t="shared" si="138"/>
        <v>0.62520547945205462</v>
      </c>
      <c r="AU247" s="144">
        <f t="shared" si="121"/>
        <v>3.4776255707762563E-6</v>
      </c>
      <c r="AV247" s="158">
        <f t="shared" si="139"/>
        <v>6.9552511415525127E-3</v>
      </c>
      <c r="AW247" s="144">
        <f t="shared" si="122"/>
        <v>9.1926940639269425E-4</v>
      </c>
      <c r="AX247" s="158">
        <f t="shared" si="140"/>
        <v>4.5963470319634714E-2</v>
      </c>
      <c r="AY247" s="144">
        <f t="shared" si="123"/>
        <v>1.2771628493150684E-5</v>
      </c>
      <c r="AZ247" s="144">
        <f t="shared" si="141"/>
        <v>4.2572094977168955E-2</v>
      </c>
      <c r="BA247" s="144">
        <f t="shared" si="124"/>
        <v>2.2004499360730596E-7</v>
      </c>
      <c r="BB247" s="158">
        <f t="shared" si="142"/>
        <v>6.2869998173515981E-5</v>
      </c>
      <c r="BC247" s="144">
        <f t="shared" si="125"/>
        <v>6.9100548200913242E-9</v>
      </c>
      <c r="BD247" s="158">
        <f t="shared" si="143"/>
        <v>2.3033516066971083E-5</v>
      </c>
      <c r="BE247" s="144">
        <f t="shared" si="126"/>
        <v>1.1212435068493147E-6</v>
      </c>
      <c r="BF247" s="158">
        <f t="shared" si="144"/>
        <v>2.2424870136986293E-4</v>
      </c>
      <c r="BG247" s="144">
        <f t="shared" si="127"/>
        <v>2.0789245662100458E-9</v>
      </c>
      <c r="BH247" s="158">
        <f t="shared" si="145"/>
        <v>4.1578491324200912E-6</v>
      </c>
      <c r="BI247" s="144">
        <f t="shared" si="128"/>
        <v>5.4953925114155251E-7</v>
      </c>
      <c r="BJ247" s="158">
        <f t="shared" si="146"/>
        <v>9.8132009132420096E-5</v>
      </c>
      <c r="BK247" s="144">
        <f t="shared" si="129"/>
        <v>1.9898200376040828E-8</v>
      </c>
      <c r="BL247" s="158">
        <f t="shared" si="147"/>
        <v>6.6327334586802766E-5</v>
      </c>
      <c r="BM247" s="144">
        <f t="shared" si="130"/>
        <v>1.0284904646790223E-8</v>
      </c>
      <c r="BN247" s="158">
        <f t="shared" si="148"/>
        <v>2.9218479110199493E-6</v>
      </c>
      <c r="BO247" s="144">
        <f t="shared" si="131"/>
        <v>3.2297601396723072E-10</v>
      </c>
      <c r="BP247" s="158">
        <f t="shared" si="149"/>
        <v>3.7555350461305898E-6</v>
      </c>
      <c r="BQ247" s="144">
        <f t="shared" si="132"/>
        <v>5.2406929895245759E-8</v>
      </c>
      <c r="BR247" s="158">
        <f t="shared" si="150"/>
        <v>1.7468976631748586E-3</v>
      </c>
      <c r="BS247" s="144">
        <f t="shared" si="133"/>
        <v>9.7168949771689518E-11</v>
      </c>
      <c r="BT247" s="158">
        <f t="shared" si="151"/>
        <v>1.7047184170471844E-6</v>
      </c>
      <c r="BU247" s="144">
        <f t="shared" si="134"/>
        <v>2.5685468708031163E-8</v>
      </c>
      <c r="BV247" s="158">
        <f t="shared" si="152"/>
        <v>1.2468674130112214E-6</v>
      </c>
    </row>
    <row r="248" spans="20:76">
      <c r="T248" s="168"/>
      <c r="U248" s="168"/>
      <c r="V248" s="168"/>
      <c r="W248" s="168"/>
      <c r="X248" s="168"/>
      <c r="Y248" s="168"/>
      <c r="Z248" s="168"/>
      <c r="AA248" s="168"/>
      <c r="AB248" s="168"/>
      <c r="AC248" s="168"/>
      <c r="AD248" s="168"/>
      <c r="AE248" s="168"/>
      <c r="AF248" s="168"/>
      <c r="AG248" s="168"/>
      <c r="AH248" s="208"/>
      <c r="AI248" s="209"/>
      <c r="AJ248" s="208"/>
      <c r="AK248" s="207"/>
      <c r="AL248" s="212" t="s">
        <v>961</v>
      </c>
      <c r="AM248" s="213">
        <f t="shared" ref="AM248:AW248" si="153">AVERAGE(AM136:AM247)</f>
        <v>2.2813949771689507E-2</v>
      </c>
      <c r="AN248" s="213">
        <f t="shared" si="135"/>
        <v>76.046499238965026</v>
      </c>
      <c r="AO248" s="213">
        <f t="shared" si="153"/>
        <v>1.5343527397260277E-3</v>
      </c>
      <c r="AP248" s="213">
        <f t="shared" si="136"/>
        <v>0.42620909436834103</v>
      </c>
      <c r="AQ248" s="213">
        <f t="shared" si="153"/>
        <v>6.8044411529680343E-5</v>
      </c>
      <c r="AR248" s="213">
        <f t="shared" si="137"/>
        <v>0.2268147050989345</v>
      </c>
      <c r="AS248" s="213">
        <f t="shared" si="153"/>
        <v>4.0299200913241984E-3</v>
      </c>
      <c r="AT248" s="213">
        <f t="shared" si="138"/>
        <v>1.3433066971080661</v>
      </c>
      <c r="AU248" s="213">
        <f t="shared" si="153"/>
        <v>6.7704337899543385E-6</v>
      </c>
      <c r="AV248" s="213">
        <f t="shared" si="139"/>
        <v>1.3540867579908676E-2</v>
      </c>
      <c r="AW248" s="213">
        <f t="shared" si="153"/>
        <v>1.254132420091324E-3</v>
      </c>
      <c r="AX248" s="213">
        <f t="shared" si="140"/>
        <v>6.2706621004566199E-2</v>
      </c>
      <c r="AY248" s="213">
        <f t="shared" ref="AY248:BI248" si="154">AVERAGE(AY136:AY247)</f>
        <v>4.0914537520547945E-4</v>
      </c>
      <c r="AZ248" s="213">
        <f t="shared" si="141"/>
        <v>1.3638179173515983</v>
      </c>
      <c r="BA248" s="213">
        <f t="shared" si="154"/>
        <v>9.172360678082192E-7</v>
      </c>
      <c r="BB248" s="213">
        <f t="shared" si="142"/>
        <v>2.620674479452055E-4</v>
      </c>
      <c r="BC248" s="213">
        <f t="shared" si="154"/>
        <v>4.0676949212442938E-8</v>
      </c>
      <c r="BD248" s="213">
        <f t="shared" si="143"/>
        <v>1.3558983070814315E-4</v>
      </c>
      <c r="BE248" s="213">
        <f t="shared" si="154"/>
        <v>2.4090862305936068E-6</v>
      </c>
      <c r="BF248" s="213">
        <f t="shared" si="144"/>
        <v>4.8181724611872138E-4</v>
      </c>
      <c r="BG248" s="213">
        <f t="shared" si="154"/>
        <v>4.0473653196347047E-9</v>
      </c>
      <c r="BH248" s="213">
        <f t="shared" si="145"/>
        <v>8.0947306392694086E-6</v>
      </c>
      <c r="BI248" s="213">
        <f t="shared" si="154"/>
        <v>7.4972036073059361E-7</v>
      </c>
      <c r="BJ248" s="213">
        <f t="shared" si="146"/>
        <v>1.3387863584474885E-4</v>
      </c>
      <c r="BK248" s="213">
        <f t="shared" ref="BK248:BU248" si="155">AVERAGE(BK136:BK247)</f>
        <v>6.3744859656191215E-7</v>
      </c>
      <c r="BL248" s="213">
        <f t="shared" si="147"/>
        <v>2.124828655206374E-3</v>
      </c>
      <c r="BM248" s="213">
        <f t="shared" si="155"/>
        <v>4.2871620668815481E-8</v>
      </c>
      <c r="BN248" s="213">
        <f t="shared" si="148"/>
        <v>1.2179437690004398E-5</v>
      </c>
      <c r="BO248" s="213">
        <f t="shared" si="155"/>
        <v>1.9012409103881281E-9</v>
      </c>
      <c r="BP248" s="213">
        <f t="shared" si="149"/>
        <v>2.2107452446373583E-5</v>
      </c>
      <c r="BQ248" s="213">
        <f t="shared" si="155"/>
        <v>1.1260070843405856E-7</v>
      </c>
      <c r="BR248" s="213">
        <f t="shared" si="150"/>
        <v>3.7533569478019517E-3</v>
      </c>
      <c r="BS248" s="213">
        <f t="shared" si="155"/>
        <v>1.8917388530754768E-10</v>
      </c>
      <c r="BT248" s="213">
        <f t="shared" si="151"/>
        <v>3.3188400931148716E-6</v>
      </c>
      <c r="BU248" s="213">
        <f t="shared" si="155"/>
        <v>3.5041935267257582E-8</v>
      </c>
      <c r="BV248" s="213">
        <f t="shared" si="152"/>
        <v>1.7010648187989117E-6</v>
      </c>
      <c r="BW248" s="168"/>
      <c r="BX248" s="168"/>
    </row>
    <row r="249" spans="20:76">
      <c r="T249" s="53" t="s">
        <v>313</v>
      </c>
      <c r="U249" s="53" t="s">
        <v>314</v>
      </c>
      <c r="V249" s="165">
        <v>44065</v>
      </c>
      <c r="W249" s="166">
        <v>0.46544799999999997</v>
      </c>
      <c r="X249" s="166">
        <v>34.870607999999997</v>
      </c>
      <c r="Y249" s="166" t="s">
        <v>331</v>
      </c>
      <c r="Z249" s="165" t="s">
        <v>330</v>
      </c>
      <c r="AA249" s="116" t="s">
        <v>347</v>
      </c>
      <c r="AB249" s="154" t="s">
        <v>362</v>
      </c>
      <c r="AC249" s="154" t="s">
        <v>362</v>
      </c>
      <c r="AD249" s="165" t="s">
        <v>366</v>
      </c>
      <c r="AE249" s="53" t="s">
        <v>684</v>
      </c>
      <c r="AF249" s="53" t="s">
        <v>683</v>
      </c>
      <c r="AG249" s="53">
        <v>3.6</v>
      </c>
      <c r="AH249" s="78">
        <v>11.14</v>
      </c>
      <c r="AI249" s="78">
        <v>4.7700000000000006E-2</v>
      </c>
      <c r="AJ249" s="78">
        <v>221</v>
      </c>
      <c r="AK249" s="78">
        <v>0.152</v>
      </c>
      <c r="AL249" s="78">
        <v>91.2</v>
      </c>
      <c r="AM249" s="144">
        <f t="shared" ref="AM249:AM257" si="156">(AG249*200*350*6*0.000001)/(15*6*365)</f>
        <v>4.6027397260273971E-5</v>
      </c>
      <c r="AN249" s="158">
        <f t="shared" si="135"/>
        <v>0.15342465753424658</v>
      </c>
      <c r="AO249" s="144">
        <f t="shared" ref="AO249:AO257" si="157">(AH249*200*350*6*0.000001)/(15*6*365)</f>
        <v>1.4242922374429223E-4</v>
      </c>
      <c r="AP249" s="158">
        <f t="shared" si="136"/>
        <v>3.9563673262303402E-2</v>
      </c>
      <c r="AQ249" s="144">
        <f t="shared" ref="AQ249:AQ257" si="158">(AI249*200*350*6*0.000001)/(15*6*365)</f>
        <v>6.0986301369863019E-7</v>
      </c>
      <c r="AR249" s="158">
        <f t="shared" si="137"/>
        <v>2.0328767123287675E-3</v>
      </c>
      <c r="AS249" s="144">
        <f t="shared" ref="AS249:AS257" si="159">(AJ249*200*350*6*0.000001)/(15*6*365)</f>
        <v>2.8255707762557076E-3</v>
      </c>
      <c r="AT249" s="158">
        <f t="shared" si="138"/>
        <v>0.94185692541856914</v>
      </c>
      <c r="AU249" s="144">
        <f t="shared" ref="AU249:AU257" si="160">(AK249*200*350*6*0.000001)/(15*6*365)</f>
        <v>1.9433789954337897E-6</v>
      </c>
      <c r="AV249" s="158">
        <f t="shared" si="139"/>
        <v>3.8867579908675796E-3</v>
      </c>
      <c r="AW249" s="144">
        <f t="shared" ref="AW249:AW257" si="161">(AL249*200*350*6*0.000001)/(15*6*365)</f>
        <v>1.1660273972602738E-3</v>
      </c>
      <c r="AX249" s="158">
        <f t="shared" si="140"/>
        <v>5.8301369863013687E-2</v>
      </c>
      <c r="AY249" s="144">
        <f t="shared" ref="AY249:AY257" si="162">(AG249*2800*0.61*0.07*0.03*350*6*0.000001)/(15*6*365)</f>
        <v>8.2545534246575353E-7</v>
      </c>
      <c r="AZ249" s="144">
        <f t="shared" si="141"/>
        <v>2.7515178082191788E-3</v>
      </c>
      <c r="BA249" s="144">
        <f t="shared" ref="BA249:BA257" si="163">(AH249*2800*0.61*0.07*0.001*350*6*0.000001)/(15*6*365)</f>
        <v>8.5144189954337895E-8</v>
      </c>
      <c r="BB249" s="158">
        <f t="shared" si="142"/>
        <v>2.4326911415525113E-5</v>
      </c>
      <c r="BC249" s="144">
        <f t="shared" ref="BC249:BC257" si="164">(AI249*2800*0.61*0.07*0.001*350*6*0.000001)/(15*6*365)</f>
        <v>3.645761095890412E-10</v>
      </c>
      <c r="BD249" s="158">
        <f t="shared" si="143"/>
        <v>1.2152536986301375E-6</v>
      </c>
      <c r="BE249" s="144">
        <f t="shared" ref="BE249:BE257" si="165">(AJ249*2800*0.61*0.07*0.001*350*6*0.000001)/(15*6*365)</f>
        <v>1.6891262100456625E-6</v>
      </c>
      <c r="BF249" s="158">
        <f t="shared" si="144"/>
        <v>3.378252420091325E-4</v>
      </c>
      <c r="BG249" s="144">
        <f t="shared" ref="BG249:BG257" si="166">(AK249*2800*0.61*0.07*0.001*350*6*0.000001)/(15*6*365)</f>
        <v>1.1617519634703197E-9</v>
      </c>
      <c r="BH249" s="158">
        <f t="shared" si="145"/>
        <v>2.3235039269406393E-6</v>
      </c>
      <c r="BI249" s="144">
        <f t="shared" ref="BI249:BI257" si="167">(AL249*2800*0.61*0.07*0.001*350*6*0.000001)/(15*6*365)</f>
        <v>6.9705117808219184E-7</v>
      </c>
      <c r="BJ249" s="158">
        <f t="shared" si="146"/>
        <v>1.2447342465753426E-4</v>
      </c>
      <c r="BK249" s="144">
        <f t="shared" ref="BK249:BK257" si="168">(AG249*7.6*350*6)/(15*6*365*1360000000)</f>
        <v>1.2860596293311846E-9</v>
      </c>
      <c r="BL249" s="158">
        <f t="shared" si="147"/>
        <v>4.2868654311039488E-6</v>
      </c>
      <c r="BM249" s="144">
        <f t="shared" ref="BM249:BM257" si="169">(AH249*7.6*350*6)/(15*6*365*1360000000)</f>
        <v>3.9796400752081664E-9</v>
      </c>
      <c r="BN249" s="158">
        <f t="shared" si="148"/>
        <v>1.1305795668205018E-6</v>
      </c>
      <c r="BO249" s="144">
        <f t="shared" ref="BO249:BO257" si="170">(AI249*7.6*350*6)/(15*6*365*1360000000)</f>
        <v>1.7040290088638196E-11</v>
      </c>
      <c r="BP249" s="158">
        <f t="shared" si="149"/>
        <v>1.9814290800742087E-7</v>
      </c>
      <c r="BQ249" s="144">
        <f t="shared" ref="BQ249:BQ257" si="171">(AJ249*7.6*350*6)/(15*6*365*1360000000)</f>
        <v>7.8949771689497715E-8</v>
      </c>
      <c r="BR249" s="158">
        <f t="shared" si="150"/>
        <v>2.6316590563165904E-3</v>
      </c>
      <c r="BS249" s="144">
        <f t="shared" ref="BS249:BS257" si="172">(AK249*7.6*350*6)/(15*6*365*1360000000)</f>
        <v>5.4300295460650012E-11</v>
      </c>
      <c r="BT249" s="158">
        <f t="shared" si="151"/>
        <v>9.5263676246754402E-7</v>
      </c>
      <c r="BU249" s="144">
        <f t="shared" ref="BU249:BU257" si="173">(AL249*7.6*350*6)/(15*6*365*1360000000)</f>
        <v>3.2580177276390005E-8</v>
      </c>
      <c r="BV249" s="158">
        <f t="shared" si="152"/>
        <v>1.5815620037082527E-6</v>
      </c>
    </row>
    <row r="250" spans="20:76">
      <c r="T250" s="53" t="s">
        <v>315</v>
      </c>
      <c r="U250" s="53" t="s">
        <v>316</v>
      </c>
      <c r="V250" s="165">
        <v>44065</v>
      </c>
      <c r="W250" s="166">
        <v>0.46544799999999997</v>
      </c>
      <c r="X250" s="166">
        <v>34.870607999999997</v>
      </c>
      <c r="Y250" s="166" t="s">
        <v>331</v>
      </c>
      <c r="Z250" s="165" t="s">
        <v>330</v>
      </c>
      <c r="AA250" s="116" t="s">
        <v>347</v>
      </c>
      <c r="AB250" s="154" t="s">
        <v>362</v>
      </c>
      <c r="AC250" s="154" t="s">
        <v>362</v>
      </c>
      <c r="AD250" s="165" t="s">
        <v>367</v>
      </c>
      <c r="AE250" s="53" t="s">
        <v>684</v>
      </c>
      <c r="AF250" s="53" t="s">
        <v>683</v>
      </c>
      <c r="AG250" s="53">
        <v>3.3</v>
      </c>
      <c r="AH250" s="78">
        <v>11.27</v>
      </c>
      <c r="AI250" s="78">
        <v>3.8360000000000005E-2</v>
      </c>
      <c r="AJ250" s="78">
        <v>214.7</v>
      </c>
      <c r="AK250" s="78">
        <v>0.18</v>
      </c>
      <c r="AL250" s="78">
        <v>91.1</v>
      </c>
      <c r="AM250" s="144">
        <f t="shared" si="156"/>
        <v>4.2191780821917807E-5</v>
      </c>
      <c r="AN250" s="158">
        <f t="shared" si="135"/>
        <v>0.14063926940639271</v>
      </c>
      <c r="AO250" s="144">
        <f t="shared" si="157"/>
        <v>1.4409132420091324E-4</v>
      </c>
      <c r="AP250" s="158">
        <f t="shared" si="136"/>
        <v>4.0025367833587011E-2</v>
      </c>
      <c r="AQ250" s="144">
        <f t="shared" si="158"/>
        <v>4.9044748858447486E-7</v>
      </c>
      <c r="AR250" s="158">
        <f t="shared" si="137"/>
        <v>1.6348249619482496E-3</v>
      </c>
      <c r="AS250" s="144">
        <f t="shared" si="159"/>
        <v>2.7450228310502279E-3</v>
      </c>
      <c r="AT250" s="158">
        <f t="shared" si="138"/>
        <v>0.91500761035007594</v>
      </c>
      <c r="AU250" s="144">
        <f t="shared" si="160"/>
        <v>2.3013698630136988E-6</v>
      </c>
      <c r="AV250" s="158">
        <f t="shared" si="139"/>
        <v>4.6027397260273977E-3</v>
      </c>
      <c r="AW250" s="144">
        <f t="shared" si="161"/>
        <v>1.1647488584474886E-3</v>
      </c>
      <c r="AX250" s="158">
        <f t="shared" si="140"/>
        <v>5.8237442922374427E-2</v>
      </c>
      <c r="AY250" s="144">
        <f t="shared" si="162"/>
        <v>7.5666739726027395E-7</v>
      </c>
      <c r="AZ250" s="144">
        <f t="shared" si="141"/>
        <v>2.5222246575342467E-3</v>
      </c>
      <c r="BA250" s="144">
        <f t="shared" si="163"/>
        <v>8.6137793607305938E-8</v>
      </c>
      <c r="BB250" s="158">
        <f t="shared" si="142"/>
        <v>2.4610798173515983E-5</v>
      </c>
      <c r="BC250" s="144">
        <f t="shared" si="164"/>
        <v>2.9318950867579917E-10</v>
      </c>
      <c r="BD250" s="158">
        <f t="shared" si="143"/>
        <v>9.7729836225266393E-7</v>
      </c>
      <c r="BE250" s="144">
        <f t="shared" si="165"/>
        <v>1.6409746484018263E-6</v>
      </c>
      <c r="BF250" s="158">
        <f t="shared" si="144"/>
        <v>3.2819492968036527E-4</v>
      </c>
      <c r="BG250" s="144">
        <f t="shared" si="166"/>
        <v>1.3757589041095893E-9</v>
      </c>
      <c r="BH250" s="158">
        <f t="shared" si="145"/>
        <v>2.7515178082191783E-6</v>
      </c>
      <c r="BI250" s="144">
        <f t="shared" si="167"/>
        <v>6.9628686757990884E-7</v>
      </c>
      <c r="BJ250" s="158">
        <f t="shared" si="146"/>
        <v>1.2433694063926945E-4</v>
      </c>
      <c r="BK250" s="144">
        <f t="shared" si="168"/>
        <v>1.1788879935535859E-9</v>
      </c>
      <c r="BL250" s="158">
        <f t="shared" si="147"/>
        <v>3.9296266451786202E-6</v>
      </c>
      <c r="BM250" s="144">
        <f t="shared" si="169"/>
        <v>4.0260811173784577E-9</v>
      </c>
      <c r="BN250" s="158">
        <f t="shared" si="148"/>
        <v>1.1437730447097891E-6</v>
      </c>
      <c r="BO250" s="144">
        <f t="shared" si="170"/>
        <v>1.3703679828095624E-11</v>
      </c>
      <c r="BP250" s="158">
        <f t="shared" si="149"/>
        <v>1.5934511428018166E-7</v>
      </c>
      <c r="BQ250" s="144">
        <f t="shared" si="171"/>
        <v>7.6699167338168125E-8</v>
      </c>
      <c r="BR250" s="158">
        <f t="shared" si="150"/>
        <v>2.5566389112722707E-3</v>
      </c>
      <c r="BS250" s="144">
        <f t="shared" si="172"/>
        <v>6.4302981466559226E-11</v>
      </c>
      <c r="BT250" s="158">
        <f t="shared" si="151"/>
        <v>1.12812248186946E-6</v>
      </c>
      <c r="BU250" s="144">
        <f t="shared" si="173"/>
        <v>3.2544453397797469E-8</v>
      </c>
      <c r="BV250" s="158">
        <f t="shared" si="152"/>
        <v>1.5798278348445372E-6</v>
      </c>
    </row>
    <row r="251" spans="20:76">
      <c r="T251" s="53" t="s">
        <v>317</v>
      </c>
      <c r="U251" s="53" t="s">
        <v>318</v>
      </c>
      <c r="V251" s="165">
        <v>44065</v>
      </c>
      <c r="W251" s="166">
        <v>0.46636899999999998</v>
      </c>
      <c r="X251" s="166">
        <v>34.869613000000001</v>
      </c>
      <c r="Y251" s="166" t="s">
        <v>331</v>
      </c>
      <c r="Z251" s="165" t="s">
        <v>330</v>
      </c>
      <c r="AA251" s="116" t="s">
        <v>347</v>
      </c>
      <c r="AB251" s="154" t="s">
        <v>362</v>
      </c>
      <c r="AC251" s="154" t="s">
        <v>362</v>
      </c>
      <c r="AD251" s="165" t="s">
        <v>708</v>
      </c>
      <c r="AE251" s="53" t="s">
        <v>684</v>
      </c>
      <c r="AF251" s="53" t="s">
        <v>683</v>
      </c>
      <c r="AG251" s="53">
        <v>2</v>
      </c>
      <c r="AH251" s="78">
        <v>8.51</v>
      </c>
      <c r="AI251" s="78">
        <v>7.8829999999999997E-2</v>
      </c>
      <c r="AJ251" s="78">
        <v>175</v>
      </c>
      <c r="AK251" s="78">
        <v>0.33400000000000002</v>
      </c>
      <c r="AL251" s="78">
        <v>91.4</v>
      </c>
      <c r="AM251" s="144">
        <f t="shared" si="156"/>
        <v>2.5570776255707761E-5</v>
      </c>
      <c r="AN251" s="158">
        <f t="shared" si="135"/>
        <v>8.5235920852359218E-2</v>
      </c>
      <c r="AO251" s="144">
        <f t="shared" si="157"/>
        <v>1.0880365296803653E-4</v>
      </c>
      <c r="AP251" s="158">
        <f t="shared" si="136"/>
        <v>3.0223236935565702E-2</v>
      </c>
      <c r="AQ251" s="144">
        <f t="shared" si="158"/>
        <v>1.0078721461187215E-6</v>
      </c>
      <c r="AR251" s="158">
        <f t="shared" si="137"/>
        <v>3.3595738203957386E-3</v>
      </c>
      <c r="AS251" s="144">
        <f t="shared" si="159"/>
        <v>2.2374429223744291E-3</v>
      </c>
      <c r="AT251" s="158">
        <f t="shared" si="138"/>
        <v>0.74581430745814303</v>
      </c>
      <c r="AU251" s="144">
        <f t="shared" si="160"/>
        <v>4.270319634703196E-6</v>
      </c>
      <c r="AV251" s="158">
        <f t="shared" si="139"/>
        <v>8.5406392694063922E-3</v>
      </c>
      <c r="AW251" s="144">
        <f t="shared" si="161"/>
        <v>1.1685844748858447E-3</v>
      </c>
      <c r="AX251" s="158">
        <f t="shared" si="140"/>
        <v>5.8429223744292234E-2</v>
      </c>
      <c r="AY251" s="144">
        <f t="shared" si="162"/>
        <v>4.5858630136986303E-7</v>
      </c>
      <c r="AZ251" s="144">
        <f t="shared" si="141"/>
        <v>1.5286210045662102E-3</v>
      </c>
      <c r="BA251" s="144">
        <f t="shared" si="163"/>
        <v>6.5042823744292247E-8</v>
      </c>
      <c r="BB251" s="158">
        <f t="shared" si="142"/>
        <v>1.8583663926940641E-5</v>
      </c>
      <c r="BC251" s="144">
        <f t="shared" si="164"/>
        <v>6.0250596894977164E-10</v>
      </c>
      <c r="BD251" s="158">
        <f t="shared" si="143"/>
        <v>2.0083532298325722E-6</v>
      </c>
      <c r="BE251" s="144">
        <f t="shared" si="165"/>
        <v>1.3375433789954339E-6</v>
      </c>
      <c r="BF251" s="158">
        <f t="shared" si="144"/>
        <v>2.6750867579908679E-4</v>
      </c>
      <c r="BG251" s="144">
        <f t="shared" si="166"/>
        <v>2.552797077625571E-9</v>
      </c>
      <c r="BH251" s="158">
        <f t="shared" si="145"/>
        <v>5.1055941552511418E-6</v>
      </c>
      <c r="BI251" s="144">
        <f t="shared" si="167"/>
        <v>6.9857979908675794E-7</v>
      </c>
      <c r="BJ251" s="158">
        <f t="shared" si="146"/>
        <v>1.2474639269406391E-4</v>
      </c>
      <c r="BK251" s="144">
        <f t="shared" si="168"/>
        <v>7.1447757185065804E-10</v>
      </c>
      <c r="BL251" s="158">
        <f t="shared" si="147"/>
        <v>2.3815919061688605E-6</v>
      </c>
      <c r="BM251" s="144">
        <f t="shared" si="169"/>
        <v>3.0401020682245501E-9</v>
      </c>
      <c r="BN251" s="158">
        <f t="shared" si="148"/>
        <v>8.636653602910653E-7</v>
      </c>
      <c r="BO251" s="144">
        <f t="shared" si="170"/>
        <v>2.8161133494493689E-11</v>
      </c>
      <c r="BP251" s="158">
        <f t="shared" si="149"/>
        <v>3.2745504063364756E-7</v>
      </c>
      <c r="BQ251" s="144">
        <f t="shared" si="171"/>
        <v>6.2516787536932582E-8</v>
      </c>
      <c r="BR251" s="158">
        <f t="shared" si="150"/>
        <v>2.0838929178977525E-3</v>
      </c>
      <c r="BS251" s="144">
        <f t="shared" si="172"/>
        <v>1.193177544990599E-10</v>
      </c>
      <c r="BT251" s="158">
        <f t="shared" si="151"/>
        <v>2.0932939385799979E-6</v>
      </c>
      <c r="BU251" s="144">
        <f t="shared" si="173"/>
        <v>3.2651625033575072E-8</v>
      </c>
      <c r="BV251" s="158">
        <f t="shared" si="152"/>
        <v>1.5850303414356832E-6</v>
      </c>
    </row>
    <row r="252" spans="20:76">
      <c r="T252" s="53" t="s">
        <v>319</v>
      </c>
      <c r="U252" s="53" t="s">
        <v>320</v>
      </c>
      <c r="V252" s="165">
        <v>44065</v>
      </c>
      <c r="W252" s="166">
        <v>0.46534199999999998</v>
      </c>
      <c r="X252" s="166">
        <v>34.885432999999999</v>
      </c>
      <c r="Y252" s="166" t="s">
        <v>336</v>
      </c>
      <c r="Z252" s="165" t="s">
        <v>330</v>
      </c>
      <c r="AA252" s="116" t="s">
        <v>347</v>
      </c>
      <c r="AB252" s="154" t="s">
        <v>362</v>
      </c>
      <c r="AC252" s="154" t="s">
        <v>362</v>
      </c>
      <c r="AD252" s="165" t="s">
        <v>370</v>
      </c>
      <c r="AE252" s="53" t="s">
        <v>684</v>
      </c>
      <c r="AF252" s="53" t="s">
        <v>683</v>
      </c>
      <c r="AG252" s="53">
        <v>2.9</v>
      </c>
      <c r="AH252" s="78">
        <v>16.62</v>
      </c>
      <c r="AI252" s="78">
        <v>0.02</v>
      </c>
      <c r="AJ252" s="78">
        <v>101.8</v>
      </c>
      <c r="AK252" s="78">
        <v>4.9000000000000002E-2</v>
      </c>
      <c r="AL252" s="78">
        <v>35</v>
      </c>
      <c r="AM252" s="144">
        <f t="shared" si="156"/>
        <v>3.7077625570776256E-5</v>
      </c>
      <c r="AN252" s="158">
        <f t="shared" si="135"/>
        <v>0.12359208523592086</v>
      </c>
      <c r="AO252" s="144">
        <f t="shared" si="157"/>
        <v>2.1249315068493148E-4</v>
      </c>
      <c r="AP252" s="158">
        <f t="shared" si="136"/>
        <v>5.9025875190258745E-2</v>
      </c>
      <c r="AQ252" s="144">
        <f t="shared" si="158"/>
        <v>2.5570776255707762E-7</v>
      </c>
      <c r="AR252" s="158">
        <f t="shared" si="137"/>
        <v>8.5235920852359218E-4</v>
      </c>
      <c r="AS252" s="144">
        <f t="shared" si="159"/>
        <v>1.301552511415525E-3</v>
      </c>
      <c r="AT252" s="158">
        <f t="shared" si="138"/>
        <v>0.43385083713850836</v>
      </c>
      <c r="AU252" s="144">
        <f t="shared" si="160"/>
        <v>6.264840182648402E-7</v>
      </c>
      <c r="AV252" s="158">
        <f t="shared" si="139"/>
        <v>1.2529680365296805E-3</v>
      </c>
      <c r="AW252" s="144">
        <f t="shared" si="161"/>
        <v>4.4748858447488582E-4</v>
      </c>
      <c r="AX252" s="158">
        <f t="shared" si="140"/>
        <v>2.2374429223744292E-2</v>
      </c>
      <c r="AY252" s="144">
        <f t="shared" si="162"/>
        <v>6.6495013698630131E-7</v>
      </c>
      <c r="AZ252" s="144">
        <f t="shared" si="141"/>
        <v>2.2165004566210046E-3</v>
      </c>
      <c r="BA252" s="144">
        <f t="shared" si="163"/>
        <v>1.2702840547945205E-7</v>
      </c>
      <c r="BB252" s="158">
        <f t="shared" si="142"/>
        <v>3.6293830136986298E-5</v>
      </c>
      <c r="BC252" s="144">
        <f t="shared" si="164"/>
        <v>1.5286210045662099E-10</v>
      </c>
      <c r="BD252" s="158">
        <f t="shared" si="143"/>
        <v>5.0954033485540337E-7</v>
      </c>
      <c r="BE252" s="144">
        <f t="shared" si="165"/>
        <v>7.780680913242009E-7</v>
      </c>
      <c r="BF252" s="158">
        <f t="shared" si="144"/>
        <v>1.5561361826484018E-4</v>
      </c>
      <c r="BG252" s="144">
        <f t="shared" si="166"/>
        <v>3.7451214611872148E-10</v>
      </c>
      <c r="BH252" s="158">
        <f t="shared" si="145"/>
        <v>7.4902429223744289E-7</v>
      </c>
      <c r="BI252" s="144">
        <f t="shared" si="167"/>
        <v>2.6750867579908676E-7</v>
      </c>
      <c r="BJ252" s="158">
        <f t="shared" si="146"/>
        <v>4.7769406392694063E-5</v>
      </c>
      <c r="BK252" s="144">
        <f t="shared" si="168"/>
        <v>1.0359924791834542E-9</v>
      </c>
      <c r="BL252" s="158">
        <f t="shared" si="147"/>
        <v>3.4533082639448475E-6</v>
      </c>
      <c r="BM252" s="144">
        <f t="shared" si="169"/>
        <v>5.9373086220789672E-9</v>
      </c>
      <c r="BN252" s="158">
        <f t="shared" si="148"/>
        <v>1.6867354039997065E-6</v>
      </c>
      <c r="BO252" s="144">
        <f t="shared" si="170"/>
        <v>7.1447757185065802E-12</v>
      </c>
      <c r="BP252" s="158">
        <f t="shared" si="149"/>
        <v>8.3078787424495122E-8</v>
      </c>
      <c r="BQ252" s="144">
        <f t="shared" si="171"/>
        <v>3.6366908407198498E-8</v>
      </c>
      <c r="BR252" s="158">
        <f t="shared" si="150"/>
        <v>1.2122302802399499E-3</v>
      </c>
      <c r="BS252" s="144">
        <f t="shared" si="172"/>
        <v>1.7504700510341121E-11</v>
      </c>
      <c r="BT252" s="158">
        <f t="shared" si="151"/>
        <v>3.0710000895335297E-7</v>
      </c>
      <c r="BU252" s="144">
        <f t="shared" si="173"/>
        <v>1.2503357507386517E-8</v>
      </c>
      <c r="BV252" s="158">
        <f t="shared" si="152"/>
        <v>6.0695910230031633E-7</v>
      </c>
    </row>
    <row r="253" spans="20:76">
      <c r="T253" s="53" t="s">
        <v>321</v>
      </c>
      <c r="U253" s="53" t="s">
        <v>322</v>
      </c>
      <c r="V253" s="165">
        <v>44065</v>
      </c>
      <c r="W253" s="166">
        <v>0.195803</v>
      </c>
      <c r="X253" s="166">
        <v>34.487564999999996</v>
      </c>
      <c r="Y253" s="166" t="s">
        <v>337</v>
      </c>
      <c r="Z253" s="165" t="s">
        <v>330</v>
      </c>
      <c r="AA253" s="116" t="s">
        <v>347</v>
      </c>
      <c r="AB253" s="154" t="s">
        <v>362</v>
      </c>
      <c r="AC253" s="154" t="s">
        <v>362</v>
      </c>
      <c r="AD253" s="165" t="s">
        <v>366</v>
      </c>
      <c r="AE253" s="53" t="s">
        <v>684</v>
      </c>
      <c r="AF253" s="53" t="s">
        <v>683</v>
      </c>
      <c r="AG253" s="53">
        <v>13.8</v>
      </c>
      <c r="AH253" s="78">
        <v>15.35</v>
      </c>
      <c r="AI253" s="78">
        <v>4.9710000000000004E-2</v>
      </c>
      <c r="AJ253" s="78">
        <v>108.1</v>
      </c>
      <c r="AK253" s="78">
        <v>8.2000000000000003E-2</v>
      </c>
      <c r="AL253" s="78">
        <v>37.700000000000003</v>
      </c>
      <c r="AM253" s="144">
        <f t="shared" si="156"/>
        <v>1.7643835616438353E-4</v>
      </c>
      <c r="AN253" s="158">
        <f t="shared" si="135"/>
        <v>0.58812785388127853</v>
      </c>
      <c r="AO253" s="144">
        <f t="shared" si="157"/>
        <v>1.9625570776255708E-4</v>
      </c>
      <c r="AP253" s="158">
        <f t="shared" si="136"/>
        <v>5.4515474378488082E-2</v>
      </c>
      <c r="AQ253" s="144">
        <f t="shared" si="158"/>
        <v>6.3556164383561641E-7</v>
      </c>
      <c r="AR253" s="158">
        <f t="shared" si="137"/>
        <v>2.1185388127853881E-3</v>
      </c>
      <c r="AS253" s="144">
        <f t="shared" si="159"/>
        <v>1.3821004566210045E-3</v>
      </c>
      <c r="AT253" s="158">
        <f t="shared" si="138"/>
        <v>0.4607001522070015</v>
      </c>
      <c r="AU253" s="144">
        <f t="shared" si="160"/>
        <v>1.0484018264840184E-6</v>
      </c>
      <c r="AV253" s="158">
        <f t="shared" si="139"/>
        <v>2.0968036529680368E-3</v>
      </c>
      <c r="AW253" s="144">
        <f t="shared" si="161"/>
        <v>4.8200913242009143E-4</v>
      </c>
      <c r="AX253" s="158">
        <f t="shared" si="140"/>
        <v>2.410045662100457E-2</v>
      </c>
      <c r="AY253" s="144">
        <f t="shared" si="162"/>
        <v>3.1642454794520547E-6</v>
      </c>
      <c r="AZ253" s="144">
        <f t="shared" si="141"/>
        <v>1.054748493150685E-2</v>
      </c>
      <c r="BA253" s="144">
        <f t="shared" si="163"/>
        <v>1.1732166210045664E-7</v>
      </c>
      <c r="BB253" s="158">
        <f t="shared" si="142"/>
        <v>3.3520474885844757E-5</v>
      </c>
      <c r="BC253" s="144">
        <f t="shared" si="164"/>
        <v>3.799387506849316E-10</v>
      </c>
      <c r="BD253" s="158">
        <f t="shared" si="143"/>
        <v>1.2664625022831055E-6</v>
      </c>
      <c r="BE253" s="144">
        <f t="shared" si="165"/>
        <v>8.2621965296803653E-7</v>
      </c>
      <c r="BF253" s="158">
        <f t="shared" si="144"/>
        <v>1.652439305936073E-4</v>
      </c>
      <c r="BG253" s="144">
        <f t="shared" si="166"/>
        <v>6.2673461187214622E-10</v>
      </c>
      <c r="BH253" s="158">
        <f t="shared" si="145"/>
        <v>1.2534692237442925E-6</v>
      </c>
      <c r="BI253" s="144">
        <f t="shared" si="167"/>
        <v>2.881450593607307E-7</v>
      </c>
      <c r="BJ253" s="158">
        <f t="shared" si="146"/>
        <v>5.1454474885844772E-5</v>
      </c>
      <c r="BK253" s="144">
        <f t="shared" si="168"/>
        <v>4.9298952457695409E-9</v>
      </c>
      <c r="BL253" s="158">
        <f t="shared" si="147"/>
        <v>1.6432984152565138E-5</v>
      </c>
      <c r="BM253" s="144">
        <f t="shared" si="169"/>
        <v>5.4836153639538011E-9</v>
      </c>
      <c r="BN253" s="158">
        <f t="shared" si="148"/>
        <v>1.5578452738505117E-6</v>
      </c>
      <c r="BO253" s="144">
        <f t="shared" si="170"/>
        <v>1.7758340048348106E-11</v>
      </c>
      <c r="BP253" s="158">
        <f t="shared" si="149"/>
        <v>2.0649232614358263E-7</v>
      </c>
      <c r="BQ253" s="144">
        <f t="shared" si="171"/>
        <v>3.8617512758528068E-8</v>
      </c>
      <c r="BR253" s="158">
        <f t="shared" si="150"/>
        <v>1.2872504252842689E-3</v>
      </c>
      <c r="BS253" s="144">
        <f t="shared" si="172"/>
        <v>2.9293580445876983E-11</v>
      </c>
      <c r="BT253" s="158">
        <f t="shared" si="151"/>
        <v>5.1392246396275409E-7</v>
      </c>
      <c r="BU253" s="144">
        <f t="shared" si="173"/>
        <v>1.3467902229384905E-8</v>
      </c>
      <c r="BV253" s="158">
        <f t="shared" si="152"/>
        <v>6.5378166162062651E-7</v>
      </c>
    </row>
    <row r="254" spans="20:76">
      <c r="T254" s="53" t="s">
        <v>323</v>
      </c>
      <c r="U254" s="53" t="s">
        <v>322</v>
      </c>
      <c r="V254" s="165">
        <v>44065</v>
      </c>
      <c r="W254" s="166">
        <v>0.195803</v>
      </c>
      <c r="X254" s="166">
        <v>34.487564999999996</v>
      </c>
      <c r="Y254" s="166" t="s">
        <v>337</v>
      </c>
      <c r="Z254" s="165" t="s">
        <v>330</v>
      </c>
      <c r="AA254" s="116" t="s">
        <v>347</v>
      </c>
      <c r="AB254" s="154" t="s">
        <v>362</v>
      </c>
      <c r="AC254" s="154" t="s">
        <v>362</v>
      </c>
      <c r="AD254" s="165" t="s">
        <v>366</v>
      </c>
      <c r="AE254" s="53" t="s">
        <v>684</v>
      </c>
      <c r="AF254" s="53" t="s">
        <v>683</v>
      </c>
      <c r="AG254" s="53">
        <v>14.2</v>
      </c>
      <c r="AH254" s="78">
        <v>15.75</v>
      </c>
      <c r="AI254" s="78">
        <v>0.05</v>
      </c>
      <c r="AJ254" s="78">
        <v>113.2</v>
      </c>
      <c r="AK254" s="78">
        <v>0.111</v>
      </c>
      <c r="AL254" s="78">
        <v>38.6</v>
      </c>
      <c r="AM254" s="144">
        <f t="shared" si="156"/>
        <v>1.8155251141552511E-4</v>
      </c>
      <c r="AN254" s="158">
        <f t="shared" si="135"/>
        <v>0.60517503805175044</v>
      </c>
      <c r="AO254" s="144">
        <f t="shared" si="157"/>
        <v>2.0136986301369861E-4</v>
      </c>
      <c r="AP254" s="158">
        <f t="shared" si="136"/>
        <v>5.5936073059360727E-2</v>
      </c>
      <c r="AQ254" s="144">
        <f t="shared" si="158"/>
        <v>6.3926940639269395E-7</v>
      </c>
      <c r="AR254" s="158">
        <f t="shared" si="137"/>
        <v>2.1308980213089802E-3</v>
      </c>
      <c r="AS254" s="144">
        <f t="shared" si="159"/>
        <v>1.4473059360730592E-3</v>
      </c>
      <c r="AT254" s="158">
        <f t="shared" si="138"/>
        <v>0.48243531202435308</v>
      </c>
      <c r="AU254" s="144">
        <f t="shared" si="160"/>
        <v>1.4191780821917808E-6</v>
      </c>
      <c r="AV254" s="158">
        <f t="shared" si="139"/>
        <v>2.8383561643835617E-3</v>
      </c>
      <c r="AW254" s="144">
        <f t="shared" si="161"/>
        <v>4.9351598173515978E-4</v>
      </c>
      <c r="AX254" s="158">
        <f t="shared" si="140"/>
        <v>2.4675799086757988E-2</v>
      </c>
      <c r="AY254" s="144">
        <f t="shared" si="162"/>
        <v>3.255962739726027E-6</v>
      </c>
      <c r="AZ254" s="144">
        <f t="shared" si="141"/>
        <v>1.0853209132420091E-2</v>
      </c>
      <c r="BA254" s="144">
        <f t="shared" si="163"/>
        <v>1.2037890410958903E-7</v>
      </c>
      <c r="BB254" s="158">
        <f t="shared" si="142"/>
        <v>3.4393972602739721E-5</v>
      </c>
      <c r="BC254" s="144">
        <f t="shared" si="164"/>
        <v>3.8215525114155245E-10</v>
      </c>
      <c r="BD254" s="158">
        <f t="shared" si="143"/>
        <v>1.2738508371385084E-6</v>
      </c>
      <c r="BE254" s="144">
        <f t="shared" si="165"/>
        <v>8.651994885844749E-7</v>
      </c>
      <c r="BF254" s="158">
        <f t="shared" si="144"/>
        <v>1.7303989771689498E-4</v>
      </c>
      <c r="BG254" s="144">
        <f t="shared" si="166"/>
        <v>8.4838465753424666E-10</v>
      </c>
      <c r="BH254" s="158">
        <f t="shared" si="145"/>
        <v>1.6967693150684934E-6</v>
      </c>
      <c r="BI254" s="144">
        <f t="shared" si="167"/>
        <v>2.9502385388127855E-7</v>
      </c>
      <c r="BJ254" s="158">
        <f t="shared" si="146"/>
        <v>5.268283105022831E-5</v>
      </c>
      <c r="BK254" s="144">
        <f t="shared" si="168"/>
        <v>5.0727907601396714E-9</v>
      </c>
      <c r="BL254" s="158">
        <f t="shared" si="147"/>
        <v>1.6909302533798906E-5</v>
      </c>
      <c r="BM254" s="144">
        <f t="shared" si="169"/>
        <v>5.6265108783239307E-9</v>
      </c>
      <c r="BN254" s="158">
        <f t="shared" si="148"/>
        <v>1.5984405904329347E-6</v>
      </c>
      <c r="BO254" s="144">
        <f t="shared" si="170"/>
        <v>1.7861939296266451E-11</v>
      </c>
      <c r="BP254" s="158">
        <f t="shared" si="149"/>
        <v>2.0769696856123778E-7</v>
      </c>
      <c r="BQ254" s="144">
        <f t="shared" si="171"/>
        <v>4.0439430566747244E-8</v>
      </c>
      <c r="BR254" s="158">
        <f t="shared" si="150"/>
        <v>1.3479810188915748E-3</v>
      </c>
      <c r="BS254" s="144">
        <f t="shared" si="172"/>
        <v>3.965350523771152E-11</v>
      </c>
      <c r="BT254" s="158">
        <f t="shared" si="151"/>
        <v>6.9567553048616698E-7</v>
      </c>
      <c r="BU254" s="144">
        <f t="shared" si="173"/>
        <v>1.3789417136717701E-8</v>
      </c>
      <c r="BV254" s="158">
        <f t="shared" si="152"/>
        <v>6.6938918139406316E-7</v>
      </c>
    </row>
    <row r="255" spans="20:76">
      <c r="T255" s="53" t="s">
        <v>324</v>
      </c>
      <c r="U255" s="39" t="s">
        <v>325</v>
      </c>
      <c r="V255" s="165">
        <v>44065</v>
      </c>
      <c r="W255" s="166">
        <v>0.195803</v>
      </c>
      <c r="X255" s="166">
        <v>34.487564999999996</v>
      </c>
      <c r="Y255" s="166" t="s">
        <v>338</v>
      </c>
      <c r="Z255" s="165" t="s">
        <v>330</v>
      </c>
      <c r="AA255" s="116" t="s">
        <v>347</v>
      </c>
      <c r="AB255" s="154" t="s">
        <v>362</v>
      </c>
      <c r="AC255" s="154" t="s">
        <v>362</v>
      </c>
      <c r="AD255" s="165" t="s">
        <v>370</v>
      </c>
      <c r="AE255" s="53" t="s">
        <v>684</v>
      </c>
      <c r="AF255" s="78" t="s">
        <v>683</v>
      </c>
      <c r="AG255" s="78">
        <v>11.6</v>
      </c>
      <c r="AH255" s="78">
        <v>18.75</v>
      </c>
      <c r="AI255" s="78">
        <v>4.1730000000000003E-2</v>
      </c>
      <c r="AJ255" s="78">
        <v>139.6</v>
      </c>
      <c r="AK255" s="78">
        <v>0.111</v>
      </c>
      <c r="AL255" s="78">
        <v>27.9</v>
      </c>
      <c r="AM255" s="144">
        <f t="shared" si="156"/>
        <v>1.4831050228310502E-4</v>
      </c>
      <c r="AN255" s="158">
        <f t="shared" si="135"/>
        <v>0.49436834094368343</v>
      </c>
      <c r="AO255" s="144">
        <f t="shared" si="157"/>
        <v>2.3972602739726027E-4</v>
      </c>
      <c r="AP255" s="158">
        <f t="shared" si="136"/>
        <v>6.6590563165905628E-2</v>
      </c>
      <c r="AQ255" s="144">
        <f t="shared" si="158"/>
        <v>5.3353424657534235E-7</v>
      </c>
      <c r="AR255" s="158">
        <f t="shared" si="137"/>
        <v>1.7784474885844746E-3</v>
      </c>
      <c r="AS255" s="144">
        <f t="shared" si="159"/>
        <v>1.7848401826484018E-3</v>
      </c>
      <c r="AT255" s="158">
        <f t="shared" si="138"/>
        <v>0.59494672754946731</v>
      </c>
      <c r="AU255" s="144">
        <f t="shared" si="160"/>
        <v>1.4191780821917808E-6</v>
      </c>
      <c r="AV255" s="158">
        <f t="shared" si="139"/>
        <v>2.8383561643835617E-3</v>
      </c>
      <c r="AW255" s="144">
        <f t="shared" si="161"/>
        <v>3.567123287671233E-4</v>
      </c>
      <c r="AX255" s="158">
        <f t="shared" si="140"/>
        <v>1.7835616438356166E-2</v>
      </c>
      <c r="AY255" s="144">
        <f t="shared" si="162"/>
        <v>2.6598005479452052E-6</v>
      </c>
      <c r="AZ255" s="144">
        <f t="shared" si="141"/>
        <v>8.8660018264840185E-3</v>
      </c>
      <c r="BA255" s="144">
        <f t="shared" si="163"/>
        <v>1.4330821917808219E-7</v>
      </c>
      <c r="BB255" s="158">
        <f t="shared" si="142"/>
        <v>4.0945205479452052E-5</v>
      </c>
      <c r="BC255" s="144">
        <f t="shared" si="164"/>
        <v>3.1894677260273972E-10</v>
      </c>
      <c r="BD255" s="158">
        <f t="shared" si="143"/>
        <v>1.0631559086757991E-6</v>
      </c>
      <c r="BE255" s="144">
        <f t="shared" si="165"/>
        <v>1.0669774611872146E-6</v>
      </c>
      <c r="BF255" s="158">
        <f t="shared" si="144"/>
        <v>2.133954922374429E-4</v>
      </c>
      <c r="BG255" s="144">
        <f t="shared" si="166"/>
        <v>8.4838465753424666E-10</v>
      </c>
      <c r="BH255" s="158">
        <f t="shared" si="145"/>
        <v>1.6967693150684934E-6</v>
      </c>
      <c r="BI255" s="144">
        <f t="shared" si="167"/>
        <v>2.132426301369863E-7</v>
      </c>
      <c r="BJ255" s="158">
        <f t="shared" si="146"/>
        <v>3.8079041095890409E-5</v>
      </c>
      <c r="BK255" s="144">
        <f t="shared" si="168"/>
        <v>4.1439699167338167E-9</v>
      </c>
      <c r="BL255" s="158">
        <f t="shared" si="147"/>
        <v>1.381323305577939E-5</v>
      </c>
      <c r="BM255" s="144">
        <f t="shared" si="169"/>
        <v>6.6982272360999191E-9</v>
      </c>
      <c r="BN255" s="158">
        <f t="shared" si="148"/>
        <v>1.9029054648011133E-6</v>
      </c>
      <c r="BO255" s="144">
        <f t="shared" si="170"/>
        <v>1.4907574536663978E-11</v>
      </c>
      <c r="BP255" s="158">
        <f t="shared" si="149"/>
        <v>1.7334388996120903E-7</v>
      </c>
      <c r="BQ255" s="144">
        <f t="shared" si="171"/>
        <v>4.9870534515175921E-8</v>
      </c>
      <c r="BR255" s="158">
        <f t="shared" si="150"/>
        <v>1.6623511505058639E-3</v>
      </c>
      <c r="BS255" s="144">
        <f t="shared" si="172"/>
        <v>3.965350523771152E-11</v>
      </c>
      <c r="BT255" s="158">
        <f t="shared" si="151"/>
        <v>6.9567553048616698E-7</v>
      </c>
      <c r="BU255" s="144">
        <f t="shared" si="173"/>
        <v>9.9669621273166805E-9</v>
      </c>
      <c r="BV255" s="158">
        <f t="shared" si="152"/>
        <v>4.838331129765379E-7</v>
      </c>
    </row>
    <row r="256" spans="20:76">
      <c r="T256" s="53" t="s">
        <v>326</v>
      </c>
      <c r="U256" s="39" t="s">
        <v>327</v>
      </c>
      <c r="V256" s="165">
        <v>44065</v>
      </c>
      <c r="W256" s="166">
        <v>0.195803</v>
      </c>
      <c r="X256" s="166">
        <v>34.487564999999996</v>
      </c>
      <c r="Y256" s="166" t="s">
        <v>337</v>
      </c>
      <c r="Z256" s="165" t="s">
        <v>330</v>
      </c>
      <c r="AA256" s="116" t="s">
        <v>347</v>
      </c>
      <c r="AB256" s="154" t="s">
        <v>362</v>
      </c>
      <c r="AC256" s="154" t="s">
        <v>362</v>
      </c>
      <c r="AD256" s="165" t="s">
        <v>367</v>
      </c>
      <c r="AE256" s="53" t="s">
        <v>684</v>
      </c>
      <c r="AF256" s="78" t="s">
        <v>683</v>
      </c>
      <c r="AG256" s="78">
        <v>11.1</v>
      </c>
      <c r="AH256" s="78">
        <v>24.11</v>
      </c>
      <c r="AI256" s="78">
        <v>4.2450000000000002E-2</v>
      </c>
      <c r="AJ256" s="78">
        <v>130.80000000000001</v>
      </c>
      <c r="AK256" s="78">
        <v>0.188</v>
      </c>
      <c r="AL256" s="78">
        <v>26.9</v>
      </c>
      <c r="AM256" s="144">
        <f t="shared" si="156"/>
        <v>1.4191780821917808E-4</v>
      </c>
      <c r="AN256" s="158">
        <f t="shared" si="135"/>
        <v>0.47305936073059363</v>
      </c>
      <c r="AO256" s="144">
        <f t="shared" si="157"/>
        <v>3.0825570776255707E-4</v>
      </c>
      <c r="AP256" s="158">
        <f t="shared" si="136"/>
        <v>8.5626585489599186E-2</v>
      </c>
      <c r="AQ256" s="144">
        <f t="shared" si="158"/>
        <v>5.4273972602739719E-7</v>
      </c>
      <c r="AR256" s="158">
        <f t="shared" si="137"/>
        <v>1.8091324200913241E-3</v>
      </c>
      <c r="AS256" s="144">
        <f t="shared" si="159"/>
        <v>1.6723287671232881E-3</v>
      </c>
      <c r="AT256" s="158">
        <f t="shared" si="138"/>
        <v>0.55744292237442938</v>
      </c>
      <c r="AU256" s="144">
        <f t="shared" si="160"/>
        <v>2.4036529680365296E-6</v>
      </c>
      <c r="AV256" s="158">
        <f t="shared" si="139"/>
        <v>4.8073059360730589E-3</v>
      </c>
      <c r="AW256" s="144">
        <f t="shared" si="161"/>
        <v>3.4392694063926942E-4</v>
      </c>
      <c r="AX256" s="158">
        <f t="shared" si="140"/>
        <v>1.7196347031963471E-2</v>
      </c>
      <c r="AY256" s="144">
        <f t="shared" si="162"/>
        <v>2.5451539726027394E-6</v>
      </c>
      <c r="AZ256" s="144">
        <f t="shared" si="141"/>
        <v>8.4838465753424661E-3</v>
      </c>
      <c r="BA256" s="144">
        <f t="shared" si="163"/>
        <v>1.8427526210045662E-7</v>
      </c>
      <c r="BB256" s="158">
        <f t="shared" si="142"/>
        <v>5.2650074885844751E-5</v>
      </c>
      <c r="BC256" s="144">
        <f t="shared" si="164"/>
        <v>3.2444980821917809E-10</v>
      </c>
      <c r="BD256" s="158">
        <f t="shared" si="143"/>
        <v>1.0814993607305938E-6</v>
      </c>
      <c r="BE256" s="144">
        <f t="shared" si="165"/>
        <v>9.9971813698630176E-7</v>
      </c>
      <c r="BF256" s="158">
        <f t="shared" si="144"/>
        <v>1.9994362739726034E-4</v>
      </c>
      <c r="BG256" s="144">
        <f t="shared" si="166"/>
        <v>1.4369037442922375E-9</v>
      </c>
      <c r="BH256" s="158">
        <f t="shared" si="145"/>
        <v>2.8738074885844747E-6</v>
      </c>
      <c r="BI256" s="144">
        <f t="shared" si="167"/>
        <v>2.0559952511415525E-7</v>
      </c>
      <c r="BJ256" s="158">
        <f t="shared" si="146"/>
        <v>3.6714200913242011E-5</v>
      </c>
      <c r="BK256" s="144">
        <f t="shared" si="168"/>
        <v>3.965350523771152E-9</v>
      </c>
      <c r="BL256" s="158">
        <f t="shared" si="147"/>
        <v>1.3217835079237174E-5</v>
      </c>
      <c r="BM256" s="144">
        <f t="shared" si="169"/>
        <v>8.6130271286596818E-9</v>
      </c>
      <c r="BN256" s="158">
        <f t="shared" si="148"/>
        <v>2.4468827070055911E-6</v>
      </c>
      <c r="BO256" s="144">
        <f t="shared" si="170"/>
        <v>1.5164786462530217E-11</v>
      </c>
      <c r="BP256" s="158">
        <f t="shared" si="149"/>
        <v>1.7633472630849089E-7</v>
      </c>
      <c r="BQ256" s="144">
        <f t="shared" si="171"/>
        <v>4.6726833199033038E-8</v>
      </c>
      <c r="BR256" s="158">
        <f t="shared" si="150"/>
        <v>1.5575611066344346E-3</v>
      </c>
      <c r="BS256" s="144">
        <f t="shared" si="172"/>
        <v>6.7160891753961849E-11</v>
      </c>
      <c r="BT256" s="158">
        <f t="shared" si="151"/>
        <v>1.1782612588414358E-6</v>
      </c>
      <c r="BU256" s="144">
        <f t="shared" si="173"/>
        <v>9.6097233413913477E-9</v>
      </c>
      <c r="BV256" s="158">
        <f t="shared" si="152"/>
        <v>4.6649142433938579E-7</v>
      </c>
    </row>
    <row r="257" spans="20:74">
      <c r="T257" s="53" t="s">
        <v>328</v>
      </c>
      <c r="U257" s="39" t="s">
        <v>329</v>
      </c>
      <c r="V257" s="165">
        <v>44065</v>
      </c>
      <c r="W257" s="166">
        <v>0.49734299999999998</v>
      </c>
      <c r="X257" s="166">
        <v>35.278543999999997</v>
      </c>
      <c r="Y257" s="166" t="s">
        <v>346</v>
      </c>
      <c r="Z257" s="165" t="s">
        <v>345</v>
      </c>
      <c r="AA257" s="116" t="s">
        <v>347</v>
      </c>
      <c r="AB257" s="154" t="s">
        <v>362</v>
      </c>
      <c r="AC257" s="154" t="s">
        <v>362</v>
      </c>
      <c r="AD257" s="165" t="s">
        <v>368</v>
      </c>
      <c r="AE257" s="53" t="s">
        <v>684</v>
      </c>
      <c r="AF257" s="78" t="s">
        <v>683</v>
      </c>
      <c r="AG257" s="78">
        <v>10.8</v>
      </c>
      <c r="AH257" s="78">
        <v>36.299999999999997</v>
      </c>
      <c r="AI257" s="78">
        <v>2.2689999999999998E-2</v>
      </c>
      <c r="AJ257" s="78">
        <v>69.400000000000006</v>
      </c>
      <c r="AK257" s="78">
        <v>0.16900000000000001</v>
      </c>
      <c r="AL257" s="78">
        <v>28.5</v>
      </c>
      <c r="AM257" s="144">
        <f t="shared" si="156"/>
        <v>1.3808219178082189E-4</v>
      </c>
      <c r="AN257" s="158">
        <f t="shared" si="135"/>
        <v>0.46027397260273967</v>
      </c>
      <c r="AO257" s="144">
        <f t="shared" si="157"/>
        <v>4.6410958904109572E-4</v>
      </c>
      <c r="AP257" s="158">
        <f t="shared" si="136"/>
        <v>0.12891933028919325</v>
      </c>
      <c r="AQ257" s="144">
        <f t="shared" si="158"/>
        <v>2.9010045662100453E-7</v>
      </c>
      <c r="AR257" s="158">
        <f t="shared" si="137"/>
        <v>9.6700152207001514E-4</v>
      </c>
      <c r="AS257" s="144">
        <f t="shared" si="159"/>
        <v>8.8730593607305958E-4</v>
      </c>
      <c r="AT257" s="158">
        <f t="shared" si="138"/>
        <v>0.29576864535768654</v>
      </c>
      <c r="AU257" s="144">
        <f t="shared" si="160"/>
        <v>2.1607305936073064E-6</v>
      </c>
      <c r="AV257" s="158">
        <f t="shared" si="139"/>
        <v>4.3214611872146123E-3</v>
      </c>
      <c r="AW257" s="144">
        <f t="shared" si="161"/>
        <v>3.6438356164383558E-4</v>
      </c>
      <c r="AX257" s="158">
        <f t="shared" si="140"/>
        <v>1.8219178082191777E-2</v>
      </c>
      <c r="AY257" s="144">
        <f t="shared" si="162"/>
        <v>2.4763660273972604E-6</v>
      </c>
      <c r="AZ257" s="144">
        <f t="shared" si="141"/>
        <v>8.2545534246575361E-3</v>
      </c>
      <c r="BA257" s="144">
        <f t="shared" si="163"/>
        <v>2.7744471232876707E-7</v>
      </c>
      <c r="BB257" s="158">
        <f t="shared" si="142"/>
        <v>7.9269917808219158E-5</v>
      </c>
      <c r="BC257" s="144">
        <f t="shared" si="164"/>
        <v>1.7342205296803657E-10</v>
      </c>
      <c r="BD257" s="158">
        <f t="shared" si="143"/>
        <v>5.7807350989345529E-7</v>
      </c>
      <c r="BE257" s="144">
        <f t="shared" si="165"/>
        <v>5.3043148858447499E-7</v>
      </c>
      <c r="BF257" s="158">
        <f t="shared" si="144"/>
        <v>1.06086297716895E-4</v>
      </c>
      <c r="BG257" s="144">
        <f t="shared" si="166"/>
        <v>1.2916847488584478E-9</v>
      </c>
      <c r="BH257" s="158">
        <f t="shared" si="145"/>
        <v>2.5833694977168956E-6</v>
      </c>
      <c r="BI257" s="144">
        <f t="shared" si="167"/>
        <v>2.1782849315068496E-7</v>
      </c>
      <c r="BJ257" s="158">
        <f t="shared" si="146"/>
        <v>3.8897945205479455E-5</v>
      </c>
      <c r="BK257" s="144">
        <f t="shared" si="168"/>
        <v>3.8581788879935533E-9</v>
      </c>
      <c r="BL257" s="158">
        <f t="shared" si="147"/>
        <v>1.2860596293311846E-5</v>
      </c>
      <c r="BM257" s="144">
        <f t="shared" si="169"/>
        <v>1.2967767929089442E-8</v>
      </c>
      <c r="BN257" s="158">
        <f t="shared" si="148"/>
        <v>3.6840249798549551E-6</v>
      </c>
      <c r="BO257" s="144">
        <f t="shared" si="170"/>
        <v>8.1057480526457157E-12</v>
      </c>
      <c r="BP257" s="158">
        <f t="shared" si="149"/>
        <v>9.4252884333089717E-8</v>
      </c>
      <c r="BQ257" s="144">
        <f t="shared" si="171"/>
        <v>2.479237174321784E-8</v>
      </c>
      <c r="BR257" s="158">
        <f t="shared" si="150"/>
        <v>8.2641239144059467E-4</v>
      </c>
      <c r="BS257" s="144">
        <f t="shared" si="172"/>
        <v>6.0373354821380608E-11</v>
      </c>
      <c r="BT257" s="158">
        <f t="shared" si="151"/>
        <v>1.059181663532993E-6</v>
      </c>
      <c r="BU257" s="144">
        <f t="shared" si="173"/>
        <v>1.0181305398871878E-8</v>
      </c>
      <c r="BV257" s="158">
        <f t="shared" si="152"/>
        <v>4.9423812615882904E-7</v>
      </c>
    </row>
    <row r="258" spans="20:74">
      <c r="T258" s="53"/>
      <c r="U258" s="39"/>
      <c r="V258" s="165"/>
      <c r="W258" s="166"/>
      <c r="X258" s="166"/>
      <c r="Y258" s="166"/>
      <c r="Z258" s="165"/>
      <c r="AA258" s="116"/>
      <c r="AB258" s="154"/>
      <c r="AC258" s="154"/>
      <c r="AD258" s="165"/>
      <c r="AE258" s="53"/>
      <c r="AF258" s="53"/>
      <c r="AM258" s="144"/>
      <c r="AN258" s="158"/>
      <c r="AO258" s="144"/>
      <c r="AP258" s="158"/>
      <c r="AQ258" s="144"/>
      <c r="AR258" s="158"/>
      <c r="AS258" s="144"/>
      <c r="AT258" s="158"/>
      <c r="AU258" s="144"/>
      <c r="AV258" s="158"/>
      <c r="AW258" s="144"/>
      <c r="AX258" s="158"/>
      <c r="AY258" s="144"/>
      <c r="AZ258" s="144"/>
      <c r="BA258" s="144"/>
      <c r="BB258" s="144"/>
      <c r="BC258" s="144"/>
      <c r="BD258" s="144"/>
      <c r="BE258" s="144"/>
      <c r="BF258" s="144"/>
      <c r="BG258" s="144"/>
      <c r="BH258" s="144"/>
      <c r="BI258" s="144"/>
      <c r="BJ258" s="144"/>
      <c r="BK258" s="144"/>
      <c r="BL258" s="144"/>
      <c r="BM258" s="144"/>
      <c r="BN258" s="144"/>
      <c r="BO258" s="144"/>
      <c r="BP258" s="144"/>
      <c r="BQ258" s="144"/>
      <c r="BR258" s="144"/>
      <c r="BS258" s="144"/>
      <c r="BT258" s="144"/>
    </row>
    <row r="259" spans="20:74">
      <c r="T259" s="25" t="s">
        <v>1019</v>
      </c>
      <c r="U259" s="80"/>
    </row>
    <row r="260" spans="20:74">
      <c r="T260" s="47" t="s">
        <v>0</v>
      </c>
      <c r="U260" s="47" t="s">
        <v>692</v>
      </c>
      <c r="V260" s="47" t="s">
        <v>1</v>
      </c>
      <c r="W260" s="47" t="s">
        <v>301</v>
      </c>
      <c r="X260" s="47" t="s">
        <v>300</v>
      </c>
      <c r="Y260" s="47" t="s">
        <v>348</v>
      </c>
      <c r="Z260" s="47" t="s">
        <v>302</v>
      </c>
      <c r="AA260" s="47" t="s">
        <v>303</v>
      </c>
      <c r="AB260" s="26" t="s">
        <v>363</v>
      </c>
      <c r="AC260" s="26" t="s">
        <v>681</v>
      </c>
      <c r="AD260" s="26" t="s">
        <v>475</v>
      </c>
      <c r="AE260" s="83" t="s">
        <v>686</v>
      </c>
      <c r="AF260" s="83" t="s">
        <v>682</v>
      </c>
      <c r="AG260" s="47" t="s">
        <v>3</v>
      </c>
      <c r="AH260" s="47" t="s">
        <v>15</v>
      </c>
      <c r="AI260" s="47" t="s">
        <v>19</v>
      </c>
      <c r="AJ260" s="47" t="s">
        <v>23</v>
      </c>
      <c r="AK260" s="47" t="s">
        <v>32</v>
      </c>
      <c r="AL260" s="47" t="s">
        <v>55</v>
      </c>
      <c r="AM260" s="57" t="s">
        <v>932</v>
      </c>
      <c r="AN260" s="234" t="s">
        <v>933</v>
      </c>
      <c r="AO260" s="70" t="s">
        <v>934</v>
      </c>
      <c r="AP260" s="234" t="s">
        <v>935</v>
      </c>
      <c r="AQ260" s="150" t="s">
        <v>936</v>
      </c>
      <c r="AR260" s="234" t="s">
        <v>937</v>
      </c>
      <c r="AS260" s="70" t="s">
        <v>938</v>
      </c>
      <c r="AT260" s="234" t="s">
        <v>939</v>
      </c>
      <c r="AU260" s="57" t="s">
        <v>940</v>
      </c>
      <c r="AV260" s="234" t="s">
        <v>941</v>
      </c>
      <c r="AW260" s="70" t="s">
        <v>942</v>
      </c>
      <c r="AX260" s="234" t="s">
        <v>943</v>
      </c>
      <c r="AY260" s="57" t="s">
        <v>932</v>
      </c>
      <c r="AZ260" s="234" t="s">
        <v>933</v>
      </c>
      <c r="BA260" s="70" t="s">
        <v>934</v>
      </c>
      <c r="BB260" s="234" t="s">
        <v>935</v>
      </c>
      <c r="BC260" s="150" t="s">
        <v>936</v>
      </c>
      <c r="BD260" s="234" t="s">
        <v>937</v>
      </c>
      <c r="BE260" s="70" t="s">
        <v>938</v>
      </c>
      <c r="BF260" s="234" t="s">
        <v>939</v>
      </c>
      <c r="BG260" s="57" t="s">
        <v>940</v>
      </c>
      <c r="BH260" s="234" t="s">
        <v>941</v>
      </c>
      <c r="BI260" s="70" t="s">
        <v>942</v>
      </c>
      <c r="BJ260" s="234" t="s">
        <v>943</v>
      </c>
    </row>
    <row r="261" spans="20:74" ht="18">
      <c r="T261" s="53"/>
      <c r="U261" s="53"/>
      <c r="V261" s="180"/>
      <c r="W261" s="53"/>
      <c r="X261" s="53"/>
      <c r="Y261" s="53"/>
      <c r="Z261" s="53"/>
      <c r="AA261" s="53"/>
      <c r="AB261" s="53"/>
      <c r="AC261" s="53"/>
      <c r="AD261" s="53"/>
      <c r="AE261" s="53"/>
      <c r="AF261" s="53"/>
      <c r="AG261" s="53" t="s">
        <v>403</v>
      </c>
      <c r="AH261" s="53" t="s">
        <v>403</v>
      </c>
      <c r="AI261" s="53" t="s">
        <v>403</v>
      </c>
      <c r="AJ261" s="53" t="s">
        <v>403</v>
      </c>
      <c r="AK261" s="53" t="s">
        <v>403</v>
      </c>
      <c r="AL261" s="53" t="s">
        <v>403</v>
      </c>
      <c r="AM261" s="78" t="s">
        <v>963</v>
      </c>
      <c r="AN261" s="78" t="s">
        <v>963</v>
      </c>
      <c r="AO261" s="78" t="s">
        <v>963</v>
      </c>
      <c r="AP261" s="78" t="s">
        <v>963</v>
      </c>
      <c r="AQ261" s="78" t="s">
        <v>963</v>
      </c>
      <c r="AR261" s="78" t="s">
        <v>963</v>
      </c>
      <c r="AS261" s="78" t="s">
        <v>963</v>
      </c>
      <c r="AT261" s="78" t="s">
        <v>963</v>
      </c>
      <c r="AU261" s="78" t="s">
        <v>963</v>
      </c>
      <c r="AV261" s="78" t="s">
        <v>963</v>
      </c>
      <c r="AW261" s="78" t="s">
        <v>963</v>
      </c>
      <c r="AX261" s="78" t="s">
        <v>963</v>
      </c>
      <c r="AY261" s="78" t="s">
        <v>964</v>
      </c>
      <c r="AZ261" s="78" t="s">
        <v>964</v>
      </c>
      <c r="BA261" s="78" t="s">
        <v>964</v>
      </c>
      <c r="BB261" s="78" t="s">
        <v>964</v>
      </c>
      <c r="BC261" s="78" t="s">
        <v>964</v>
      </c>
      <c r="BD261" s="78" t="s">
        <v>964</v>
      </c>
      <c r="BE261" s="78" t="s">
        <v>964</v>
      </c>
      <c r="BF261" s="78" t="s">
        <v>964</v>
      </c>
      <c r="BG261" s="78" t="s">
        <v>964</v>
      </c>
      <c r="BH261" s="78" t="s">
        <v>964</v>
      </c>
      <c r="BI261" s="78" t="s">
        <v>964</v>
      </c>
      <c r="BJ261" s="78" t="s">
        <v>964</v>
      </c>
    </row>
    <row r="262" spans="20:74">
      <c r="T262" s="47" t="s">
        <v>297</v>
      </c>
      <c r="U262" s="53"/>
      <c r="V262" s="180"/>
      <c r="W262" s="53"/>
      <c r="X262" s="53"/>
      <c r="Y262" s="53"/>
      <c r="Z262" s="53"/>
      <c r="AA262" s="53"/>
      <c r="AB262" s="53"/>
      <c r="AC262" s="53"/>
      <c r="AD262" s="53"/>
      <c r="AE262" s="53"/>
      <c r="AF262" s="53"/>
      <c r="AG262" s="181">
        <v>9.11E-3</v>
      </c>
      <c r="AH262" s="181" t="s">
        <v>69</v>
      </c>
      <c r="AI262" s="181" t="s">
        <v>73</v>
      </c>
      <c r="AJ262" s="181" t="s">
        <v>77</v>
      </c>
      <c r="AK262" s="181" t="s">
        <v>83</v>
      </c>
      <c r="AL262" s="181" t="s">
        <v>69</v>
      </c>
      <c r="BK262" s="147"/>
    </row>
    <row r="263" spans="20:74">
      <c r="T263" s="53" t="s">
        <v>408</v>
      </c>
      <c r="U263" s="53" t="s">
        <v>409</v>
      </c>
      <c r="V263" s="155" t="s">
        <v>339</v>
      </c>
      <c r="W263" s="53">
        <v>0.258158</v>
      </c>
      <c r="X263" s="53">
        <v>34.720027000000002</v>
      </c>
      <c r="Y263" s="53" t="s">
        <v>372</v>
      </c>
      <c r="Z263" s="53" t="s">
        <v>330</v>
      </c>
      <c r="AA263" s="53" t="s">
        <v>347</v>
      </c>
      <c r="AB263" s="154" t="s">
        <v>371</v>
      </c>
      <c r="AC263" s="154" t="s">
        <v>687</v>
      </c>
      <c r="AD263" s="53" t="s">
        <v>673</v>
      </c>
      <c r="AE263" s="53" t="s">
        <v>685</v>
      </c>
      <c r="AF263" s="53" t="s">
        <v>691</v>
      </c>
      <c r="AG263" s="156">
        <v>21.1</v>
      </c>
      <c r="AH263" s="157">
        <v>44.6</v>
      </c>
      <c r="AI263" s="75">
        <v>4.3631900000000003</v>
      </c>
      <c r="AJ263" s="157">
        <v>637.9</v>
      </c>
      <c r="AK263" s="156">
        <v>0.17899999999999999</v>
      </c>
      <c r="AL263" s="157">
        <v>210.4</v>
      </c>
      <c r="AM263" s="144">
        <f t="shared" ref="AM263:AM297" si="174">(AG263*5700*0.61*0.2*0.03*350*30*0.000001)/(70*30*365)</f>
        <v>6.0299753424657542E-6</v>
      </c>
      <c r="AN263" s="158">
        <f>AM263/0.0003</f>
        <v>2.0099917808219181E-2</v>
      </c>
      <c r="AO263" s="144">
        <f t="shared" ref="AO263:AO297" si="175">(AH263*5700*0.61*0.2*0.001*350*30*0.000001)/(70*30*365)</f>
        <v>4.2486082191780813E-7</v>
      </c>
      <c r="AP263" s="158">
        <f>AO263/0.0035</f>
        <v>1.2138880626223089E-4</v>
      </c>
      <c r="AQ263" s="144">
        <f t="shared" ref="AQ263:AQ297" si="176">(AI263*5700*0.61*0.2*0.001*350*30*0.000001)/(70*30*365)</f>
        <v>4.1563867479452049E-8</v>
      </c>
      <c r="AR263" s="158">
        <f>AQ263/0.0003</f>
        <v>1.3854622493150685E-4</v>
      </c>
      <c r="AS263" s="144">
        <f t="shared" ref="AS263:AS297" si="177">(AJ263*5700*0.61*0.2*0.001*350*30*0.000001)/(70*30*365)</f>
        <v>6.0766528767123288E-6</v>
      </c>
      <c r="AT263" s="158">
        <f>AS263/0.005</f>
        <v>1.2153305753424657E-3</v>
      </c>
      <c r="AU263" s="144">
        <f t="shared" ref="AU263:AU297" si="178">(AK263*5700*0.61*0.2*0.001*350*30*0.000001)/(70*30*365)</f>
        <v>1.7051589041095888E-9</v>
      </c>
      <c r="AV263" s="158">
        <f>AU263/0.0005</f>
        <v>3.4103178082191774E-6</v>
      </c>
      <c r="AW263" s="144">
        <f t="shared" ref="AW263:AW297" si="179">(AL263*5700*0.61*0.2*0.001*350*30*0.000001)/(70*30*365)</f>
        <v>2.0042761643835615E-6</v>
      </c>
      <c r="AX263" s="158">
        <f>AW263/0.0056</f>
        <v>3.5790645792563595E-4</v>
      </c>
      <c r="AY263" s="232">
        <f t="shared" ref="AY263:AY297" si="180">(AG263*2800*0.61*0.07*0.03*350*6*0.000001)/(15*6*365)</f>
        <v>4.8380854794520545E-6</v>
      </c>
      <c r="AZ263" s="158">
        <f>AY263/0.0003</f>
        <v>1.6126951598173518E-2</v>
      </c>
      <c r="BA263" s="232">
        <f t="shared" ref="BA263:BA297" si="181">(AH263*2800*0.61*0.07*0.001*350*6*0.000001)/(15*6*365)</f>
        <v>3.4088248401826481E-7</v>
      </c>
      <c r="BB263" s="158">
        <f>BA263/0.0035</f>
        <v>9.7394995433789945E-5</v>
      </c>
      <c r="BC263" s="232">
        <f t="shared" ref="BC263:BC297" si="182">(AI263*2800*0.61*0.07*0.001*350*6*0.000001)/(15*6*365)</f>
        <v>3.334831940456621E-8</v>
      </c>
      <c r="BD263" s="158">
        <f>BC263/0.0003</f>
        <v>1.1116106468188737E-4</v>
      </c>
      <c r="BE263" s="232">
        <f t="shared" ref="BE263:BE297" si="183">(AJ263*2800*0.61*0.07*0.001*350*6*0.000001)/(15*6*365)</f>
        <v>4.8755366940639278E-6</v>
      </c>
      <c r="BF263" s="158">
        <f>BE263/0.005</f>
        <v>9.7510733881278557E-4</v>
      </c>
      <c r="BG263" s="232">
        <f t="shared" ref="BG263:BG297" si="184">(AK263*2800*0.61*0.07*0.001*350*6*0.000001)/(15*6*365)</f>
        <v>1.368115799086758E-9</v>
      </c>
      <c r="BH263" s="158">
        <f>BG263/0.0005</f>
        <v>2.7362315981735158E-6</v>
      </c>
      <c r="BI263" s="232">
        <f t="shared" ref="BI263:BI297" si="185">(AL263*2800*0.61*0.07*0.001*350*6*0.000001)/(15*6*365)</f>
        <v>1.6081092968036532E-6</v>
      </c>
      <c r="BJ263" s="158">
        <f>BI263/0.0056</f>
        <v>2.8716237442922378E-4</v>
      </c>
      <c r="BK263" s="144"/>
    </row>
    <row r="264" spans="20:74">
      <c r="T264" s="53" t="s">
        <v>410</v>
      </c>
      <c r="U264" s="53" t="s">
        <v>411</v>
      </c>
      <c r="V264" s="155" t="s">
        <v>339</v>
      </c>
      <c r="W264" s="53">
        <v>0.25792300000000001</v>
      </c>
      <c r="X264" s="53">
        <v>34.719996000000002</v>
      </c>
      <c r="Y264" s="53" t="s">
        <v>372</v>
      </c>
      <c r="Z264" s="53" t="s">
        <v>330</v>
      </c>
      <c r="AA264" s="53" t="s">
        <v>347</v>
      </c>
      <c r="AB264" s="154" t="s">
        <v>371</v>
      </c>
      <c r="AC264" s="154" t="s">
        <v>687</v>
      </c>
      <c r="AD264" s="53" t="s">
        <v>673</v>
      </c>
      <c r="AE264" s="53" t="s">
        <v>685</v>
      </c>
      <c r="AF264" s="53" t="s">
        <v>691</v>
      </c>
      <c r="AG264" s="156">
        <v>484.1</v>
      </c>
      <c r="AH264" s="157">
        <v>26.1</v>
      </c>
      <c r="AI264" s="75">
        <v>6.5400200000000002</v>
      </c>
      <c r="AJ264" s="157">
        <v>356</v>
      </c>
      <c r="AK264" s="156">
        <v>0.14799999999999999</v>
      </c>
      <c r="AL264" s="157">
        <v>90.11</v>
      </c>
      <c r="AM264" s="144">
        <f t="shared" si="174"/>
        <v>1.3834649589041095E-4</v>
      </c>
      <c r="AN264" s="158">
        <f t="shared" ref="AN264:AN299" si="186">AM264/0.0003</f>
        <v>0.46115498630136986</v>
      </c>
      <c r="AO264" s="144">
        <f t="shared" si="175"/>
        <v>2.4862931506849312E-7</v>
      </c>
      <c r="AP264" s="158">
        <f t="shared" ref="AP264:AP299" si="187">AO264/0.0035</f>
        <v>7.1036947162426604E-5</v>
      </c>
      <c r="AQ264" s="144">
        <f t="shared" si="176"/>
        <v>6.2300409698630151E-8</v>
      </c>
      <c r="AR264" s="158">
        <f t="shared" ref="AR264:AR299" si="188">AQ264/0.0003</f>
        <v>2.0766803232876718E-4</v>
      </c>
      <c r="AS264" s="144">
        <f t="shared" si="177"/>
        <v>3.3912657534246576E-6</v>
      </c>
      <c r="AT264" s="158">
        <f t="shared" ref="AT264:AT299" si="189">AS264/0.005</f>
        <v>6.7825315068493152E-4</v>
      </c>
      <c r="AU264" s="144">
        <f t="shared" si="178"/>
        <v>1.4098520547945205E-9</v>
      </c>
      <c r="AV264" s="158">
        <f t="shared" ref="AV264:AV299" si="190">AU264/0.0005</f>
        <v>2.819704109589041E-6</v>
      </c>
      <c r="AW264" s="144">
        <f t="shared" si="179"/>
        <v>8.583903287671233E-7</v>
      </c>
      <c r="AX264" s="158">
        <f t="shared" ref="AX264:AX299" si="191">AW264/0.0056</f>
        <v>1.5328398727984345E-4</v>
      </c>
      <c r="AY264" s="232">
        <f t="shared" si="180"/>
        <v>1.1100081424657532E-4</v>
      </c>
      <c r="AZ264" s="158">
        <f t="shared" ref="AZ264:AZ299" si="192">AY264/0.0003</f>
        <v>0.3700027141552511</v>
      </c>
      <c r="BA264" s="232">
        <f t="shared" si="181"/>
        <v>1.9948504109589044E-7</v>
      </c>
      <c r="BB264" s="158">
        <f t="shared" ref="BB264:BB299" si="193">BA264/0.0035</f>
        <v>5.6995726027397265E-5</v>
      </c>
      <c r="BC264" s="232">
        <f t="shared" si="182"/>
        <v>4.9986059711415532E-8</v>
      </c>
      <c r="BD264" s="158">
        <f t="shared" ref="BD264:BD299" si="194">BC264/0.0003</f>
        <v>1.6662019903805177E-4</v>
      </c>
      <c r="BE264" s="232">
        <f t="shared" si="183"/>
        <v>2.7209453881278541E-6</v>
      </c>
      <c r="BF264" s="158">
        <f t="shared" ref="BF264:BF299" si="195">BE264/0.005</f>
        <v>5.4418907762557084E-4</v>
      </c>
      <c r="BG264" s="232">
        <f t="shared" si="184"/>
        <v>1.1311795433789956E-9</v>
      </c>
      <c r="BH264" s="158">
        <f t="shared" ref="BH264:BH299" si="196">BG264/0.0005</f>
        <v>2.2623590867579913E-6</v>
      </c>
      <c r="BI264" s="232">
        <f t="shared" si="185"/>
        <v>6.8872019360730584E-7</v>
      </c>
      <c r="BJ264" s="158">
        <f t="shared" ref="BJ264:BJ299" si="197">BI264/0.0056</f>
        <v>1.2298574885844746E-4</v>
      </c>
      <c r="BK264" s="144"/>
    </row>
    <row r="265" spans="20:74">
      <c r="T265" s="53" t="s">
        <v>412</v>
      </c>
      <c r="U265" s="53" t="s">
        <v>413</v>
      </c>
      <c r="V265" s="155" t="s">
        <v>339</v>
      </c>
      <c r="W265" s="53">
        <v>0.25812800000000002</v>
      </c>
      <c r="X265" s="53">
        <v>34.720103999999999</v>
      </c>
      <c r="Y265" s="53" t="s">
        <v>372</v>
      </c>
      <c r="Z265" s="53" t="s">
        <v>330</v>
      </c>
      <c r="AA265" s="53" t="s">
        <v>347</v>
      </c>
      <c r="AB265" s="154" t="s">
        <v>371</v>
      </c>
      <c r="AC265" s="154" t="s">
        <v>687</v>
      </c>
      <c r="AD265" s="53" t="s">
        <v>673</v>
      </c>
      <c r="AE265" s="53" t="s">
        <v>685</v>
      </c>
      <c r="AF265" s="53" t="s">
        <v>691</v>
      </c>
      <c r="AG265" s="182">
        <v>9.6</v>
      </c>
      <c r="AH265" s="157">
        <v>16.7</v>
      </c>
      <c r="AI265" s="75">
        <v>1.2013199999999999</v>
      </c>
      <c r="AJ265" s="157">
        <v>1807.1</v>
      </c>
      <c r="AK265" s="156">
        <v>6.2E-2</v>
      </c>
      <c r="AL265" s="157">
        <v>159.6</v>
      </c>
      <c r="AM265" s="144">
        <f t="shared" si="174"/>
        <v>2.7434958904109586E-6</v>
      </c>
      <c r="AN265" s="158">
        <f t="shared" si="186"/>
        <v>9.1449863013698621E-3</v>
      </c>
      <c r="AO265" s="144">
        <f t="shared" si="175"/>
        <v>1.5908465753424657E-7</v>
      </c>
      <c r="AP265" s="158">
        <f t="shared" si="187"/>
        <v>4.5452759295499018E-5</v>
      </c>
      <c r="AQ265" s="144">
        <f t="shared" si="176"/>
        <v>1.1443807232876713E-8</v>
      </c>
      <c r="AR265" s="158">
        <f t="shared" si="188"/>
        <v>3.8146024109589044E-5</v>
      </c>
      <c r="AS265" s="144">
        <f t="shared" si="177"/>
        <v>1.7214484109589044E-5</v>
      </c>
      <c r="AT265" s="158">
        <f t="shared" si="189"/>
        <v>3.4428968219178085E-3</v>
      </c>
      <c r="AU265" s="144">
        <f t="shared" si="178"/>
        <v>5.9061369863013703E-10</v>
      </c>
      <c r="AV265" s="158">
        <f t="shared" si="190"/>
        <v>1.1812273972602741E-6</v>
      </c>
      <c r="AW265" s="144">
        <f t="shared" si="179"/>
        <v>1.5203539726027397E-6</v>
      </c>
      <c r="AX265" s="158">
        <f t="shared" si="191"/>
        <v>2.7149178082191782E-4</v>
      </c>
      <c r="AY265" s="232">
        <f t="shared" si="180"/>
        <v>2.2012142465753425E-6</v>
      </c>
      <c r="AZ265" s="158">
        <f t="shared" si="192"/>
        <v>7.3373808219178091E-3</v>
      </c>
      <c r="BA265" s="232">
        <f t="shared" si="181"/>
        <v>1.2763985388127856E-7</v>
      </c>
      <c r="BB265" s="158">
        <f t="shared" si="193"/>
        <v>3.6468529680365301E-5</v>
      </c>
      <c r="BC265" s="232">
        <f t="shared" si="182"/>
        <v>9.1818149260273948E-9</v>
      </c>
      <c r="BD265" s="158">
        <f t="shared" si="194"/>
        <v>3.0606049753424652E-5</v>
      </c>
      <c r="BE265" s="232">
        <f t="shared" si="183"/>
        <v>1.3811855086757991E-5</v>
      </c>
      <c r="BF265" s="158">
        <f t="shared" si="195"/>
        <v>2.762371017351598E-3</v>
      </c>
      <c r="BG265" s="232">
        <f t="shared" si="184"/>
        <v>4.7387251141552518E-10</v>
      </c>
      <c r="BH265" s="158">
        <f t="shared" si="196"/>
        <v>9.4774502283105038E-7</v>
      </c>
      <c r="BI265" s="232">
        <f t="shared" si="185"/>
        <v>1.2198395616438357E-6</v>
      </c>
      <c r="BJ265" s="158">
        <f t="shared" si="197"/>
        <v>2.1782849315068494E-4</v>
      </c>
      <c r="BK265" s="144"/>
    </row>
    <row r="266" spans="20:74">
      <c r="T266" s="53" t="s">
        <v>414</v>
      </c>
      <c r="U266" s="53" t="s">
        <v>415</v>
      </c>
      <c r="V266" s="155" t="s">
        <v>339</v>
      </c>
      <c r="W266" s="53">
        <v>0.26020300000000002</v>
      </c>
      <c r="X266" s="53">
        <v>34.719721</v>
      </c>
      <c r="Y266" s="53" t="s">
        <v>372</v>
      </c>
      <c r="Z266" s="53" t="s">
        <v>330</v>
      </c>
      <c r="AA266" s="53" t="s">
        <v>347</v>
      </c>
      <c r="AB266" s="154" t="s">
        <v>371</v>
      </c>
      <c r="AC266" s="154" t="s">
        <v>687</v>
      </c>
      <c r="AD266" s="53" t="s">
        <v>674</v>
      </c>
      <c r="AE266" s="53" t="s">
        <v>684</v>
      </c>
      <c r="AF266" s="53" t="s">
        <v>683</v>
      </c>
      <c r="AG266" s="182">
        <v>5.9</v>
      </c>
      <c r="AH266" s="157">
        <v>13.8</v>
      </c>
      <c r="AI266" s="75">
        <v>2.4613400000000003</v>
      </c>
      <c r="AJ266" s="157">
        <v>1092.7</v>
      </c>
      <c r="AK266" s="156">
        <v>0.115</v>
      </c>
      <c r="AL266" s="157">
        <v>382.75</v>
      </c>
      <c r="AM266" s="144">
        <f t="shared" si="174"/>
        <v>1.6861068493150683E-6</v>
      </c>
      <c r="AN266" s="158">
        <f t="shared" si="186"/>
        <v>5.6203561643835614E-3</v>
      </c>
      <c r="AO266" s="144">
        <f t="shared" si="175"/>
        <v>1.3145917808219179E-7</v>
      </c>
      <c r="AP266" s="158">
        <f t="shared" si="187"/>
        <v>3.755976516634051E-5</v>
      </c>
      <c r="AQ266" s="144">
        <f t="shared" si="176"/>
        <v>2.3446792273972606E-8</v>
      </c>
      <c r="AR266" s="158">
        <f t="shared" si="188"/>
        <v>7.8155974246575368E-5</v>
      </c>
      <c r="AS266" s="144">
        <f t="shared" si="177"/>
        <v>1.0409090136986303E-5</v>
      </c>
      <c r="AT266" s="158">
        <f t="shared" si="189"/>
        <v>2.0818180273972607E-3</v>
      </c>
      <c r="AU266" s="144">
        <f t="shared" si="178"/>
        <v>1.0954931506849315E-9</v>
      </c>
      <c r="AV266" s="158">
        <f t="shared" si="190"/>
        <v>2.1909863013698629E-6</v>
      </c>
      <c r="AW266" s="144">
        <f t="shared" si="179"/>
        <v>3.6460869863013698E-6</v>
      </c>
      <c r="AX266" s="158">
        <f t="shared" si="191"/>
        <v>6.5108696183953038E-4</v>
      </c>
      <c r="AY266" s="232">
        <f t="shared" si="180"/>
        <v>1.3528295890410958E-6</v>
      </c>
      <c r="AZ266" s="158">
        <f t="shared" si="192"/>
        <v>4.5094319634703195E-3</v>
      </c>
      <c r="BA266" s="232">
        <f t="shared" si="181"/>
        <v>1.0547484931506851E-7</v>
      </c>
      <c r="BB266" s="158">
        <f t="shared" si="193"/>
        <v>3.0135671232876717E-5</v>
      </c>
      <c r="BC266" s="232">
        <f t="shared" si="182"/>
        <v>1.8812280116894977E-8</v>
      </c>
      <c r="BD266" s="158">
        <f t="shared" si="194"/>
        <v>6.2707600389649924E-5</v>
      </c>
      <c r="BE266" s="232">
        <f t="shared" si="183"/>
        <v>8.3516208584474882E-6</v>
      </c>
      <c r="BF266" s="158">
        <f t="shared" si="195"/>
        <v>1.6703241716894976E-3</v>
      </c>
      <c r="BG266" s="232">
        <f t="shared" si="184"/>
        <v>8.7895707762557066E-10</v>
      </c>
      <c r="BH266" s="158">
        <f t="shared" si="196"/>
        <v>1.7579141552511414E-6</v>
      </c>
      <c r="BI266" s="232">
        <f t="shared" si="185"/>
        <v>2.9253984474885847E-6</v>
      </c>
      <c r="BJ266" s="158">
        <f t="shared" si="197"/>
        <v>5.2239257990867587E-4</v>
      </c>
      <c r="BK266" s="144"/>
    </row>
    <row r="267" spans="20:74">
      <c r="T267" s="53" t="s">
        <v>416</v>
      </c>
      <c r="U267" s="53" t="s">
        <v>417</v>
      </c>
      <c r="V267" s="155" t="s">
        <v>339</v>
      </c>
      <c r="W267" s="53">
        <v>0.26020300000000002</v>
      </c>
      <c r="X267" s="53">
        <v>34.719721</v>
      </c>
      <c r="Y267" s="53" t="s">
        <v>372</v>
      </c>
      <c r="Z267" s="53" t="s">
        <v>330</v>
      </c>
      <c r="AA267" s="53" t="s">
        <v>347</v>
      </c>
      <c r="AB267" s="154" t="s">
        <v>371</v>
      </c>
      <c r="AC267" s="154" t="s">
        <v>687</v>
      </c>
      <c r="AD267" s="53" t="s">
        <v>673</v>
      </c>
      <c r="AE267" s="53" t="s">
        <v>685</v>
      </c>
      <c r="AF267" s="53" t="s">
        <v>691</v>
      </c>
      <c r="AG267" s="156">
        <v>193.6</v>
      </c>
      <c r="AH267" s="157">
        <v>17.2</v>
      </c>
      <c r="AI267" s="75">
        <v>6.2166800000000002</v>
      </c>
      <c r="AJ267" s="157">
        <v>457.7</v>
      </c>
      <c r="AK267" s="156">
        <v>0.13400000000000001</v>
      </c>
      <c r="AL267" s="157">
        <v>64.05</v>
      </c>
      <c r="AM267" s="144">
        <f t="shared" si="174"/>
        <v>5.5327167123287662E-5</v>
      </c>
      <c r="AN267" s="158">
        <f t="shared" si="186"/>
        <v>0.18442389041095889</v>
      </c>
      <c r="AO267" s="144">
        <f t="shared" si="175"/>
        <v>1.6384767123287672E-7</v>
      </c>
      <c r="AP267" s="158">
        <f t="shared" si="187"/>
        <v>4.6813620352250493E-5</v>
      </c>
      <c r="AQ267" s="144">
        <f t="shared" si="176"/>
        <v>5.9220263999999995E-8</v>
      </c>
      <c r="AR267" s="158">
        <f t="shared" si="188"/>
        <v>1.9740088000000001E-4</v>
      </c>
      <c r="AS267" s="144">
        <f t="shared" si="177"/>
        <v>4.3600627397260271E-6</v>
      </c>
      <c r="AT267" s="158">
        <f t="shared" si="189"/>
        <v>8.720125479452054E-4</v>
      </c>
      <c r="AU267" s="144">
        <f t="shared" si="178"/>
        <v>1.2764876712328771E-9</v>
      </c>
      <c r="AV267" s="158">
        <f t="shared" si="190"/>
        <v>2.5529753424657543E-6</v>
      </c>
      <c r="AW267" s="144">
        <f t="shared" si="179"/>
        <v>6.1014205479452058E-7</v>
      </c>
      <c r="AX267" s="158">
        <f t="shared" si="191"/>
        <v>1.0895393835616439E-4</v>
      </c>
      <c r="AY267" s="232">
        <f t="shared" si="180"/>
        <v>4.4391153972602737E-5</v>
      </c>
      <c r="AZ267" s="158">
        <f t="shared" si="192"/>
        <v>0.14797051324200913</v>
      </c>
      <c r="BA267" s="232">
        <f t="shared" si="181"/>
        <v>1.3146140639269409E-7</v>
      </c>
      <c r="BB267" s="158">
        <f t="shared" si="193"/>
        <v>3.7560401826484026E-5</v>
      </c>
      <c r="BC267" s="232">
        <f t="shared" si="182"/>
        <v>4.7514738133333337E-8</v>
      </c>
      <c r="BD267" s="158">
        <f t="shared" si="194"/>
        <v>1.5838246044444447E-4</v>
      </c>
      <c r="BE267" s="232">
        <f t="shared" si="183"/>
        <v>3.498249168949772E-6</v>
      </c>
      <c r="BF267" s="158">
        <f t="shared" si="195"/>
        <v>6.9964983378995439E-4</v>
      </c>
      <c r="BG267" s="232">
        <f t="shared" si="184"/>
        <v>1.0241760730593609E-9</v>
      </c>
      <c r="BH267" s="158">
        <f t="shared" si="196"/>
        <v>2.0483521461187218E-6</v>
      </c>
      <c r="BI267" s="232">
        <f t="shared" si="185"/>
        <v>4.8954087671232864E-7</v>
      </c>
      <c r="BJ267" s="158">
        <f t="shared" si="197"/>
        <v>8.7418013698630116E-5</v>
      </c>
      <c r="BK267" s="144"/>
    </row>
    <row r="268" spans="20:74">
      <c r="T268" s="53" t="s">
        <v>418</v>
      </c>
      <c r="U268" s="53" t="s">
        <v>419</v>
      </c>
      <c r="V268" s="155" t="s">
        <v>339</v>
      </c>
      <c r="W268" s="53">
        <v>0.26067699999999999</v>
      </c>
      <c r="X268" s="53">
        <v>34.720677999999999</v>
      </c>
      <c r="Y268" s="53" t="s">
        <v>372</v>
      </c>
      <c r="Z268" s="53" t="s">
        <v>330</v>
      </c>
      <c r="AA268" s="53" t="s">
        <v>347</v>
      </c>
      <c r="AB268" s="154" t="s">
        <v>371</v>
      </c>
      <c r="AC268" s="154" t="s">
        <v>687</v>
      </c>
      <c r="AD268" s="53" t="s">
        <v>675</v>
      </c>
      <c r="AE268" s="53" t="s">
        <v>684</v>
      </c>
      <c r="AF268" s="53" t="s">
        <v>683</v>
      </c>
      <c r="AG268" s="156">
        <v>10.199999999999999</v>
      </c>
      <c r="AH268" s="157">
        <v>20.5</v>
      </c>
      <c r="AI268" s="75">
        <v>5.9437899999999999</v>
      </c>
      <c r="AJ268" s="157">
        <v>1150</v>
      </c>
      <c r="AK268" s="156">
        <v>9.5000000000000001E-2</v>
      </c>
      <c r="AL268" s="157">
        <v>204.55</v>
      </c>
      <c r="AM268" s="144">
        <f t="shared" si="174"/>
        <v>2.9149643835616427E-6</v>
      </c>
      <c r="AN268" s="158">
        <f t="shared" si="186"/>
        <v>9.7165479452054771E-3</v>
      </c>
      <c r="AO268" s="144">
        <f t="shared" si="175"/>
        <v>1.9528356164383563E-7</v>
      </c>
      <c r="AP268" s="158">
        <f t="shared" si="187"/>
        <v>5.5795303326810179E-5</v>
      </c>
      <c r="AQ268" s="144">
        <f t="shared" si="176"/>
        <v>5.6620706383561645E-8</v>
      </c>
      <c r="AR268" s="158">
        <f t="shared" si="188"/>
        <v>1.8873568794520551E-4</v>
      </c>
      <c r="AS268" s="144">
        <f t="shared" si="177"/>
        <v>1.0954931506849315E-5</v>
      </c>
      <c r="AT268" s="158">
        <f t="shared" si="189"/>
        <v>2.1909863013698629E-3</v>
      </c>
      <c r="AU268" s="144">
        <f t="shared" si="178"/>
        <v>9.0497260273972613E-10</v>
      </c>
      <c r="AV268" s="158">
        <f t="shared" si="190"/>
        <v>1.8099452054794522E-6</v>
      </c>
      <c r="AW268" s="144">
        <f t="shared" si="179"/>
        <v>1.9485489041095896E-6</v>
      </c>
      <c r="AX268" s="158">
        <f t="shared" si="191"/>
        <v>3.4795516144814099E-4</v>
      </c>
      <c r="AY268" s="232">
        <f t="shared" si="180"/>
        <v>2.338790136986301E-6</v>
      </c>
      <c r="AZ268" s="158">
        <f t="shared" si="192"/>
        <v>7.7959671232876709E-3</v>
      </c>
      <c r="BA268" s="232">
        <f t="shared" si="181"/>
        <v>1.5668365296803651E-7</v>
      </c>
      <c r="BB268" s="158">
        <f t="shared" si="193"/>
        <v>4.4766757990867573E-5</v>
      </c>
      <c r="BC268" s="232">
        <f t="shared" si="182"/>
        <v>4.5429011203652968E-8</v>
      </c>
      <c r="BD268" s="158">
        <f t="shared" si="194"/>
        <v>1.5143003734550991E-4</v>
      </c>
      <c r="BE268" s="232">
        <f t="shared" si="183"/>
        <v>8.7895707762557086E-6</v>
      </c>
      <c r="BF268" s="158">
        <f t="shared" si="195"/>
        <v>1.7579141552511418E-3</v>
      </c>
      <c r="BG268" s="232">
        <f t="shared" si="184"/>
        <v>7.2609497716894982E-10</v>
      </c>
      <c r="BH268" s="158">
        <f t="shared" si="196"/>
        <v>1.4521899543378997E-6</v>
      </c>
      <c r="BI268" s="232">
        <f t="shared" si="185"/>
        <v>1.5633971324200912E-6</v>
      </c>
      <c r="BJ268" s="158">
        <f t="shared" si="197"/>
        <v>2.7917805936073057E-4</v>
      </c>
      <c r="BK268" s="144"/>
    </row>
    <row r="269" spans="20:74">
      <c r="T269" s="53" t="s">
        <v>420</v>
      </c>
      <c r="U269" s="53" t="s">
        <v>421</v>
      </c>
      <c r="V269" s="155" t="s">
        <v>339</v>
      </c>
      <c r="W269" s="53">
        <v>0.26067699999999999</v>
      </c>
      <c r="X269" s="53">
        <v>34.720677999999999</v>
      </c>
      <c r="Y269" s="53" t="s">
        <v>372</v>
      </c>
      <c r="Z269" s="53" t="s">
        <v>330</v>
      </c>
      <c r="AA269" s="53" t="s">
        <v>347</v>
      </c>
      <c r="AB269" s="154" t="s">
        <v>371</v>
      </c>
      <c r="AC269" s="154" t="s">
        <v>687</v>
      </c>
      <c r="AD269" s="53" t="s">
        <v>673</v>
      </c>
      <c r="AE269" s="53" t="s">
        <v>685</v>
      </c>
      <c r="AF269" s="53" t="s">
        <v>691</v>
      </c>
      <c r="AG269" s="156">
        <v>345</v>
      </c>
      <c r="AH269" s="157">
        <v>19.8</v>
      </c>
      <c r="AI269" s="75">
        <v>8.6901899999999994</v>
      </c>
      <c r="AJ269" s="157">
        <v>519</v>
      </c>
      <c r="AK269" s="156">
        <v>0.17399999999999999</v>
      </c>
      <c r="AL269" s="157">
        <v>171.29</v>
      </c>
      <c r="AM269" s="144">
        <f t="shared" si="174"/>
        <v>9.859438356164383E-5</v>
      </c>
      <c r="AN269" s="158">
        <f t="shared" si="186"/>
        <v>0.32864794520547946</v>
      </c>
      <c r="AO269" s="144">
        <f t="shared" si="175"/>
        <v>1.8861534246575337E-7</v>
      </c>
      <c r="AP269" s="158">
        <f t="shared" si="187"/>
        <v>5.3890097847358106E-5</v>
      </c>
      <c r="AQ269" s="144">
        <f t="shared" si="176"/>
        <v>8.2782988027397271E-8</v>
      </c>
      <c r="AR269" s="158">
        <f t="shared" si="188"/>
        <v>2.7594329342465757E-4</v>
      </c>
      <c r="AS269" s="144">
        <f t="shared" si="177"/>
        <v>4.9440082191780826E-6</v>
      </c>
      <c r="AT269" s="158">
        <f t="shared" si="189"/>
        <v>9.8880164383561642E-4</v>
      </c>
      <c r="AU269" s="144">
        <f t="shared" si="178"/>
        <v>1.6575287671232872E-9</v>
      </c>
      <c r="AV269" s="158">
        <f t="shared" si="190"/>
        <v>3.3150575342465744E-6</v>
      </c>
      <c r="AW269" s="144">
        <f t="shared" si="179"/>
        <v>1.6317132328767123E-6</v>
      </c>
      <c r="AX269" s="158">
        <f t="shared" si="191"/>
        <v>2.9137736301369864E-4</v>
      </c>
      <c r="AY269" s="232">
        <f t="shared" si="180"/>
        <v>7.9106136986301369E-5</v>
      </c>
      <c r="AZ269" s="158">
        <f t="shared" si="192"/>
        <v>0.26368712328767124</v>
      </c>
      <c r="BA269" s="232">
        <f t="shared" si="181"/>
        <v>1.5133347945205483E-7</v>
      </c>
      <c r="BB269" s="158">
        <f t="shared" si="193"/>
        <v>4.323813698630138E-5</v>
      </c>
      <c r="BC269" s="232">
        <f t="shared" si="182"/>
        <v>6.6420034838356166E-8</v>
      </c>
      <c r="BD269" s="158">
        <f t="shared" si="194"/>
        <v>2.214001161278539E-4</v>
      </c>
      <c r="BE269" s="232">
        <f t="shared" si="183"/>
        <v>3.9667715068493153E-6</v>
      </c>
      <c r="BF269" s="158">
        <f t="shared" si="195"/>
        <v>7.9335430136986301E-4</v>
      </c>
      <c r="BG269" s="232">
        <f t="shared" si="184"/>
        <v>1.3299002739726026E-9</v>
      </c>
      <c r="BH269" s="158">
        <f t="shared" si="196"/>
        <v>2.6598005479452052E-6</v>
      </c>
      <c r="BI269" s="232">
        <f t="shared" si="185"/>
        <v>1.3091874593607306E-6</v>
      </c>
      <c r="BJ269" s="158">
        <f t="shared" si="197"/>
        <v>2.3378347488584475E-4</v>
      </c>
      <c r="BK269" s="144"/>
    </row>
    <row r="270" spans="20:74">
      <c r="T270" s="53" t="s">
        <v>422</v>
      </c>
      <c r="U270" s="53" t="s">
        <v>421</v>
      </c>
      <c r="V270" s="155" t="s">
        <v>339</v>
      </c>
      <c r="W270" s="53">
        <v>0.26067699999999999</v>
      </c>
      <c r="X270" s="53">
        <v>34.720677999999999</v>
      </c>
      <c r="Y270" s="53" t="s">
        <v>372</v>
      </c>
      <c r="Z270" s="53" t="s">
        <v>330</v>
      </c>
      <c r="AA270" s="53" t="s">
        <v>347</v>
      </c>
      <c r="AB270" s="154" t="s">
        <v>371</v>
      </c>
      <c r="AC270" s="154" t="s">
        <v>687</v>
      </c>
      <c r="AD270" s="53" t="s">
        <v>673</v>
      </c>
      <c r="AE270" s="53" t="s">
        <v>685</v>
      </c>
      <c r="AF270" s="53" t="s">
        <v>691</v>
      </c>
      <c r="AG270" s="156">
        <v>349.5</v>
      </c>
      <c r="AH270" s="157">
        <v>20.100000000000001</v>
      </c>
      <c r="AI270" s="74">
        <v>8.69</v>
      </c>
      <c r="AJ270" s="157">
        <v>526.1</v>
      </c>
      <c r="AK270" s="156">
        <v>0.218</v>
      </c>
      <c r="AL270" s="157">
        <v>172.62</v>
      </c>
      <c r="AM270" s="144">
        <f t="shared" si="174"/>
        <v>9.9880397260273965E-5</v>
      </c>
      <c r="AN270" s="158">
        <f t="shared" si="186"/>
        <v>0.33293465753424656</v>
      </c>
      <c r="AO270" s="144">
        <f t="shared" si="175"/>
        <v>1.9147315068493154E-7</v>
      </c>
      <c r="AP270" s="158">
        <f t="shared" si="187"/>
        <v>5.4706614481409008E-5</v>
      </c>
      <c r="AQ270" s="144">
        <f t="shared" si="176"/>
        <v>8.2781178082191805E-8</v>
      </c>
      <c r="AR270" s="158">
        <f t="shared" si="188"/>
        <v>2.759372602739727E-4</v>
      </c>
      <c r="AS270" s="144">
        <f t="shared" si="177"/>
        <v>5.0116430136986299E-6</v>
      </c>
      <c r="AT270" s="158">
        <f t="shared" si="189"/>
        <v>1.002328602739726E-3</v>
      </c>
      <c r="AU270" s="144">
        <f t="shared" si="178"/>
        <v>2.0766739726027392E-9</v>
      </c>
      <c r="AV270" s="158">
        <f t="shared" si="190"/>
        <v>4.1533479452054786E-6</v>
      </c>
      <c r="AW270" s="144">
        <f t="shared" si="179"/>
        <v>1.6443828493150685E-6</v>
      </c>
      <c r="AX270" s="158">
        <f t="shared" si="191"/>
        <v>2.9363979452054793E-4</v>
      </c>
      <c r="AY270" s="232">
        <f t="shared" si="180"/>
        <v>8.0137956164383573E-5</v>
      </c>
      <c r="AZ270" s="158">
        <f t="shared" si="192"/>
        <v>0.26712652054794528</v>
      </c>
      <c r="BA270" s="232">
        <f t="shared" si="181"/>
        <v>1.5362641095890417E-7</v>
      </c>
      <c r="BB270" s="158">
        <f t="shared" si="193"/>
        <v>4.3893260273972616E-5</v>
      </c>
      <c r="BC270" s="232">
        <f t="shared" si="182"/>
        <v>6.6418582648401855E-8</v>
      </c>
      <c r="BD270" s="158">
        <f t="shared" si="194"/>
        <v>2.2139527549467288E-4</v>
      </c>
      <c r="BE270" s="232">
        <f t="shared" si="183"/>
        <v>4.0210375525114164E-6</v>
      </c>
      <c r="BF270" s="158">
        <f t="shared" si="195"/>
        <v>8.0420751050228328E-4</v>
      </c>
      <c r="BG270" s="232">
        <f t="shared" si="184"/>
        <v>1.6661968949771688E-9</v>
      </c>
      <c r="BH270" s="158">
        <f t="shared" si="196"/>
        <v>3.3323937899543375E-6</v>
      </c>
      <c r="BI270" s="232">
        <f t="shared" si="185"/>
        <v>1.3193527890410961E-6</v>
      </c>
      <c r="BJ270" s="158">
        <f t="shared" si="197"/>
        <v>2.3559871232876716E-4</v>
      </c>
      <c r="BK270" s="144"/>
    </row>
    <row r="271" spans="20:74">
      <c r="T271" s="53" t="s">
        <v>423</v>
      </c>
      <c r="U271" s="53" t="s">
        <v>424</v>
      </c>
      <c r="V271" s="180">
        <v>43887</v>
      </c>
      <c r="W271" s="53">
        <v>0.31646400000000002</v>
      </c>
      <c r="X271" s="53">
        <v>34.649081000000002</v>
      </c>
      <c r="Y271" s="53" t="s">
        <v>661</v>
      </c>
      <c r="Z271" s="53"/>
      <c r="AA271" s="53" t="s">
        <v>347</v>
      </c>
      <c r="AB271" s="154" t="s">
        <v>371</v>
      </c>
      <c r="AC271" s="154" t="s">
        <v>688</v>
      </c>
      <c r="AD271" s="53" t="s">
        <v>676</v>
      </c>
      <c r="AE271" s="53" t="s">
        <v>684</v>
      </c>
      <c r="AF271" s="53" t="s">
        <v>683</v>
      </c>
      <c r="AG271" s="156">
        <v>1.7</v>
      </c>
      <c r="AH271" s="157">
        <v>17.600000000000001</v>
      </c>
      <c r="AI271" s="75">
        <v>1.6597500000000001</v>
      </c>
      <c r="AJ271" s="157">
        <v>55.5</v>
      </c>
      <c r="AK271" s="156">
        <v>2.7E-2</v>
      </c>
      <c r="AL271" s="157">
        <v>23.42</v>
      </c>
      <c r="AM271" s="144">
        <f t="shared" si="174"/>
        <v>4.8582739726027399E-7</v>
      </c>
      <c r="AN271" s="158">
        <f t="shared" si="186"/>
        <v>1.6194246575342468E-3</v>
      </c>
      <c r="AO271" s="144">
        <f t="shared" si="175"/>
        <v>1.6765808219178082E-7</v>
      </c>
      <c r="AP271" s="158">
        <f t="shared" si="187"/>
        <v>4.7902309197651664E-5</v>
      </c>
      <c r="AQ271" s="144">
        <f t="shared" si="176"/>
        <v>1.5810823972602744E-8</v>
      </c>
      <c r="AR271" s="158">
        <f t="shared" si="188"/>
        <v>5.2702746575342486E-5</v>
      </c>
      <c r="AS271" s="144">
        <f t="shared" si="177"/>
        <v>5.2869452054794523E-7</v>
      </c>
      <c r="AT271" s="158">
        <f t="shared" si="189"/>
        <v>1.0573890410958904E-4</v>
      </c>
      <c r="AU271" s="144">
        <f t="shared" si="178"/>
        <v>2.5720273972602745E-10</v>
      </c>
      <c r="AV271" s="158">
        <f t="shared" si="190"/>
        <v>5.1440547945205489E-7</v>
      </c>
      <c r="AW271" s="144">
        <f t="shared" si="179"/>
        <v>2.2309956164383562E-7</v>
      </c>
      <c r="AX271" s="158">
        <f t="shared" si="191"/>
        <v>3.9839207436399217E-5</v>
      </c>
      <c r="AY271" s="232">
        <f t="shared" si="180"/>
        <v>3.897983561643835E-7</v>
      </c>
      <c r="AZ271" s="158">
        <f t="shared" si="192"/>
        <v>1.2993278538812785E-3</v>
      </c>
      <c r="BA271" s="232">
        <f t="shared" si="181"/>
        <v>1.3451864840182651E-7</v>
      </c>
      <c r="BB271" s="158">
        <f t="shared" si="193"/>
        <v>3.8433899543379004E-5</v>
      </c>
      <c r="BC271" s="232">
        <f t="shared" si="182"/>
        <v>1.2685643561643836E-8</v>
      </c>
      <c r="BD271" s="158">
        <f t="shared" si="194"/>
        <v>4.2285478538812789E-5</v>
      </c>
      <c r="BE271" s="232">
        <f t="shared" si="183"/>
        <v>4.2419232876712335E-7</v>
      </c>
      <c r="BF271" s="158">
        <f t="shared" si="195"/>
        <v>8.4838465753424668E-5</v>
      </c>
      <c r="BG271" s="232">
        <f t="shared" si="184"/>
        <v>2.0636383561643828E-10</v>
      </c>
      <c r="BH271" s="158">
        <f t="shared" si="196"/>
        <v>4.1272767123287655E-7</v>
      </c>
      <c r="BI271" s="232">
        <f t="shared" si="185"/>
        <v>1.7900151963470321E-7</v>
      </c>
      <c r="BJ271" s="158">
        <f t="shared" si="197"/>
        <v>3.1964557077625573E-5</v>
      </c>
      <c r="BK271" s="144"/>
    </row>
    <row r="272" spans="20:74">
      <c r="T272" s="53" t="s">
        <v>425</v>
      </c>
      <c r="U272" s="53" t="s">
        <v>426</v>
      </c>
      <c r="V272" s="155" t="s">
        <v>339</v>
      </c>
      <c r="W272" s="53">
        <v>0.31646400000000002</v>
      </c>
      <c r="X272" s="53">
        <v>34.649081000000002</v>
      </c>
      <c r="Y272" s="53" t="s">
        <v>350</v>
      </c>
      <c r="Z272" s="53"/>
      <c r="AA272" s="53" t="s">
        <v>347</v>
      </c>
      <c r="AB272" s="154" t="s">
        <v>371</v>
      </c>
      <c r="AC272" s="154" t="s">
        <v>688</v>
      </c>
      <c r="AD272" s="53" t="s">
        <v>676</v>
      </c>
      <c r="AE272" s="53" t="s">
        <v>684</v>
      </c>
      <c r="AF272" s="53" t="s">
        <v>683</v>
      </c>
      <c r="AG272" s="182">
        <v>3.1</v>
      </c>
      <c r="AH272" s="157">
        <v>28.6</v>
      </c>
      <c r="AI272" s="75">
        <v>6.0182399999999996</v>
      </c>
      <c r="AJ272" s="157">
        <v>60.9</v>
      </c>
      <c r="AK272" s="156">
        <v>6.4000000000000001E-2</v>
      </c>
      <c r="AL272" s="157">
        <v>25.26</v>
      </c>
      <c r="AM272" s="144">
        <f t="shared" si="174"/>
        <v>8.8592054794520518E-7</v>
      </c>
      <c r="AN272" s="158">
        <f t="shared" si="186"/>
        <v>2.953068493150684E-3</v>
      </c>
      <c r="AO272" s="144">
        <f t="shared" si="175"/>
        <v>2.7244438356164387E-7</v>
      </c>
      <c r="AP272" s="158">
        <f t="shared" si="187"/>
        <v>7.7841252446183968E-5</v>
      </c>
      <c r="AQ272" s="144">
        <f t="shared" si="176"/>
        <v>5.7329919123287672E-8</v>
      </c>
      <c r="AR272" s="158">
        <f t="shared" si="188"/>
        <v>1.9109973041095892E-4</v>
      </c>
      <c r="AS272" s="144">
        <f t="shared" si="177"/>
        <v>5.8013506849315064E-7</v>
      </c>
      <c r="AT272" s="158">
        <f t="shared" si="189"/>
        <v>1.1602701369863013E-4</v>
      </c>
      <c r="AU272" s="144">
        <f t="shared" si="178"/>
        <v>6.0966575342465752E-10</v>
      </c>
      <c r="AV272" s="158">
        <f t="shared" si="190"/>
        <v>1.2193315068493149E-6</v>
      </c>
      <c r="AW272" s="144">
        <f t="shared" si="179"/>
        <v>2.4062745205479448E-7</v>
      </c>
      <c r="AX272" s="158">
        <f t="shared" si="191"/>
        <v>4.2969187866927589E-5</v>
      </c>
      <c r="AY272" s="232">
        <f t="shared" si="180"/>
        <v>7.1080876712328763E-7</v>
      </c>
      <c r="AZ272" s="158">
        <f t="shared" si="192"/>
        <v>2.3693625570776256E-3</v>
      </c>
      <c r="BA272" s="232">
        <f t="shared" si="181"/>
        <v>2.1859280365296804E-7</v>
      </c>
      <c r="BB272" s="158">
        <f t="shared" si="193"/>
        <v>6.2455086757990871E-5</v>
      </c>
      <c r="BC272" s="232">
        <f t="shared" si="182"/>
        <v>4.5998040372602745E-8</v>
      </c>
      <c r="BD272" s="158">
        <f t="shared" si="194"/>
        <v>1.5332680124200917E-4</v>
      </c>
      <c r="BE272" s="232">
        <f t="shared" si="183"/>
        <v>4.6546509589041093E-7</v>
      </c>
      <c r="BF272" s="158">
        <f t="shared" si="195"/>
        <v>9.3093019178082189E-5</v>
      </c>
      <c r="BG272" s="232">
        <f t="shared" si="184"/>
        <v>4.8915872146118734E-10</v>
      </c>
      <c r="BH272" s="158">
        <f t="shared" si="196"/>
        <v>9.783174429223746E-7</v>
      </c>
      <c r="BI272" s="232">
        <f t="shared" si="185"/>
        <v>1.9306483287671233E-7</v>
      </c>
      <c r="BJ272" s="158">
        <f t="shared" si="197"/>
        <v>3.4475863013698629E-5</v>
      </c>
      <c r="BK272" s="144"/>
    </row>
    <row r="273" spans="20:63">
      <c r="T273" s="53" t="s">
        <v>427</v>
      </c>
      <c r="U273" s="53" t="s">
        <v>428</v>
      </c>
      <c r="V273" s="180">
        <v>43888</v>
      </c>
      <c r="W273" s="53">
        <v>0.25118800000000002</v>
      </c>
      <c r="X273" s="53">
        <v>34.723633</v>
      </c>
      <c r="Y273" s="53" t="s">
        <v>661</v>
      </c>
      <c r="Z273" s="53"/>
      <c r="AA273" s="53" t="s">
        <v>347</v>
      </c>
      <c r="AB273" s="154" t="s">
        <v>371</v>
      </c>
      <c r="AC273" s="154" t="s">
        <v>687</v>
      </c>
      <c r="AD273" s="53" t="s">
        <v>675</v>
      </c>
      <c r="AE273" s="53" t="s">
        <v>684</v>
      </c>
      <c r="AF273" s="53" t="s">
        <v>683</v>
      </c>
      <c r="AG273" s="156">
        <v>16</v>
      </c>
      <c r="AH273" s="157">
        <v>13.6</v>
      </c>
      <c r="AI273" s="75">
        <v>7.2234099999999994</v>
      </c>
      <c r="AJ273" s="157">
        <v>211.5</v>
      </c>
      <c r="AK273" s="156">
        <v>3.9E-2</v>
      </c>
      <c r="AL273" s="157">
        <v>33.979999999999997</v>
      </c>
      <c r="AM273" s="144">
        <f t="shared" si="174"/>
        <v>4.5724931506849318E-6</v>
      </c>
      <c r="AN273" s="158">
        <f t="shared" si="186"/>
        <v>1.524164383561644E-2</v>
      </c>
      <c r="AO273" s="144">
        <f t="shared" si="175"/>
        <v>1.2955397260273973E-7</v>
      </c>
      <c r="AP273" s="158">
        <f t="shared" si="187"/>
        <v>3.7015420743639924E-5</v>
      </c>
      <c r="AQ273" s="144">
        <f t="shared" si="176"/>
        <v>6.8810401561643848E-8</v>
      </c>
      <c r="AR273" s="158">
        <f t="shared" si="188"/>
        <v>2.2936800520547952E-4</v>
      </c>
      <c r="AS273" s="144">
        <f t="shared" si="177"/>
        <v>2.0147547945205478E-6</v>
      </c>
      <c r="AT273" s="158">
        <f t="shared" si="189"/>
        <v>4.0295095890410955E-4</v>
      </c>
      <c r="AU273" s="144">
        <f t="shared" si="178"/>
        <v>3.7151506849315076E-10</v>
      </c>
      <c r="AV273" s="158">
        <f t="shared" si="190"/>
        <v>7.4303013698630154E-7</v>
      </c>
      <c r="AW273" s="144">
        <f t="shared" si="179"/>
        <v>3.2369441095890399E-7</v>
      </c>
      <c r="AX273" s="158">
        <f t="shared" si="191"/>
        <v>5.7802573385518569E-5</v>
      </c>
      <c r="AY273" s="232">
        <f t="shared" si="180"/>
        <v>3.6686904109589043E-6</v>
      </c>
      <c r="AZ273" s="158">
        <f t="shared" si="192"/>
        <v>1.2228968036529682E-2</v>
      </c>
      <c r="BA273" s="232">
        <f t="shared" si="181"/>
        <v>1.039462283105023E-7</v>
      </c>
      <c r="BB273" s="158">
        <f t="shared" si="193"/>
        <v>2.9698922374429228E-5</v>
      </c>
      <c r="BC273" s="232">
        <f t="shared" si="182"/>
        <v>5.5209281252968039E-8</v>
      </c>
      <c r="BD273" s="158">
        <f t="shared" si="194"/>
        <v>1.8403093750989349E-4</v>
      </c>
      <c r="BE273" s="232">
        <f t="shared" si="183"/>
        <v>1.6165167123287671E-6</v>
      </c>
      <c r="BF273" s="158">
        <f t="shared" si="195"/>
        <v>3.2330334246575339E-4</v>
      </c>
      <c r="BG273" s="232">
        <f t="shared" si="184"/>
        <v>2.9808109589041096E-10</v>
      </c>
      <c r="BH273" s="158">
        <f t="shared" si="196"/>
        <v>5.9616219178082194E-7</v>
      </c>
      <c r="BI273" s="232">
        <f t="shared" si="185"/>
        <v>2.5971270867579906E-7</v>
      </c>
      <c r="BJ273" s="158">
        <f t="shared" si="197"/>
        <v>4.6377269406392689E-5</v>
      </c>
      <c r="BK273" s="144"/>
    </row>
    <row r="274" spans="20:63">
      <c r="T274" s="53" t="s">
        <v>429</v>
      </c>
      <c r="U274" s="53" t="s">
        <v>430</v>
      </c>
      <c r="V274" s="180">
        <v>43889</v>
      </c>
      <c r="W274" s="53">
        <v>0.18990299999999999</v>
      </c>
      <c r="X274" s="53">
        <v>34.745731999999997</v>
      </c>
      <c r="Y274" s="53" t="s">
        <v>663</v>
      </c>
      <c r="Z274" s="53"/>
      <c r="AA274" s="53" t="s">
        <v>347</v>
      </c>
      <c r="AB274" s="154" t="s">
        <v>371</v>
      </c>
      <c r="AC274" s="154" t="s">
        <v>687</v>
      </c>
      <c r="AD274" s="53" t="s">
        <v>673</v>
      </c>
      <c r="AE274" s="53" t="s">
        <v>685</v>
      </c>
      <c r="AF274" s="53" t="s">
        <v>691</v>
      </c>
      <c r="AG274" s="156">
        <v>39.799999999999997</v>
      </c>
      <c r="AH274" s="157">
        <v>18.100000000000001</v>
      </c>
      <c r="AI274" s="75">
        <v>6.2552899999999996</v>
      </c>
      <c r="AJ274" s="157">
        <v>412.9</v>
      </c>
      <c r="AK274" s="156">
        <v>0.13</v>
      </c>
      <c r="AL274" s="157">
        <v>157.13</v>
      </c>
      <c r="AM274" s="144">
        <f t="shared" si="174"/>
        <v>1.1374076712328763E-5</v>
      </c>
      <c r="AN274" s="158">
        <f t="shared" si="186"/>
        <v>3.7913589041095881E-2</v>
      </c>
      <c r="AO274" s="144">
        <f t="shared" si="175"/>
        <v>1.7242109589041102E-7</v>
      </c>
      <c r="AP274" s="158">
        <f t="shared" si="187"/>
        <v>4.9263170254403145E-5</v>
      </c>
      <c r="AQ274" s="144">
        <f t="shared" si="176"/>
        <v>5.9588063917808222E-8</v>
      </c>
      <c r="AR274" s="158">
        <f t="shared" si="188"/>
        <v>1.9862687972602744E-4</v>
      </c>
      <c r="AS274" s="144">
        <f t="shared" si="177"/>
        <v>3.9332967123287674E-6</v>
      </c>
      <c r="AT274" s="158">
        <f t="shared" si="189"/>
        <v>7.8665934246575345E-4</v>
      </c>
      <c r="AU274" s="144">
        <f t="shared" si="178"/>
        <v>1.2383835616438355E-9</v>
      </c>
      <c r="AV274" s="158">
        <f t="shared" si="190"/>
        <v>2.476767123287671E-6</v>
      </c>
      <c r="AW274" s="144">
        <f t="shared" si="179"/>
        <v>1.4968246849315069E-6</v>
      </c>
      <c r="AX274" s="158">
        <f t="shared" si="191"/>
        <v>2.6729012230919765E-4</v>
      </c>
      <c r="AY274" s="232">
        <f t="shared" si="180"/>
        <v>9.1258673972602716E-6</v>
      </c>
      <c r="AZ274" s="158">
        <f t="shared" si="192"/>
        <v>3.0419557990867575E-2</v>
      </c>
      <c r="BA274" s="232">
        <f t="shared" si="181"/>
        <v>1.3834020091324204E-7</v>
      </c>
      <c r="BB274" s="158">
        <f t="shared" si="193"/>
        <v>3.9525771689497722E-5</v>
      </c>
      <c r="BC274" s="232">
        <f t="shared" si="182"/>
        <v>4.7809838418264834E-8</v>
      </c>
      <c r="BD274" s="158">
        <f t="shared" si="194"/>
        <v>1.5936612806088279E-4</v>
      </c>
      <c r="BE274" s="232">
        <f t="shared" si="183"/>
        <v>3.1558380639269404E-6</v>
      </c>
      <c r="BF274" s="158">
        <f t="shared" si="195"/>
        <v>6.3116761278538805E-4</v>
      </c>
      <c r="BG274" s="232">
        <f t="shared" si="184"/>
        <v>9.9360365296803662E-10</v>
      </c>
      <c r="BH274" s="158">
        <f t="shared" si="196"/>
        <v>1.9872073059360734E-6</v>
      </c>
      <c r="BI274" s="232">
        <f t="shared" si="185"/>
        <v>1.2009610922374429E-6</v>
      </c>
      <c r="BJ274" s="158">
        <f t="shared" si="197"/>
        <v>2.144573378995434E-4</v>
      </c>
      <c r="BK274" s="144"/>
    </row>
    <row r="275" spans="20:63">
      <c r="T275" s="53" t="s">
        <v>431</v>
      </c>
      <c r="U275" s="53" t="s">
        <v>432</v>
      </c>
      <c r="V275" s="180">
        <v>43889</v>
      </c>
      <c r="W275" s="53">
        <v>0.187274</v>
      </c>
      <c r="X275" s="53">
        <v>34.735595000000004</v>
      </c>
      <c r="Y275" s="53" t="s">
        <v>663</v>
      </c>
      <c r="Z275" s="53"/>
      <c r="AA275" s="53" t="s">
        <v>347</v>
      </c>
      <c r="AB275" s="154" t="s">
        <v>371</v>
      </c>
      <c r="AC275" s="154" t="s">
        <v>687</v>
      </c>
      <c r="AD275" s="53" t="s">
        <v>673</v>
      </c>
      <c r="AE275" s="53" t="s">
        <v>685</v>
      </c>
      <c r="AF275" s="53" t="s">
        <v>691</v>
      </c>
      <c r="AG275" s="156">
        <v>318.10000000000002</v>
      </c>
      <c r="AH275" s="157">
        <v>19</v>
      </c>
      <c r="AI275" s="75">
        <v>11.98624</v>
      </c>
      <c r="AJ275" s="157">
        <v>218.1</v>
      </c>
      <c r="AK275" s="156">
        <v>0.11799999999999999</v>
      </c>
      <c r="AL275" s="157">
        <v>67.67</v>
      </c>
      <c r="AM275" s="144">
        <f t="shared" si="174"/>
        <v>9.09068794520548E-5</v>
      </c>
      <c r="AN275" s="158">
        <f t="shared" si="186"/>
        <v>0.30302293150684934</v>
      </c>
      <c r="AO275" s="144">
        <f t="shared" si="175"/>
        <v>1.8099452054794518E-7</v>
      </c>
      <c r="AP275" s="158">
        <f t="shared" si="187"/>
        <v>5.1712720156555763E-5</v>
      </c>
      <c r="AQ275" s="144">
        <f t="shared" si="176"/>
        <v>1.1418125063013698E-7</v>
      </c>
      <c r="AR275" s="158">
        <f t="shared" si="188"/>
        <v>3.8060416876712331E-4</v>
      </c>
      <c r="AS275" s="144">
        <f t="shared" si="177"/>
        <v>2.0776265753424658E-6</v>
      </c>
      <c r="AT275" s="158">
        <f t="shared" si="189"/>
        <v>4.1552531506849314E-4</v>
      </c>
      <c r="AU275" s="144">
        <f t="shared" si="178"/>
        <v>1.1240712328767122E-9</v>
      </c>
      <c r="AV275" s="158">
        <f t="shared" si="190"/>
        <v>2.2481424657534243E-6</v>
      </c>
      <c r="AW275" s="144">
        <f t="shared" si="179"/>
        <v>6.4462627397260267E-7</v>
      </c>
      <c r="AX275" s="158">
        <f t="shared" si="191"/>
        <v>1.1511183463796477E-4</v>
      </c>
      <c r="AY275" s="232">
        <f t="shared" si="180"/>
        <v>7.2938151232876725E-5</v>
      </c>
      <c r="AZ275" s="158">
        <f t="shared" si="192"/>
        <v>0.24312717077625576</v>
      </c>
      <c r="BA275" s="232">
        <f t="shared" si="181"/>
        <v>1.4521899543378998E-7</v>
      </c>
      <c r="BB275" s="158">
        <f t="shared" si="193"/>
        <v>4.1491141552511425E-5</v>
      </c>
      <c r="BC275" s="232">
        <f t="shared" si="182"/>
        <v>9.1612091148858456E-8</v>
      </c>
      <c r="BD275" s="158">
        <f t="shared" si="194"/>
        <v>3.0537363716286154E-4</v>
      </c>
      <c r="BE275" s="232">
        <f t="shared" si="183"/>
        <v>1.6669612054794521E-6</v>
      </c>
      <c r="BF275" s="158">
        <f t="shared" si="195"/>
        <v>3.3339224109589039E-4</v>
      </c>
      <c r="BG275" s="232">
        <f t="shared" si="184"/>
        <v>9.0188639269406379E-10</v>
      </c>
      <c r="BH275" s="158">
        <f t="shared" si="196"/>
        <v>1.8037727853881275E-6</v>
      </c>
      <c r="BI275" s="232">
        <f t="shared" si="185"/>
        <v>5.1720891689497718E-7</v>
      </c>
      <c r="BJ275" s="158">
        <f t="shared" si="197"/>
        <v>9.2358735159817353E-5</v>
      </c>
      <c r="BK275" s="144"/>
    </row>
    <row r="276" spans="20:63">
      <c r="T276" s="53" t="s">
        <v>433</v>
      </c>
      <c r="U276" s="53" t="s">
        <v>432</v>
      </c>
      <c r="V276" s="180">
        <v>43889</v>
      </c>
      <c r="W276" s="53">
        <v>0.187274</v>
      </c>
      <c r="X276" s="53">
        <v>34.735595000000004</v>
      </c>
      <c r="Y276" s="53" t="s">
        <v>663</v>
      </c>
      <c r="Z276" s="53"/>
      <c r="AA276" s="53" t="s">
        <v>347</v>
      </c>
      <c r="AB276" s="154" t="s">
        <v>371</v>
      </c>
      <c r="AC276" s="154" t="s">
        <v>687</v>
      </c>
      <c r="AD276" s="53" t="s">
        <v>673</v>
      </c>
      <c r="AE276" s="53" t="s">
        <v>685</v>
      </c>
      <c r="AF276" s="53" t="s">
        <v>691</v>
      </c>
      <c r="AG276" s="156">
        <v>332</v>
      </c>
      <c r="AH276" s="157">
        <v>19.5</v>
      </c>
      <c r="AI276" s="74">
        <v>12</v>
      </c>
      <c r="AJ276" s="157">
        <v>227.5</v>
      </c>
      <c r="AK276" s="156">
        <v>0.11899999999999999</v>
      </c>
      <c r="AL276" s="157">
        <v>69.3</v>
      </c>
      <c r="AM276" s="144">
        <f t="shared" si="174"/>
        <v>9.4879232876712323E-5</v>
      </c>
      <c r="AN276" s="158">
        <f t="shared" si="186"/>
        <v>0.31626410958904111</v>
      </c>
      <c r="AO276" s="144">
        <f t="shared" si="175"/>
        <v>1.8575753424657536E-7</v>
      </c>
      <c r="AP276" s="158">
        <f t="shared" si="187"/>
        <v>5.3073581213307244E-5</v>
      </c>
      <c r="AQ276" s="144">
        <f t="shared" si="176"/>
        <v>1.1431232876712329E-7</v>
      </c>
      <c r="AR276" s="158">
        <f t="shared" si="188"/>
        <v>3.8104109589041099E-4</v>
      </c>
      <c r="AS276" s="144">
        <f t="shared" si="177"/>
        <v>2.1671712328767122E-6</v>
      </c>
      <c r="AT276" s="158">
        <f t="shared" si="189"/>
        <v>4.334342465753424E-4</v>
      </c>
      <c r="AU276" s="144">
        <f t="shared" si="178"/>
        <v>1.1335972602739727E-9</v>
      </c>
      <c r="AV276" s="158">
        <f t="shared" si="190"/>
        <v>2.2671945205479453E-6</v>
      </c>
      <c r="AW276" s="144">
        <f t="shared" si="179"/>
        <v>6.6015369863013694E-7</v>
      </c>
      <c r="AX276" s="158">
        <f t="shared" si="191"/>
        <v>1.1788458904109589E-4</v>
      </c>
      <c r="AY276" s="232">
        <f t="shared" si="180"/>
        <v>7.6125326027397252E-5</v>
      </c>
      <c r="AZ276" s="158">
        <f t="shared" si="192"/>
        <v>0.25375108675799085</v>
      </c>
      <c r="BA276" s="232">
        <f t="shared" si="181"/>
        <v>1.4904054794520548E-7</v>
      </c>
      <c r="BB276" s="158">
        <f t="shared" si="193"/>
        <v>4.2583013698630137E-5</v>
      </c>
      <c r="BC276" s="232">
        <f t="shared" si="182"/>
        <v>9.1717260273972585E-8</v>
      </c>
      <c r="BD276" s="158">
        <f t="shared" si="194"/>
        <v>3.0572420091324199E-4</v>
      </c>
      <c r="BE276" s="232">
        <f t="shared" si="183"/>
        <v>1.738806392694064E-6</v>
      </c>
      <c r="BF276" s="158">
        <f t="shared" si="195"/>
        <v>3.4776127853881276E-4</v>
      </c>
      <c r="BG276" s="232">
        <f t="shared" si="184"/>
        <v>9.0952949771689497E-10</v>
      </c>
      <c r="BH276" s="158">
        <f t="shared" si="196"/>
        <v>1.8190589954337898E-6</v>
      </c>
      <c r="BI276" s="232">
        <f t="shared" si="185"/>
        <v>5.2966717808219177E-7</v>
      </c>
      <c r="BJ276" s="158">
        <f t="shared" si="197"/>
        <v>9.4583424657534247E-5</v>
      </c>
      <c r="BK276" s="144"/>
    </row>
    <row r="277" spans="20:63">
      <c r="T277" s="53" t="s">
        <v>434</v>
      </c>
      <c r="U277" s="53" t="s">
        <v>435</v>
      </c>
      <c r="V277" s="180">
        <v>43889</v>
      </c>
      <c r="W277" s="183">
        <v>0.18878500000000001</v>
      </c>
      <c r="X277" s="183">
        <v>34.739865000000002</v>
      </c>
      <c r="Y277" s="53" t="s">
        <v>665</v>
      </c>
      <c r="Z277" s="53"/>
      <c r="AA277" s="53" t="s">
        <v>347</v>
      </c>
      <c r="AB277" s="154" t="s">
        <v>371</v>
      </c>
      <c r="AC277" s="154" t="s">
        <v>687</v>
      </c>
      <c r="AD277" s="53" t="s">
        <v>675</v>
      </c>
      <c r="AE277" s="53" t="s">
        <v>684</v>
      </c>
      <c r="AF277" s="53" t="s">
        <v>683</v>
      </c>
      <c r="AG277" s="156">
        <v>104.7</v>
      </c>
      <c r="AH277" s="157">
        <v>41.8</v>
      </c>
      <c r="AI277" s="75">
        <v>4.0749399999999998</v>
      </c>
      <c r="AJ277" s="157">
        <v>214</v>
      </c>
      <c r="AK277" s="156">
        <v>0.115</v>
      </c>
      <c r="AL277" s="157">
        <v>122.55</v>
      </c>
      <c r="AM277" s="144">
        <f t="shared" si="174"/>
        <v>2.9921252054794514E-5</v>
      </c>
      <c r="AN277" s="158">
        <f t="shared" si="186"/>
        <v>9.9737506849315052E-2</v>
      </c>
      <c r="AO277" s="144">
        <f t="shared" si="175"/>
        <v>3.9818794520547945E-7</v>
      </c>
      <c r="AP277" s="158">
        <f t="shared" si="187"/>
        <v>1.137679843444227E-4</v>
      </c>
      <c r="AQ277" s="144">
        <f t="shared" si="176"/>
        <v>3.8817990082191783E-8</v>
      </c>
      <c r="AR277" s="158">
        <f t="shared" si="188"/>
        <v>1.2939330027397262E-4</v>
      </c>
      <c r="AS277" s="144">
        <f t="shared" si="177"/>
        <v>2.038569863013699E-6</v>
      </c>
      <c r="AT277" s="158">
        <f t="shared" si="189"/>
        <v>4.0771397260273981E-4</v>
      </c>
      <c r="AU277" s="144">
        <f t="shared" si="178"/>
        <v>1.0954931506849315E-9</v>
      </c>
      <c r="AV277" s="158">
        <f t="shared" si="190"/>
        <v>2.1909863013698629E-6</v>
      </c>
      <c r="AW277" s="144">
        <f t="shared" si="179"/>
        <v>1.1674146575342465E-6</v>
      </c>
      <c r="AX277" s="158">
        <f t="shared" si="191"/>
        <v>2.0846690313111544E-4</v>
      </c>
      <c r="AY277" s="232">
        <f t="shared" si="180"/>
        <v>2.4006992876712328E-5</v>
      </c>
      <c r="AZ277" s="158">
        <f t="shared" si="192"/>
        <v>8.0023309589041094E-2</v>
      </c>
      <c r="BA277" s="232">
        <f t="shared" si="181"/>
        <v>3.1948178995433792E-7</v>
      </c>
      <c r="BB277" s="158">
        <f t="shared" si="193"/>
        <v>9.1280511415525116E-5</v>
      </c>
      <c r="BC277" s="232">
        <f t="shared" si="182"/>
        <v>3.1145194381735158E-8</v>
      </c>
      <c r="BD277" s="158">
        <f t="shared" si="194"/>
        <v>1.0381731460578387E-4</v>
      </c>
      <c r="BE277" s="232">
        <f t="shared" si="183"/>
        <v>1.635624474885845E-6</v>
      </c>
      <c r="BF277" s="158">
        <f t="shared" si="195"/>
        <v>3.2712489497716896E-4</v>
      </c>
      <c r="BG277" s="232">
        <f t="shared" si="184"/>
        <v>8.7895707762557066E-10</v>
      </c>
      <c r="BH277" s="158">
        <f t="shared" si="196"/>
        <v>1.7579141552511414E-6</v>
      </c>
      <c r="BI277" s="232">
        <f t="shared" si="185"/>
        <v>9.3666252054794525E-7</v>
      </c>
      <c r="BJ277" s="158">
        <f t="shared" si="197"/>
        <v>1.6726116438356165E-4</v>
      </c>
      <c r="BK277" s="144"/>
    </row>
    <row r="278" spans="20:63">
      <c r="T278" s="53" t="s">
        <v>436</v>
      </c>
      <c r="U278" s="53" t="s">
        <v>437</v>
      </c>
      <c r="V278" s="180">
        <v>43889</v>
      </c>
      <c r="W278" s="183">
        <v>0.18942800000000001</v>
      </c>
      <c r="X278" s="183">
        <v>34.740335999999999</v>
      </c>
      <c r="Y278" s="53" t="s">
        <v>665</v>
      </c>
      <c r="Z278" s="53"/>
      <c r="AA278" s="53" t="s">
        <v>347</v>
      </c>
      <c r="AB278" s="154" t="s">
        <v>371</v>
      </c>
      <c r="AC278" s="154" t="s">
        <v>687</v>
      </c>
      <c r="AD278" s="53" t="s">
        <v>675</v>
      </c>
      <c r="AE278" s="53" t="s">
        <v>684</v>
      </c>
      <c r="AF278" s="53" t="s">
        <v>683</v>
      </c>
      <c r="AG278" s="156">
        <v>112.8</v>
      </c>
      <c r="AH278" s="157">
        <v>36.5</v>
      </c>
      <c r="AI278" s="75">
        <v>3.0255999999999998</v>
      </c>
      <c r="AJ278" s="157">
        <v>261.2</v>
      </c>
      <c r="AK278" s="156">
        <v>0.158</v>
      </c>
      <c r="AL278" s="157">
        <v>95.64</v>
      </c>
      <c r="AM278" s="144">
        <f t="shared" si="174"/>
        <v>3.2236076712328758E-5</v>
      </c>
      <c r="AN278" s="158">
        <f t="shared" si="186"/>
        <v>0.10745358904109586</v>
      </c>
      <c r="AO278" s="144">
        <f t="shared" si="175"/>
        <v>3.4770000000000008E-7</v>
      </c>
      <c r="AP278" s="158">
        <f t="shared" si="187"/>
        <v>9.9342857142857165E-5</v>
      </c>
      <c r="AQ278" s="144">
        <f t="shared" si="176"/>
        <v>2.882194849315068E-8</v>
      </c>
      <c r="AR278" s="158">
        <f t="shared" si="188"/>
        <v>9.6073161643835605E-5</v>
      </c>
      <c r="AS278" s="144">
        <f t="shared" si="177"/>
        <v>2.4881983561643838E-6</v>
      </c>
      <c r="AT278" s="158">
        <f t="shared" si="189"/>
        <v>4.9763967123287671E-4</v>
      </c>
      <c r="AU278" s="144">
        <f t="shared" si="178"/>
        <v>1.5051123287671233E-9</v>
      </c>
      <c r="AV278" s="158">
        <f t="shared" si="190"/>
        <v>3.0102246575342465E-6</v>
      </c>
      <c r="AW278" s="144">
        <f t="shared" si="179"/>
        <v>9.1106926027397252E-7</v>
      </c>
      <c r="AX278" s="158">
        <f t="shared" si="191"/>
        <v>1.6269093933463796E-4</v>
      </c>
      <c r="AY278" s="232">
        <f t="shared" si="180"/>
        <v>2.5864267397260274E-5</v>
      </c>
      <c r="AZ278" s="158">
        <f t="shared" si="192"/>
        <v>8.6214224657534255E-2</v>
      </c>
      <c r="BA278" s="232">
        <f t="shared" si="181"/>
        <v>2.7897333333333334E-7</v>
      </c>
      <c r="BB278" s="158">
        <f t="shared" si="193"/>
        <v>7.9706666666666667E-5</v>
      </c>
      <c r="BC278" s="232">
        <f t="shared" si="182"/>
        <v>2.3124978557077628E-8</v>
      </c>
      <c r="BD278" s="158">
        <f t="shared" si="194"/>
        <v>7.7083261856925433E-5</v>
      </c>
      <c r="BE278" s="232">
        <f t="shared" si="183"/>
        <v>1.9963790319634707E-6</v>
      </c>
      <c r="BF278" s="158">
        <f t="shared" si="195"/>
        <v>3.9927580639269414E-4</v>
      </c>
      <c r="BG278" s="232">
        <f t="shared" si="184"/>
        <v>1.207610593607306E-9</v>
      </c>
      <c r="BH278" s="158">
        <f t="shared" si="196"/>
        <v>2.415221187214612E-6</v>
      </c>
      <c r="BI278" s="232">
        <f t="shared" si="185"/>
        <v>7.3098656438356165E-7</v>
      </c>
      <c r="BJ278" s="158">
        <f t="shared" si="197"/>
        <v>1.3053331506849316E-4</v>
      </c>
      <c r="BK278" s="144"/>
    </row>
    <row r="279" spans="20:63">
      <c r="T279" s="53" t="s">
        <v>438</v>
      </c>
      <c r="U279" s="53" t="s">
        <v>439</v>
      </c>
      <c r="V279" s="180">
        <v>43889</v>
      </c>
      <c r="W279" s="53">
        <v>0.19486300000000001</v>
      </c>
      <c r="X279" s="53">
        <v>34.750653</v>
      </c>
      <c r="Y279" s="53" t="s">
        <v>666</v>
      </c>
      <c r="Z279" s="53"/>
      <c r="AA279" s="53" t="s">
        <v>347</v>
      </c>
      <c r="AB279" s="154" t="s">
        <v>371</v>
      </c>
      <c r="AC279" s="154" t="s">
        <v>688</v>
      </c>
      <c r="AD279" s="53" t="s">
        <v>677</v>
      </c>
      <c r="AE279" s="53" t="s">
        <v>685</v>
      </c>
      <c r="AF279" s="53" t="s">
        <v>691</v>
      </c>
      <c r="AG279" s="156">
        <v>982.4</v>
      </c>
      <c r="AH279" s="157">
        <v>699.8</v>
      </c>
      <c r="AI279" s="75">
        <v>3.57619</v>
      </c>
      <c r="AJ279" s="157">
        <v>235</v>
      </c>
      <c r="AK279" s="156">
        <v>1.4179999999999999</v>
      </c>
      <c r="AL279" s="157">
        <v>43.46</v>
      </c>
      <c r="AM279" s="144">
        <f t="shared" si="174"/>
        <v>2.8075107945205478E-4</v>
      </c>
      <c r="AN279" s="158">
        <f t="shared" si="186"/>
        <v>0.93583693150684932</v>
      </c>
      <c r="AO279" s="144">
        <f t="shared" si="175"/>
        <v>6.6663139726027388E-6</v>
      </c>
      <c r="AP279" s="158">
        <f t="shared" si="187"/>
        <v>1.904661135029354E-3</v>
      </c>
      <c r="AQ279" s="144">
        <f t="shared" si="176"/>
        <v>3.4066883917808217E-8</v>
      </c>
      <c r="AR279" s="158">
        <f t="shared" si="188"/>
        <v>1.135562797260274E-4</v>
      </c>
      <c r="AS279" s="144">
        <f t="shared" si="177"/>
        <v>2.2386164383561644E-6</v>
      </c>
      <c r="AT279" s="158">
        <f t="shared" si="189"/>
        <v>4.4772328767123289E-4</v>
      </c>
      <c r="AU279" s="144">
        <f t="shared" si="178"/>
        <v>1.350790684931507E-8</v>
      </c>
      <c r="AV279" s="158">
        <f t="shared" si="190"/>
        <v>2.7015813698630138E-5</v>
      </c>
      <c r="AW279" s="144">
        <f t="shared" si="179"/>
        <v>4.1400115068493145E-7</v>
      </c>
      <c r="AX279" s="158">
        <f t="shared" si="191"/>
        <v>7.392877690802347E-5</v>
      </c>
      <c r="AY279" s="232">
        <f t="shared" si="180"/>
        <v>2.2525759123287673E-4</v>
      </c>
      <c r="AZ279" s="158">
        <f t="shared" si="192"/>
        <v>0.75085863744292247</v>
      </c>
      <c r="BA279" s="232">
        <f t="shared" si="181"/>
        <v>5.3486448949771697E-6</v>
      </c>
      <c r="BB279" s="158">
        <f t="shared" si="193"/>
        <v>1.5281842557077628E-3</v>
      </c>
      <c r="BC279" s="232">
        <f t="shared" si="182"/>
        <v>2.7333195751598175E-8</v>
      </c>
      <c r="BD279" s="158">
        <f t="shared" si="194"/>
        <v>9.1110652505327263E-5</v>
      </c>
      <c r="BE279" s="232">
        <f t="shared" si="183"/>
        <v>1.7961296803652969E-6</v>
      </c>
      <c r="BF279" s="158">
        <f t="shared" si="195"/>
        <v>3.5922593607305936E-4</v>
      </c>
      <c r="BG279" s="232">
        <f t="shared" si="184"/>
        <v>1.0837922922374428E-8</v>
      </c>
      <c r="BH279" s="158">
        <f t="shared" si="196"/>
        <v>2.1675845844748855E-5</v>
      </c>
      <c r="BI279" s="232">
        <f t="shared" si="185"/>
        <v>3.3216934429223742E-7</v>
      </c>
      <c r="BJ279" s="158">
        <f t="shared" si="197"/>
        <v>5.9315954337899542E-5</v>
      </c>
      <c r="BK279" s="144"/>
    </row>
    <row r="280" spans="20:63">
      <c r="T280" s="53" t="s">
        <v>440</v>
      </c>
      <c r="U280" s="53" t="s">
        <v>441</v>
      </c>
      <c r="V280" s="180">
        <v>43889</v>
      </c>
      <c r="W280" s="53">
        <v>0.19486300000000001</v>
      </c>
      <c r="X280" s="53">
        <v>34.750653</v>
      </c>
      <c r="Y280" s="53" t="s">
        <v>666</v>
      </c>
      <c r="Z280" s="53"/>
      <c r="AA280" s="53" t="s">
        <v>347</v>
      </c>
      <c r="AB280" s="154" t="s">
        <v>371</v>
      </c>
      <c r="AC280" s="154" t="s">
        <v>688</v>
      </c>
      <c r="AD280" s="53" t="s">
        <v>677</v>
      </c>
      <c r="AE280" s="53" t="s">
        <v>685</v>
      </c>
      <c r="AF280" s="53" t="s">
        <v>691</v>
      </c>
      <c r="AG280" s="156">
        <v>831.4</v>
      </c>
      <c r="AH280" s="157">
        <v>74</v>
      </c>
      <c r="AI280" s="75">
        <v>1.20129</v>
      </c>
      <c r="AJ280" s="157">
        <v>155.80000000000001</v>
      </c>
      <c r="AK280" s="156">
        <v>0.56599999999999995</v>
      </c>
      <c r="AL280" s="157">
        <v>23.01</v>
      </c>
      <c r="AM280" s="144">
        <f t="shared" si="174"/>
        <v>2.3759817534246575E-4</v>
      </c>
      <c r="AN280" s="158">
        <f t="shared" si="186"/>
        <v>0.79199391780821926</v>
      </c>
      <c r="AO280" s="144">
        <f t="shared" si="175"/>
        <v>7.0492602739726056E-7</v>
      </c>
      <c r="AP280" s="158">
        <f t="shared" si="187"/>
        <v>2.0140743639921729E-4</v>
      </c>
      <c r="AQ280" s="144">
        <f t="shared" si="176"/>
        <v>1.1443521452054795E-8</v>
      </c>
      <c r="AR280" s="158">
        <f t="shared" si="188"/>
        <v>3.8145071506849319E-5</v>
      </c>
      <c r="AS280" s="144">
        <f t="shared" si="177"/>
        <v>1.4841550684931506E-6</v>
      </c>
      <c r="AT280" s="158">
        <f t="shared" si="189"/>
        <v>2.9683101369863013E-4</v>
      </c>
      <c r="AU280" s="144">
        <f t="shared" si="178"/>
        <v>5.3917315068493136E-9</v>
      </c>
      <c r="AV280" s="158">
        <f t="shared" si="190"/>
        <v>1.0783463013698627E-5</v>
      </c>
      <c r="AW280" s="144">
        <f t="shared" si="179"/>
        <v>2.1919389041095891E-7</v>
      </c>
      <c r="AX280" s="158">
        <f t="shared" si="191"/>
        <v>3.9141766144814091E-5</v>
      </c>
      <c r="AY280" s="232">
        <f t="shared" si="180"/>
        <v>1.9063432547945206E-4</v>
      </c>
      <c r="AZ280" s="158">
        <f t="shared" si="192"/>
        <v>0.63544775159817357</v>
      </c>
      <c r="BA280" s="232">
        <f t="shared" si="181"/>
        <v>5.6558977168949783E-7</v>
      </c>
      <c r="BB280" s="158">
        <f t="shared" si="193"/>
        <v>1.615970776255708E-4</v>
      </c>
      <c r="BC280" s="232">
        <f t="shared" si="182"/>
        <v>9.181585632876713E-9</v>
      </c>
      <c r="BD280" s="158">
        <f t="shared" si="194"/>
        <v>3.060528544292238E-5</v>
      </c>
      <c r="BE280" s="232">
        <f t="shared" si="183"/>
        <v>1.1907957625570779E-6</v>
      </c>
      <c r="BF280" s="158">
        <f t="shared" si="195"/>
        <v>2.3815915251141557E-4</v>
      </c>
      <c r="BG280" s="232">
        <f t="shared" si="184"/>
        <v>4.3259974429223748E-9</v>
      </c>
      <c r="BH280" s="158">
        <f t="shared" si="196"/>
        <v>8.6519948858447488E-6</v>
      </c>
      <c r="BI280" s="232">
        <f t="shared" si="185"/>
        <v>1.7586784657534246E-7</v>
      </c>
      <c r="BJ280" s="158">
        <f t="shared" si="197"/>
        <v>3.1404972602739726E-5</v>
      </c>
      <c r="BK280" s="144"/>
    </row>
    <row r="281" spans="20:63">
      <c r="T281" s="53" t="s">
        <v>442</v>
      </c>
      <c r="U281" s="53" t="s">
        <v>443</v>
      </c>
      <c r="V281" s="180">
        <v>43890</v>
      </c>
      <c r="W281" s="183">
        <v>0.224908</v>
      </c>
      <c r="X281" s="183">
        <v>34.799022000000001</v>
      </c>
      <c r="Y281" s="53" t="s">
        <v>667</v>
      </c>
      <c r="Z281" s="53"/>
      <c r="AA281" s="53" t="s">
        <v>347</v>
      </c>
      <c r="AB281" s="154" t="s">
        <v>371</v>
      </c>
      <c r="AC281" s="154" t="s">
        <v>687</v>
      </c>
      <c r="AD281" s="53" t="s">
        <v>676</v>
      </c>
      <c r="AE281" s="53" t="s">
        <v>684</v>
      </c>
      <c r="AF281" s="53" t="s">
        <v>683</v>
      </c>
      <c r="AG281" s="156">
        <v>52.3</v>
      </c>
      <c r="AH281" s="157">
        <v>11.2</v>
      </c>
      <c r="AI281" s="75">
        <v>6.3005499999999994</v>
      </c>
      <c r="AJ281" s="157">
        <v>203.1</v>
      </c>
      <c r="AK281" s="156">
        <v>5.6000000000000001E-2</v>
      </c>
      <c r="AL281" s="157">
        <v>54.91</v>
      </c>
      <c r="AM281" s="144">
        <f t="shared" si="174"/>
        <v>1.4946336986301372E-5</v>
      </c>
      <c r="AN281" s="158">
        <f t="shared" si="186"/>
        <v>4.9821123287671243E-2</v>
      </c>
      <c r="AO281" s="144">
        <f t="shared" si="175"/>
        <v>1.0669150684931505E-7</v>
      </c>
      <c r="AP281" s="158">
        <f t="shared" si="187"/>
        <v>3.048328767123287E-5</v>
      </c>
      <c r="AQ281" s="144">
        <f t="shared" si="176"/>
        <v>6.0019211917808215E-8</v>
      </c>
      <c r="AR281" s="158">
        <f t="shared" si="188"/>
        <v>2.0006403972602741E-4</v>
      </c>
      <c r="AS281" s="144">
        <f t="shared" si="177"/>
        <v>1.9347361643835613E-6</v>
      </c>
      <c r="AT281" s="158">
        <f t="shared" si="189"/>
        <v>3.8694723287671222E-4</v>
      </c>
      <c r="AU281" s="144">
        <f t="shared" si="178"/>
        <v>5.3345753424657538E-10</v>
      </c>
      <c r="AV281" s="158">
        <f t="shared" si="190"/>
        <v>1.0669150684931508E-6</v>
      </c>
      <c r="AW281" s="144">
        <f t="shared" si="179"/>
        <v>5.2307416438356161E-7</v>
      </c>
      <c r="AX281" s="158">
        <f t="shared" si="191"/>
        <v>9.3406100782778858E-5</v>
      </c>
      <c r="AY281" s="232">
        <f t="shared" si="180"/>
        <v>1.1992031780821916E-5</v>
      </c>
      <c r="AZ281" s="158">
        <f t="shared" si="192"/>
        <v>3.9973439269406393E-2</v>
      </c>
      <c r="BA281" s="232">
        <f t="shared" si="181"/>
        <v>8.5602776255707756E-8</v>
      </c>
      <c r="BB281" s="158">
        <f t="shared" si="193"/>
        <v>2.445793607305936E-5</v>
      </c>
      <c r="BC281" s="232">
        <f t="shared" si="182"/>
        <v>4.8155765351598181E-8</v>
      </c>
      <c r="BD281" s="158">
        <f t="shared" si="194"/>
        <v>1.6051921783866063E-4</v>
      </c>
      <c r="BE281" s="232">
        <f t="shared" si="183"/>
        <v>1.5523146301369865E-6</v>
      </c>
      <c r="BF281" s="158">
        <f t="shared" si="195"/>
        <v>3.104629260273973E-4</v>
      </c>
      <c r="BG281" s="232">
        <f t="shared" si="184"/>
        <v>4.2801388127853887E-10</v>
      </c>
      <c r="BH281" s="158">
        <f t="shared" si="196"/>
        <v>8.5602776255707774E-7</v>
      </c>
      <c r="BI281" s="232">
        <f t="shared" si="185"/>
        <v>4.1968289680365298E-7</v>
      </c>
      <c r="BJ281" s="158">
        <f t="shared" si="197"/>
        <v>7.4943374429223741E-5</v>
      </c>
      <c r="BK281" s="144"/>
    </row>
    <row r="282" spans="20:63">
      <c r="T282" s="53" t="s">
        <v>444</v>
      </c>
      <c r="U282" s="53" t="s">
        <v>445</v>
      </c>
      <c r="V282" s="180">
        <v>43890</v>
      </c>
      <c r="W282" s="183">
        <v>0.22484799999999999</v>
      </c>
      <c r="X282" s="183">
        <v>34.799002999999999</v>
      </c>
      <c r="Y282" s="53" t="s">
        <v>667</v>
      </c>
      <c r="Z282" s="53"/>
      <c r="AA282" s="53" t="s">
        <v>347</v>
      </c>
      <c r="AB282" s="154" t="s">
        <v>371</v>
      </c>
      <c r="AC282" s="154" t="s">
        <v>687</v>
      </c>
      <c r="AD282" s="53" t="s">
        <v>676</v>
      </c>
      <c r="AE282" s="53" t="s">
        <v>684</v>
      </c>
      <c r="AF282" s="53" t="s">
        <v>683</v>
      </c>
      <c r="AG282" s="156">
        <v>74.5</v>
      </c>
      <c r="AH282" s="157">
        <v>12.6</v>
      </c>
      <c r="AI282" s="75">
        <v>8.8212900000000012</v>
      </c>
      <c r="AJ282" s="157">
        <v>210.9</v>
      </c>
      <c r="AK282" s="156">
        <v>5.8000000000000003E-2</v>
      </c>
      <c r="AL282" s="157">
        <v>58.79</v>
      </c>
      <c r="AM282" s="144">
        <f t="shared" si="174"/>
        <v>2.1290671232876713E-5</v>
      </c>
      <c r="AN282" s="158">
        <f t="shared" si="186"/>
        <v>7.0968904109589045E-2</v>
      </c>
      <c r="AO282" s="144">
        <f t="shared" si="175"/>
        <v>1.2002794520547943E-7</v>
      </c>
      <c r="AP282" s="158">
        <f t="shared" si="187"/>
        <v>3.4293698630136976E-5</v>
      </c>
      <c r="AQ282" s="144">
        <f t="shared" si="176"/>
        <v>8.4031850219178106E-8</v>
      </c>
      <c r="AR282" s="158">
        <f t="shared" si="188"/>
        <v>2.8010616739726035E-4</v>
      </c>
      <c r="AS282" s="144">
        <f t="shared" si="177"/>
        <v>2.0090391780821912E-6</v>
      </c>
      <c r="AT282" s="158">
        <f t="shared" si="189"/>
        <v>4.0180783561643825E-4</v>
      </c>
      <c r="AU282" s="144">
        <f t="shared" si="178"/>
        <v>5.5250958904109596E-10</v>
      </c>
      <c r="AV282" s="158">
        <f t="shared" si="190"/>
        <v>1.105019178082192E-6</v>
      </c>
      <c r="AW282" s="144">
        <f t="shared" si="179"/>
        <v>5.6003515068493145E-7</v>
      </c>
      <c r="AX282" s="158">
        <f t="shared" si="191"/>
        <v>1.0000627690802348E-4</v>
      </c>
      <c r="AY282" s="232">
        <f t="shared" si="180"/>
        <v>1.7082339726027397E-5</v>
      </c>
      <c r="AZ282" s="158">
        <f t="shared" si="192"/>
        <v>5.6941132420091328E-2</v>
      </c>
      <c r="BA282" s="232">
        <f t="shared" si="181"/>
        <v>9.6303123287671244E-8</v>
      </c>
      <c r="BB282" s="158">
        <f t="shared" si="193"/>
        <v>2.7515178082191785E-5</v>
      </c>
      <c r="BC282" s="232">
        <f t="shared" si="182"/>
        <v>6.7422045906849313E-8</v>
      </c>
      <c r="BD282" s="158">
        <f t="shared" si="194"/>
        <v>2.2474015302283105E-4</v>
      </c>
      <c r="BE282" s="232">
        <f t="shared" si="183"/>
        <v>1.6119308493150685E-6</v>
      </c>
      <c r="BF282" s="158">
        <f t="shared" si="195"/>
        <v>3.2238616986301371E-4</v>
      </c>
      <c r="BG282" s="232">
        <f t="shared" si="184"/>
        <v>4.4330009132420108E-10</v>
      </c>
      <c r="BH282" s="158">
        <f t="shared" si="196"/>
        <v>8.8660018264840217E-7</v>
      </c>
      <c r="BI282" s="232">
        <f t="shared" si="185"/>
        <v>4.4933814429223739E-7</v>
      </c>
      <c r="BJ282" s="158">
        <f t="shared" si="197"/>
        <v>8.0238954337899531E-5</v>
      </c>
      <c r="BK282" s="144"/>
    </row>
    <row r="283" spans="20:63">
      <c r="T283" s="53" t="s">
        <v>446</v>
      </c>
      <c r="U283" s="53" t="s">
        <v>445</v>
      </c>
      <c r="V283" s="180">
        <v>43890</v>
      </c>
      <c r="W283" s="53">
        <v>0.22484799999999999</v>
      </c>
      <c r="X283" s="53">
        <v>34.799002999999999</v>
      </c>
      <c r="Y283" s="53" t="s">
        <v>667</v>
      </c>
      <c r="Z283" s="53"/>
      <c r="AA283" s="53" t="s">
        <v>347</v>
      </c>
      <c r="AB283" s="154" t="s">
        <v>371</v>
      </c>
      <c r="AC283" s="154" t="s">
        <v>687</v>
      </c>
      <c r="AD283" s="53" t="s">
        <v>676</v>
      </c>
      <c r="AE283" s="53" t="s">
        <v>684</v>
      </c>
      <c r="AF283" s="53" t="s">
        <v>683</v>
      </c>
      <c r="AG283" s="156">
        <v>74.5</v>
      </c>
      <c r="AH283" s="157">
        <v>12.6</v>
      </c>
      <c r="AI283" s="75">
        <v>7.9939099999999996</v>
      </c>
      <c r="AJ283" s="157">
        <v>210.9</v>
      </c>
      <c r="AK283" s="156">
        <v>5.8000000000000003E-2</v>
      </c>
      <c r="AL283" s="157">
        <v>58.79</v>
      </c>
      <c r="AM283" s="144">
        <f t="shared" si="174"/>
        <v>2.1290671232876713E-5</v>
      </c>
      <c r="AN283" s="158">
        <f t="shared" si="186"/>
        <v>7.0968904109589045E-2</v>
      </c>
      <c r="AO283" s="144">
        <f t="shared" si="175"/>
        <v>1.2002794520547943E-7</v>
      </c>
      <c r="AP283" s="158">
        <f t="shared" si="187"/>
        <v>3.4293698630136976E-5</v>
      </c>
      <c r="AQ283" s="144">
        <f t="shared" si="176"/>
        <v>7.6150205671232893E-8</v>
      </c>
      <c r="AR283" s="158">
        <f t="shared" si="188"/>
        <v>2.5383401890410965E-4</v>
      </c>
      <c r="AS283" s="144">
        <f t="shared" si="177"/>
        <v>2.0090391780821912E-6</v>
      </c>
      <c r="AT283" s="158">
        <f t="shared" si="189"/>
        <v>4.0180783561643825E-4</v>
      </c>
      <c r="AU283" s="144">
        <f t="shared" si="178"/>
        <v>5.5250958904109596E-10</v>
      </c>
      <c r="AV283" s="158">
        <f t="shared" si="190"/>
        <v>1.105019178082192E-6</v>
      </c>
      <c r="AW283" s="144">
        <f t="shared" si="179"/>
        <v>5.6003515068493145E-7</v>
      </c>
      <c r="AX283" s="158">
        <f t="shared" si="191"/>
        <v>1.0000627690802348E-4</v>
      </c>
      <c r="AY283" s="232">
        <f t="shared" si="180"/>
        <v>1.7082339726027397E-5</v>
      </c>
      <c r="AZ283" s="158">
        <f t="shared" si="192"/>
        <v>5.6941132420091328E-2</v>
      </c>
      <c r="BA283" s="232">
        <f t="shared" si="181"/>
        <v>9.6303123287671244E-8</v>
      </c>
      <c r="BB283" s="158">
        <f t="shared" si="193"/>
        <v>2.7515178082191785E-5</v>
      </c>
      <c r="BC283" s="232">
        <f t="shared" si="182"/>
        <v>6.1098293673059354E-8</v>
      </c>
      <c r="BD283" s="158">
        <f t="shared" si="194"/>
        <v>2.0366097891019787E-4</v>
      </c>
      <c r="BE283" s="232">
        <f t="shared" si="183"/>
        <v>1.6119308493150685E-6</v>
      </c>
      <c r="BF283" s="158">
        <f t="shared" si="195"/>
        <v>3.2238616986301371E-4</v>
      </c>
      <c r="BG283" s="232">
        <f t="shared" si="184"/>
        <v>4.4330009132420108E-10</v>
      </c>
      <c r="BH283" s="158">
        <f t="shared" si="196"/>
        <v>8.8660018264840217E-7</v>
      </c>
      <c r="BI283" s="232">
        <f t="shared" si="185"/>
        <v>4.4933814429223739E-7</v>
      </c>
      <c r="BJ283" s="158">
        <f t="shared" si="197"/>
        <v>8.0238954337899531E-5</v>
      </c>
      <c r="BK283" s="144"/>
    </row>
    <row r="284" spans="20:63">
      <c r="T284" s="53" t="s">
        <v>447</v>
      </c>
      <c r="U284" s="53" t="s">
        <v>448</v>
      </c>
      <c r="V284" s="180">
        <v>43890</v>
      </c>
      <c r="W284" s="183">
        <v>0.218167</v>
      </c>
      <c r="X284" s="183">
        <v>34.802627999999999</v>
      </c>
      <c r="Y284" s="53" t="s">
        <v>667</v>
      </c>
      <c r="Z284" s="53"/>
      <c r="AA284" s="53" t="s">
        <v>347</v>
      </c>
      <c r="AB284" s="154" t="s">
        <v>371</v>
      </c>
      <c r="AC284" s="154" t="s">
        <v>687</v>
      </c>
      <c r="AD284" s="53" t="s">
        <v>674</v>
      </c>
      <c r="AE284" s="53" t="s">
        <v>684</v>
      </c>
      <c r="AF284" s="53" t="s">
        <v>683</v>
      </c>
      <c r="AG284" s="156">
        <v>14.3</v>
      </c>
      <c r="AH284" s="157">
        <v>15.4</v>
      </c>
      <c r="AI284" s="75">
        <v>2.4247799999999997</v>
      </c>
      <c r="AJ284" s="157">
        <v>71.400000000000006</v>
      </c>
      <c r="AK284" s="156">
        <v>7.4999999999999997E-2</v>
      </c>
      <c r="AL284" s="157">
        <v>23.23</v>
      </c>
      <c r="AM284" s="144">
        <f t="shared" si="174"/>
        <v>4.0866657534246574E-6</v>
      </c>
      <c r="AN284" s="158">
        <f t="shared" si="186"/>
        <v>1.3622219178082193E-2</v>
      </c>
      <c r="AO284" s="144">
        <f t="shared" si="175"/>
        <v>1.4670082191780824E-7</v>
      </c>
      <c r="AP284" s="158">
        <f t="shared" si="187"/>
        <v>4.1914520547945208E-5</v>
      </c>
      <c r="AQ284" s="144">
        <f t="shared" si="176"/>
        <v>2.3098520712328771E-8</v>
      </c>
      <c r="AR284" s="158">
        <f t="shared" si="188"/>
        <v>7.699506904109591E-5</v>
      </c>
      <c r="AS284" s="144">
        <f t="shared" si="177"/>
        <v>6.8015835616438367E-7</v>
      </c>
      <c r="AT284" s="158">
        <f t="shared" si="189"/>
        <v>1.3603167123287673E-4</v>
      </c>
      <c r="AU284" s="144">
        <f t="shared" si="178"/>
        <v>7.1445205479452048E-10</v>
      </c>
      <c r="AV284" s="158">
        <f t="shared" si="190"/>
        <v>1.4289041095890409E-6</v>
      </c>
      <c r="AW284" s="144">
        <f t="shared" si="179"/>
        <v>2.2128961643835617E-7</v>
      </c>
      <c r="AX284" s="158">
        <f t="shared" si="191"/>
        <v>3.9516002935420745E-5</v>
      </c>
      <c r="AY284" s="232">
        <f t="shared" si="180"/>
        <v>3.2788920547945205E-6</v>
      </c>
      <c r="AZ284" s="158">
        <f t="shared" si="192"/>
        <v>1.0929640182648402E-2</v>
      </c>
      <c r="BA284" s="232">
        <f t="shared" si="181"/>
        <v>1.1770381735159818E-7</v>
      </c>
      <c r="BB284" s="158">
        <f t="shared" si="193"/>
        <v>3.362966210045662E-5</v>
      </c>
      <c r="BC284" s="232">
        <f t="shared" si="182"/>
        <v>1.8532848197260274E-8</v>
      </c>
      <c r="BD284" s="158">
        <f t="shared" si="194"/>
        <v>6.1776160657534259E-5</v>
      </c>
      <c r="BE284" s="232">
        <f t="shared" si="183"/>
        <v>5.4571769863013709E-7</v>
      </c>
      <c r="BF284" s="158">
        <f t="shared" si="195"/>
        <v>1.0914353972602742E-4</v>
      </c>
      <c r="BG284" s="232">
        <f t="shared" si="184"/>
        <v>5.7323287671232878E-10</v>
      </c>
      <c r="BH284" s="158">
        <f t="shared" si="196"/>
        <v>1.1464657534246576E-6</v>
      </c>
      <c r="BI284" s="232">
        <f t="shared" si="185"/>
        <v>1.7754932968036526E-7</v>
      </c>
      <c r="BJ284" s="158">
        <f t="shared" si="197"/>
        <v>3.1705237442922368E-5</v>
      </c>
      <c r="BK284" s="144"/>
    </row>
    <row r="285" spans="20:63">
      <c r="T285" s="53" t="s">
        <v>449</v>
      </c>
      <c r="U285" s="53" t="s">
        <v>450</v>
      </c>
      <c r="V285" s="180">
        <v>43890</v>
      </c>
      <c r="W285" s="183">
        <v>0.21770700000000001</v>
      </c>
      <c r="X285" s="183">
        <v>34.802644000000001</v>
      </c>
      <c r="Y285" s="53" t="s">
        <v>667</v>
      </c>
      <c r="Z285" s="53"/>
      <c r="AA285" s="53" t="s">
        <v>347</v>
      </c>
      <c r="AB285" s="154" t="s">
        <v>371</v>
      </c>
      <c r="AC285" s="154" t="s">
        <v>687</v>
      </c>
      <c r="AD285" s="53" t="s">
        <v>676</v>
      </c>
      <c r="AE285" s="53" t="s">
        <v>684</v>
      </c>
      <c r="AF285" s="53" t="s">
        <v>683</v>
      </c>
      <c r="AG285" s="156">
        <v>17.899999999999999</v>
      </c>
      <c r="AH285" s="157">
        <v>17.7</v>
      </c>
      <c r="AI285" s="75">
        <v>4.3590599999999995</v>
      </c>
      <c r="AJ285" s="157">
        <v>78</v>
      </c>
      <c r="AK285" s="156">
        <v>5.5E-2</v>
      </c>
      <c r="AL285" s="157">
        <v>17.309999999999999</v>
      </c>
      <c r="AM285" s="144">
        <f t="shared" si="174"/>
        <v>5.1154767123287663E-6</v>
      </c>
      <c r="AN285" s="158">
        <f t="shared" si="186"/>
        <v>1.705158904109589E-2</v>
      </c>
      <c r="AO285" s="144">
        <f t="shared" si="175"/>
        <v>1.686106849315069E-7</v>
      </c>
      <c r="AP285" s="158">
        <f t="shared" si="187"/>
        <v>4.8174481409001974E-5</v>
      </c>
      <c r="AQ285" s="144">
        <f t="shared" si="176"/>
        <v>4.152452498630136E-8</v>
      </c>
      <c r="AR285" s="158">
        <f t="shared" si="188"/>
        <v>1.3841508328767122E-4</v>
      </c>
      <c r="AS285" s="144">
        <f t="shared" si="177"/>
        <v>7.4303013698630144E-7</v>
      </c>
      <c r="AT285" s="158">
        <f t="shared" si="189"/>
        <v>1.4860602739726029E-4</v>
      </c>
      <c r="AU285" s="144">
        <f t="shared" si="178"/>
        <v>5.2393150684931514E-10</v>
      </c>
      <c r="AV285" s="158">
        <f t="shared" si="190"/>
        <v>1.0478630136986302E-6</v>
      </c>
      <c r="AW285" s="144">
        <f t="shared" si="179"/>
        <v>1.6489553424657531E-7</v>
      </c>
      <c r="AX285" s="158">
        <f t="shared" si="191"/>
        <v>2.9445631115459877E-5</v>
      </c>
      <c r="AY285" s="232">
        <f t="shared" si="180"/>
        <v>4.1043473972602726E-6</v>
      </c>
      <c r="AZ285" s="158">
        <f t="shared" si="192"/>
        <v>1.3681157990867577E-2</v>
      </c>
      <c r="BA285" s="232">
        <f t="shared" si="181"/>
        <v>1.3528295890410961E-7</v>
      </c>
      <c r="BB285" s="158">
        <f t="shared" si="193"/>
        <v>3.8652273972602745E-5</v>
      </c>
      <c r="BC285" s="232">
        <f t="shared" si="182"/>
        <v>3.3316753380821914E-8</v>
      </c>
      <c r="BD285" s="158">
        <f t="shared" si="194"/>
        <v>1.1105584460273973E-4</v>
      </c>
      <c r="BE285" s="232">
        <f t="shared" si="183"/>
        <v>5.9616219178082194E-7</v>
      </c>
      <c r="BF285" s="158">
        <f t="shared" si="195"/>
        <v>1.1923243835616438E-4</v>
      </c>
      <c r="BG285" s="232">
        <f t="shared" si="184"/>
        <v>4.2037077625570779E-10</v>
      </c>
      <c r="BH285" s="158">
        <f t="shared" si="196"/>
        <v>8.4074155251141553E-7</v>
      </c>
      <c r="BI285" s="232">
        <f t="shared" si="185"/>
        <v>1.3230214794520551E-7</v>
      </c>
      <c r="BJ285" s="158">
        <f t="shared" si="197"/>
        <v>2.3625383561643843E-5</v>
      </c>
      <c r="BK285" s="144"/>
    </row>
    <row r="286" spans="20:63">
      <c r="T286" s="53" t="s">
        <v>451</v>
      </c>
      <c r="U286" s="53" t="s">
        <v>452</v>
      </c>
      <c r="V286" s="180">
        <v>43890</v>
      </c>
      <c r="W286" s="183">
        <v>0.21793199999999999</v>
      </c>
      <c r="X286" s="183">
        <v>34.802683999999999</v>
      </c>
      <c r="Y286" s="53" t="s">
        <v>667</v>
      </c>
      <c r="Z286" s="53"/>
      <c r="AA286" s="53" t="s">
        <v>347</v>
      </c>
      <c r="AB286" s="154" t="s">
        <v>371</v>
      </c>
      <c r="AC286" s="154" t="s">
        <v>687</v>
      </c>
      <c r="AD286" s="53" t="s">
        <v>676</v>
      </c>
      <c r="AE286" s="53" t="s">
        <v>684</v>
      </c>
      <c r="AF286" s="53" t="s">
        <v>683</v>
      </c>
      <c r="AG286" s="156">
        <v>54.1</v>
      </c>
      <c r="AH286" s="157">
        <v>38.299999999999997</v>
      </c>
      <c r="AI286" s="75">
        <v>12.36927</v>
      </c>
      <c r="AJ286" s="157">
        <v>118.8</v>
      </c>
      <c r="AK286" s="156">
        <v>0.122</v>
      </c>
      <c r="AL286" s="157">
        <v>13.42</v>
      </c>
      <c r="AM286" s="144">
        <f t="shared" si="174"/>
        <v>1.5460742465753423E-5</v>
      </c>
      <c r="AN286" s="158">
        <f t="shared" si="186"/>
        <v>5.1535808219178081E-2</v>
      </c>
      <c r="AO286" s="144">
        <f t="shared" si="175"/>
        <v>3.6484684931506846E-7</v>
      </c>
      <c r="AP286" s="158">
        <f t="shared" si="187"/>
        <v>1.0424195694716241E-4</v>
      </c>
      <c r="AQ286" s="144">
        <f t="shared" si="176"/>
        <v>1.1783000490410959E-7</v>
      </c>
      <c r="AR286" s="158">
        <f t="shared" si="188"/>
        <v>3.9276668301369867E-4</v>
      </c>
      <c r="AS286" s="144">
        <f t="shared" si="177"/>
        <v>1.1316920547945206E-6</v>
      </c>
      <c r="AT286" s="158">
        <f t="shared" si="189"/>
        <v>2.2633841095890411E-4</v>
      </c>
      <c r="AU286" s="144">
        <f t="shared" si="178"/>
        <v>1.1621753424657534E-9</v>
      </c>
      <c r="AV286" s="158">
        <f t="shared" si="190"/>
        <v>2.3243506849315067E-6</v>
      </c>
      <c r="AW286" s="144">
        <f t="shared" si="179"/>
        <v>1.2783928767123289E-7</v>
      </c>
      <c r="AX286" s="158">
        <f t="shared" si="191"/>
        <v>2.2828444227005874E-5</v>
      </c>
      <c r="AY286" s="232">
        <f t="shared" si="180"/>
        <v>1.2404759452054794E-5</v>
      </c>
      <c r="AZ286" s="158">
        <f t="shared" si="192"/>
        <v>4.1349198173515983E-2</v>
      </c>
      <c r="BA286" s="232">
        <f t="shared" si="181"/>
        <v>2.9273092237442913E-7</v>
      </c>
      <c r="BB286" s="158">
        <f t="shared" si="193"/>
        <v>8.3637406392694032E-5</v>
      </c>
      <c r="BC286" s="232">
        <f t="shared" si="182"/>
        <v>9.4539629665753446E-8</v>
      </c>
      <c r="BD286" s="158">
        <f t="shared" si="194"/>
        <v>3.1513209888584486E-4</v>
      </c>
      <c r="BE286" s="232">
        <f t="shared" si="183"/>
        <v>9.080008767123288E-7</v>
      </c>
      <c r="BF286" s="158">
        <f t="shared" si="195"/>
        <v>1.8160017534246575E-4</v>
      </c>
      <c r="BG286" s="232">
        <f t="shared" si="184"/>
        <v>9.3245881278538821E-10</v>
      </c>
      <c r="BH286" s="158">
        <f t="shared" si="196"/>
        <v>1.8649176255707763E-6</v>
      </c>
      <c r="BI286" s="232">
        <f t="shared" si="185"/>
        <v>1.0257046940639272E-7</v>
      </c>
      <c r="BJ286" s="158">
        <f t="shared" si="197"/>
        <v>1.8316155251141555E-5</v>
      </c>
      <c r="BK286" s="144"/>
    </row>
    <row r="287" spans="20:63">
      <c r="T287" s="53" t="s">
        <v>453</v>
      </c>
      <c r="U287" s="53" t="s">
        <v>452</v>
      </c>
      <c r="V287" s="180">
        <v>43890</v>
      </c>
      <c r="W287" s="183">
        <v>0.21793199999999999</v>
      </c>
      <c r="X287" s="183">
        <v>34.802683999999999</v>
      </c>
      <c r="Y287" s="53" t="s">
        <v>667</v>
      </c>
      <c r="Z287" s="53"/>
      <c r="AA287" s="53" t="s">
        <v>347</v>
      </c>
      <c r="AB287" s="154" t="s">
        <v>371</v>
      </c>
      <c r="AC287" s="154" t="s">
        <v>687</v>
      </c>
      <c r="AD287" s="53" t="s">
        <v>676</v>
      </c>
      <c r="AE287" s="53" t="s">
        <v>684</v>
      </c>
      <c r="AF287" s="53" t="s">
        <v>683</v>
      </c>
      <c r="AG287" s="156">
        <v>54.1</v>
      </c>
      <c r="AH287" s="157">
        <v>38.299999999999997</v>
      </c>
      <c r="AI287" s="75">
        <v>12.73893</v>
      </c>
      <c r="AJ287" s="157">
        <v>118.8</v>
      </c>
      <c r="AK287" s="156">
        <v>0.122</v>
      </c>
      <c r="AL287" s="157">
        <v>13.42</v>
      </c>
      <c r="AM287" s="144">
        <f t="shared" si="174"/>
        <v>1.5460742465753423E-5</v>
      </c>
      <c r="AN287" s="158">
        <f t="shared" si="186"/>
        <v>5.1535808219178081E-2</v>
      </c>
      <c r="AO287" s="144">
        <f t="shared" si="175"/>
        <v>3.6484684931506846E-7</v>
      </c>
      <c r="AP287" s="158">
        <f t="shared" si="187"/>
        <v>1.0424195694716241E-4</v>
      </c>
      <c r="AQ287" s="144">
        <f t="shared" si="176"/>
        <v>1.2135139619178083E-7</v>
      </c>
      <c r="AR287" s="158">
        <f t="shared" si="188"/>
        <v>4.0450465397260277E-4</v>
      </c>
      <c r="AS287" s="144">
        <f t="shared" si="177"/>
        <v>1.1316920547945206E-6</v>
      </c>
      <c r="AT287" s="158">
        <f t="shared" si="189"/>
        <v>2.2633841095890411E-4</v>
      </c>
      <c r="AU287" s="144">
        <f t="shared" si="178"/>
        <v>1.1621753424657534E-9</v>
      </c>
      <c r="AV287" s="158">
        <f t="shared" si="190"/>
        <v>2.3243506849315067E-6</v>
      </c>
      <c r="AW287" s="144">
        <f t="shared" si="179"/>
        <v>1.2783928767123289E-7</v>
      </c>
      <c r="AX287" s="158">
        <f t="shared" si="191"/>
        <v>2.2828444227005874E-5</v>
      </c>
      <c r="AY287" s="232">
        <f t="shared" si="180"/>
        <v>1.2404759452054794E-5</v>
      </c>
      <c r="AZ287" s="158">
        <f t="shared" si="192"/>
        <v>4.1349198173515983E-2</v>
      </c>
      <c r="BA287" s="232">
        <f t="shared" si="181"/>
        <v>2.9273092237442913E-7</v>
      </c>
      <c r="BB287" s="158">
        <f t="shared" si="193"/>
        <v>8.3637406392694032E-5</v>
      </c>
      <c r="BC287" s="232">
        <f t="shared" si="182"/>
        <v>9.7364979868493151E-8</v>
      </c>
      <c r="BD287" s="158">
        <f t="shared" si="194"/>
        <v>3.2454993289497718E-4</v>
      </c>
      <c r="BE287" s="232">
        <f t="shared" si="183"/>
        <v>9.080008767123288E-7</v>
      </c>
      <c r="BF287" s="158">
        <f t="shared" si="195"/>
        <v>1.8160017534246575E-4</v>
      </c>
      <c r="BG287" s="232">
        <f t="shared" si="184"/>
        <v>9.3245881278538821E-10</v>
      </c>
      <c r="BH287" s="158">
        <f t="shared" si="196"/>
        <v>1.8649176255707763E-6</v>
      </c>
      <c r="BI287" s="232">
        <f t="shared" si="185"/>
        <v>1.0257046940639272E-7</v>
      </c>
      <c r="BJ287" s="158">
        <f t="shared" si="197"/>
        <v>1.8316155251141555E-5</v>
      </c>
      <c r="BK287" s="144"/>
    </row>
    <row r="288" spans="20:63">
      <c r="T288" s="53" t="s">
        <v>454</v>
      </c>
      <c r="U288" s="53" t="s">
        <v>455</v>
      </c>
      <c r="V288" s="180">
        <v>43890</v>
      </c>
      <c r="W288" s="183">
        <v>0.16381399999999999</v>
      </c>
      <c r="X288" s="183">
        <v>34.761139</v>
      </c>
      <c r="Y288" s="53" t="s">
        <v>669</v>
      </c>
      <c r="Z288" s="53"/>
      <c r="AA288" s="53" t="s">
        <v>347</v>
      </c>
      <c r="AB288" s="154" t="s">
        <v>371</v>
      </c>
      <c r="AC288" s="154" t="s">
        <v>687</v>
      </c>
      <c r="AD288" s="53" t="s">
        <v>673</v>
      </c>
      <c r="AE288" s="53" t="s">
        <v>685</v>
      </c>
      <c r="AF288" s="53" t="s">
        <v>691</v>
      </c>
      <c r="AG288" s="156">
        <v>66</v>
      </c>
      <c r="AH288" s="157">
        <v>36.5</v>
      </c>
      <c r="AI288" s="75">
        <v>2.2230799999999999</v>
      </c>
      <c r="AJ288" s="157">
        <v>762.9</v>
      </c>
      <c r="AK288" s="156">
        <v>0.20100000000000001</v>
      </c>
      <c r="AL288" s="157">
        <v>185</v>
      </c>
      <c r="AM288" s="144">
        <f t="shared" si="174"/>
        <v>1.8861534246575342E-5</v>
      </c>
      <c r="AN288" s="158">
        <f t="shared" si="186"/>
        <v>6.2871780821917814E-2</v>
      </c>
      <c r="AO288" s="144">
        <f t="shared" si="175"/>
        <v>3.4770000000000008E-7</v>
      </c>
      <c r="AP288" s="158">
        <f t="shared" si="187"/>
        <v>9.9342857142857165E-5</v>
      </c>
      <c r="AQ288" s="144">
        <f t="shared" si="176"/>
        <v>2.117712098630137E-8</v>
      </c>
      <c r="AR288" s="158">
        <f t="shared" si="188"/>
        <v>7.0590403287671243E-5</v>
      </c>
      <c r="AS288" s="144">
        <f t="shared" si="177"/>
        <v>7.267406301369862E-6</v>
      </c>
      <c r="AT288" s="158">
        <f t="shared" si="189"/>
        <v>1.4534812602739725E-3</v>
      </c>
      <c r="AU288" s="144">
        <f t="shared" si="178"/>
        <v>1.9147315068493153E-9</v>
      </c>
      <c r="AV288" s="158">
        <f t="shared" si="190"/>
        <v>3.829463013698631E-6</v>
      </c>
      <c r="AW288" s="144">
        <f t="shared" si="179"/>
        <v>1.7623150684931507E-6</v>
      </c>
      <c r="AX288" s="158">
        <f t="shared" si="191"/>
        <v>3.1469911937377691E-4</v>
      </c>
      <c r="AY288" s="232">
        <f t="shared" si="180"/>
        <v>1.5133347945205479E-5</v>
      </c>
      <c r="AZ288" s="158">
        <f t="shared" si="192"/>
        <v>5.044449315068493E-2</v>
      </c>
      <c r="BA288" s="232">
        <f t="shared" si="181"/>
        <v>2.7897333333333334E-7</v>
      </c>
      <c r="BB288" s="158">
        <f t="shared" si="193"/>
        <v>7.9706666666666667E-5</v>
      </c>
      <c r="BC288" s="232">
        <f t="shared" si="182"/>
        <v>1.6991233914155254E-8</v>
      </c>
      <c r="BD288" s="158">
        <f t="shared" si="194"/>
        <v>5.6637446380517517E-5</v>
      </c>
      <c r="BE288" s="232">
        <f t="shared" si="183"/>
        <v>5.8309248219178081E-6</v>
      </c>
      <c r="BF288" s="158">
        <f t="shared" si="195"/>
        <v>1.1661849643835615E-3</v>
      </c>
      <c r="BG288" s="232">
        <f t="shared" si="184"/>
        <v>1.5362641095890413E-9</v>
      </c>
      <c r="BH288" s="158">
        <f t="shared" si="196"/>
        <v>3.0725282191780825E-6</v>
      </c>
      <c r="BI288" s="232">
        <f t="shared" si="185"/>
        <v>1.4139744292237442E-6</v>
      </c>
      <c r="BJ288" s="158">
        <f t="shared" si="197"/>
        <v>2.524954337899543E-4</v>
      </c>
      <c r="BK288" s="144"/>
    </row>
    <row r="289" spans="20:64">
      <c r="T289" s="53" t="s">
        <v>456</v>
      </c>
      <c r="U289" s="53" t="s">
        <v>457</v>
      </c>
      <c r="V289" s="180">
        <v>43890</v>
      </c>
      <c r="W289" s="183">
        <v>0.16252800000000001</v>
      </c>
      <c r="X289" s="183">
        <v>34.760970999999998</v>
      </c>
      <c r="Y289" s="53" t="s">
        <v>668</v>
      </c>
      <c r="Z289" s="53"/>
      <c r="AA289" s="53" t="s">
        <v>347</v>
      </c>
      <c r="AB289" s="154" t="s">
        <v>371</v>
      </c>
      <c r="AC289" s="154" t="s">
        <v>687</v>
      </c>
      <c r="AD289" s="53" t="s">
        <v>675</v>
      </c>
      <c r="AE289" s="53" t="s">
        <v>684</v>
      </c>
      <c r="AF289" s="53" t="s">
        <v>683</v>
      </c>
      <c r="AG289" s="156">
        <v>20.100000000000001</v>
      </c>
      <c r="AH289" s="157">
        <v>14.9</v>
      </c>
      <c r="AI289" s="75">
        <v>3.07653</v>
      </c>
      <c r="AJ289" s="157">
        <v>77.5</v>
      </c>
      <c r="AK289" s="156">
        <v>5.7000000000000002E-2</v>
      </c>
      <c r="AL289" s="157">
        <v>57.52</v>
      </c>
      <c r="AM289" s="144">
        <f t="shared" si="174"/>
        <v>5.7441945205479461E-6</v>
      </c>
      <c r="AN289" s="158">
        <f t="shared" si="186"/>
        <v>1.9147315068493154E-2</v>
      </c>
      <c r="AO289" s="144">
        <f t="shared" si="175"/>
        <v>1.4193780821917806E-7</v>
      </c>
      <c r="AP289" s="158">
        <f t="shared" si="187"/>
        <v>4.0553659491193734E-5</v>
      </c>
      <c r="AQ289" s="144">
        <f t="shared" si="176"/>
        <v>2.9307109068493149E-8</v>
      </c>
      <c r="AR289" s="158">
        <f t="shared" si="188"/>
        <v>9.7690363561643838E-5</v>
      </c>
      <c r="AS289" s="144">
        <f t="shared" si="177"/>
        <v>7.3826712328767129E-7</v>
      </c>
      <c r="AT289" s="158">
        <f t="shared" si="189"/>
        <v>1.4765342465753427E-4</v>
      </c>
      <c r="AU289" s="144">
        <f t="shared" si="178"/>
        <v>5.4298356164383572E-10</v>
      </c>
      <c r="AV289" s="158">
        <f t="shared" si="190"/>
        <v>1.0859671232876714E-6</v>
      </c>
      <c r="AW289" s="144">
        <f t="shared" si="179"/>
        <v>5.4793709589041106E-7</v>
      </c>
      <c r="AX289" s="158">
        <f t="shared" si="191"/>
        <v>9.7845909980430549E-5</v>
      </c>
      <c r="AY289" s="232">
        <f t="shared" si="180"/>
        <v>4.6087923287671238E-6</v>
      </c>
      <c r="AZ289" s="158">
        <f t="shared" si="192"/>
        <v>1.5362641095890413E-2</v>
      </c>
      <c r="BA289" s="232">
        <f t="shared" si="181"/>
        <v>1.1388226484018267E-7</v>
      </c>
      <c r="BB289" s="158">
        <f t="shared" si="193"/>
        <v>3.2537789954337902E-5</v>
      </c>
      <c r="BC289" s="232">
        <f t="shared" si="182"/>
        <v>2.3514241895890415E-8</v>
      </c>
      <c r="BD289" s="158">
        <f t="shared" si="194"/>
        <v>7.8380806319634723E-5</v>
      </c>
      <c r="BE289" s="232">
        <f t="shared" si="183"/>
        <v>5.9234063926940652E-7</v>
      </c>
      <c r="BF289" s="158">
        <f t="shared" si="195"/>
        <v>1.184681278538813E-4</v>
      </c>
      <c r="BG289" s="232">
        <f t="shared" si="184"/>
        <v>4.3565698630136984E-10</v>
      </c>
      <c r="BH289" s="158">
        <f t="shared" si="196"/>
        <v>8.7131397260273964E-7</v>
      </c>
      <c r="BI289" s="232">
        <f t="shared" si="185"/>
        <v>4.3963140091324199E-7</v>
      </c>
      <c r="BJ289" s="158">
        <f t="shared" si="197"/>
        <v>7.8505607305936071E-5</v>
      </c>
      <c r="BK289" s="144"/>
    </row>
    <row r="290" spans="20:64">
      <c r="T290" s="53" t="s">
        <v>458</v>
      </c>
      <c r="U290" s="53" t="s">
        <v>459</v>
      </c>
      <c r="V290" s="180">
        <v>43890</v>
      </c>
      <c r="W290" s="53">
        <v>0.105117</v>
      </c>
      <c r="X290" s="53">
        <v>34.698954000000001</v>
      </c>
      <c r="Y290" s="53" t="s">
        <v>359</v>
      </c>
      <c r="Z290" s="53"/>
      <c r="AA290" s="53" t="s">
        <v>347</v>
      </c>
      <c r="AB290" s="154" t="s">
        <v>371</v>
      </c>
      <c r="AC290" s="154" t="s">
        <v>687</v>
      </c>
      <c r="AD290" s="53" t="s">
        <v>673</v>
      </c>
      <c r="AE290" s="53" t="s">
        <v>685</v>
      </c>
      <c r="AF290" s="53" t="s">
        <v>691</v>
      </c>
      <c r="AG290" s="156">
        <v>1734.5</v>
      </c>
      <c r="AH290" s="157">
        <v>326.2</v>
      </c>
      <c r="AI290" s="75">
        <v>6.1126300000000002</v>
      </c>
      <c r="AJ290" s="157">
        <v>194.6</v>
      </c>
      <c r="AK290" s="156">
        <v>1.208</v>
      </c>
      <c r="AL290" s="157">
        <v>101.99</v>
      </c>
      <c r="AM290" s="144">
        <f t="shared" si="174"/>
        <v>4.9568683561643841E-4</v>
      </c>
      <c r="AN290" s="158">
        <f t="shared" si="186"/>
        <v>1.6522894520547948</v>
      </c>
      <c r="AO290" s="144">
        <f t="shared" si="175"/>
        <v>3.1073901369863016E-6</v>
      </c>
      <c r="AP290" s="158">
        <f t="shared" si="187"/>
        <v>8.8782575342465759E-4</v>
      </c>
      <c r="AQ290" s="144">
        <f t="shared" si="176"/>
        <v>5.822908084931507E-8</v>
      </c>
      <c r="AR290" s="158">
        <f t="shared" si="188"/>
        <v>1.9409693616438358E-4</v>
      </c>
      <c r="AS290" s="144">
        <f t="shared" si="177"/>
        <v>1.8537649315068492E-6</v>
      </c>
      <c r="AT290" s="158">
        <f t="shared" si="189"/>
        <v>3.707529863013698E-4</v>
      </c>
      <c r="AU290" s="144">
        <f t="shared" si="178"/>
        <v>1.1507441095890411E-8</v>
      </c>
      <c r="AV290" s="158">
        <f t="shared" si="190"/>
        <v>2.3014882191780822E-5</v>
      </c>
      <c r="AW290" s="144">
        <f t="shared" si="179"/>
        <v>9.7155953424657521E-7</v>
      </c>
      <c r="AX290" s="158">
        <f t="shared" si="191"/>
        <v>1.7349277397260272E-4</v>
      </c>
      <c r="AY290" s="232">
        <f t="shared" si="180"/>
        <v>3.9770896986301372E-4</v>
      </c>
      <c r="AZ290" s="158">
        <f t="shared" si="192"/>
        <v>1.3256965662100459</v>
      </c>
      <c r="BA290" s="232">
        <f t="shared" si="181"/>
        <v>2.4931808584474883E-6</v>
      </c>
      <c r="BB290" s="158">
        <f t="shared" si="193"/>
        <v>7.1233738812785381E-4</v>
      </c>
      <c r="BC290" s="232">
        <f t="shared" si="182"/>
        <v>4.671947305570776E-8</v>
      </c>
      <c r="BD290" s="158">
        <f t="shared" si="194"/>
        <v>1.5573157685235922E-4</v>
      </c>
      <c r="BE290" s="232">
        <f t="shared" si="183"/>
        <v>1.4873482374429223E-6</v>
      </c>
      <c r="BF290" s="158">
        <f t="shared" si="195"/>
        <v>2.9746964748858447E-4</v>
      </c>
      <c r="BG290" s="232">
        <f t="shared" si="184"/>
        <v>9.2328708675799091E-9</v>
      </c>
      <c r="BH290" s="158">
        <f t="shared" si="196"/>
        <v>1.8465741735159818E-5</v>
      </c>
      <c r="BI290" s="232">
        <f t="shared" si="185"/>
        <v>7.7952028127853884E-7</v>
      </c>
      <c r="BJ290" s="158">
        <f t="shared" si="197"/>
        <v>1.3920005022831052E-4</v>
      </c>
      <c r="BK290" s="144"/>
    </row>
    <row r="291" spans="20:64">
      <c r="T291" s="53" t="s">
        <v>460</v>
      </c>
      <c r="U291" s="53" t="s">
        <v>461</v>
      </c>
      <c r="V291" s="180">
        <v>43890</v>
      </c>
      <c r="W291" s="53">
        <v>0.105629</v>
      </c>
      <c r="X291" s="53">
        <v>34.699337</v>
      </c>
      <c r="Y291" s="53" t="s">
        <v>359</v>
      </c>
      <c r="Z291" s="53"/>
      <c r="AA291" s="53" t="s">
        <v>347</v>
      </c>
      <c r="AB291" s="154" t="s">
        <v>371</v>
      </c>
      <c r="AC291" s="154" t="s">
        <v>687</v>
      </c>
      <c r="AD291" s="53" t="s">
        <v>673</v>
      </c>
      <c r="AE291" s="53" t="s">
        <v>685</v>
      </c>
      <c r="AF291" s="53" t="s">
        <v>691</v>
      </c>
      <c r="AG291" s="156">
        <v>533</v>
      </c>
      <c r="AH291" s="157">
        <v>111.6</v>
      </c>
      <c r="AI291" s="75">
        <v>4.1019999999999994</v>
      </c>
      <c r="AJ291" s="157">
        <v>213.8</v>
      </c>
      <c r="AK291" s="156">
        <v>0.42599999999999999</v>
      </c>
      <c r="AL291" s="157">
        <v>122.3</v>
      </c>
      <c r="AM291" s="144">
        <f t="shared" si="174"/>
        <v>1.5232117808219178E-4</v>
      </c>
      <c r="AN291" s="158">
        <f t="shared" si="186"/>
        <v>0.5077372602739727</v>
      </c>
      <c r="AO291" s="144">
        <f t="shared" si="175"/>
        <v>1.0631046575342464E-6</v>
      </c>
      <c r="AP291" s="158">
        <f t="shared" si="187"/>
        <v>3.0374418786692752E-4</v>
      </c>
      <c r="AQ291" s="144">
        <f t="shared" si="176"/>
        <v>3.9075764383561648E-8</v>
      </c>
      <c r="AR291" s="158">
        <f t="shared" si="188"/>
        <v>1.3025254794520551E-4</v>
      </c>
      <c r="AS291" s="144">
        <f t="shared" si="177"/>
        <v>2.0366646575342461E-6</v>
      </c>
      <c r="AT291" s="158">
        <f t="shared" si="189"/>
        <v>4.0733293150684919E-4</v>
      </c>
      <c r="AU291" s="144">
        <f t="shared" si="178"/>
        <v>4.0580876712328756E-9</v>
      </c>
      <c r="AV291" s="158">
        <f t="shared" si="190"/>
        <v>8.1161753424657513E-6</v>
      </c>
      <c r="AW291" s="144">
        <f t="shared" si="179"/>
        <v>1.1650331506849314E-6</v>
      </c>
      <c r="AX291" s="158">
        <f t="shared" si="191"/>
        <v>2.080416340508806E-4</v>
      </c>
      <c r="AY291" s="232">
        <f t="shared" si="180"/>
        <v>1.2221324931506849E-4</v>
      </c>
      <c r="AZ291" s="158">
        <f t="shared" si="192"/>
        <v>0.40737749771689497</v>
      </c>
      <c r="BA291" s="232">
        <f t="shared" si="181"/>
        <v>8.5297052054794522E-7</v>
      </c>
      <c r="BB291" s="158">
        <f t="shared" si="193"/>
        <v>2.4370586301369863E-4</v>
      </c>
      <c r="BC291" s="232">
        <f t="shared" si="182"/>
        <v>3.1352016803652969E-8</v>
      </c>
      <c r="BD291" s="158">
        <f t="shared" si="194"/>
        <v>1.0450672267884323E-4</v>
      </c>
      <c r="BE291" s="232">
        <f t="shared" si="183"/>
        <v>1.6340958538812787E-6</v>
      </c>
      <c r="BF291" s="158">
        <f t="shared" si="195"/>
        <v>3.2681917077625572E-4</v>
      </c>
      <c r="BG291" s="232">
        <f t="shared" si="184"/>
        <v>3.2559627397260268E-9</v>
      </c>
      <c r="BH291" s="158">
        <f t="shared" si="196"/>
        <v>6.5119254794520539E-6</v>
      </c>
      <c r="BI291" s="232">
        <f t="shared" si="185"/>
        <v>9.3475174429223738E-7</v>
      </c>
      <c r="BJ291" s="158">
        <f t="shared" si="197"/>
        <v>1.6691995433789952E-4</v>
      </c>
      <c r="BK291" s="144"/>
    </row>
    <row r="292" spans="20:64">
      <c r="T292" s="53" t="s">
        <v>462</v>
      </c>
      <c r="U292" s="53" t="s">
        <v>461</v>
      </c>
      <c r="V292" s="180">
        <v>43890</v>
      </c>
      <c r="W292" s="53">
        <v>0.105629</v>
      </c>
      <c r="X292" s="53">
        <v>34.699337</v>
      </c>
      <c r="Y292" s="53" t="s">
        <v>359</v>
      </c>
      <c r="Z292" s="53"/>
      <c r="AA292" s="53" t="s">
        <v>347</v>
      </c>
      <c r="AB292" s="154" t="s">
        <v>371</v>
      </c>
      <c r="AC292" s="154" t="s">
        <v>687</v>
      </c>
      <c r="AD292" s="53" t="s">
        <v>673</v>
      </c>
      <c r="AE292" s="53" t="s">
        <v>685</v>
      </c>
      <c r="AF292" s="53" t="s">
        <v>691</v>
      </c>
      <c r="AG292" s="156">
        <v>528.6</v>
      </c>
      <c r="AH292" s="157">
        <v>111.2</v>
      </c>
      <c r="AI292" s="74">
        <v>4.0999999999999996</v>
      </c>
      <c r="AJ292" s="157">
        <v>213.1</v>
      </c>
      <c r="AK292" s="156">
        <v>0.40600000000000003</v>
      </c>
      <c r="AL292" s="157">
        <v>124.39</v>
      </c>
      <c r="AM292" s="144">
        <f t="shared" si="174"/>
        <v>1.510637424657534E-4</v>
      </c>
      <c r="AN292" s="158">
        <f t="shared" si="186"/>
        <v>0.50354580821917805</v>
      </c>
      <c r="AO292" s="144">
        <f t="shared" si="175"/>
        <v>1.0592942465753425E-6</v>
      </c>
      <c r="AP292" s="158">
        <f t="shared" si="187"/>
        <v>3.0265549902152645E-4</v>
      </c>
      <c r="AQ292" s="144">
        <f t="shared" si="176"/>
        <v>3.9056712328767121E-8</v>
      </c>
      <c r="AR292" s="158">
        <f t="shared" si="188"/>
        <v>1.3018904109589043E-4</v>
      </c>
      <c r="AS292" s="144">
        <f t="shared" si="177"/>
        <v>2.0299964383561643E-6</v>
      </c>
      <c r="AT292" s="158">
        <f t="shared" si="189"/>
        <v>4.0599928767123285E-4</v>
      </c>
      <c r="AU292" s="144">
        <f t="shared" si="178"/>
        <v>3.8675671232876716E-9</v>
      </c>
      <c r="AV292" s="158">
        <f t="shared" si="190"/>
        <v>7.7351342465753427E-6</v>
      </c>
      <c r="AW292" s="144">
        <f t="shared" si="179"/>
        <v>1.1849425479452053E-6</v>
      </c>
      <c r="AX292" s="158">
        <f t="shared" si="191"/>
        <v>2.1159688356164381E-4</v>
      </c>
      <c r="AY292" s="232">
        <f t="shared" si="180"/>
        <v>1.2120435945205479E-4</v>
      </c>
      <c r="AZ292" s="158">
        <f t="shared" si="192"/>
        <v>0.40401453150684935</v>
      </c>
      <c r="BA292" s="232">
        <f t="shared" si="181"/>
        <v>8.4991327853881301E-7</v>
      </c>
      <c r="BB292" s="158">
        <f t="shared" si="193"/>
        <v>2.4283236529680372E-4</v>
      </c>
      <c r="BC292" s="232">
        <f t="shared" si="182"/>
        <v>3.1336730593607298E-8</v>
      </c>
      <c r="BD292" s="158">
        <f t="shared" si="194"/>
        <v>1.0445576864535766E-4</v>
      </c>
      <c r="BE292" s="232">
        <f t="shared" si="183"/>
        <v>1.6287456803652968E-6</v>
      </c>
      <c r="BF292" s="158">
        <f t="shared" si="195"/>
        <v>3.2574913607305936E-4</v>
      </c>
      <c r="BG292" s="232">
        <f t="shared" si="184"/>
        <v>3.1031006392694069E-9</v>
      </c>
      <c r="BH292" s="158">
        <f t="shared" si="196"/>
        <v>6.2062012785388135E-6</v>
      </c>
      <c r="BI292" s="232">
        <f t="shared" si="185"/>
        <v>9.5072583378995454E-7</v>
      </c>
      <c r="BJ292" s="158">
        <f t="shared" si="197"/>
        <v>1.6977247031963475E-4</v>
      </c>
      <c r="BK292" s="144"/>
    </row>
    <row r="293" spans="20:64">
      <c r="T293" s="53" t="s">
        <v>463</v>
      </c>
      <c r="U293" s="53" t="s">
        <v>464</v>
      </c>
      <c r="V293" s="180">
        <v>43891</v>
      </c>
      <c r="W293" s="53">
        <v>0.10255300000000001</v>
      </c>
      <c r="X293" s="53">
        <v>34.713514000000004</v>
      </c>
      <c r="Y293" s="53" t="s">
        <v>344</v>
      </c>
      <c r="Z293" s="53"/>
      <c r="AA293" s="53" t="s">
        <v>347</v>
      </c>
      <c r="AB293" s="154" t="s">
        <v>371</v>
      </c>
      <c r="AC293" s="154" t="s">
        <v>687</v>
      </c>
      <c r="AD293" s="53" t="s">
        <v>673</v>
      </c>
      <c r="AE293" s="53" t="s">
        <v>685</v>
      </c>
      <c r="AF293" s="53" t="s">
        <v>691</v>
      </c>
      <c r="AG293" s="156">
        <v>6462.7</v>
      </c>
      <c r="AH293" s="157">
        <v>65.8</v>
      </c>
      <c r="AI293" s="75">
        <v>9.3978200000000012</v>
      </c>
      <c r="AJ293" s="157">
        <v>144.5</v>
      </c>
      <c r="AK293" s="156">
        <v>0.52200000000000002</v>
      </c>
      <c r="AL293" s="157">
        <v>65.41</v>
      </c>
      <c r="AM293" s="144">
        <f t="shared" si="174"/>
        <v>1.8469157178082191E-3</v>
      </c>
      <c r="AN293" s="158">
        <f t="shared" si="186"/>
        <v>6.1563857260273975</v>
      </c>
      <c r="AO293" s="144">
        <f t="shared" si="175"/>
        <v>6.26812602739726E-7</v>
      </c>
      <c r="AP293" s="158">
        <f t="shared" si="187"/>
        <v>1.7908931506849314E-4</v>
      </c>
      <c r="AQ293" s="144">
        <f t="shared" si="176"/>
        <v>8.952389079452057E-8</v>
      </c>
      <c r="AR293" s="158">
        <f t="shared" si="188"/>
        <v>2.984129693150686E-4</v>
      </c>
      <c r="AS293" s="144">
        <f t="shared" si="177"/>
        <v>1.3765109589041099E-6</v>
      </c>
      <c r="AT293" s="158">
        <f t="shared" si="189"/>
        <v>2.7530219178082196E-4</v>
      </c>
      <c r="AU293" s="144">
        <f t="shared" si="178"/>
        <v>4.9725863013698629E-9</v>
      </c>
      <c r="AV293" s="158">
        <f t="shared" si="190"/>
        <v>9.9451726027397253E-6</v>
      </c>
      <c r="AW293" s="144">
        <f t="shared" si="179"/>
        <v>6.2309745205479444E-7</v>
      </c>
      <c r="AX293" s="158">
        <f t="shared" si="191"/>
        <v>1.1126740215264187E-4</v>
      </c>
      <c r="AY293" s="232">
        <f t="shared" si="180"/>
        <v>1.4818528449315068E-3</v>
      </c>
      <c r="AZ293" s="158">
        <f t="shared" si="192"/>
        <v>4.9395094831050228</v>
      </c>
      <c r="BA293" s="232">
        <f t="shared" si="181"/>
        <v>5.0291631050228309E-7</v>
      </c>
      <c r="BB293" s="158">
        <f t="shared" si="193"/>
        <v>1.4369037442922374E-4</v>
      </c>
      <c r="BC293" s="232">
        <f t="shared" si="182"/>
        <v>7.1828525245662105E-8</v>
      </c>
      <c r="BD293" s="158">
        <f t="shared" si="194"/>
        <v>2.3942841748554036E-4</v>
      </c>
      <c r="BE293" s="232">
        <f t="shared" si="183"/>
        <v>1.1044286757990868E-6</v>
      </c>
      <c r="BF293" s="158">
        <f t="shared" si="195"/>
        <v>2.2088573515981734E-4</v>
      </c>
      <c r="BG293" s="232">
        <f t="shared" si="184"/>
        <v>3.9897008219178074E-9</v>
      </c>
      <c r="BH293" s="158">
        <f t="shared" si="196"/>
        <v>7.9794016438356144E-6</v>
      </c>
      <c r="BI293" s="232">
        <f t="shared" si="185"/>
        <v>4.9993549954337893E-7</v>
      </c>
      <c r="BJ293" s="158">
        <f t="shared" si="197"/>
        <v>8.9274196347031949E-5</v>
      </c>
      <c r="BK293" s="144"/>
    </row>
    <row r="294" spans="20:64">
      <c r="T294" s="53" t="s">
        <v>465</v>
      </c>
      <c r="U294" s="53" t="s">
        <v>466</v>
      </c>
      <c r="V294" s="180">
        <v>43891</v>
      </c>
      <c r="W294" s="53">
        <v>0.15733900000000001</v>
      </c>
      <c r="X294" s="53">
        <v>34.817802</v>
      </c>
      <c r="Y294" s="53" t="s">
        <v>679</v>
      </c>
      <c r="Z294" s="53"/>
      <c r="AA294" s="53" t="s">
        <v>347</v>
      </c>
      <c r="AB294" s="154" t="s">
        <v>371</v>
      </c>
      <c r="AC294" s="154" t="s">
        <v>687</v>
      </c>
      <c r="AD294" s="53" t="s">
        <v>675</v>
      </c>
      <c r="AE294" s="53" t="s">
        <v>684</v>
      </c>
      <c r="AF294" s="53" t="s">
        <v>683</v>
      </c>
      <c r="AG294" s="156">
        <v>169.6</v>
      </c>
      <c r="AH294" s="157">
        <v>15.4</v>
      </c>
      <c r="AI294" s="75">
        <v>3.643005</v>
      </c>
      <c r="AJ294" s="157">
        <v>51.6</v>
      </c>
      <c r="AK294" s="156">
        <v>5.3999999999999999E-2</v>
      </c>
      <c r="AL294" s="157">
        <v>11.44</v>
      </c>
      <c r="AM294" s="144">
        <f t="shared" si="174"/>
        <v>4.8468427397260267E-5</v>
      </c>
      <c r="AN294" s="158">
        <f t="shared" si="186"/>
        <v>0.16156142465753423</v>
      </c>
      <c r="AO294" s="144">
        <f t="shared" si="175"/>
        <v>1.4670082191780824E-7</v>
      </c>
      <c r="AP294" s="158">
        <f t="shared" si="187"/>
        <v>4.1914520547945208E-5</v>
      </c>
      <c r="AQ294" s="144">
        <f t="shared" si="176"/>
        <v>3.4703365438356164E-8</v>
      </c>
      <c r="AR294" s="158">
        <f t="shared" si="188"/>
        <v>1.1567788479452055E-4</v>
      </c>
      <c r="AS294" s="144">
        <f t="shared" si="177"/>
        <v>4.9154301369863017E-7</v>
      </c>
      <c r="AT294" s="158">
        <f t="shared" si="189"/>
        <v>9.8308602739726031E-5</v>
      </c>
      <c r="AU294" s="144">
        <f t="shared" si="178"/>
        <v>5.1440547945205489E-10</v>
      </c>
      <c r="AV294" s="158">
        <f t="shared" si="190"/>
        <v>1.0288109589041098E-6</v>
      </c>
      <c r="AW294" s="144">
        <f t="shared" si="179"/>
        <v>1.0897775342465752E-7</v>
      </c>
      <c r="AX294" s="158">
        <f t="shared" si="191"/>
        <v>1.9460313111545985E-5</v>
      </c>
      <c r="AY294" s="232">
        <f t="shared" si="180"/>
        <v>3.8888118356164385E-5</v>
      </c>
      <c r="AZ294" s="158">
        <f t="shared" si="192"/>
        <v>0.12962706118721462</v>
      </c>
      <c r="BA294" s="232">
        <f t="shared" si="181"/>
        <v>1.1770381735159818E-7</v>
      </c>
      <c r="BB294" s="158">
        <f t="shared" si="193"/>
        <v>3.362966210045662E-5</v>
      </c>
      <c r="BC294" s="232">
        <f t="shared" si="182"/>
        <v>2.784386981369864E-8</v>
      </c>
      <c r="BD294" s="158">
        <f t="shared" si="194"/>
        <v>9.2812899378995478E-5</v>
      </c>
      <c r="BE294" s="232">
        <f t="shared" si="183"/>
        <v>3.9438421917808229E-7</v>
      </c>
      <c r="BF294" s="158">
        <f t="shared" si="195"/>
        <v>7.8876843835616462E-5</v>
      </c>
      <c r="BG294" s="232">
        <f t="shared" si="184"/>
        <v>4.1272767123287656E-10</v>
      </c>
      <c r="BH294" s="158">
        <f t="shared" si="196"/>
        <v>8.2545534246575311E-7</v>
      </c>
      <c r="BI294" s="232">
        <f t="shared" si="185"/>
        <v>8.7437121461187225E-8</v>
      </c>
      <c r="BJ294" s="158">
        <f t="shared" si="197"/>
        <v>1.5613771689497718E-5</v>
      </c>
      <c r="BK294" s="144"/>
    </row>
    <row r="295" spans="20:64">
      <c r="T295" s="53" t="s">
        <v>467</v>
      </c>
      <c r="U295" s="53" t="s">
        <v>468</v>
      </c>
      <c r="V295" s="155" t="s">
        <v>342</v>
      </c>
      <c r="W295" s="53">
        <v>0.15733900000000001</v>
      </c>
      <c r="X295" s="53">
        <v>34.817802</v>
      </c>
      <c r="Y295" s="53" t="s">
        <v>679</v>
      </c>
      <c r="Z295" s="53" t="s">
        <v>334</v>
      </c>
      <c r="AA295" s="116" t="s">
        <v>347</v>
      </c>
      <c r="AB295" s="154" t="s">
        <v>371</v>
      </c>
      <c r="AC295" s="154" t="s">
        <v>687</v>
      </c>
      <c r="AD295" s="53" t="s">
        <v>673</v>
      </c>
      <c r="AE295" s="53" t="s">
        <v>685</v>
      </c>
      <c r="AF295" s="53" t="s">
        <v>691</v>
      </c>
      <c r="AG295" s="156">
        <v>343</v>
      </c>
      <c r="AH295" s="157">
        <v>17.399999999999999</v>
      </c>
      <c r="AI295" s="75">
        <v>1.09558</v>
      </c>
      <c r="AJ295" s="157">
        <v>103.2</v>
      </c>
      <c r="AK295" s="156">
        <v>0.1</v>
      </c>
      <c r="AL295" s="157">
        <v>10.87</v>
      </c>
      <c r="AM295" s="144">
        <f t="shared" si="174"/>
        <v>9.8022821917808205E-5</v>
      </c>
      <c r="AN295" s="158">
        <f t="shared" si="186"/>
        <v>0.32674273972602735</v>
      </c>
      <c r="AO295" s="144">
        <f t="shared" si="175"/>
        <v>1.6575287671232876E-7</v>
      </c>
      <c r="AP295" s="158">
        <f t="shared" si="187"/>
        <v>4.7357964774951071E-5</v>
      </c>
      <c r="AQ295" s="144">
        <f t="shared" si="176"/>
        <v>1.0436525095890411E-8</v>
      </c>
      <c r="AR295" s="158">
        <f t="shared" si="188"/>
        <v>3.4788416986301377E-5</v>
      </c>
      <c r="AS295" s="144">
        <f t="shared" si="177"/>
        <v>9.8308602739726034E-7</v>
      </c>
      <c r="AT295" s="158">
        <f t="shared" si="189"/>
        <v>1.9661720547945206E-4</v>
      </c>
      <c r="AU295" s="144">
        <f t="shared" si="178"/>
        <v>9.5260273972602744E-10</v>
      </c>
      <c r="AV295" s="158">
        <f t="shared" si="190"/>
        <v>1.9052054794520548E-6</v>
      </c>
      <c r="AW295" s="144">
        <f t="shared" si="179"/>
        <v>1.0354791780821918E-7</v>
      </c>
      <c r="AX295" s="158">
        <f t="shared" si="191"/>
        <v>1.849069960861057E-5</v>
      </c>
      <c r="AY295" s="232">
        <f t="shared" si="180"/>
        <v>7.8647550684931501E-5</v>
      </c>
      <c r="AZ295" s="158">
        <f t="shared" si="192"/>
        <v>0.262158502283105</v>
      </c>
      <c r="BA295" s="232">
        <f t="shared" si="181"/>
        <v>1.3299002739726025E-7</v>
      </c>
      <c r="BB295" s="158">
        <f t="shared" si="193"/>
        <v>3.7997150684931501E-5</v>
      </c>
      <c r="BC295" s="232">
        <f t="shared" si="182"/>
        <v>8.3736330009132404E-9</v>
      </c>
      <c r="BD295" s="158">
        <f t="shared" si="194"/>
        <v>2.7912110003044135E-5</v>
      </c>
      <c r="BE295" s="232">
        <f t="shared" si="183"/>
        <v>7.8876843835616458E-7</v>
      </c>
      <c r="BF295" s="158">
        <f t="shared" si="195"/>
        <v>1.5775368767123292E-4</v>
      </c>
      <c r="BG295" s="232">
        <f t="shared" si="184"/>
        <v>7.643105022831049E-10</v>
      </c>
      <c r="BH295" s="158">
        <f t="shared" si="196"/>
        <v>1.5286210045662098E-6</v>
      </c>
      <c r="BI295" s="232">
        <f t="shared" si="185"/>
        <v>8.308055159817353E-8</v>
      </c>
      <c r="BJ295" s="158">
        <f t="shared" si="197"/>
        <v>1.4835812785388131E-5</v>
      </c>
      <c r="BK295" s="144"/>
    </row>
    <row r="296" spans="20:64">
      <c r="T296" s="53" t="s">
        <v>469</v>
      </c>
      <c r="U296" s="53" t="s">
        <v>470</v>
      </c>
      <c r="V296" s="155" t="s">
        <v>342</v>
      </c>
      <c r="W296" s="53">
        <v>0.156809</v>
      </c>
      <c r="X296" s="53">
        <v>34.818221000000001</v>
      </c>
      <c r="Y296" s="53" t="s">
        <v>679</v>
      </c>
      <c r="Z296" s="53" t="s">
        <v>334</v>
      </c>
      <c r="AA296" s="53" t="s">
        <v>347</v>
      </c>
      <c r="AB296" s="154" t="s">
        <v>371</v>
      </c>
      <c r="AC296" s="154" t="s">
        <v>687</v>
      </c>
      <c r="AD296" s="53" t="s">
        <v>673</v>
      </c>
      <c r="AE296" s="53" t="s">
        <v>685</v>
      </c>
      <c r="AF296" s="53" t="s">
        <v>691</v>
      </c>
      <c r="AG296" s="156">
        <v>765.8</v>
      </c>
      <c r="AH296" s="157">
        <v>42.6</v>
      </c>
      <c r="AI296" s="75">
        <v>6.1019500000000004</v>
      </c>
      <c r="AJ296" s="157">
        <v>173.3</v>
      </c>
      <c r="AK296" s="156">
        <v>0.185</v>
      </c>
      <c r="AL296" s="157">
        <v>18.05</v>
      </c>
      <c r="AM296" s="144">
        <f t="shared" si="174"/>
        <v>2.1885095342465756E-4</v>
      </c>
      <c r="AN296" s="158">
        <f t="shared" si="186"/>
        <v>0.72950317808219189</v>
      </c>
      <c r="AO296" s="144">
        <f t="shared" si="175"/>
        <v>4.0580876712328769E-7</v>
      </c>
      <c r="AP296" s="158">
        <f t="shared" si="187"/>
        <v>1.1594536203522506E-4</v>
      </c>
      <c r="AQ296" s="144">
        <f t="shared" si="176"/>
        <v>5.8127342876712331E-8</v>
      </c>
      <c r="AR296" s="158">
        <f t="shared" si="188"/>
        <v>1.9375780958904112E-4</v>
      </c>
      <c r="AS296" s="144">
        <f t="shared" si="177"/>
        <v>1.6508605479452058E-6</v>
      </c>
      <c r="AT296" s="158">
        <f t="shared" si="189"/>
        <v>3.3017210958904118E-4</v>
      </c>
      <c r="AU296" s="144">
        <f t="shared" si="178"/>
        <v>1.7623150684931506E-9</v>
      </c>
      <c r="AV296" s="158">
        <f t="shared" si="190"/>
        <v>3.5246301369863014E-6</v>
      </c>
      <c r="AW296" s="144">
        <f t="shared" si="179"/>
        <v>1.7194479452054795E-7</v>
      </c>
      <c r="AX296" s="158">
        <f t="shared" si="191"/>
        <v>3.070442759295499E-5</v>
      </c>
      <c r="AY296" s="232">
        <f t="shared" si="180"/>
        <v>1.7559269479452052E-4</v>
      </c>
      <c r="AZ296" s="158">
        <f t="shared" si="192"/>
        <v>0.58530898264840181</v>
      </c>
      <c r="BA296" s="232">
        <f t="shared" si="181"/>
        <v>3.2559627397260271E-7</v>
      </c>
      <c r="BB296" s="158">
        <f t="shared" si="193"/>
        <v>9.3027506849315057E-5</v>
      </c>
      <c r="BC296" s="232">
        <f t="shared" si="182"/>
        <v>4.6637844694063939E-8</v>
      </c>
      <c r="BD296" s="158">
        <f t="shared" si="194"/>
        <v>1.5545948231354649E-4</v>
      </c>
      <c r="BE296" s="232">
        <f t="shared" si="183"/>
        <v>1.3245501004566211E-6</v>
      </c>
      <c r="BF296" s="158">
        <f t="shared" si="195"/>
        <v>2.649100200913242E-4</v>
      </c>
      <c r="BG296" s="232">
        <f t="shared" si="184"/>
        <v>1.4139744292237445E-9</v>
      </c>
      <c r="BH296" s="158">
        <f t="shared" si="196"/>
        <v>2.8279488584474888E-6</v>
      </c>
      <c r="BI296" s="232">
        <f t="shared" si="185"/>
        <v>1.3795804566210046E-7</v>
      </c>
      <c r="BJ296" s="158">
        <f t="shared" si="197"/>
        <v>2.4635365296803654E-5</v>
      </c>
      <c r="BK296" s="144"/>
    </row>
    <row r="297" spans="20:64">
      <c r="T297" s="53" t="s">
        <v>471</v>
      </c>
      <c r="U297" s="53" t="s">
        <v>472</v>
      </c>
      <c r="V297" s="155" t="s">
        <v>342</v>
      </c>
      <c r="W297" s="53">
        <v>0.156392</v>
      </c>
      <c r="X297" s="53">
        <v>34.817486000000002</v>
      </c>
      <c r="Y297" s="53" t="s">
        <v>679</v>
      </c>
      <c r="Z297" s="53" t="s">
        <v>334</v>
      </c>
      <c r="AA297" s="53" t="s">
        <v>347</v>
      </c>
      <c r="AB297" s="154" t="s">
        <v>371</v>
      </c>
      <c r="AC297" s="154" t="s">
        <v>687</v>
      </c>
      <c r="AD297" s="53" t="s">
        <v>673</v>
      </c>
      <c r="AE297" s="53" t="s">
        <v>685</v>
      </c>
      <c r="AF297" s="53" t="s">
        <v>691</v>
      </c>
      <c r="AG297" s="156">
        <v>381.7</v>
      </c>
      <c r="AH297" s="157">
        <v>17.5</v>
      </c>
      <c r="AI297" s="75">
        <v>0.72155999999999998</v>
      </c>
      <c r="AJ297" s="157">
        <v>57.6</v>
      </c>
      <c r="AK297" s="156">
        <v>5.6000000000000001E-2</v>
      </c>
      <c r="AL297" s="157">
        <v>3.15</v>
      </c>
      <c r="AM297" s="144">
        <f t="shared" si="174"/>
        <v>1.0908253972602739E-4</v>
      </c>
      <c r="AN297" s="158">
        <f t="shared" si="186"/>
        <v>0.36360846575342465</v>
      </c>
      <c r="AO297" s="144">
        <f t="shared" si="175"/>
        <v>1.6670547945205484E-7</v>
      </c>
      <c r="AP297" s="158">
        <f t="shared" si="187"/>
        <v>4.7630136986301381E-5</v>
      </c>
      <c r="AQ297" s="144">
        <f t="shared" si="176"/>
        <v>6.8736003287671224E-9</v>
      </c>
      <c r="AR297" s="158">
        <f t="shared" si="188"/>
        <v>2.2912001095890411E-5</v>
      </c>
      <c r="AS297" s="144">
        <f t="shared" si="177"/>
        <v>5.4869917808219165E-7</v>
      </c>
      <c r="AT297" s="158">
        <f t="shared" si="189"/>
        <v>1.0973983561643832E-4</v>
      </c>
      <c r="AU297" s="144">
        <f t="shared" si="178"/>
        <v>5.3345753424657538E-10</v>
      </c>
      <c r="AV297" s="158">
        <f t="shared" si="190"/>
        <v>1.0669150684931508E-6</v>
      </c>
      <c r="AW297" s="144">
        <f t="shared" si="179"/>
        <v>3.0006986301369857E-8</v>
      </c>
      <c r="AX297" s="158">
        <f t="shared" si="191"/>
        <v>5.3583904109589031E-6</v>
      </c>
      <c r="AY297" s="232">
        <f t="shared" si="180"/>
        <v>8.7521195616438349E-5</v>
      </c>
      <c r="AZ297" s="158">
        <f t="shared" si="192"/>
        <v>0.29173731872146119</v>
      </c>
      <c r="BA297" s="232">
        <f t="shared" si="181"/>
        <v>1.3375433789954338E-7</v>
      </c>
      <c r="BB297" s="158">
        <f t="shared" si="193"/>
        <v>3.8215525114155249E-5</v>
      </c>
      <c r="BC297" s="232">
        <f t="shared" si="182"/>
        <v>5.5149588602739722E-9</v>
      </c>
      <c r="BD297" s="158">
        <f t="shared" si="194"/>
        <v>1.8383196200913243E-5</v>
      </c>
      <c r="BE297" s="232">
        <f t="shared" si="183"/>
        <v>4.4024284931506856E-7</v>
      </c>
      <c r="BF297" s="158">
        <f t="shared" si="195"/>
        <v>8.8048569863013706E-5</v>
      </c>
      <c r="BG297" s="232">
        <f t="shared" si="184"/>
        <v>4.2801388127853887E-10</v>
      </c>
      <c r="BH297" s="158">
        <f t="shared" si="196"/>
        <v>8.5602776255707774E-7</v>
      </c>
      <c r="BI297" s="232">
        <f t="shared" si="185"/>
        <v>2.4075780821917811E-8</v>
      </c>
      <c r="BJ297" s="158">
        <f t="shared" si="197"/>
        <v>4.2992465753424659E-6</v>
      </c>
    </row>
    <row r="298" spans="20:64">
      <c r="T298" s="184"/>
      <c r="U298" s="184"/>
      <c r="V298" s="184"/>
      <c r="W298" s="184"/>
      <c r="X298" s="184"/>
      <c r="Y298" s="184"/>
      <c r="Z298" s="184"/>
      <c r="AA298" s="184"/>
      <c r="AB298" s="184"/>
      <c r="AC298" s="184"/>
      <c r="AD298" s="184"/>
      <c r="AE298" s="184"/>
      <c r="AF298" s="184"/>
      <c r="AG298" s="207"/>
      <c r="AH298" s="208"/>
      <c r="AI298" s="209"/>
      <c r="AJ298" s="208"/>
      <c r="AK298" s="207"/>
      <c r="AL298" s="208" t="s">
        <v>965</v>
      </c>
      <c r="AM298" s="173">
        <f t="shared" ref="AM298:AW298" si="198">AVERAGE(AM263:AM297)</f>
        <v>1.2662295005870842E-4</v>
      </c>
      <c r="AN298" s="173">
        <f t="shared" si="186"/>
        <v>0.42207650019569476</v>
      </c>
      <c r="AO298" s="173">
        <f t="shared" si="198"/>
        <v>5.5863346379647745E-7</v>
      </c>
      <c r="AP298" s="173">
        <f t="shared" si="187"/>
        <v>1.5960956108470784E-4</v>
      </c>
      <c r="AQ298" s="173">
        <f t="shared" si="198"/>
        <v>5.3538839195694719E-8</v>
      </c>
      <c r="AR298" s="173">
        <f t="shared" si="188"/>
        <v>1.784627973189824E-4</v>
      </c>
      <c r="AS298" s="173">
        <f t="shared" si="198"/>
        <v>3.1579869510763205E-6</v>
      </c>
      <c r="AT298" s="173">
        <f t="shared" si="189"/>
        <v>6.3159739021526409E-4</v>
      </c>
      <c r="AU298" s="173">
        <f t="shared" si="198"/>
        <v>2.0793956947162423E-9</v>
      </c>
      <c r="AV298" s="173">
        <f t="shared" si="190"/>
        <v>4.1587913894324847E-6</v>
      </c>
      <c r="AW298" s="173">
        <f t="shared" si="198"/>
        <v>8.319705722113503E-7</v>
      </c>
      <c r="AX298" s="173">
        <f t="shared" si="191"/>
        <v>1.485661736091697E-4</v>
      </c>
      <c r="AY298" s="233">
        <f t="shared" ref="AY298:BI298" si="199">AVERAGE(AY263:AY297)</f>
        <v>1.0159455408219179E-4</v>
      </c>
      <c r="AZ298" s="173">
        <f t="shared" si="192"/>
        <v>0.33864851360730602</v>
      </c>
      <c r="BA298" s="233">
        <f t="shared" si="199"/>
        <v>4.4821351598173517E-7</v>
      </c>
      <c r="BB298" s="173">
        <f t="shared" si="193"/>
        <v>1.2806100456621005E-4</v>
      </c>
      <c r="BC298" s="233">
        <f t="shared" si="199"/>
        <v>4.295630840730594E-8</v>
      </c>
      <c r="BD298" s="173">
        <f t="shared" si="194"/>
        <v>1.4318769469101982E-4</v>
      </c>
      <c r="BE298" s="233">
        <f t="shared" si="199"/>
        <v>2.533776664840182E-6</v>
      </c>
      <c r="BF298" s="173">
        <f t="shared" si="195"/>
        <v>5.067553329680364E-4</v>
      </c>
      <c r="BG298" s="233">
        <f t="shared" si="199"/>
        <v>1.6683806392694063E-9</v>
      </c>
      <c r="BH298" s="173">
        <f t="shared" si="196"/>
        <v>3.3367612785388124E-6</v>
      </c>
      <c r="BI298" s="233">
        <f t="shared" si="199"/>
        <v>6.6752258776255724E-7</v>
      </c>
      <c r="BJ298" s="173">
        <f t="shared" si="197"/>
        <v>1.1920046210045665E-4</v>
      </c>
    </row>
    <row r="299" spans="20:64">
      <c r="T299" s="53" t="s">
        <v>473</v>
      </c>
      <c r="U299" s="53" t="s">
        <v>474</v>
      </c>
      <c r="V299" s="180">
        <v>44065</v>
      </c>
      <c r="W299" s="53">
        <v>0.46604000000000001</v>
      </c>
      <c r="X299" s="53">
        <v>34.870392000000002</v>
      </c>
      <c r="Y299" s="53" t="s">
        <v>331</v>
      </c>
      <c r="Z299" s="53" t="s">
        <v>330</v>
      </c>
      <c r="AA299" s="53" t="s">
        <v>347</v>
      </c>
      <c r="AB299" s="154" t="s">
        <v>362</v>
      </c>
      <c r="AC299" s="154" t="s">
        <v>687</v>
      </c>
      <c r="AD299" s="53" t="s">
        <v>675</v>
      </c>
      <c r="AE299" s="53" t="s">
        <v>684</v>
      </c>
      <c r="AF299" s="53" t="s">
        <v>683</v>
      </c>
      <c r="AG299" s="53">
        <v>6.2</v>
      </c>
      <c r="AH299" s="53">
        <v>15.82</v>
      </c>
      <c r="AI299" s="53">
        <v>0.02</v>
      </c>
      <c r="AJ299" s="53">
        <v>612.6</v>
      </c>
      <c r="AK299" s="53">
        <v>0.125</v>
      </c>
      <c r="AL299" s="53">
        <v>95.1</v>
      </c>
      <c r="AM299" s="144">
        <f>(AG299*5700*0.61*0.2*0.03*350*30*0.000001)/(70*30*365)</f>
        <v>1.7718410958904104E-6</v>
      </c>
      <c r="AN299" s="158">
        <f t="shared" si="186"/>
        <v>5.906136986301368E-3</v>
      </c>
      <c r="AO299" s="144">
        <f>(AH299*5700*0.61*0.2*0.001*350*30*0.000001)/(70*30*365)</f>
        <v>1.5070175342465753E-7</v>
      </c>
      <c r="AP299" s="158">
        <f t="shared" si="187"/>
        <v>4.3057643835616437E-5</v>
      </c>
      <c r="AQ299" s="144">
        <f>(AI299*5700*0.61*0.2*0.001*350*30*0.000001)/(70*30*365)</f>
        <v>1.9052054794520547E-10</v>
      </c>
      <c r="AR299" s="158">
        <f t="shared" si="188"/>
        <v>6.3506849315068496E-7</v>
      </c>
      <c r="AS299" s="144">
        <f>(AJ299*5700*0.61*0.2*0.001*350*30*0.000001)/(70*30*365)</f>
        <v>5.8356443835616432E-6</v>
      </c>
      <c r="AT299" s="158">
        <f t="shared" si="189"/>
        <v>1.1671288767123285E-3</v>
      </c>
      <c r="AU299" s="144">
        <f>(AK299*5700*0.61*0.2*0.001*350*30*0.000001)/(70*30*365)</f>
        <v>1.1907534246575345E-9</v>
      </c>
      <c r="AV299" s="158">
        <f t="shared" si="190"/>
        <v>2.3815068493150689E-6</v>
      </c>
      <c r="AW299" s="144">
        <f>(AL299*5700*0.61*0.2*0.001*350*30*0.000001)/(70*30*365)</f>
        <v>9.0592520547945202E-7</v>
      </c>
      <c r="AX299" s="158">
        <f t="shared" si="191"/>
        <v>1.6177235812133071E-4</v>
      </c>
      <c r="AY299" s="144">
        <f>(AG299*2800*0.61*0.07*0.03*350*6*0.000001)/(15*6*365)</f>
        <v>1.4216175342465753E-6</v>
      </c>
      <c r="AZ299" s="158">
        <f t="shared" si="192"/>
        <v>4.7387251141552513E-3</v>
      </c>
      <c r="BA299" s="144">
        <f>(AH299*2800*0.61*0.07*0.001*350*6*0.000001)/(15*6*365)</f>
        <v>1.209139214611872E-7</v>
      </c>
      <c r="BB299" s="158">
        <f t="shared" si="193"/>
        <v>3.4546834703196343E-5</v>
      </c>
      <c r="BC299" s="144">
        <f>(AI299*2800*0.61*0.07*0.001*350*6*0.000001)/(15*6*365)</f>
        <v>1.5286210045662099E-10</v>
      </c>
      <c r="BD299" s="158">
        <f t="shared" si="194"/>
        <v>5.0954033485540337E-7</v>
      </c>
      <c r="BE299" s="144">
        <f>(AJ299*2800*0.61*0.07*0.001*350*6*0.000001)/(15*6*365)</f>
        <v>4.6821661369863011E-6</v>
      </c>
      <c r="BF299" s="158">
        <f t="shared" si="195"/>
        <v>9.3643322739726017E-4</v>
      </c>
      <c r="BG299" s="144">
        <f>(AK299*2800*0.61*0.07*0.001*350*6*0.000001)/(15*6*365)</f>
        <v>9.5538812785388144E-10</v>
      </c>
      <c r="BH299" s="158">
        <f t="shared" si="196"/>
        <v>1.9107762557077629E-6</v>
      </c>
      <c r="BI299" s="144">
        <f>(AL299*2800*0.61*0.07*0.001*350*6*0.000001)/(15*6*365)</f>
        <v>7.2685928767123305E-7</v>
      </c>
      <c r="BJ299" s="158">
        <f t="shared" si="197"/>
        <v>1.2979630136986304E-4</v>
      </c>
    </row>
    <row r="300" spans="20:64">
      <c r="AJ300" s="53"/>
      <c r="AK300" s="53"/>
      <c r="AL300" s="53"/>
      <c r="AM300" s="53"/>
      <c r="AN300" s="53"/>
      <c r="AO300" s="53"/>
      <c r="AP300" s="53"/>
      <c r="AQ300" s="53"/>
      <c r="AR300" s="53"/>
      <c r="AS300" s="53"/>
      <c r="AT300" s="53"/>
      <c r="AU300" s="53"/>
      <c r="AV300" s="144"/>
      <c r="AW300" s="144"/>
      <c r="AX300" s="144"/>
      <c r="AY300" s="144"/>
      <c r="AZ300" s="144"/>
      <c r="BA300" s="144"/>
      <c r="BB300" s="144"/>
      <c r="BC300" s="144"/>
      <c r="BD300" s="144"/>
      <c r="BE300" s="144"/>
      <c r="BF300" s="144"/>
      <c r="BG300" s="144"/>
      <c r="BH300" s="144"/>
      <c r="BI300" s="144"/>
      <c r="BJ300" s="144"/>
      <c r="BK300" s="144"/>
      <c r="BL300" s="144"/>
    </row>
    <row r="301" spans="20:64">
      <c r="T301" s="107" t="s">
        <v>966</v>
      </c>
      <c r="U301" s="53"/>
      <c r="V301" s="53"/>
      <c r="W301" s="53"/>
      <c r="X301" s="53"/>
      <c r="Y301" s="53"/>
      <c r="Z301" s="53"/>
      <c r="AA301" s="53"/>
      <c r="AB301" s="53"/>
      <c r="AC301" s="53"/>
      <c r="AD301" s="53"/>
      <c r="AE301" s="53"/>
      <c r="AF301" s="144"/>
      <c r="AG301" s="144"/>
      <c r="AH301" s="144"/>
      <c r="AI301" s="144"/>
      <c r="AJ301" s="144"/>
      <c r="AK301" s="144"/>
      <c r="AL301" s="144"/>
      <c r="AM301" s="144"/>
      <c r="AN301" s="144"/>
      <c r="AO301" s="144"/>
      <c r="AP301" s="144"/>
      <c r="AQ301" s="144"/>
      <c r="AR301" s="144"/>
      <c r="AS301" s="144"/>
      <c r="AT301" s="144"/>
      <c r="AU301" s="144"/>
      <c r="AV301" s="144"/>
      <c r="AW301" s="144"/>
      <c r="AX301" s="144"/>
      <c r="AY301" s="144"/>
      <c r="AZ301" s="144"/>
      <c r="BA301" s="144"/>
      <c r="BB301" s="144"/>
      <c r="BC301" s="144"/>
    </row>
    <row r="302" spans="20:64">
      <c r="T302" s="47" t="s">
        <v>0</v>
      </c>
      <c r="U302" s="47" t="s">
        <v>405</v>
      </c>
      <c r="V302" s="47" t="s">
        <v>1</v>
      </c>
      <c r="W302" s="47" t="s">
        <v>301</v>
      </c>
      <c r="X302" s="47" t="s">
        <v>300</v>
      </c>
      <c r="Y302" s="47" t="s">
        <v>664</v>
      </c>
      <c r="Z302" s="47" t="s">
        <v>302</v>
      </c>
      <c r="AA302" s="47" t="s">
        <v>303</v>
      </c>
      <c r="AB302" s="26" t="s">
        <v>363</v>
      </c>
      <c r="AC302" s="26" t="s">
        <v>681</v>
      </c>
      <c r="AD302" s="26" t="s">
        <v>680</v>
      </c>
      <c r="AE302" s="83" t="s">
        <v>738</v>
      </c>
      <c r="AF302" s="83" t="s">
        <v>686</v>
      </c>
      <c r="AG302" s="83" t="s">
        <v>693</v>
      </c>
      <c r="AH302" s="57" t="s">
        <v>23</v>
      </c>
      <c r="AI302" s="70" t="s">
        <v>55</v>
      </c>
      <c r="AJ302" s="70" t="s">
        <v>15</v>
      </c>
      <c r="AK302" s="57" t="s">
        <v>32</v>
      </c>
      <c r="AL302" s="70" t="s">
        <v>19</v>
      </c>
      <c r="AM302" s="70"/>
      <c r="AN302" s="205" t="s">
        <v>920</v>
      </c>
      <c r="AO302" s="214" t="s">
        <v>921</v>
      </c>
      <c r="AP302" s="32" t="s">
        <v>922</v>
      </c>
      <c r="AQ302" s="214" t="s">
        <v>923</v>
      </c>
      <c r="AR302" s="32" t="s">
        <v>926</v>
      </c>
      <c r="AS302" s="214" t="s">
        <v>927</v>
      </c>
      <c r="AT302" s="205" t="s">
        <v>928</v>
      </c>
      <c r="AU302" s="214" t="s">
        <v>929</v>
      </c>
      <c r="AV302" s="32" t="s">
        <v>930</v>
      </c>
      <c r="AW302" s="214" t="s">
        <v>931</v>
      </c>
      <c r="AX302" s="205" t="s">
        <v>932</v>
      </c>
      <c r="AY302" s="214" t="s">
        <v>933</v>
      </c>
      <c r="AZ302" s="32" t="s">
        <v>934</v>
      </c>
      <c r="BA302" s="214" t="s">
        <v>935</v>
      </c>
      <c r="BB302" s="32" t="s">
        <v>938</v>
      </c>
      <c r="BC302" s="214" t="s">
        <v>939</v>
      </c>
      <c r="BD302" s="205" t="s">
        <v>940</v>
      </c>
      <c r="BE302" s="214" t="s">
        <v>941</v>
      </c>
      <c r="BF302" s="32" t="s">
        <v>942</v>
      </c>
      <c r="BG302" s="214" t="s">
        <v>943</v>
      </c>
    </row>
    <row r="303" spans="20:64" ht="18">
      <c r="T303" s="53"/>
      <c r="U303" s="53"/>
      <c r="V303" s="53"/>
      <c r="W303" s="53"/>
      <c r="X303" s="53"/>
      <c r="Y303" s="53"/>
      <c r="Z303" s="53"/>
      <c r="AA303" s="53"/>
      <c r="AB303" s="53"/>
      <c r="AC303" s="53"/>
      <c r="AD303" s="53"/>
      <c r="AE303" s="53"/>
      <c r="AF303" s="53"/>
      <c r="AG303" s="53"/>
      <c r="AH303" s="53" t="s">
        <v>659</v>
      </c>
      <c r="AI303" s="53" t="s">
        <v>659</v>
      </c>
      <c r="AJ303" s="53" t="s">
        <v>659</v>
      </c>
      <c r="AK303" s="53" t="s">
        <v>659</v>
      </c>
      <c r="AL303" s="53" t="s">
        <v>659</v>
      </c>
      <c r="AN303" s="78" t="s">
        <v>963</v>
      </c>
      <c r="AO303" s="78" t="s">
        <v>963</v>
      </c>
      <c r="AP303" s="78" t="s">
        <v>963</v>
      </c>
      <c r="AQ303" s="78" t="s">
        <v>963</v>
      </c>
      <c r="AR303" s="78" t="s">
        <v>963</v>
      </c>
      <c r="AS303" s="78" t="s">
        <v>963</v>
      </c>
      <c r="AT303" s="78" t="s">
        <v>963</v>
      </c>
      <c r="AU303" s="78" t="s">
        <v>963</v>
      </c>
      <c r="AV303" s="78" t="s">
        <v>963</v>
      </c>
      <c r="AW303" s="78" t="s">
        <v>963</v>
      </c>
      <c r="AX303" s="78" t="s">
        <v>963</v>
      </c>
      <c r="AY303" s="78" t="s">
        <v>963</v>
      </c>
      <c r="AZ303" s="78" t="s">
        <v>963</v>
      </c>
      <c r="BA303" s="78" t="s">
        <v>963</v>
      </c>
      <c r="BB303" s="78" t="s">
        <v>963</v>
      </c>
      <c r="BC303" s="78" t="s">
        <v>963</v>
      </c>
      <c r="BD303" s="78" t="s">
        <v>963</v>
      </c>
      <c r="BE303" s="78" t="s">
        <v>963</v>
      </c>
      <c r="BF303" s="78" t="s">
        <v>963</v>
      </c>
      <c r="BG303" s="78" t="s">
        <v>963</v>
      </c>
    </row>
    <row r="304" spans="20:64">
      <c r="T304" s="47" t="s">
        <v>297</v>
      </c>
      <c r="U304" s="47"/>
      <c r="V304" s="47"/>
      <c r="W304" s="47"/>
      <c r="X304" s="47"/>
      <c r="Y304" s="47"/>
      <c r="Z304" s="47"/>
      <c r="AA304" s="47"/>
      <c r="AB304" s="47"/>
      <c r="AC304" s="47"/>
      <c r="AD304" s="47"/>
      <c r="AE304" s="47"/>
      <c r="AF304" s="47"/>
      <c r="AG304" s="47"/>
      <c r="AH304" s="97" t="s">
        <v>60</v>
      </c>
      <c r="AI304" s="97" t="s">
        <v>76</v>
      </c>
      <c r="AJ304" s="97" t="s">
        <v>520</v>
      </c>
      <c r="AK304" s="97" t="s">
        <v>82</v>
      </c>
      <c r="AL304" s="97" t="s">
        <v>78</v>
      </c>
    </row>
    <row r="305" spans="20:59">
      <c r="T305" s="53" t="s">
        <v>525</v>
      </c>
      <c r="U305" s="53" t="s">
        <v>526</v>
      </c>
      <c r="V305" s="180">
        <v>43887</v>
      </c>
      <c r="W305" s="183">
        <v>0.26076500000000002</v>
      </c>
      <c r="X305" s="183">
        <v>34.720081</v>
      </c>
      <c r="Y305" s="53" t="s">
        <v>661</v>
      </c>
      <c r="Z305" s="53" t="s">
        <v>330</v>
      </c>
      <c r="AA305" s="53" t="s">
        <v>347</v>
      </c>
      <c r="AB305" s="154" t="s">
        <v>371</v>
      </c>
      <c r="AC305" s="116" t="s">
        <v>687</v>
      </c>
      <c r="AD305" s="53" t="s">
        <v>527</v>
      </c>
      <c r="AE305" s="53" t="s">
        <v>740</v>
      </c>
      <c r="AF305" s="53" t="s">
        <v>685</v>
      </c>
      <c r="AG305" s="53" t="s">
        <v>691</v>
      </c>
      <c r="AH305" s="156">
        <v>1.21</v>
      </c>
      <c r="AI305" s="191">
        <v>0.11</v>
      </c>
      <c r="AJ305" s="192">
        <v>0.6</v>
      </c>
      <c r="AK305" s="193">
        <v>2.4E-2</v>
      </c>
      <c r="AL305" s="192">
        <v>2.79</v>
      </c>
      <c r="AM305" s="192"/>
      <c r="AN305" s="144">
        <f>(AH305*1.488*350*30*0.001)/(70*30*365)</f>
        <v>2.4664109589041095E-5</v>
      </c>
      <c r="AO305" s="158">
        <f>AN305/0.0003</f>
        <v>8.2213698630136986E-2</v>
      </c>
      <c r="AP305" s="144">
        <f>(AI305*1.488*350*30*0.001)/(70*30*365)</f>
        <v>2.2421917808219177E-6</v>
      </c>
      <c r="AQ305" s="158">
        <f>AP305/0.0036</f>
        <v>6.2283105022831046E-4</v>
      </c>
      <c r="AR305" s="144">
        <f>(AJ305*1.488*350*30*0.001)/(70*30*365)</f>
        <v>1.2230136986301369E-5</v>
      </c>
      <c r="AS305" s="158">
        <f>AR305/0.003</f>
        <v>4.0767123287671235E-3</v>
      </c>
      <c r="AT305" s="144">
        <f>(AK305*1.488*350*30*0.001)/(70*30*365)</f>
        <v>4.892054794520548E-7</v>
      </c>
      <c r="AU305" s="158">
        <f>AT305/0.0005</f>
        <v>9.7841095890410963E-4</v>
      </c>
      <c r="AV305" s="144">
        <f>(AL305*1.488*350*30*0.001)/(70*30*365)</f>
        <v>5.6870136986301374E-5</v>
      </c>
      <c r="AW305" s="158">
        <f>AV305/0.02</f>
        <v>2.8435068493150688E-3</v>
      </c>
      <c r="AX305" s="144">
        <f>(AH305*5700*0.001*0.03*0.58*350*30*0.001)/(70*30*365)</f>
        <v>1.6439424657534244E-6</v>
      </c>
      <c r="AY305" s="158">
        <f>AX305/0.0003</f>
        <v>5.479808219178082E-3</v>
      </c>
      <c r="AZ305" s="144">
        <f>(AI305*5700*0.0001*0.001*0.58*350*30*0.001)/(70*30*365)</f>
        <v>4.9816438356164392E-10</v>
      </c>
      <c r="BA305" s="158">
        <f>AZ305/0.0035</f>
        <v>1.4233268101761256E-7</v>
      </c>
      <c r="BB305" s="144">
        <f>(AJ305*5700*0.001*0.001*0.58*350*30*0.001)/(70*30*365)</f>
        <v>2.7172602739726029E-8</v>
      </c>
      <c r="BC305" s="158">
        <f>BB305/0.005</f>
        <v>5.4345205479452061E-6</v>
      </c>
      <c r="BD305" s="144">
        <f>(AK305*5700*0.001*0.001*0.58*350*30*0.001)/(70*30*365)</f>
        <v>1.0869041095890413E-9</v>
      </c>
      <c r="BE305" s="158">
        <f>BD305/0.0005</f>
        <v>2.1738082191780824E-6</v>
      </c>
      <c r="BF305" s="144">
        <f>(AL305*5700*0.0002*0.001*0.58*350*30*0.001)/(70*30*365)</f>
        <v>2.5270520547945204E-8</v>
      </c>
      <c r="BG305" s="158">
        <f>BF305/0.0056</f>
        <v>4.5125929549902148E-6</v>
      </c>
    </row>
    <row r="306" spans="20:59">
      <c r="T306" s="53" t="s">
        <v>528</v>
      </c>
      <c r="U306" s="53" t="s">
        <v>529</v>
      </c>
      <c r="V306" s="180">
        <v>43887</v>
      </c>
      <c r="W306" s="183">
        <v>0.26020300000000002</v>
      </c>
      <c r="X306" s="183">
        <v>34.719721</v>
      </c>
      <c r="Y306" s="53" t="s">
        <v>661</v>
      </c>
      <c r="Z306" s="53" t="s">
        <v>330</v>
      </c>
      <c r="AA306" s="53" t="s">
        <v>347</v>
      </c>
      <c r="AB306" s="154" t="s">
        <v>371</v>
      </c>
      <c r="AC306" s="116" t="s">
        <v>687</v>
      </c>
      <c r="AD306" s="53" t="s">
        <v>530</v>
      </c>
      <c r="AE306" s="53" t="s">
        <v>740</v>
      </c>
      <c r="AF306" s="53" t="s">
        <v>684</v>
      </c>
      <c r="AG306" s="53" t="s">
        <v>683</v>
      </c>
      <c r="AH306" s="156">
        <v>0.89</v>
      </c>
      <c r="AI306" s="191">
        <v>0.33</v>
      </c>
      <c r="AJ306" s="192">
        <v>2.95</v>
      </c>
      <c r="AK306" s="193">
        <v>3.9E-2</v>
      </c>
      <c r="AL306" s="192">
        <v>5.87</v>
      </c>
      <c r="AM306" s="192"/>
      <c r="AN306" s="144">
        <f t="shared" ref="AN306:AN347" si="200">(AH306*1.488*350*30*0.001)/(70*30*365)</f>
        <v>1.8141369863013702E-5</v>
      </c>
      <c r="AO306" s="158">
        <f t="shared" ref="AO306:AO347" si="201">AN306/0.0003</f>
        <v>6.0471232876712341E-2</v>
      </c>
      <c r="AP306" s="144">
        <f t="shared" ref="AP306:AP347" si="202">(AI306*1.488*350*30*0.001)/(70*30*365)</f>
        <v>6.7265753424657536E-6</v>
      </c>
      <c r="AQ306" s="158">
        <f t="shared" ref="AQ306:AQ347" si="203">AP306/0.0036</f>
        <v>1.8684931506849317E-3</v>
      </c>
      <c r="AR306" s="144">
        <f t="shared" ref="AR306:AR347" si="204">(AJ306*1.488*350*30*0.001)/(70*30*365)</f>
        <v>6.0131506849315072E-5</v>
      </c>
      <c r="AS306" s="158">
        <f t="shared" ref="AS306:AS347" si="205">AR306/0.003</f>
        <v>2.0043835616438358E-2</v>
      </c>
      <c r="AT306" s="144">
        <f t="shared" ref="AT306:AT347" si="206">(AK306*1.488*350*30*0.001)/(70*30*365)</f>
        <v>7.9495890410958903E-7</v>
      </c>
      <c r="AU306" s="158">
        <f t="shared" ref="AU306:AU347" si="207">AT306/0.0005</f>
        <v>1.5899178082191779E-3</v>
      </c>
      <c r="AV306" s="144">
        <f t="shared" ref="AV306:AV347" si="208">(AL306*1.488*350*30*0.001)/(70*30*365)</f>
        <v>1.1965150684931508E-4</v>
      </c>
      <c r="AW306" s="158">
        <f t="shared" ref="AW306:AW347" si="209">AV306/0.02</f>
        <v>5.9825753424657541E-3</v>
      </c>
      <c r="AX306" s="144">
        <f t="shared" ref="AX306:AX347" si="210">(AH306*5700*0.001*0.03*0.58*350*30*0.001)/(70*30*365)</f>
        <v>1.2091808219178083E-6</v>
      </c>
      <c r="AY306" s="158">
        <f t="shared" ref="AY306:AY347" si="211">AX306/0.0003</f>
        <v>4.0306027397260281E-3</v>
      </c>
      <c r="AZ306" s="144">
        <f t="shared" ref="AZ306:AZ347" si="212">(AI306*5700*0.0001*0.001*0.58*350*30*0.001)/(70*30*365)</f>
        <v>1.4944931506849317E-9</v>
      </c>
      <c r="BA306" s="158">
        <f t="shared" ref="BA306:BA347" si="213">AZ306/0.0035</f>
        <v>4.2699804305283759E-7</v>
      </c>
      <c r="BB306" s="144">
        <f t="shared" ref="BB306:BB347" si="214">(AJ306*5700*0.001*0.001*0.58*350*30*0.001)/(70*30*365)</f>
        <v>1.3359863013698628E-7</v>
      </c>
      <c r="BC306" s="158">
        <f t="shared" ref="BC306:BC347" si="215">BB306/0.005</f>
        <v>2.6719726027397256E-5</v>
      </c>
      <c r="BD306" s="144">
        <f t="shared" ref="BD306:BD347" si="216">(AK306*5700*0.001*0.001*0.58*350*30*0.001)/(70*30*365)</f>
        <v>1.7662191780821921E-9</v>
      </c>
      <c r="BE306" s="158">
        <f t="shared" ref="BE306:BE347" si="217">BD306/0.0005</f>
        <v>3.5324383561643842E-6</v>
      </c>
      <c r="BF306" s="144">
        <f t="shared" ref="BF306:BF347" si="218">(AL306*5700*0.0002*0.001*0.58*350*30*0.001)/(70*30*365)</f>
        <v>5.316772602739725E-8</v>
      </c>
      <c r="BG306" s="158">
        <f t="shared" ref="BG306:BG347" si="219">BF306/0.0056</f>
        <v>9.4942367906066513E-6</v>
      </c>
    </row>
    <row r="307" spans="20:59">
      <c r="T307" s="53" t="s">
        <v>531</v>
      </c>
      <c r="U307" s="53" t="s">
        <v>532</v>
      </c>
      <c r="V307" s="180">
        <v>43887</v>
      </c>
      <c r="W307" s="183">
        <v>0.25792300000000001</v>
      </c>
      <c r="X307" s="183">
        <v>34.719996000000002</v>
      </c>
      <c r="Y307" s="53" t="s">
        <v>661</v>
      </c>
      <c r="Z307" s="53" t="s">
        <v>330</v>
      </c>
      <c r="AA307" s="53" t="s">
        <v>347</v>
      </c>
      <c r="AB307" s="154" t="s">
        <v>371</v>
      </c>
      <c r="AC307" s="116" t="s">
        <v>687</v>
      </c>
      <c r="AD307" s="53" t="s">
        <v>527</v>
      </c>
      <c r="AE307" s="53" t="s">
        <v>740</v>
      </c>
      <c r="AF307" s="53" t="s">
        <v>685</v>
      </c>
      <c r="AG307" s="53" t="s">
        <v>691</v>
      </c>
      <c r="AH307" s="156">
        <v>0.41</v>
      </c>
      <c r="AI307" s="191">
        <v>0.11</v>
      </c>
      <c r="AJ307" s="192">
        <v>0.85</v>
      </c>
      <c r="AK307" s="193">
        <v>3.4000000000000002E-2</v>
      </c>
      <c r="AL307" s="192">
        <v>4.8099999999999996</v>
      </c>
      <c r="AM307" s="192"/>
      <c r="AN307" s="144">
        <f t="shared" si="200"/>
        <v>8.3572602739726028E-6</v>
      </c>
      <c r="AO307" s="158">
        <f t="shared" si="201"/>
        <v>2.7857534246575347E-2</v>
      </c>
      <c r="AP307" s="144">
        <f t="shared" si="202"/>
        <v>2.2421917808219177E-6</v>
      </c>
      <c r="AQ307" s="158">
        <f t="shared" si="203"/>
        <v>6.2283105022831046E-4</v>
      </c>
      <c r="AR307" s="144">
        <f t="shared" si="204"/>
        <v>1.7326027397260272E-5</v>
      </c>
      <c r="AS307" s="158">
        <f t="shared" si="205"/>
        <v>5.7753424657534238E-3</v>
      </c>
      <c r="AT307" s="144">
        <f t="shared" si="206"/>
        <v>6.9304109589041095E-7</v>
      </c>
      <c r="AU307" s="158">
        <f t="shared" si="207"/>
        <v>1.386082191780822E-3</v>
      </c>
      <c r="AV307" s="144">
        <f t="shared" si="208"/>
        <v>9.8044931506849301E-5</v>
      </c>
      <c r="AW307" s="158">
        <f t="shared" si="209"/>
        <v>4.9022465753424654E-3</v>
      </c>
      <c r="AX307" s="144">
        <f t="shared" si="210"/>
        <v>5.5703835616438361E-7</v>
      </c>
      <c r="AY307" s="158">
        <f t="shared" si="211"/>
        <v>1.8567945205479456E-3</v>
      </c>
      <c r="AZ307" s="144">
        <f t="shared" si="212"/>
        <v>4.9816438356164392E-10</v>
      </c>
      <c r="BA307" s="158">
        <f t="shared" si="213"/>
        <v>1.4233268101761256E-7</v>
      </c>
      <c r="BB307" s="144">
        <f t="shared" si="214"/>
        <v>3.8494520547945197E-8</v>
      </c>
      <c r="BC307" s="158">
        <f t="shared" si="215"/>
        <v>7.6989041095890391E-6</v>
      </c>
      <c r="BD307" s="144">
        <f t="shared" si="216"/>
        <v>1.5397808219178081E-9</v>
      </c>
      <c r="BE307" s="158">
        <f t="shared" si="217"/>
        <v>3.0795616438356162E-6</v>
      </c>
      <c r="BF307" s="144">
        <f t="shared" si="218"/>
        <v>4.3566739726027391E-8</v>
      </c>
      <c r="BG307" s="158">
        <f t="shared" si="219"/>
        <v>7.7797749510763201E-6</v>
      </c>
    </row>
    <row r="308" spans="20:59">
      <c r="T308" s="53" t="s">
        <v>533</v>
      </c>
      <c r="U308" s="53" t="s">
        <v>534</v>
      </c>
      <c r="V308" s="180">
        <v>43887</v>
      </c>
      <c r="W308" s="183">
        <v>0.26020300000000002</v>
      </c>
      <c r="X308" s="183">
        <v>34.719721</v>
      </c>
      <c r="Y308" s="53" t="s">
        <v>661</v>
      </c>
      <c r="Z308" s="53" t="s">
        <v>330</v>
      </c>
      <c r="AA308" s="53" t="s">
        <v>347</v>
      </c>
      <c r="AB308" s="154" t="s">
        <v>371</v>
      </c>
      <c r="AC308" s="116" t="s">
        <v>687</v>
      </c>
      <c r="AD308" s="53" t="s">
        <v>535</v>
      </c>
      <c r="AE308" s="53" t="s">
        <v>739</v>
      </c>
      <c r="AF308" s="53" t="s">
        <v>684</v>
      </c>
      <c r="AG308" s="53" t="s">
        <v>683</v>
      </c>
      <c r="AH308" s="156">
        <v>0.78</v>
      </c>
      <c r="AI308" s="191">
        <v>0.09</v>
      </c>
      <c r="AJ308" s="192">
        <v>2.46</v>
      </c>
      <c r="AK308" s="193">
        <v>1.9E-2</v>
      </c>
      <c r="AL308" s="192">
        <v>3.45</v>
      </c>
      <c r="AM308" s="192"/>
      <c r="AN308" s="144">
        <f t="shared" si="200"/>
        <v>1.5899178082191783E-5</v>
      </c>
      <c r="AO308" s="158">
        <f t="shared" si="201"/>
        <v>5.2997260273972613E-2</v>
      </c>
      <c r="AP308" s="144">
        <f t="shared" si="202"/>
        <v>1.8345205479452052E-6</v>
      </c>
      <c r="AQ308" s="158">
        <f t="shared" si="203"/>
        <v>5.0958904109589032E-4</v>
      </c>
      <c r="AR308" s="144">
        <f t="shared" si="204"/>
        <v>5.014356164383561E-5</v>
      </c>
      <c r="AS308" s="158">
        <f t="shared" si="205"/>
        <v>1.6714520547945203E-2</v>
      </c>
      <c r="AT308" s="144">
        <f t="shared" si="206"/>
        <v>3.8728767123287672E-7</v>
      </c>
      <c r="AU308" s="158">
        <f t="shared" si="207"/>
        <v>7.7457534246575346E-4</v>
      </c>
      <c r="AV308" s="144">
        <f t="shared" si="208"/>
        <v>7.0323287671232888E-5</v>
      </c>
      <c r="AW308" s="158">
        <f t="shared" si="209"/>
        <v>3.5161643835616443E-3</v>
      </c>
      <c r="AX308" s="144">
        <f t="shared" si="210"/>
        <v>1.059731506849315E-6</v>
      </c>
      <c r="AY308" s="158">
        <f t="shared" si="211"/>
        <v>3.5324383561643837E-3</v>
      </c>
      <c r="AZ308" s="144">
        <f t="shared" si="212"/>
        <v>4.0758904109589049E-10</v>
      </c>
      <c r="BA308" s="158">
        <f t="shared" si="213"/>
        <v>1.1645401174168299E-7</v>
      </c>
      <c r="BB308" s="144">
        <f t="shared" si="214"/>
        <v>1.114076712328767E-7</v>
      </c>
      <c r="BC308" s="158">
        <f t="shared" si="215"/>
        <v>2.2281534246575339E-5</v>
      </c>
      <c r="BD308" s="144">
        <f t="shared" si="216"/>
        <v>8.6046575342465741E-10</v>
      </c>
      <c r="BE308" s="158">
        <f t="shared" si="217"/>
        <v>1.7209315068493147E-6</v>
      </c>
      <c r="BF308" s="144">
        <f t="shared" si="218"/>
        <v>3.1248493150684936E-8</v>
      </c>
      <c r="BG308" s="158">
        <f t="shared" si="219"/>
        <v>5.5800880626223103E-6</v>
      </c>
    </row>
    <row r="309" spans="20:59">
      <c r="T309" s="53" t="s">
        <v>536</v>
      </c>
      <c r="U309" s="53" t="s">
        <v>537</v>
      </c>
      <c r="V309" s="180">
        <v>43887</v>
      </c>
      <c r="W309" s="183">
        <v>0.26076500000000002</v>
      </c>
      <c r="X309" s="183">
        <v>34.720081</v>
      </c>
      <c r="Y309" s="53" t="s">
        <v>661</v>
      </c>
      <c r="Z309" s="53" t="s">
        <v>330</v>
      </c>
      <c r="AA309" s="53" t="s">
        <v>347</v>
      </c>
      <c r="AB309" s="154" t="s">
        <v>371</v>
      </c>
      <c r="AC309" s="116" t="s">
        <v>687</v>
      </c>
      <c r="AD309" s="53" t="s">
        <v>538</v>
      </c>
      <c r="AE309" s="53" t="s">
        <v>739</v>
      </c>
      <c r="AF309" s="53" t="s">
        <v>726</v>
      </c>
      <c r="AG309" s="53" t="s">
        <v>727</v>
      </c>
      <c r="AH309" s="156">
        <v>0.71</v>
      </c>
      <c r="AI309" s="191">
        <v>0.13</v>
      </c>
      <c r="AJ309" s="192">
        <v>0.5</v>
      </c>
      <c r="AK309" s="193">
        <v>2.5999999999999999E-2</v>
      </c>
      <c r="AL309" s="192">
        <v>1.98</v>
      </c>
      <c r="AM309" s="192"/>
      <c r="AN309" s="144">
        <f t="shared" si="200"/>
        <v>1.4472328767123285E-5</v>
      </c>
      <c r="AO309" s="158">
        <f t="shared" si="201"/>
        <v>4.8241095890410951E-2</v>
      </c>
      <c r="AP309" s="144">
        <f t="shared" si="202"/>
        <v>2.64986301369863E-6</v>
      </c>
      <c r="AQ309" s="158">
        <f t="shared" si="203"/>
        <v>7.3607305936073059E-4</v>
      </c>
      <c r="AR309" s="144">
        <f t="shared" si="204"/>
        <v>1.0191780821917807E-5</v>
      </c>
      <c r="AS309" s="158">
        <f t="shared" si="205"/>
        <v>3.3972602739726025E-3</v>
      </c>
      <c r="AT309" s="144">
        <f t="shared" si="206"/>
        <v>5.2997260273972609E-7</v>
      </c>
      <c r="AU309" s="158">
        <f t="shared" si="207"/>
        <v>1.0599452054794521E-3</v>
      </c>
      <c r="AV309" s="144">
        <f t="shared" si="208"/>
        <v>4.0359452054794521E-5</v>
      </c>
      <c r="AW309" s="158">
        <f t="shared" si="209"/>
        <v>2.017972602739726E-3</v>
      </c>
      <c r="AX309" s="144">
        <f t="shared" si="210"/>
        <v>9.6462739726027375E-7</v>
      </c>
      <c r="AY309" s="158">
        <f t="shared" si="211"/>
        <v>3.2154246575342459E-3</v>
      </c>
      <c r="AZ309" s="144">
        <f t="shared" si="212"/>
        <v>5.8873972602739719E-10</v>
      </c>
      <c r="BA309" s="158">
        <f t="shared" si="213"/>
        <v>1.6821135029354204E-7</v>
      </c>
      <c r="BB309" s="144">
        <f t="shared" si="214"/>
        <v>2.2643835616438357E-8</v>
      </c>
      <c r="BC309" s="158">
        <f t="shared" si="215"/>
        <v>4.528767123287671E-6</v>
      </c>
      <c r="BD309" s="144">
        <f t="shared" si="216"/>
        <v>1.1774794520547944E-9</v>
      </c>
      <c r="BE309" s="158">
        <f t="shared" si="217"/>
        <v>2.3549589041095886E-6</v>
      </c>
      <c r="BF309" s="144">
        <f t="shared" si="218"/>
        <v>1.7933917808219178E-8</v>
      </c>
      <c r="BG309" s="158">
        <f t="shared" si="219"/>
        <v>3.2024853228962817E-6</v>
      </c>
    </row>
    <row r="310" spans="20:59">
      <c r="T310" s="53" t="s">
        <v>539</v>
      </c>
      <c r="U310" s="53" t="s">
        <v>540</v>
      </c>
      <c r="V310" s="180">
        <v>43887</v>
      </c>
      <c r="W310" s="183">
        <v>0.25792300000000001</v>
      </c>
      <c r="X310" s="183">
        <v>34.719996000000002</v>
      </c>
      <c r="Y310" s="53" t="s">
        <v>661</v>
      </c>
      <c r="Z310" s="53" t="s">
        <v>330</v>
      </c>
      <c r="AA310" s="53" t="s">
        <v>347</v>
      </c>
      <c r="AB310" s="154" t="s">
        <v>371</v>
      </c>
      <c r="AC310" s="116" t="s">
        <v>687</v>
      </c>
      <c r="AD310" s="53" t="s">
        <v>538</v>
      </c>
      <c r="AE310" s="53" t="s">
        <v>739</v>
      </c>
      <c r="AF310" s="53" t="s">
        <v>726</v>
      </c>
      <c r="AG310" s="53" t="s">
        <v>727</v>
      </c>
      <c r="AH310" s="156">
        <v>0.75</v>
      </c>
      <c r="AI310" s="191">
        <v>0.11</v>
      </c>
      <c r="AJ310" s="192">
        <v>0.82</v>
      </c>
      <c r="AK310" s="193">
        <v>3.2000000000000001E-2</v>
      </c>
      <c r="AL310" s="192">
        <v>4.96</v>
      </c>
      <c r="AM310" s="192"/>
      <c r="AN310" s="144">
        <f t="shared" si="200"/>
        <v>1.5287671232876713E-5</v>
      </c>
      <c r="AO310" s="158">
        <f t="shared" si="201"/>
        <v>5.0958904109589045E-2</v>
      </c>
      <c r="AP310" s="144">
        <f t="shared" si="202"/>
        <v>2.2421917808219177E-6</v>
      </c>
      <c r="AQ310" s="158">
        <f t="shared" si="203"/>
        <v>6.2283105022831046E-4</v>
      </c>
      <c r="AR310" s="144">
        <f t="shared" si="204"/>
        <v>1.6714520547945206E-5</v>
      </c>
      <c r="AS310" s="158">
        <f t="shared" si="205"/>
        <v>5.5715068493150683E-3</v>
      </c>
      <c r="AT310" s="144">
        <f t="shared" si="206"/>
        <v>6.5227397260273966E-7</v>
      </c>
      <c r="AU310" s="158">
        <f t="shared" si="207"/>
        <v>1.3045479452054793E-3</v>
      </c>
      <c r="AV310" s="144">
        <f t="shared" si="208"/>
        <v>1.0110246575342465E-4</v>
      </c>
      <c r="AW310" s="158">
        <f t="shared" si="209"/>
        <v>5.0551232876712322E-3</v>
      </c>
      <c r="AX310" s="144">
        <f t="shared" si="210"/>
        <v>1.0189726027397262E-6</v>
      </c>
      <c r="AY310" s="158">
        <f t="shared" si="211"/>
        <v>3.3965753424657543E-3</v>
      </c>
      <c r="AZ310" s="144">
        <f t="shared" si="212"/>
        <v>4.9816438356164392E-10</v>
      </c>
      <c r="BA310" s="158">
        <f t="shared" si="213"/>
        <v>1.4233268101761256E-7</v>
      </c>
      <c r="BB310" s="144">
        <f t="shared" si="214"/>
        <v>3.7135890410958906E-8</v>
      </c>
      <c r="BC310" s="158">
        <f t="shared" si="215"/>
        <v>7.4271780821917815E-6</v>
      </c>
      <c r="BD310" s="144">
        <f t="shared" si="216"/>
        <v>1.449205479452055E-9</v>
      </c>
      <c r="BE310" s="158">
        <f t="shared" si="217"/>
        <v>2.8984109589041101E-6</v>
      </c>
      <c r="BF310" s="144">
        <f t="shared" si="218"/>
        <v>4.4925369863013695E-8</v>
      </c>
      <c r="BG310" s="158">
        <f t="shared" si="219"/>
        <v>8.0223874755381599E-6</v>
      </c>
    </row>
    <row r="311" spans="20:59">
      <c r="T311" s="53" t="s">
        <v>541</v>
      </c>
      <c r="U311" s="53" t="s">
        <v>542</v>
      </c>
      <c r="V311" s="180">
        <v>43887</v>
      </c>
      <c r="W311" s="183">
        <v>0.25792300000000001</v>
      </c>
      <c r="X311" s="183">
        <v>34.719996000000002</v>
      </c>
      <c r="Y311" s="53" t="s">
        <v>661</v>
      </c>
      <c r="Z311" s="53" t="s">
        <v>330</v>
      </c>
      <c r="AA311" s="53" t="s">
        <v>347</v>
      </c>
      <c r="AB311" s="154" t="s">
        <v>371</v>
      </c>
      <c r="AC311" s="116" t="s">
        <v>687</v>
      </c>
      <c r="AD311" s="53" t="s">
        <v>538</v>
      </c>
      <c r="AE311" s="53" t="s">
        <v>739</v>
      </c>
      <c r="AF311" s="53" t="s">
        <v>726</v>
      </c>
      <c r="AG311" s="53" t="s">
        <v>727</v>
      </c>
      <c r="AH311" s="156">
        <v>0.4</v>
      </c>
      <c r="AI311" s="191">
        <v>0.17</v>
      </c>
      <c r="AJ311" s="192">
        <v>0.86</v>
      </c>
      <c r="AK311" s="193">
        <v>5.5E-2</v>
      </c>
      <c r="AL311" s="192">
        <v>4.79</v>
      </c>
      <c r="AM311" s="192"/>
      <c r="AN311" s="144">
        <f t="shared" si="200"/>
        <v>8.1534246575342479E-6</v>
      </c>
      <c r="AO311" s="158">
        <f t="shared" si="201"/>
        <v>2.717808219178083E-2</v>
      </c>
      <c r="AP311" s="144">
        <f t="shared" si="202"/>
        <v>3.4652054794520547E-6</v>
      </c>
      <c r="AQ311" s="158">
        <f t="shared" si="203"/>
        <v>9.6255707762557075E-4</v>
      </c>
      <c r="AR311" s="144">
        <f t="shared" si="204"/>
        <v>1.7529863013698632E-5</v>
      </c>
      <c r="AS311" s="158">
        <f t="shared" si="205"/>
        <v>5.8432876712328774E-3</v>
      </c>
      <c r="AT311" s="144">
        <f t="shared" si="206"/>
        <v>1.1210958904109589E-6</v>
      </c>
      <c r="AU311" s="158">
        <f t="shared" si="207"/>
        <v>2.2421917808219177E-3</v>
      </c>
      <c r="AV311" s="144">
        <f t="shared" si="208"/>
        <v>9.7637260273972622E-5</v>
      </c>
      <c r="AW311" s="158">
        <f t="shared" si="209"/>
        <v>4.8818630136986309E-3</v>
      </c>
      <c r="AX311" s="144">
        <f t="shared" si="210"/>
        <v>5.434520547945205E-7</v>
      </c>
      <c r="AY311" s="158">
        <f t="shared" si="211"/>
        <v>1.8115068493150684E-3</v>
      </c>
      <c r="AZ311" s="144">
        <f t="shared" si="212"/>
        <v>7.6989041095890404E-10</v>
      </c>
      <c r="BA311" s="158">
        <f t="shared" si="213"/>
        <v>2.1996868884540115E-7</v>
      </c>
      <c r="BB311" s="144">
        <f t="shared" si="214"/>
        <v>3.894739726027397E-8</v>
      </c>
      <c r="BC311" s="158">
        <f t="shared" si="215"/>
        <v>7.7894794520547938E-6</v>
      </c>
      <c r="BD311" s="144">
        <f t="shared" si="216"/>
        <v>2.4908219178082193E-9</v>
      </c>
      <c r="BE311" s="158">
        <f t="shared" si="217"/>
        <v>4.9816438356164381E-6</v>
      </c>
      <c r="BF311" s="144">
        <f t="shared" si="218"/>
        <v>4.3385589041095888E-8</v>
      </c>
      <c r="BG311" s="158">
        <f t="shared" si="219"/>
        <v>7.7474266144814094E-6</v>
      </c>
    </row>
    <row r="312" spans="20:59">
      <c r="T312" s="53" t="s">
        <v>543</v>
      </c>
      <c r="U312" s="53" t="s">
        <v>544</v>
      </c>
      <c r="V312" s="180">
        <v>43887</v>
      </c>
      <c r="W312" s="183">
        <v>0.258245</v>
      </c>
      <c r="X312" s="183">
        <v>34.717754999999997</v>
      </c>
      <c r="Y312" s="53" t="s">
        <v>661</v>
      </c>
      <c r="Z312" s="53" t="s">
        <v>330</v>
      </c>
      <c r="AA312" s="53" t="s">
        <v>347</v>
      </c>
      <c r="AB312" s="154" t="s">
        <v>371</v>
      </c>
      <c r="AC312" s="116" t="s">
        <v>687</v>
      </c>
      <c r="AD312" s="53" t="s">
        <v>527</v>
      </c>
      <c r="AE312" s="53" t="s">
        <v>740</v>
      </c>
      <c r="AF312" s="53" t="s">
        <v>685</v>
      </c>
      <c r="AG312" s="53" t="s">
        <v>691</v>
      </c>
      <c r="AH312" s="156">
        <v>0.82</v>
      </c>
      <c r="AI312" s="191">
        <v>0.15</v>
      </c>
      <c r="AJ312" s="192">
        <v>2.42</v>
      </c>
      <c r="AK312" s="193">
        <v>5.5E-2</v>
      </c>
      <c r="AL312" s="192">
        <v>3.38</v>
      </c>
      <c r="AM312" s="192"/>
      <c r="AN312" s="144">
        <f t="shared" si="200"/>
        <v>1.6714520547945206E-5</v>
      </c>
      <c r="AO312" s="158">
        <f t="shared" si="201"/>
        <v>5.5715068493150693E-2</v>
      </c>
      <c r="AP312" s="144">
        <f t="shared" si="202"/>
        <v>3.0575342465753423E-6</v>
      </c>
      <c r="AQ312" s="158">
        <f t="shared" si="203"/>
        <v>8.4931506849315072E-4</v>
      </c>
      <c r="AR312" s="144">
        <f t="shared" si="204"/>
        <v>4.9328219178082191E-5</v>
      </c>
      <c r="AS312" s="158">
        <f t="shared" si="205"/>
        <v>1.6442739726027396E-2</v>
      </c>
      <c r="AT312" s="144">
        <f t="shared" si="206"/>
        <v>1.1210958904109589E-6</v>
      </c>
      <c r="AU312" s="158">
        <f t="shared" si="207"/>
        <v>2.2421917808219177E-3</v>
      </c>
      <c r="AV312" s="144">
        <f t="shared" si="208"/>
        <v>6.8896438356164395E-5</v>
      </c>
      <c r="AW312" s="158">
        <f t="shared" si="209"/>
        <v>3.4448219178082199E-3</v>
      </c>
      <c r="AX312" s="144">
        <f t="shared" si="210"/>
        <v>1.1140767123287672E-6</v>
      </c>
      <c r="AY312" s="158">
        <f t="shared" si="211"/>
        <v>3.7135890410958912E-3</v>
      </c>
      <c r="AZ312" s="144">
        <f t="shared" si="212"/>
        <v>6.7931506849315077E-10</v>
      </c>
      <c r="BA312" s="158">
        <f t="shared" si="213"/>
        <v>1.9409001956947163E-7</v>
      </c>
      <c r="BB312" s="144">
        <f t="shared" si="214"/>
        <v>1.0959616438356166E-7</v>
      </c>
      <c r="BC312" s="158">
        <f t="shared" si="215"/>
        <v>2.1919232876712331E-5</v>
      </c>
      <c r="BD312" s="144">
        <f t="shared" si="216"/>
        <v>2.4908219178082193E-9</v>
      </c>
      <c r="BE312" s="158">
        <f t="shared" si="217"/>
        <v>4.9816438356164381E-6</v>
      </c>
      <c r="BF312" s="144">
        <f t="shared" si="218"/>
        <v>3.0614465753424661E-8</v>
      </c>
      <c r="BG312" s="158">
        <f t="shared" si="219"/>
        <v>5.4668688845401177E-6</v>
      </c>
    </row>
    <row r="313" spans="20:59">
      <c r="T313" s="53" t="s">
        <v>545</v>
      </c>
      <c r="U313" s="53" t="s">
        <v>546</v>
      </c>
      <c r="V313" s="180">
        <v>43887</v>
      </c>
      <c r="W313" s="183">
        <v>0.26067699999999999</v>
      </c>
      <c r="X313" s="183">
        <v>34.720677999999999</v>
      </c>
      <c r="Y313" s="53" t="s">
        <v>661</v>
      </c>
      <c r="Z313" s="53" t="s">
        <v>330</v>
      </c>
      <c r="AA313" s="53" t="s">
        <v>347</v>
      </c>
      <c r="AB313" s="154" t="s">
        <v>371</v>
      </c>
      <c r="AC313" s="116" t="s">
        <v>687</v>
      </c>
      <c r="AD313" s="53" t="s">
        <v>728</v>
      </c>
      <c r="AE313" s="53" t="s">
        <v>739</v>
      </c>
      <c r="AF313" s="53" t="s">
        <v>726</v>
      </c>
      <c r="AG313" s="53" t="s">
        <v>727</v>
      </c>
      <c r="AH313" s="156">
        <v>4.26</v>
      </c>
      <c r="AI313" s="191">
        <v>0.15</v>
      </c>
      <c r="AJ313" s="192">
        <v>0.27</v>
      </c>
      <c r="AK313" s="193">
        <v>1.6E-2</v>
      </c>
      <c r="AL313" s="192">
        <v>1.86</v>
      </c>
      <c r="AM313" s="192"/>
      <c r="AN313" s="144">
        <f t="shared" si="200"/>
        <v>8.683397260273972E-5</v>
      </c>
      <c r="AO313" s="158">
        <f t="shared" si="201"/>
        <v>0.28944657534246576</v>
      </c>
      <c r="AP313" s="144">
        <f t="shared" si="202"/>
        <v>3.0575342465753423E-6</v>
      </c>
      <c r="AQ313" s="158">
        <f t="shared" si="203"/>
        <v>8.4931506849315072E-4</v>
      </c>
      <c r="AR313" s="144">
        <f t="shared" si="204"/>
        <v>5.5035616438356166E-6</v>
      </c>
      <c r="AS313" s="158">
        <f t="shared" si="205"/>
        <v>1.8345205479452056E-3</v>
      </c>
      <c r="AT313" s="144">
        <f t="shared" si="206"/>
        <v>3.2613698630136983E-7</v>
      </c>
      <c r="AU313" s="158">
        <f t="shared" si="207"/>
        <v>6.5227397260273965E-4</v>
      </c>
      <c r="AV313" s="144">
        <f t="shared" si="208"/>
        <v>3.7913424657534243E-5</v>
      </c>
      <c r="AW313" s="158">
        <f t="shared" si="209"/>
        <v>1.8956712328767121E-3</v>
      </c>
      <c r="AX313" s="144">
        <f t="shared" si="210"/>
        <v>5.7877643835616438E-6</v>
      </c>
      <c r="AY313" s="158">
        <f t="shared" si="211"/>
        <v>1.929254794520548E-2</v>
      </c>
      <c r="AZ313" s="144">
        <f t="shared" si="212"/>
        <v>6.7931506849315077E-10</v>
      </c>
      <c r="BA313" s="158">
        <f t="shared" si="213"/>
        <v>1.9409001956947163E-7</v>
      </c>
      <c r="BB313" s="144">
        <f t="shared" si="214"/>
        <v>1.222767123287671E-8</v>
      </c>
      <c r="BC313" s="158">
        <f t="shared" si="215"/>
        <v>2.4455342465753421E-6</v>
      </c>
      <c r="BD313" s="144">
        <f t="shared" si="216"/>
        <v>7.2460273972602751E-10</v>
      </c>
      <c r="BE313" s="158">
        <f t="shared" si="217"/>
        <v>1.449205479452055E-6</v>
      </c>
      <c r="BF313" s="144">
        <f t="shared" si="218"/>
        <v>1.6847013698630137E-8</v>
      </c>
      <c r="BG313" s="158">
        <f t="shared" si="219"/>
        <v>3.0083953033268102E-6</v>
      </c>
    </row>
    <row r="314" spans="20:59">
      <c r="T314" s="53" t="s">
        <v>547</v>
      </c>
      <c r="U314" s="53" t="s">
        <v>548</v>
      </c>
      <c r="V314" s="180">
        <v>43887</v>
      </c>
      <c r="W314" s="183">
        <v>0.31578899999999999</v>
      </c>
      <c r="X314" s="183">
        <v>34.648187999999998</v>
      </c>
      <c r="Y314" s="53" t="s">
        <v>661</v>
      </c>
      <c r="Z314" s="53" t="s">
        <v>330</v>
      </c>
      <c r="AA314" s="53" t="s">
        <v>347</v>
      </c>
      <c r="AB314" s="154" t="s">
        <v>371</v>
      </c>
      <c r="AC314" s="39" t="s">
        <v>688</v>
      </c>
      <c r="AD314" s="53" t="s">
        <v>535</v>
      </c>
      <c r="AE314" s="53" t="s">
        <v>739</v>
      </c>
      <c r="AF314" s="53" t="s">
        <v>684</v>
      </c>
      <c r="AG314" s="53" t="s">
        <v>683</v>
      </c>
      <c r="AH314" s="156">
        <v>1.32</v>
      </c>
      <c r="AI314" s="191">
        <v>0.38</v>
      </c>
      <c r="AJ314" s="192">
        <v>0.22</v>
      </c>
      <c r="AK314" s="193">
        <v>3.9E-2</v>
      </c>
      <c r="AL314" s="192">
        <v>1.33</v>
      </c>
      <c r="AM314" s="192"/>
      <c r="AN314" s="144">
        <f t="shared" si="200"/>
        <v>2.6906301369863014E-5</v>
      </c>
      <c r="AO314" s="158">
        <f t="shared" si="201"/>
        <v>8.9687671232876728E-2</v>
      </c>
      <c r="AP314" s="144">
        <f t="shared" si="202"/>
        <v>7.7457534246575348E-6</v>
      </c>
      <c r="AQ314" s="158">
        <f t="shared" si="203"/>
        <v>2.1515981735159818E-3</v>
      </c>
      <c r="AR314" s="144">
        <f t="shared" si="204"/>
        <v>4.4843835616438354E-6</v>
      </c>
      <c r="AS314" s="158">
        <f t="shared" si="205"/>
        <v>1.4947945205479451E-3</v>
      </c>
      <c r="AT314" s="144">
        <f t="shared" si="206"/>
        <v>7.9495890410958903E-7</v>
      </c>
      <c r="AU314" s="158">
        <f t="shared" si="207"/>
        <v>1.5899178082191779E-3</v>
      </c>
      <c r="AV314" s="144">
        <f t="shared" si="208"/>
        <v>2.7110136986301371E-5</v>
      </c>
      <c r="AW314" s="158">
        <f t="shared" si="209"/>
        <v>1.3555068493150686E-3</v>
      </c>
      <c r="AX314" s="144">
        <f t="shared" si="210"/>
        <v>1.7933917808219181E-6</v>
      </c>
      <c r="AY314" s="158">
        <f t="shared" si="211"/>
        <v>5.9779726027397277E-3</v>
      </c>
      <c r="AZ314" s="144">
        <f t="shared" si="212"/>
        <v>1.720931506849315E-9</v>
      </c>
      <c r="BA314" s="158">
        <f t="shared" si="213"/>
        <v>4.9169471624266148E-7</v>
      </c>
      <c r="BB314" s="144">
        <f t="shared" si="214"/>
        <v>9.9632876712328771E-9</v>
      </c>
      <c r="BC314" s="158">
        <f t="shared" si="215"/>
        <v>1.9926575342465754E-6</v>
      </c>
      <c r="BD314" s="144">
        <f t="shared" si="216"/>
        <v>1.7662191780821921E-9</v>
      </c>
      <c r="BE314" s="158">
        <f t="shared" si="217"/>
        <v>3.5324383561643842E-6</v>
      </c>
      <c r="BF314" s="144">
        <f t="shared" si="218"/>
        <v>1.2046520547945204E-8</v>
      </c>
      <c r="BG314" s="158">
        <f t="shared" si="219"/>
        <v>2.1511643835616437E-6</v>
      </c>
    </row>
    <row r="315" spans="20:59">
      <c r="T315" s="53" t="s">
        <v>549</v>
      </c>
      <c r="U315" s="53" t="s">
        <v>550</v>
      </c>
      <c r="V315" s="180">
        <v>43887</v>
      </c>
      <c r="W315" s="53">
        <v>0.31646400000000002</v>
      </c>
      <c r="X315" s="53">
        <v>34.649081000000002</v>
      </c>
      <c r="Y315" s="53" t="s">
        <v>661</v>
      </c>
      <c r="Z315" s="53" t="s">
        <v>330</v>
      </c>
      <c r="AA315" s="53" t="s">
        <v>347</v>
      </c>
      <c r="AB315" s="53" t="s">
        <v>371</v>
      </c>
      <c r="AC315" s="39" t="s">
        <v>688</v>
      </c>
      <c r="AD315" s="53" t="s">
        <v>535</v>
      </c>
      <c r="AE315" s="53" t="s">
        <v>739</v>
      </c>
      <c r="AF315" s="53" t="s">
        <v>684</v>
      </c>
      <c r="AG315" s="53" t="s">
        <v>683</v>
      </c>
      <c r="AH315" s="156">
        <v>0.15</v>
      </c>
      <c r="AI315" s="191">
        <v>0.18</v>
      </c>
      <c r="AJ315" s="192">
        <v>0.21</v>
      </c>
      <c r="AK315" s="193">
        <v>5.3999999999999999E-2</v>
      </c>
      <c r="AL315" s="192">
        <v>1.5</v>
      </c>
      <c r="AM315" s="192"/>
      <c r="AN315" s="144">
        <f t="shared" si="200"/>
        <v>3.0575342465753423E-6</v>
      </c>
      <c r="AO315" s="158">
        <f t="shared" si="201"/>
        <v>1.0191780821917809E-2</v>
      </c>
      <c r="AP315" s="144">
        <f t="shared" si="202"/>
        <v>3.6690410958904104E-6</v>
      </c>
      <c r="AQ315" s="158">
        <f t="shared" si="203"/>
        <v>1.0191780821917806E-3</v>
      </c>
      <c r="AR315" s="144">
        <f t="shared" si="204"/>
        <v>4.2805479452054797E-6</v>
      </c>
      <c r="AS315" s="158">
        <f t="shared" si="205"/>
        <v>1.4268493150684932E-3</v>
      </c>
      <c r="AT315" s="144">
        <f t="shared" si="206"/>
        <v>1.1007123287671232E-6</v>
      </c>
      <c r="AU315" s="158">
        <f t="shared" si="207"/>
        <v>2.2014246575342462E-3</v>
      </c>
      <c r="AV315" s="144">
        <f t="shared" si="208"/>
        <v>3.0575342465753426E-5</v>
      </c>
      <c r="AW315" s="158">
        <f t="shared" si="209"/>
        <v>1.5287671232876712E-3</v>
      </c>
      <c r="AX315" s="144">
        <f t="shared" si="210"/>
        <v>2.0379452054794518E-7</v>
      </c>
      <c r="AY315" s="158">
        <f t="shared" si="211"/>
        <v>6.793150684931506E-4</v>
      </c>
      <c r="AZ315" s="144">
        <f t="shared" si="212"/>
        <v>8.1517808219178099E-10</v>
      </c>
      <c r="BA315" s="158">
        <f t="shared" si="213"/>
        <v>2.3290802348336598E-7</v>
      </c>
      <c r="BB315" s="144">
        <f t="shared" si="214"/>
        <v>9.5104109589041095E-9</v>
      </c>
      <c r="BC315" s="158">
        <f t="shared" si="215"/>
        <v>1.9020821917808219E-6</v>
      </c>
      <c r="BD315" s="144">
        <f t="shared" si="216"/>
        <v>2.4455342465753424E-9</v>
      </c>
      <c r="BE315" s="158">
        <f t="shared" si="217"/>
        <v>4.8910684931506851E-6</v>
      </c>
      <c r="BF315" s="144">
        <f t="shared" si="218"/>
        <v>1.3586301369863015E-8</v>
      </c>
      <c r="BG315" s="158">
        <f t="shared" si="219"/>
        <v>2.4261252446183955E-6</v>
      </c>
    </row>
    <row r="316" spans="20:59">
      <c r="T316" s="53" t="s">
        <v>551</v>
      </c>
      <c r="U316" s="53" t="s">
        <v>552</v>
      </c>
      <c r="V316" s="180">
        <v>43888</v>
      </c>
      <c r="W316" s="53">
        <v>0.25118800000000002</v>
      </c>
      <c r="X316" s="53">
        <v>34.723633</v>
      </c>
      <c r="Y316" s="53" t="s">
        <v>661</v>
      </c>
      <c r="Z316" s="53" t="s">
        <v>330</v>
      </c>
      <c r="AA316" s="53" t="s">
        <v>347</v>
      </c>
      <c r="AB316" s="53" t="s">
        <v>371</v>
      </c>
      <c r="AC316" s="39" t="s">
        <v>688</v>
      </c>
      <c r="AD316" s="53" t="s">
        <v>538</v>
      </c>
      <c r="AE316" s="53" t="s">
        <v>739</v>
      </c>
      <c r="AF316" s="53" t="s">
        <v>726</v>
      </c>
      <c r="AG316" s="53" t="s">
        <v>727</v>
      </c>
      <c r="AH316" s="156">
        <v>0.12</v>
      </c>
      <c r="AI316" s="191">
        <v>0.13</v>
      </c>
      <c r="AJ316" s="192">
        <v>0.6</v>
      </c>
      <c r="AK316" s="193">
        <v>2.5000000000000001E-2</v>
      </c>
      <c r="AL316" s="192">
        <v>1.1599999999999999</v>
      </c>
      <c r="AM316" s="192"/>
      <c r="AN316" s="144">
        <f t="shared" si="200"/>
        <v>2.4460273972602743E-6</v>
      </c>
      <c r="AO316" s="158">
        <f t="shared" si="201"/>
        <v>8.1534246575342487E-3</v>
      </c>
      <c r="AP316" s="144">
        <f t="shared" si="202"/>
        <v>2.64986301369863E-6</v>
      </c>
      <c r="AQ316" s="158">
        <f t="shared" si="203"/>
        <v>7.3607305936073059E-4</v>
      </c>
      <c r="AR316" s="144">
        <f t="shared" si="204"/>
        <v>1.2230136986301369E-5</v>
      </c>
      <c r="AS316" s="158">
        <f t="shared" si="205"/>
        <v>4.0767123287671235E-3</v>
      </c>
      <c r="AT316" s="144">
        <f t="shared" si="206"/>
        <v>5.095890410958905E-7</v>
      </c>
      <c r="AU316" s="158">
        <f t="shared" si="207"/>
        <v>1.0191780821917809E-3</v>
      </c>
      <c r="AV316" s="144">
        <f t="shared" si="208"/>
        <v>2.3644931506849312E-5</v>
      </c>
      <c r="AW316" s="158">
        <f t="shared" si="209"/>
        <v>1.1822465753424656E-3</v>
      </c>
      <c r="AX316" s="144">
        <f t="shared" si="210"/>
        <v>1.6303561643835616E-7</v>
      </c>
      <c r="AY316" s="158">
        <f t="shared" si="211"/>
        <v>5.4345205479452063E-4</v>
      </c>
      <c r="AZ316" s="144">
        <f t="shared" si="212"/>
        <v>5.8873972602739719E-10</v>
      </c>
      <c r="BA316" s="158">
        <f t="shared" si="213"/>
        <v>1.6821135029354204E-7</v>
      </c>
      <c r="BB316" s="144">
        <f t="shared" si="214"/>
        <v>2.7172602739726029E-8</v>
      </c>
      <c r="BC316" s="158">
        <f t="shared" si="215"/>
        <v>5.4345205479452061E-6</v>
      </c>
      <c r="BD316" s="144">
        <f t="shared" si="216"/>
        <v>1.1321917808219179E-9</v>
      </c>
      <c r="BE316" s="158">
        <f t="shared" si="217"/>
        <v>2.2643835616438359E-6</v>
      </c>
      <c r="BF316" s="144">
        <f t="shared" si="218"/>
        <v>1.0506739726027396E-8</v>
      </c>
      <c r="BG316" s="158">
        <f t="shared" si="219"/>
        <v>1.8762035225048922E-6</v>
      </c>
    </row>
    <row r="317" spans="20:59">
      <c r="T317" s="53" t="s">
        <v>553</v>
      </c>
      <c r="U317" s="53" t="s">
        <v>554</v>
      </c>
      <c r="V317" s="180">
        <v>43888</v>
      </c>
      <c r="W317" s="53">
        <v>0.26495800000000003</v>
      </c>
      <c r="X317" s="53">
        <v>34.729039</v>
      </c>
      <c r="Y317" s="53" t="s">
        <v>660</v>
      </c>
      <c r="Z317" s="53" t="s">
        <v>330</v>
      </c>
      <c r="AA317" s="53" t="s">
        <v>347</v>
      </c>
      <c r="AB317" s="53" t="s">
        <v>371</v>
      </c>
      <c r="AC317" s="116" t="s">
        <v>687</v>
      </c>
      <c r="AD317" s="53" t="s">
        <v>555</v>
      </c>
      <c r="AE317" s="53" t="s">
        <v>739</v>
      </c>
      <c r="AF317" s="53" t="s">
        <v>684</v>
      </c>
      <c r="AG317" s="53" t="s">
        <v>683</v>
      </c>
      <c r="AH317" s="156">
        <v>0.06</v>
      </c>
      <c r="AI317" s="191">
        <v>0.21</v>
      </c>
      <c r="AJ317" s="192">
        <v>0.38</v>
      </c>
      <c r="AK317" s="193">
        <v>4.3999999999999997E-2</v>
      </c>
      <c r="AL317" s="157">
        <v>32.200000000000003</v>
      </c>
      <c r="AM317" s="157"/>
      <c r="AN317" s="144">
        <f t="shared" si="200"/>
        <v>1.2230136986301371E-6</v>
      </c>
      <c r="AO317" s="158">
        <f t="shared" si="201"/>
        <v>4.0767123287671243E-3</v>
      </c>
      <c r="AP317" s="144">
        <f t="shared" si="202"/>
        <v>4.2805479452054797E-6</v>
      </c>
      <c r="AQ317" s="158">
        <f t="shared" si="203"/>
        <v>1.1890410958904111E-3</v>
      </c>
      <c r="AR317" s="144">
        <f t="shared" si="204"/>
        <v>7.7457534246575348E-6</v>
      </c>
      <c r="AS317" s="158">
        <f t="shared" si="205"/>
        <v>2.5819178082191782E-3</v>
      </c>
      <c r="AT317" s="144">
        <f t="shared" si="206"/>
        <v>8.9687671232876721E-7</v>
      </c>
      <c r="AU317" s="158">
        <f t="shared" si="207"/>
        <v>1.7937534246575343E-3</v>
      </c>
      <c r="AV317" s="144">
        <f t="shared" si="208"/>
        <v>6.563506849315069E-4</v>
      </c>
      <c r="AW317" s="158">
        <f t="shared" si="209"/>
        <v>3.2817534246575346E-2</v>
      </c>
      <c r="AX317" s="144">
        <f t="shared" si="210"/>
        <v>8.1517808219178081E-8</v>
      </c>
      <c r="AY317" s="158">
        <f t="shared" si="211"/>
        <v>2.7172602739726032E-4</v>
      </c>
      <c r="AZ317" s="144">
        <f t="shared" si="212"/>
        <v>9.5104109589041079E-10</v>
      </c>
      <c r="BA317" s="158">
        <f t="shared" si="213"/>
        <v>2.717260273972602E-7</v>
      </c>
      <c r="BB317" s="144">
        <f t="shared" si="214"/>
        <v>1.7209315068493149E-8</v>
      </c>
      <c r="BC317" s="158">
        <f t="shared" si="215"/>
        <v>3.4418630136986298E-6</v>
      </c>
      <c r="BD317" s="144">
        <f t="shared" si="216"/>
        <v>1.9926575342465748E-9</v>
      </c>
      <c r="BE317" s="158">
        <f t="shared" si="217"/>
        <v>3.98531506849315E-6</v>
      </c>
      <c r="BF317" s="144">
        <f t="shared" si="218"/>
        <v>2.9165260273972601E-7</v>
      </c>
      <c r="BG317" s="158">
        <f t="shared" si="219"/>
        <v>5.2080821917808217E-5</v>
      </c>
    </row>
    <row r="318" spans="20:59">
      <c r="T318" s="53" t="s">
        <v>556</v>
      </c>
      <c r="U318" s="53" t="s">
        <v>557</v>
      </c>
      <c r="V318" s="180">
        <v>43888</v>
      </c>
      <c r="W318" s="53">
        <v>0.21136199999999999</v>
      </c>
      <c r="X318" s="53">
        <v>34.729503000000001</v>
      </c>
      <c r="Y318" s="53" t="s">
        <v>662</v>
      </c>
      <c r="Z318" s="53" t="s">
        <v>330</v>
      </c>
      <c r="AA318" s="53" t="s">
        <v>347</v>
      </c>
      <c r="AB318" s="53" t="s">
        <v>371</v>
      </c>
      <c r="AC318" s="116" t="s">
        <v>687</v>
      </c>
      <c r="AD318" s="53" t="s">
        <v>538</v>
      </c>
      <c r="AE318" s="53" t="s">
        <v>739</v>
      </c>
      <c r="AF318" s="53" t="s">
        <v>726</v>
      </c>
      <c r="AG318" s="53" t="s">
        <v>727</v>
      </c>
      <c r="AH318" s="156">
        <v>8.09</v>
      </c>
      <c r="AI318" s="191">
        <v>0.24</v>
      </c>
      <c r="AJ318" s="192">
        <v>0.51</v>
      </c>
      <c r="AK318" s="193">
        <v>4.9000000000000002E-2</v>
      </c>
      <c r="AL318" s="192">
        <v>1.64</v>
      </c>
      <c r="AM318" s="192"/>
      <c r="AN318" s="144">
        <f t="shared" si="200"/>
        <v>1.6490301369863014E-4</v>
      </c>
      <c r="AO318" s="158">
        <f t="shared" si="201"/>
        <v>0.54967671232876714</v>
      </c>
      <c r="AP318" s="144">
        <f t="shared" si="202"/>
        <v>4.8920547945205486E-6</v>
      </c>
      <c r="AQ318" s="158">
        <f t="shared" si="203"/>
        <v>1.3589041095890414E-3</v>
      </c>
      <c r="AR318" s="144">
        <f t="shared" si="204"/>
        <v>1.0395616438356164E-5</v>
      </c>
      <c r="AS318" s="158">
        <f t="shared" si="205"/>
        <v>3.4652054794520543E-3</v>
      </c>
      <c r="AT318" s="144">
        <f t="shared" si="206"/>
        <v>9.9879452054794529E-7</v>
      </c>
      <c r="AU318" s="158">
        <f t="shared" si="207"/>
        <v>1.9975890410958907E-3</v>
      </c>
      <c r="AV318" s="144">
        <f t="shared" si="208"/>
        <v>3.3429041095890411E-5</v>
      </c>
      <c r="AW318" s="158">
        <f t="shared" si="209"/>
        <v>1.6714520547945206E-3</v>
      </c>
      <c r="AX318" s="144">
        <f t="shared" si="210"/>
        <v>1.0991317808219176E-5</v>
      </c>
      <c r="AY318" s="158">
        <f t="shared" si="211"/>
        <v>3.6637726027397254E-2</v>
      </c>
      <c r="AZ318" s="144">
        <f t="shared" si="212"/>
        <v>1.0869041095890413E-9</v>
      </c>
      <c r="BA318" s="158">
        <f t="shared" si="213"/>
        <v>3.1054403131115468E-7</v>
      </c>
      <c r="BB318" s="144">
        <f t="shared" si="214"/>
        <v>2.3096712328767126E-8</v>
      </c>
      <c r="BC318" s="158">
        <f t="shared" si="215"/>
        <v>4.619342465753425E-6</v>
      </c>
      <c r="BD318" s="144">
        <f t="shared" si="216"/>
        <v>2.2190958904109591E-9</v>
      </c>
      <c r="BE318" s="158">
        <f t="shared" si="217"/>
        <v>4.438191780821918E-6</v>
      </c>
      <c r="BF318" s="144">
        <f t="shared" si="218"/>
        <v>1.4854356164383563E-8</v>
      </c>
      <c r="BG318" s="158">
        <f t="shared" si="219"/>
        <v>2.6525636007827791E-6</v>
      </c>
    </row>
    <row r="319" spans="20:59">
      <c r="T319" s="53" t="s">
        <v>558</v>
      </c>
      <c r="U319" s="53" t="s">
        <v>559</v>
      </c>
      <c r="V319" s="180">
        <v>43888</v>
      </c>
      <c r="W319" s="183">
        <v>0.20258399999999999</v>
      </c>
      <c r="X319" s="183">
        <v>34.714993</v>
      </c>
      <c r="Y319" s="53" t="s">
        <v>662</v>
      </c>
      <c r="Z319" s="53" t="s">
        <v>330</v>
      </c>
      <c r="AA319" s="53" t="s">
        <v>347</v>
      </c>
      <c r="AB319" s="154" t="s">
        <v>371</v>
      </c>
      <c r="AC319" s="116" t="s">
        <v>687</v>
      </c>
      <c r="AD319" s="53" t="s">
        <v>535</v>
      </c>
      <c r="AE319" s="53" t="s">
        <v>739</v>
      </c>
      <c r="AF319" s="53" t="s">
        <v>684</v>
      </c>
      <c r="AG319" s="53" t="s">
        <v>683</v>
      </c>
      <c r="AH319" s="156">
        <v>0.23</v>
      </c>
      <c r="AI319" s="191">
        <v>0.15</v>
      </c>
      <c r="AJ319" s="192">
        <v>4.8899999999999997</v>
      </c>
      <c r="AK319" s="193">
        <v>4.8000000000000001E-2</v>
      </c>
      <c r="AL319" s="192">
        <v>2.87</v>
      </c>
      <c r="AM319" s="192"/>
      <c r="AN319" s="144">
        <f t="shared" si="200"/>
        <v>4.6882191780821912E-6</v>
      </c>
      <c r="AO319" s="158">
        <f t="shared" si="201"/>
        <v>1.562739726027397E-2</v>
      </c>
      <c r="AP319" s="144">
        <f t="shared" si="202"/>
        <v>3.0575342465753423E-6</v>
      </c>
      <c r="AQ319" s="158">
        <f t="shared" si="203"/>
        <v>8.4931506849315072E-4</v>
      </c>
      <c r="AR319" s="144">
        <f t="shared" si="204"/>
        <v>9.9675616438356141E-5</v>
      </c>
      <c r="AS319" s="158">
        <f t="shared" si="205"/>
        <v>3.3225205479452048E-2</v>
      </c>
      <c r="AT319" s="144">
        <f t="shared" si="206"/>
        <v>9.7841095890410959E-7</v>
      </c>
      <c r="AU319" s="158">
        <f t="shared" si="207"/>
        <v>1.9568219178082193E-3</v>
      </c>
      <c r="AV319" s="144">
        <f t="shared" si="208"/>
        <v>5.850082191780822E-5</v>
      </c>
      <c r="AW319" s="158">
        <f t="shared" si="209"/>
        <v>2.9250410958904108E-3</v>
      </c>
      <c r="AX319" s="144">
        <f t="shared" si="210"/>
        <v>3.1248493150684927E-7</v>
      </c>
      <c r="AY319" s="158">
        <f t="shared" si="211"/>
        <v>1.0416164383561643E-3</v>
      </c>
      <c r="AZ319" s="144">
        <f t="shared" si="212"/>
        <v>6.7931506849315077E-10</v>
      </c>
      <c r="BA319" s="158">
        <f t="shared" si="213"/>
        <v>1.9409001956947163E-7</v>
      </c>
      <c r="BB319" s="144">
        <f t="shared" si="214"/>
        <v>2.2145671232876706E-7</v>
      </c>
      <c r="BC319" s="158">
        <f t="shared" si="215"/>
        <v>4.4291342465753408E-5</v>
      </c>
      <c r="BD319" s="144">
        <f t="shared" si="216"/>
        <v>2.1738082191780826E-9</v>
      </c>
      <c r="BE319" s="158">
        <f t="shared" si="217"/>
        <v>4.3476164383561649E-6</v>
      </c>
      <c r="BF319" s="144">
        <f t="shared" si="218"/>
        <v>2.5995123287671237E-8</v>
      </c>
      <c r="BG319" s="158">
        <f t="shared" si="219"/>
        <v>4.6419863013698637E-6</v>
      </c>
    </row>
    <row r="320" spans="20:59">
      <c r="T320" s="53" t="s">
        <v>560</v>
      </c>
      <c r="U320" s="53" t="s">
        <v>561</v>
      </c>
      <c r="V320" s="180">
        <v>43889</v>
      </c>
      <c r="W320" s="183">
        <v>0.18987899999999999</v>
      </c>
      <c r="X320" s="183">
        <v>34.735692999999998</v>
      </c>
      <c r="Y320" s="53" t="s">
        <v>663</v>
      </c>
      <c r="Z320" s="53" t="s">
        <v>330</v>
      </c>
      <c r="AA320" s="53" t="s">
        <v>347</v>
      </c>
      <c r="AB320" s="154" t="s">
        <v>371</v>
      </c>
      <c r="AC320" s="116" t="s">
        <v>687</v>
      </c>
      <c r="AD320" s="53" t="s">
        <v>555</v>
      </c>
      <c r="AE320" s="53" t="s">
        <v>739</v>
      </c>
      <c r="AF320" s="53" t="s">
        <v>684</v>
      </c>
      <c r="AG320" s="53" t="s">
        <v>683</v>
      </c>
      <c r="AH320" s="156">
        <v>12.97</v>
      </c>
      <c r="AI320" s="191">
        <v>0.16</v>
      </c>
      <c r="AJ320" s="192">
        <v>0.08</v>
      </c>
      <c r="AK320" s="193">
        <v>0.122</v>
      </c>
      <c r="AL320" s="192">
        <v>5.8</v>
      </c>
      <c r="AM320" s="192"/>
      <c r="AN320" s="144">
        <f t="shared" si="200"/>
        <v>2.6437479452054793E-4</v>
      </c>
      <c r="AO320" s="158">
        <f t="shared" si="201"/>
        <v>0.88124931506849313</v>
      </c>
      <c r="AP320" s="144">
        <f t="shared" si="202"/>
        <v>3.2613698630136989E-6</v>
      </c>
      <c r="AQ320" s="158">
        <f t="shared" si="203"/>
        <v>9.0593607305936084E-4</v>
      </c>
      <c r="AR320" s="144">
        <f t="shared" si="204"/>
        <v>1.6306849315068495E-6</v>
      </c>
      <c r="AS320" s="158">
        <f t="shared" si="205"/>
        <v>5.4356164383561646E-4</v>
      </c>
      <c r="AT320" s="144">
        <f t="shared" si="206"/>
        <v>2.4867945205479453E-6</v>
      </c>
      <c r="AU320" s="158">
        <f t="shared" si="207"/>
        <v>4.9735890410958902E-3</v>
      </c>
      <c r="AV320" s="144">
        <f t="shared" si="208"/>
        <v>1.1822465753424656E-4</v>
      </c>
      <c r="AW320" s="158">
        <f t="shared" si="209"/>
        <v>5.9112328767123275E-3</v>
      </c>
      <c r="AX320" s="144">
        <f t="shared" si="210"/>
        <v>1.7621432876712326E-5</v>
      </c>
      <c r="AY320" s="158">
        <f t="shared" si="211"/>
        <v>5.873810958904109E-2</v>
      </c>
      <c r="AZ320" s="144">
        <f t="shared" si="212"/>
        <v>7.2460273972602751E-10</v>
      </c>
      <c r="BA320" s="158">
        <f t="shared" si="213"/>
        <v>2.0702935420743642E-7</v>
      </c>
      <c r="BB320" s="144">
        <f t="shared" si="214"/>
        <v>3.623013698630137E-9</v>
      </c>
      <c r="BC320" s="158">
        <f t="shared" si="215"/>
        <v>7.2460273972602741E-7</v>
      </c>
      <c r="BD320" s="144">
        <f t="shared" si="216"/>
        <v>5.5250958904109598E-9</v>
      </c>
      <c r="BE320" s="158">
        <f t="shared" si="217"/>
        <v>1.105019178082192E-5</v>
      </c>
      <c r="BF320" s="144">
        <f t="shared" si="218"/>
        <v>5.2533698630136988E-8</v>
      </c>
      <c r="BG320" s="158">
        <f t="shared" si="219"/>
        <v>9.3810176125244629E-6</v>
      </c>
    </row>
    <row r="321" spans="20:59">
      <c r="T321" s="53" t="s">
        <v>562</v>
      </c>
      <c r="U321" s="53" t="s">
        <v>563</v>
      </c>
      <c r="V321" s="180">
        <v>43889</v>
      </c>
      <c r="W321" s="183">
        <v>0.18990299999999999</v>
      </c>
      <c r="X321" s="183">
        <v>34.745731999999997</v>
      </c>
      <c r="Y321" s="198" t="s">
        <v>663</v>
      </c>
      <c r="Z321" s="53" t="s">
        <v>330</v>
      </c>
      <c r="AA321" s="53" t="s">
        <v>347</v>
      </c>
      <c r="AB321" s="154" t="s">
        <v>371</v>
      </c>
      <c r="AC321" s="116" t="s">
        <v>687</v>
      </c>
      <c r="AD321" s="53" t="s">
        <v>535</v>
      </c>
      <c r="AE321" s="53" t="s">
        <v>739</v>
      </c>
      <c r="AF321" s="53" t="s">
        <v>684</v>
      </c>
      <c r="AG321" s="53" t="s">
        <v>683</v>
      </c>
      <c r="AH321" s="156">
        <v>1.63</v>
      </c>
      <c r="AI321" s="191">
        <v>0.18</v>
      </c>
      <c r="AJ321" s="192">
        <v>0.51</v>
      </c>
      <c r="AK321" s="193">
        <v>4.4999999999999998E-2</v>
      </c>
      <c r="AL321" s="192">
        <v>2.08</v>
      </c>
      <c r="AM321" s="192"/>
      <c r="AN321" s="144">
        <f t="shared" si="200"/>
        <v>3.3225205479452051E-5</v>
      </c>
      <c r="AO321" s="158">
        <f t="shared" si="201"/>
        <v>0.11075068493150685</v>
      </c>
      <c r="AP321" s="144">
        <f t="shared" si="202"/>
        <v>3.6690410958904104E-6</v>
      </c>
      <c r="AQ321" s="158">
        <f t="shared" si="203"/>
        <v>1.0191780821917806E-3</v>
      </c>
      <c r="AR321" s="144">
        <f t="shared" si="204"/>
        <v>1.0395616438356164E-5</v>
      </c>
      <c r="AS321" s="158">
        <f t="shared" si="205"/>
        <v>3.4652054794520543E-3</v>
      </c>
      <c r="AT321" s="144">
        <f t="shared" si="206"/>
        <v>9.172602739726026E-7</v>
      </c>
      <c r="AU321" s="158">
        <f t="shared" si="207"/>
        <v>1.8345205479452051E-3</v>
      </c>
      <c r="AV321" s="144">
        <f t="shared" si="208"/>
        <v>4.2397808219178081E-5</v>
      </c>
      <c r="AW321" s="158">
        <f t="shared" si="209"/>
        <v>2.1198904109589038E-3</v>
      </c>
      <c r="AX321" s="144">
        <f t="shared" si="210"/>
        <v>2.2145671232876712E-6</v>
      </c>
      <c r="AY321" s="158">
        <f t="shared" si="211"/>
        <v>7.3818904109589044E-3</v>
      </c>
      <c r="AZ321" s="144">
        <f t="shared" si="212"/>
        <v>8.1517808219178099E-10</v>
      </c>
      <c r="BA321" s="158">
        <f t="shared" si="213"/>
        <v>2.3290802348336598E-7</v>
      </c>
      <c r="BB321" s="144">
        <f t="shared" si="214"/>
        <v>2.3096712328767126E-8</v>
      </c>
      <c r="BC321" s="158">
        <f t="shared" si="215"/>
        <v>4.619342465753425E-6</v>
      </c>
      <c r="BD321" s="144">
        <f t="shared" si="216"/>
        <v>2.0379452054794521E-9</v>
      </c>
      <c r="BE321" s="158">
        <f t="shared" si="217"/>
        <v>4.0758904109589039E-6</v>
      </c>
      <c r="BF321" s="144">
        <f t="shared" si="218"/>
        <v>1.883967123287671E-8</v>
      </c>
      <c r="BG321" s="158">
        <f t="shared" si="219"/>
        <v>3.3642270058708413E-6</v>
      </c>
    </row>
    <row r="322" spans="20:59">
      <c r="T322" s="53" t="s">
        <v>564</v>
      </c>
      <c r="U322" s="53" t="s">
        <v>565</v>
      </c>
      <c r="V322" s="180">
        <v>43889</v>
      </c>
      <c r="W322" s="183">
        <v>0.187274</v>
      </c>
      <c r="X322" s="183">
        <v>34.735595000000004</v>
      </c>
      <c r="Y322" s="198" t="s">
        <v>663</v>
      </c>
      <c r="Z322" s="53" t="s">
        <v>330</v>
      </c>
      <c r="AA322" s="53" t="s">
        <v>347</v>
      </c>
      <c r="AB322" s="154" t="s">
        <v>371</v>
      </c>
      <c r="AC322" s="116" t="s">
        <v>687</v>
      </c>
      <c r="AD322" s="53" t="s">
        <v>527</v>
      </c>
      <c r="AE322" s="53" t="s">
        <v>740</v>
      </c>
      <c r="AF322" s="53" t="s">
        <v>685</v>
      </c>
      <c r="AG322" s="53" t="s">
        <v>691</v>
      </c>
      <c r="AH322" s="156">
        <v>14.63</v>
      </c>
      <c r="AI322" s="191">
        <v>0.22</v>
      </c>
      <c r="AJ322" s="192">
        <v>0.18</v>
      </c>
      <c r="AK322" s="193">
        <v>6.3E-2</v>
      </c>
      <c r="AL322" s="192">
        <v>4.53</v>
      </c>
      <c r="AM322" s="192"/>
      <c r="AN322" s="144">
        <f t="shared" si="200"/>
        <v>2.9821150684931506E-4</v>
      </c>
      <c r="AO322" s="158">
        <f t="shared" si="201"/>
        <v>0.99403835616438363</v>
      </c>
      <c r="AP322" s="144">
        <f t="shared" si="202"/>
        <v>4.4843835616438354E-6</v>
      </c>
      <c r="AQ322" s="158">
        <f t="shared" si="203"/>
        <v>1.2456621004566209E-3</v>
      </c>
      <c r="AR322" s="144">
        <f t="shared" si="204"/>
        <v>3.6690410958904104E-6</v>
      </c>
      <c r="AS322" s="158">
        <f t="shared" si="205"/>
        <v>1.2230136986301368E-3</v>
      </c>
      <c r="AT322" s="144">
        <f t="shared" si="206"/>
        <v>1.284164383561644E-6</v>
      </c>
      <c r="AU322" s="158">
        <f t="shared" si="207"/>
        <v>2.568328767123288E-3</v>
      </c>
      <c r="AV322" s="144">
        <f t="shared" si="208"/>
        <v>9.2337534246575344E-5</v>
      </c>
      <c r="AW322" s="158">
        <f t="shared" si="209"/>
        <v>4.6168767123287669E-3</v>
      </c>
      <c r="AX322" s="144">
        <f t="shared" si="210"/>
        <v>1.9876758904109589E-5</v>
      </c>
      <c r="AY322" s="158">
        <f t="shared" si="211"/>
        <v>6.6255863013698638E-2</v>
      </c>
      <c r="AZ322" s="144">
        <f t="shared" si="212"/>
        <v>9.9632876712328784E-10</v>
      </c>
      <c r="BA322" s="158">
        <f t="shared" si="213"/>
        <v>2.8466536203522511E-7</v>
      </c>
      <c r="BB322" s="144">
        <f t="shared" si="214"/>
        <v>8.1517808219178084E-9</v>
      </c>
      <c r="BC322" s="158">
        <f t="shared" si="215"/>
        <v>1.6303561643835616E-6</v>
      </c>
      <c r="BD322" s="144">
        <f t="shared" si="216"/>
        <v>2.8531232876712336E-9</v>
      </c>
      <c r="BE322" s="158">
        <f t="shared" si="217"/>
        <v>5.706246575342467E-6</v>
      </c>
      <c r="BF322" s="144">
        <f t="shared" si="218"/>
        <v>4.1030630136986297E-8</v>
      </c>
      <c r="BG322" s="158">
        <f t="shared" si="219"/>
        <v>7.326898238747553E-6</v>
      </c>
    </row>
    <row r="323" spans="20:59">
      <c r="T323" s="53" t="s">
        <v>566</v>
      </c>
      <c r="U323" s="53" t="s">
        <v>567</v>
      </c>
      <c r="V323" s="180">
        <v>43889</v>
      </c>
      <c r="W323" s="183">
        <v>0.18942800000000001</v>
      </c>
      <c r="X323" s="183">
        <v>34.740335999999999</v>
      </c>
      <c r="Y323" s="198" t="s">
        <v>665</v>
      </c>
      <c r="Z323" s="53" t="s">
        <v>330</v>
      </c>
      <c r="AA323" s="53" t="s">
        <v>347</v>
      </c>
      <c r="AB323" s="154" t="s">
        <v>371</v>
      </c>
      <c r="AC323" s="116" t="s">
        <v>687</v>
      </c>
      <c r="AD323" s="53" t="s">
        <v>538</v>
      </c>
      <c r="AE323" s="53" t="s">
        <v>739</v>
      </c>
      <c r="AF323" s="53" t="s">
        <v>726</v>
      </c>
      <c r="AG323" s="53" t="s">
        <v>727</v>
      </c>
      <c r="AH323" s="156">
        <v>2.11</v>
      </c>
      <c r="AI323" s="191">
        <v>0.26</v>
      </c>
      <c r="AJ323" s="192">
        <v>0.27</v>
      </c>
      <c r="AK323" s="193">
        <v>3.5999999999999997E-2</v>
      </c>
      <c r="AL323" s="192">
        <v>1.75</v>
      </c>
      <c r="AM323" s="192"/>
      <c r="AN323" s="144">
        <f t="shared" si="200"/>
        <v>4.3009315068493147E-5</v>
      </c>
      <c r="AO323" s="158">
        <f t="shared" si="201"/>
        <v>0.14336438356164383</v>
      </c>
      <c r="AP323" s="144">
        <f t="shared" si="202"/>
        <v>5.2997260273972601E-6</v>
      </c>
      <c r="AQ323" s="158">
        <f t="shared" si="203"/>
        <v>1.4721461187214612E-3</v>
      </c>
      <c r="AR323" s="144">
        <f t="shared" si="204"/>
        <v>5.5035616438356166E-6</v>
      </c>
      <c r="AS323" s="158">
        <f t="shared" si="205"/>
        <v>1.8345205479452056E-3</v>
      </c>
      <c r="AT323" s="144">
        <f t="shared" si="206"/>
        <v>7.3380821917808214E-7</v>
      </c>
      <c r="AU323" s="158">
        <f t="shared" si="207"/>
        <v>1.4676164383561642E-3</v>
      </c>
      <c r="AV323" s="144">
        <f t="shared" si="208"/>
        <v>3.567123287671233E-5</v>
      </c>
      <c r="AW323" s="158">
        <f t="shared" si="209"/>
        <v>1.7835616438356165E-3</v>
      </c>
      <c r="AX323" s="144">
        <f t="shared" si="210"/>
        <v>2.8667095890410967E-6</v>
      </c>
      <c r="AY323" s="158">
        <f t="shared" si="211"/>
        <v>9.5556986301369891E-3</v>
      </c>
      <c r="AZ323" s="144">
        <f t="shared" si="212"/>
        <v>1.1774794520547944E-9</v>
      </c>
      <c r="BA323" s="158">
        <f t="shared" si="213"/>
        <v>3.3642270058708409E-7</v>
      </c>
      <c r="BB323" s="144">
        <f t="shared" si="214"/>
        <v>1.222767123287671E-8</v>
      </c>
      <c r="BC323" s="158">
        <f t="shared" si="215"/>
        <v>2.4455342465753421E-6</v>
      </c>
      <c r="BD323" s="144">
        <f t="shared" si="216"/>
        <v>1.6303561643835614E-9</v>
      </c>
      <c r="BE323" s="158">
        <f t="shared" si="217"/>
        <v>3.2607123287671228E-6</v>
      </c>
      <c r="BF323" s="144">
        <f t="shared" si="218"/>
        <v>1.5850684931506851E-8</v>
      </c>
      <c r="BG323" s="158">
        <f t="shared" si="219"/>
        <v>2.8304794520547948E-6</v>
      </c>
    </row>
    <row r="324" spans="20:59">
      <c r="T324" s="53" t="s">
        <v>568</v>
      </c>
      <c r="U324" s="53" t="s">
        <v>569</v>
      </c>
      <c r="V324" s="180">
        <v>43889</v>
      </c>
      <c r="W324" s="183">
        <v>0.18878500000000001</v>
      </c>
      <c r="X324" s="183">
        <v>34.739865000000002</v>
      </c>
      <c r="Y324" s="198" t="s">
        <v>665</v>
      </c>
      <c r="Z324" s="53" t="s">
        <v>330</v>
      </c>
      <c r="AA324" s="53" t="s">
        <v>347</v>
      </c>
      <c r="AB324" s="154" t="s">
        <v>371</v>
      </c>
      <c r="AC324" s="116" t="s">
        <v>687</v>
      </c>
      <c r="AD324" s="53" t="s">
        <v>538</v>
      </c>
      <c r="AE324" s="53" t="s">
        <v>739</v>
      </c>
      <c r="AF324" s="53" t="s">
        <v>726</v>
      </c>
      <c r="AG324" s="53" t="s">
        <v>727</v>
      </c>
      <c r="AH324" s="156">
        <v>2.48</v>
      </c>
      <c r="AI324" s="191">
        <v>0.2</v>
      </c>
      <c r="AJ324" s="192">
        <v>0.24</v>
      </c>
      <c r="AK324" s="193">
        <v>5.8999999999999997E-2</v>
      </c>
      <c r="AL324" s="192">
        <v>2.68</v>
      </c>
      <c r="AM324" s="192"/>
      <c r="AN324" s="144">
        <f t="shared" si="200"/>
        <v>5.0551232876712323E-5</v>
      </c>
      <c r="AO324" s="158">
        <f t="shared" si="201"/>
        <v>0.16850410958904108</v>
      </c>
      <c r="AP324" s="144">
        <f t="shared" si="202"/>
        <v>4.076712328767124E-6</v>
      </c>
      <c r="AQ324" s="158">
        <f t="shared" si="203"/>
        <v>1.1324200913242011E-3</v>
      </c>
      <c r="AR324" s="144">
        <f t="shared" si="204"/>
        <v>4.8920547945205486E-6</v>
      </c>
      <c r="AS324" s="158">
        <f t="shared" si="205"/>
        <v>1.6306849315068496E-3</v>
      </c>
      <c r="AT324" s="144">
        <f t="shared" si="206"/>
        <v>1.2026301369863014E-6</v>
      </c>
      <c r="AU324" s="158">
        <f t="shared" si="207"/>
        <v>2.4052602739726031E-3</v>
      </c>
      <c r="AV324" s="144">
        <f t="shared" si="208"/>
        <v>5.4627945205479462E-5</v>
      </c>
      <c r="AW324" s="158">
        <f t="shared" si="209"/>
        <v>2.7313972602739729E-3</v>
      </c>
      <c r="AX324" s="144">
        <f t="shared" si="210"/>
        <v>3.3694027397260273E-6</v>
      </c>
      <c r="AY324" s="158">
        <f t="shared" si="211"/>
        <v>1.1231342465753425E-2</v>
      </c>
      <c r="AZ324" s="144">
        <f t="shared" si="212"/>
        <v>9.0575342465753426E-10</v>
      </c>
      <c r="BA324" s="158">
        <f t="shared" si="213"/>
        <v>2.587866927592955E-7</v>
      </c>
      <c r="BB324" s="144">
        <f t="shared" si="214"/>
        <v>1.0869041095890412E-8</v>
      </c>
      <c r="BC324" s="158">
        <f t="shared" si="215"/>
        <v>2.1738082191780824E-6</v>
      </c>
      <c r="BD324" s="144">
        <f t="shared" si="216"/>
        <v>2.6719726027397258E-9</v>
      </c>
      <c r="BE324" s="158">
        <f t="shared" si="217"/>
        <v>5.3439452054794513E-6</v>
      </c>
      <c r="BF324" s="144">
        <f t="shared" si="218"/>
        <v>2.4274191780821918E-8</v>
      </c>
      <c r="BG324" s="158">
        <f t="shared" si="219"/>
        <v>4.3346771037181999E-6</v>
      </c>
    </row>
    <row r="325" spans="20:59">
      <c r="T325" s="53" t="s">
        <v>570</v>
      </c>
      <c r="U325" s="53" t="s">
        <v>571</v>
      </c>
      <c r="V325" s="180">
        <v>43889</v>
      </c>
      <c r="W325" s="183">
        <v>0.19486300000000001</v>
      </c>
      <c r="X325" s="183">
        <v>34.750653</v>
      </c>
      <c r="Y325" s="198" t="s">
        <v>666</v>
      </c>
      <c r="Z325" s="53" t="s">
        <v>330</v>
      </c>
      <c r="AA325" s="53" t="s">
        <v>347</v>
      </c>
      <c r="AB325" s="154" t="s">
        <v>371</v>
      </c>
      <c r="AC325" s="116" t="s">
        <v>687</v>
      </c>
      <c r="AD325" s="53" t="s">
        <v>728</v>
      </c>
      <c r="AE325" s="53" t="s">
        <v>739</v>
      </c>
      <c r="AF325" s="53" t="s">
        <v>726</v>
      </c>
      <c r="AG325" s="53" t="s">
        <v>727</v>
      </c>
      <c r="AH325" s="156">
        <v>22.1</v>
      </c>
      <c r="AI325" s="191">
        <v>0.52</v>
      </c>
      <c r="AJ325" s="192">
        <v>0.88</v>
      </c>
      <c r="AK325" s="193">
        <v>7.0999999999999994E-2</v>
      </c>
      <c r="AL325" s="192">
        <v>0.89</v>
      </c>
      <c r="AM325" s="192"/>
      <c r="AN325" s="144">
        <f t="shared" si="200"/>
        <v>4.5047671232876715E-4</v>
      </c>
      <c r="AO325" s="158">
        <f t="shared" si="201"/>
        <v>1.5015890410958908</v>
      </c>
      <c r="AP325" s="144">
        <f t="shared" si="202"/>
        <v>1.059945205479452E-5</v>
      </c>
      <c r="AQ325" s="158">
        <f t="shared" si="203"/>
        <v>2.9442922374429224E-3</v>
      </c>
      <c r="AR325" s="144">
        <f t="shared" si="204"/>
        <v>1.7937534246575342E-5</v>
      </c>
      <c r="AS325" s="158">
        <f t="shared" si="205"/>
        <v>5.9791780821917802E-3</v>
      </c>
      <c r="AT325" s="144">
        <f t="shared" si="206"/>
        <v>1.4472328767123286E-6</v>
      </c>
      <c r="AU325" s="158">
        <f t="shared" si="207"/>
        <v>2.894465753424657E-3</v>
      </c>
      <c r="AV325" s="144">
        <f t="shared" si="208"/>
        <v>1.8141369863013702E-5</v>
      </c>
      <c r="AW325" s="158">
        <f t="shared" si="209"/>
        <v>9.0706849315068503E-4</v>
      </c>
      <c r="AX325" s="144">
        <f t="shared" si="210"/>
        <v>3.0025726027397261E-5</v>
      </c>
      <c r="AY325" s="158">
        <f t="shared" si="211"/>
        <v>0.10008575342465754</v>
      </c>
      <c r="AZ325" s="144">
        <f t="shared" si="212"/>
        <v>2.3549589041095888E-9</v>
      </c>
      <c r="BA325" s="158">
        <f t="shared" si="213"/>
        <v>6.7284540117416817E-7</v>
      </c>
      <c r="BB325" s="144">
        <f t="shared" si="214"/>
        <v>3.9853150684931509E-8</v>
      </c>
      <c r="BC325" s="158">
        <f t="shared" si="215"/>
        <v>7.9706301369863017E-6</v>
      </c>
      <c r="BD325" s="144">
        <f t="shared" si="216"/>
        <v>3.2154246575342467E-9</v>
      </c>
      <c r="BE325" s="158">
        <f t="shared" si="217"/>
        <v>6.4308493150684934E-6</v>
      </c>
      <c r="BF325" s="144">
        <f t="shared" si="218"/>
        <v>8.0612054794520539E-9</v>
      </c>
      <c r="BG325" s="158">
        <f t="shared" si="219"/>
        <v>1.4395009784735811E-6</v>
      </c>
    </row>
    <row r="326" spans="20:59">
      <c r="T326" s="53" t="s">
        <v>572</v>
      </c>
      <c r="U326" s="53" t="s">
        <v>573</v>
      </c>
      <c r="V326" s="180">
        <v>43889</v>
      </c>
      <c r="W326" s="183">
        <v>0.19523199999999999</v>
      </c>
      <c r="X326" s="183">
        <v>34.751345000000001</v>
      </c>
      <c r="Y326" s="198" t="s">
        <v>666</v>
      </c>
      <c r="Z326" s="53" t="s">
        <v>330</v>
      </c>
      <c r="AA326" s="53" t="s">
        <v>347</v>
      </c>
      <c r="AB326" s="154" t="s">
        <v>371</v>
      </c>
      <c r="AC326" s="116" t="s">
        <v>687</v>
      </c>
      <c r="AD326" s="53" t="s">
        <v>555</v>
      </c>
      <c r="AE326" s="53" t="s">
        <v>739</v>
      </c>
      <c r="AF326" s="53" t="s">
        <v>684</v>
      </c>
      <c r="AG326" s="53" t="s">
        <v>683</v>
      </c>
      <c r="AH326" s="156">
        <v>17.170000000000002</v>
      </c>
      <c r="AI326" s="191">
        <v>0.13</v>
      </c>
      <c r="AJ326" s="192">
        <v>0.77</v>
      </c>
      <c r="AK326" s="193">
        <v>4.7E-2</v>
      </c>
      <c r="AL326" s="192">
        <v>1.2</v>
      </c>
      <c r="AM326" s="192"/>
      <c r="AN326" s="144">
        <f t="shared" si="200"/>
        <v>3.499857534246576E-4</v>
      </c>
      <c r="AO326" s="158">
        <f t="shared" si="201"/>
        <v>1.1666191780821922</v>
      </c>
      <c r="AP326" s="144">
        <f t="shared" si="202"/>
        <v>2.64986301369863E-6</v>
      </c>
      <c r="AQ326" s="158">
        <f t="shared" si="203"/>
        <v>7.3607305936073059E-4</v>
      </c>
      <c r="AR326" s="144">
        <f t="shared" si="204"/>
        <v>1.569534246575343E-5</v>
      </c>
      <c r="AS326" s="158">
        <f t="shared" si="205"/>
        <v>5.23178082191781E-3</v>
      </c>
      <c r="AT326" s="144">
        <f t="shared" si="206"/>
        <v>9.5802739726027389E-7</v>
      </c>
      <c r="AU326" s="158">
        <f t="shared" si="207"/>
        <v>1.9160547945205478E-3</v>
      </c>
      <c r="AV326" s="144">
        <f t="shared" si="208"/>
        <v>2.4460273972602739E-5</v>
      </c>
      <c r="AW326" s="158">
        <f t="shared" si="209"/>
        <v>1.2230136986301368E-3</v>
      </c>
      <c r="AX326" s="144">
        <f t="shared" si="210"/>
        <v>2.3327679452054802E-5</v>
      </c>
      <c r="AY326" s="158">
        <f t="shared" si="211"/>
        <v>7.7758931506849344E-2</v>
      </c>
      <c r="AZ326" s="144">
        <f t="shared" si="212"/>
        <v>5.8873972602739719E-10</v>
      </c>
      <c r="BA326" s="158">
        <f t="shared" si="213"/>
        <v>1.6821135029354204E-7</v>
      </c>
      <c r="BB326" s="144">
        <f t="shared" si="214"/>
        <v>3.4871506849315077E-8</v>
      </c>
      <c r="BC326" s="158">
        <f t="shared" si="215"/>
        <v>6.9743013698630153E-6</v>
      </c>
      <c r="BD326" s="144">
        <f t="shared" si="216"/>
        <v>2.128520547945205E-9</v>
      </c>
      <c r="BE326" s="158">
        <f t="shared" si="217"/>
        <v>4.2570410958904101E-6</v>
      </c>
      <c r="BF326" s="144">
        <f t="shared" si="218"/>
        <v>1.0869041095890412E-8</v>
      </c>
      <c r="BG326" s="158">
        <f t="shared" si="219"/>
        <v>1.9409001956947164E-6</v>
      </c>
    </row>
    <row r="327" spans="20:59">
      <c r="T327" s="53" t="s">
        <v>574</v>
      </c>
      <c r="U327" s="53" t="s">
        <v>573</v>
      </c>
      <c r="V327" s="180">
        <v>43889</v>
      </c>
      <c r="W327" s="183">
        <v>0.19523199999999999</v>
      </c>
      <c r="X327" s="183">
        <v>34.751345000000001</v>
      </c>
      <c r="Y327" s="198" t="s">
        <v>666</v>
      </c>
      <c r="Z327" s="53" t="s">
        <v>330</v>
      </c>
      <c r="AA327" s="53" t="s">
        <v>347</v>
      </c>
      <c r="AB327" s="154" t="s">
        <v>371</v>
      </c>
      <c r="AC327" s="116" t="s">
        <v>687</v>
      </c>
      <c r="AD327" s="53" t="s">
        <v>555</v>
      </c>
      <c r="AE327" s="53" t="s">
        <v>739</v>
      </c>
      <c r="AF327" s="53" t="s">
        <v>684</v>
      </c>
      <c r="AG327" s="53" t="s">
        <v>683</v>
      </c>
      <c r="AH327" s="156">
        <v>17.09</v>
      </c>
      <c r="AI327" s="191">
        <v>0.02</v>
      </c>
      <c r="AJ327" s="192">
        <v>0.72</v>
      </c>
      <c r="AK327" s="193">
        <v>1.9E-2</v>
      </c>
      <c r="AL327" s="192">
        <v>1.1100000000000001</v>
      </c>
      <c r="AM327" s="192"/>
      <c r="AN327" s="144">
        <f t="shared" si="200"/>
        <v>3.4835506849315067E-4</v>
      </c>
      <c r="AO327" s="158">
        <f t="shared" si="201"/>
        <v>1.1611835616438357</v>
      </c>
      <c r="AP327" s="144">
        <f t="shared" si="202"/>
        <v>4.0767123287671237E-7</v>
      </c>
      <c r="AQ327" s="158">
        <f t="shared" si="203"/>
        <v>1.1324200913242011E-4</v>
      </c>
      <c r="AR327" s="144">
        <f t="shared" si="204"/>
        <v>1.4676164383561642E-5</v>
      </c>
      <c r="AS327" s="158">
        <f t="shared" si="205"/>
        <v>4.8920547945205473E-3</v>
      </c>
      <c r="AT327" s="144">
        <f t="shared" si="206"/>
        <v>3.8728767123287672E-7</v>
      </c>
      <c r="AU327" s="158">
        <f t="shared" si="207"/>
        <v>7.7457534246575346E-4</v>
      </c>
      <c r="AV327" s="144">
        <f t="shared" si="208"/>
        <v>2.2625753424657533E-5</v>
      </c>
      <c r="AW327" s="158">
        <f t="shared" si="209"/>
        <v>1.1312876712328767E-3</v>
      </c>
      <c r="AX327" s="144">
        <f t="shared" si="210"/>
        <v>2.3218989041095883E-5</v>
      </c>
      <c r="AY327" s="158">
        <f t="shared" si="211"/>
        <v>7.7396630136986277E-2</v>
      </c>
      <c r="AZ327" s="144">
        <f t="shared" si="212"/>
        <v>9.0575342465753439E-11</v>
      </c>
      <c r="BA327" s="158">
        <f t="shared" si="213"/>
        <v>2.5878669275929552E-8</v>
      </c>
      <c r="BB327" s="144">
        <f t="shared" si="214"/>
        <v>3.2607123287671234E-8</v>
      </c>
      <c r="BC327" s="158">
        <f t="shared" si="215"/>
        <v>6.5214246575342465E-6</v>
      </c>
      <c r="BD327" s="144">
        <f t="shared" si="216"/>
        <v>8.6046575342465741E-10</v>
      </c>
      <c r="BE327" s="158">
        <f t="shared" si="217"/>
        <v>1.7209315068493147E-6</v>
      </c>
      <c r="BF327" s="144">
        <f t="shared" si="218"/>
        <v>1.0053863013698632E-8</v>
      </c>
      <c r="BG327" s="158">
        <f t="shared" si="219"/>
        <v>1.7953326810176128E-6</v>
      </c>
    </row>
    <row r="328" spans="20:59">
      <c r="T328" s="53" t="s">
        <v>575</v>
      </c>
      <c r="U328" s="53" t="s">
        <v>576</v>
      </c>
      <c r="V328" s="180">
        <v>43890</v>
      </c>
      <c r="W328" s="183">
        <v>0.224908</v>
      </c>
      <c r="X328" s="183">
        <v>34.799022000000001</v>
      </c>
      <c r="Y328" s="53" t="s">
        <v>667</v>
      </c>
      <c r="Z328" s="53" t="s">
        <v>330</v>
      </c>
      <c r="AA328" s="53" t="s">
        <v>347</v>
      </c>
      <c r="AB328" s="154" t="s">
        <v>371</v>
      </c>
      <c r="AC328" s="116" t="s">
        <v>687</v>
      </c>
      <c r="AD328" s="53" t="s">
        <v>535</v>
      </c>
      <c r="AE328" s="53" t="s">
        <v>739</v>
      </c>
      <c r="AF328" s="53" t="s">
        <v>684</v>
      </c>
      <c r="AG328" s="53" t="s">
        <v>683</v>
      </c>
      <c r="AH328" s="156">
        <v>3.36</v>
      </c>
      <c r="AI328" s="191">
        <v>0.13</v>
      </c>
      <c r="AJ328" s="192">
        <v>2.35</v>
      </c>
      <c r="AK328" s="193">
        <v>5.6000000000000001E-2</v>
      </c>
      <c r="AL328" s="192">
        <v>3.49</v>
      </c>
      <c r="AM328" s="192"/>
      <c r="AN328" s="144">
        <f t="shared" si="200"/>
        <v>6.8488767123287675E-5</v>
      </c>
      <c r="AO328" s="158">
        <f t="shared" si="201"/>
        <v>0.22829589041095893</v>
      </c>
      <c r="AP328" s="144">
        <f t="shared" si="202"/>
        <v>2.64986301369863E-6</v>
      </c>
      <c r="AQ328" s="158">
        <f t="shared" si="203"/>
        <v>7.3607305936073059E-4</v>
      </c>
      <c r="AR328" s="144">
        <f t="shared" si="204"/>
        <v>4.7901369863013691E-5</v>
      </c>
      <c r="AS328" s="158">
        <f t="shared" si="205"/>
        <v>1.596712328767123E-2</v>
      </c>
      <c r="AT328" s="144">
        <f t="shared" si="206"/>
        <v>1.1414794520547943E-6</v>
      </c>
      <c r="AU328" s="158">
        <f t="shared" si="207"/>
        <v>2.2829589041095887E-3</v>
      </c>
      <c r="AV328" s="144">
        <f t="shared" si="208"/>
        <v>7.1138630136986301E-5</v>
      </c>
      <c r="AW328" s="158">
        <f t="shared" si="209"/>
        <v>3.5569315068493148E-3</v>
      </c>
      <c r="AX328" s="144">
        <f t="shared" si="210"/>
        <v>4.5649972602739721E-6</v>
      </c>
      <c r="AY328" s="158">
        <f t="shared" si="211"/>
        <v>1.5216657534246576E-2</v>
      </c>
      <c r="AZ328" s="144">
        <f t="shared" si="212"/>
        <v>5.8873972602739719E-10</v>
      </c>
      <c r="BA328" s="158">
        <f t="shared" si="213"/>
        <v>1.6821135029354204E-7</v>
      </c>
      <c r="BB328" s="144">
        <f t="shared" si="214"/>
        <v>1.0642602739726027E-7</v>
      </c>
      <c r="BC328" s="158">
        <f t="shared" si="215"/>
        <v>2.1285205479452054E-5</v>
      </c>
      <c r="BD328" s="144">
        <f t="shared" si="216"/>
        <v>2.5361095890410957E-9</v>
      </c>
      <c r="BE328" s="158">
        <f t="shared" si="217"/>
        <v>5.0722191780821912E-6</v>
      </c>
      <c r="BF328" s="144">
        <f t="shared" si="218"/>
        <v>3.1610794520547947E-8</v>
      </c>
      <c r="BG328" s="158">
        <f t="shared" si="219"/>
        <v>5.6447847358121334E-6</v>
      </c>
    </row>
    <row r="329" spans="20:59">
      <c r="T329" s="53" t="s">
        <v>577</v>
      </c>
      <c r="U329" s="53" t="s">
        <v>578</v>
      </c>
      <c r="V329" s="180">
        <v>43890</v>
      </c>
      <c r="W329" s="183">
        <v>0.22484799999999999</v>
      </c>
      <c r="X329" s="183">
        <v>34.799002999999999</v>
      </c>
      <c r="Y329" s="53" t="s">
        <v>667</v>
      </c>
      <c r="Z329" s="53" t="s">
        <v>330</v>
      </c>
      <c r="AA329" s="53" t="s">
        <v>347</v>
      </c>
      <c r="AB329" s="154" t="s">
        <v>371</v>
      </c>
      <c r="AC329" s="116" t="s">
        <v>687</v>
      </c>
      <c r="AD329" s="53" t="s">
        <v>535</v>
      </c>
      <c r="AE329" s="53" t="s">
        <v>739</v>
      </c>
      <c r="AF329" s="53" t="s">
        <v>684</v>
      </c>
      <c r="AG329" s="53" t="s">
        <v>683</v>
      </c>
      <c r="AH329" s="156">
        <v>4.88</v>
      </c>
      <c r="AI329" s="191">
        <v>0.25</v>
      </c>
      <c r="AJ329" s="192">
        <v>0.8</v>
      </c>
      <c r="AK329" s="193">
        <v>9.6000000000000002E-2</v>
      </c>
      <c r="AL329" s="192">
        <v>3.73</v>
      </c>
      <c r="AM329" s="192"/>
      <c r="AN329" s="144">
        <f t="shared" si="200"/>
        <v>9.9471780821917808E-5</v>
      </c>
      <c r="AO329" s="158">
        <f t="shared" si="201"/>
        <v>0.33157260273972605</v>
      </c>
      <c r="AP329" s="144">
        <f t="shared" si="202"/>
        <v>5.0958904109589035E-6</v>
      </c>
      <c r="AQ329" s="158">
        <f t="shared" si="203"/>
        <v>1.415525114155251E-3</v>
      </c>
      <c r="AR329" s="144">
        <f t="shared" si="204"/>
        <v>1.6306849315068496E-5</v>
      </c>
      <c r="AS329" s="158">
        <f t="shared" si="205"/>
        <v>5.4356164383561655E-3</v>
      </c>
      <c r="AT329" s="144">
        <f t="shared" si="206"/>
        <v>1.9568219178082192E-6</v>
      </c>
      <c r="AU329" s="158">
        <f t="shared" si="207"/>
        <v>3.9136438356164385E-3</v>
      </c>
      <c r="AV329" s="144">
        <f t="shared" si="208"/>
        <v>7.6030684931506845E-5</v>
      </c>
      <c r="AW329" s="158">
        <f t="shared" si="209"/>
        <v>3.8015342465753423E-3</v>
      </c>
      <c r="AX329" s="144">
        <f t="shared" si="210"/>
        <v>6.6301150684931497E-6</v>
      </c>
      <c r="AY329" s="158">
        <f t="shared" si="211"/>
        <v>2.2100383561643833E-2</v>
      </c>
      <c r="AZ329" s="144">
        <f t="shared" si="212"/>
        <v>1.1321917808219179E-9</v>
      </c>
      <c r="BA329" s="158">
        <f t="shared" si="213"/>
        <v>3.2348336594911938E-7</v>
      </c>
      <c r="BB329" s="144">
        <f t="shared" si="214"/>
        <v>3.6230136986301374E-8</v>
      </c>
      <c r="BC329" s="158">
        <f t="shared" si="215"/>
        <v>7.2460273972602745E-6</v>
      </c>
      <c r="BD329" s="144">
        <f t="shared" si="216"/>
        <v>4.3476164383561653E-9</v>
      </c>
      <c r="BE329" s="158">
        <f t="shared" si="217"/>
        <v>8.6952328767123297E-6</v>
      </c>
      <c r="BF329" s="144">
        <f t="shared" si="218"/>
        <v>3.3784602739726029E-8</v>
      </c>
      <c r="BG329" s="158">
        <f t="shared" si="219"/>
        <v>6.0329647749510765E-6</v>
      </c>
    </row>
    <row r="330" spans="20:59">
      <c r="T330" s="53" t="s">
        <v>579</v>
      </c>
      <c r="U330" s="53" t="s">
        <v>580</v>
      </c>
      <c r="V330" s="180">
        <v>43890</v>
      </c>
      <c r="W330" s="183">
        <v>0.21770700000000001</v>
      </c>
      <c r="X330" s="183">
        <v>34.802644000000001</v>
      </c>
      <c r="Y330" s="53" t="s">
        <v>667</v>
      </c>
      <c r="Z330" s="53" t="s">
        <v>330</v>
      </c>
      <c r="AA330" s="53" t="s">
        <v>347</v>
      </c>
      <c r="AB330" s="154" t="s">
        <v>371</v>
      </c>
      <c r="AC330" s="116" t="s">
        <v>687</v>
      </c>
      <c r="AD330" s="53" t="s">
        <v>535</v>
      </c>
      <c r="AE330" s="53" t="s">
        <v>739</v>
      </c>
      <c r="AF330" s="53" t="s">
        <v>684</v>
      </c>
      <c r="AG330" s="53" t="s">
        <v>683</v>
      </c>
      <c r="AH330" s="156">
        <v>1.2</v>
      </c>
      <c r="AI330" s="191">
        <v>0.22</v>
      </c>
      <c r="AJ330" s="192">
        <v>0.23</v>
      </c>
      <c r="AK330" s="193">
        <v>4.2999999999999997E-2</v>
      </c>
      <c r="AL330" s="192">
        <v>1.2</v>
      </c>
      <c r="AM330" s="192"/>
      <c r="AN330" s="144">
        <f t="shared" si="200"/>
        <v>2.4460273972602739E-5</v>
      </c>
      <c r="AO330" s="158">
        <f t="shared" si="201"/>
        <v>8.1534246575342473E-2</v>
      </c>
      <c r="AP330" s="144">
        <f t="shared" si="202"/>
        <v>4.4843835616438354E-6</v>
      </c>
      <c r="AQ330" s="158">
        <f t="shared" si="203"/>
        <v>1.2456621004566209E-3</v>
      </c>
      <c r="AR330" s="144">
        <f t="shared" si="204"/>
        <v>4.6882191780821912E-6</v>
      </c>
      <c r="AS330" s="158">
        <f t="shared" si="205"/>
        <v>1.5627397260273971E-3</v>
      </c>
      <c r="AT330" s="144">
        <f t="shared" si="206"/>
        <v>8.7649315068493151E-7</v>
      </c>
      <c r="AU330" s="158">
        <f t="shared" si="207"/>
        <v>1.7529863013698631E-3</v>
      </c>
      <c r="AV330" s="144">
        <f t="shared" si="208"/>
        <v>2.4460273972602739E-5</v>
      </c>
      <c r="AW330" s="158">
        <f t="shared" si="209"/>
        <v>1.2230136986301368E-3</v>
      </c>
      <c r="AX330" s="144">
        <f t="shared" si="210"/>
        <v>1.6303561643835614E-6</v>
      </c>
      <c r="AY330" s="158">
        <f t="shared" si="211"/>
        <v>5.4345205479452048E-3</v>
      </c>
      <c r="AZ330" s="144">
        <f t="shared" si="212"/>
        <v>9.9632876712328784E-10</v>
      </c>
      <c r="BA330" s="158">
        <f t="shared" si="213"/>
        <v>2.8466536203522511E-7</v>
      </c>
      <c r="BB330" s="144">
        <f t="shared" si="214"/>
        <v>1.0416164383561641E-8</v>
      </c>
      <c r="BC330" s="158">
        <f t="shared" si="215"/>
        <v>2.0832328767123281E-6</v>
      </c>
      <c r="BD330" s="144">
        <f t="shared" si="216"/>
        <v>1.9473698630136984E-9</v>
      </c>
      <c r="BE330" s="158">
        <f t="shared" si="217"/>
        <v>3.8947397260273969E-6</v>
      </c>
      <c r="BF330" s="144">
        <f t="shared" si="218"/>
        <v>1.0869041095890412E-8</v>
      </c>
      <c r="BG330" s="158">
        <f t="shared" si="219"/>
        <v>1.9409001956947164E-6</v>
      </c>
    </row>
    <row r="331" spans="20:59">
      <c r="T331" s="53" t="s">
        <v>581</v>
      </c>
      <c r="U331" s="53" t="s">
        <v>582</v>
      </c>
      <c r="V331" s="180">
        <v>43890</v>
      </c>
      <c r="W331" s="183">
        <v>0.21793199999999999</v>
      </c>
      <c r="X331" s="183">
        <v>34.802683999999999</v>
      </c>
      <c r="Y331" s="53" t="s">
        <v>667</v>
      </c>
      <c r="Z331" s="53" t="s">
        <v>330</v>
      </c>
      <c r="AA331" s="53" t="s">
        <v>347</v>
      </c>
      <c r="AB331" s="154" t="s">
        <v>371</v>
      </c>
      <c r="AC331" s="116" t="s">
        <v>687</v>
      </c>
      <c r="AD331" s="53" t="s">
        <v>535</v>
      </c>
      <c r="AE331" s="53" t="s">
        <v>739</v>
      </c>
      <c r="AF331" s="53" t="s">
        <v>684</v>
      </c>
      <c r="AG331" s="53" t="s">
        <v>683</v>
      </c>
      <c r="AH331" s="156">
        <v>6.12</v>
      </c>
      <c r="AI331" s="191">
        <v>7.0000000000000007E-2</v>
      </c>
      <c r="AJ331" s="192">
        <v>0.08</v>
      </c>
      <c r="AK331" s="193">
        <v>7.0000000000000001E-3</v>
      </c>
      <c r="AL331" s="192">
        <v>1.21</v>
      </c>
      <c r="AM331" s="192"/>
      <c r="AN331" s="144">
        <f t="shared" si="200"/>
        <v>1.2474739726027397E-4</v>
      </c>
      <c r="AO331" s="158">
        <f t="shared" si="201"/>
        <v>0.41582465753424658</v>
      </c>
      <c r="AP331" s="144">
        <f t="shared" si="202"/>
        <v>1.4268493150684931E-6</v>
      </c>
      <c r="AQ331" s="158">
        <f t="shared" si="203"/>
        <v>3.963470319634703E-4</v>
      </c>
      <c r="AR331" s="144">
        <f t="shared" si="204"/>
        <v>1.6306849315068495E-6</v>
      </c>
      <c r="AS331" s="158">
        <f t="shared" si="205"/>
        <v>5.4356164383561646E-4</v>
      </c>
      <c r="AT331" s="144">
        <f t="shared" si="206"/>
        <v>1.4268493150684929E-7</v>
      </c>
      <c r="AU331" s="158">
        <f t="shared" si="207"/>
        <v>2.8536986301369859E-4</v>
      </c>
      <c r="AV331" s="144">
        <f t="shared" si="208"/>
        <v>2.4664109589041095E-5</v>
      </c>
      <c r="AW331" s="158">
        <f t="shared" si="209"/>
        <v>1.2332054794520547E-3</v>
      </c>
      <c r="AX331" s="144">
        <f t="shared" si="210"/>
        <v>8.3148164383561631E-6</v>
      </c>
      <c r="AY331" s="158">
        <f t="shared" si="211"/>
        <v>2.7716054794520547E-2</v>
      </c>
      <c r="AZ331" s="144">
        <f t="shared" si="212"/>
        <v>3.1701369863013707E-10</v>
      </c>
      <c r="BA331" s="158">
        <f t="shared" si="213"/>
        <v>9.0575342465753452E-8</v>
      </c>
      <c r="BB331" s="144">
        <f t="shared" si="214"/>
        <v>3.623013698630137E-9</v>
      </c>
      <c r="BC331" s="158">
        <f t="shared" si="215"/>
        <v>7.2460273972602741E-7</v>
      </c>
      <c r="BD331" s="144">
        <f t="shared" si="216"/>
        <v>3.1701369863013696E-10</v>
      </c>
      <c r="BE331" s="158">
        <f t="shared" si="217"/>
        <v>6.340273972602739E-7</v>
      </c>
      <c r="BF331" s="144">
        <f t="shared" si="218"/>
        <v>1.0959616438356165E-8</v>
      </c>
      <c r="BG331" s="158">
        <f t="shared" si="219"/>
        <v>1.9570743639921722E-6</v>
      </c>
    </row>
    <row r="332" spans="20:59">
      <c r="T332" s="53" t="s">
        <v>583</v>
      </c>
      <c r="U332" s="53" t="s">
        <v>584</v>
      </c>
      <c r="V332" s="180">
        <v>43890</v>
      </c>
      <c r="W332" s="183">
        <v>0.218167</v>
      </c>
      <c r="X332" s="183">
        <v>34.802627999999999</v>
      </c>
      <c r="Y332" s="53" t="s">
        <v>667</v>
      </c>
      <c r="Z332" s="53" t="s">
        <v>330</v>
      </c>
      <c r="AA332" s="53" t="s">
        <v>347</v>
      </c>
      <c r="AB332" s="154" t="s">
        <v>371</v>
      </c>
      <c r="AC332" s="116" t="s">
        <v>687</v>
      </c>
      <c r="AD332" s="53" t="s">
        <v>530</v>
      </c>
      <c r="AE332" s="53" t="s">
        <v>740</v>
      </c>
      <c r="AF332" s="53" t="s">
        <v>684</v>
      </c>
      <c r="AG332" s="53" t="s">
        <v>683</v>
      </c>
      <c r="AH332" s="156">
        <v>3.13</v>
      </c>
      <c r="AI332" s="191">
        <v>0.17</v>
      </c>
      <c r="AJ332" s="192">
        <v>0.13</v>
      </c>
      <c r="AK332" s="193">
        <v>1.4E-2</v>
      </c>
      <c r="AL332" s="192">
        <v>1.33</v>
      </c>
      <c r="AM332" s="192"/>
      <c r="AN332" s="144">
        <f t="shared" si="200"/>
        <v>6.3800547945205477E-5</v>
      </c>
      <c r="AO332" s="158">
        <f t="shared" si="201"/>
        <v>0.21266849315068495</v>
      </c>
      <c r="AP332" s="144">
        <f t="shared" si="202"/>
        <v>3.4652054794520547E-6</v>
      </c>
      <c r="AQ332" s="158">
        <f t="shared" si="203"/>
        <v>9.6255707762557075E-4</v>
      </c>
      <c r="AR332" s="144">
        <f t="shared" si="204"/>
        <v>2.64986301369863E-6</v>
      </c>
      <c r="AS332" s="158">
        <f t="shared" si="205"/>
        <v>8.8328767123287664E-4</v>
      </c>
      <c r="AT332" s="144">
        <f t="shared" si="206"/>
        <v>2.8536986301369859E-7</v>
      </c>
      <c r="AU332" s="158">
        <f t="shared" si="207"/>
        <v>5.7073972602739718E-4</v>
      </c>
      <c r="AV332" s="144">
        <f t="shared" si="208"/>
        <v>2.7110136986301371E-5</v>
      </c>
      <c r="AW332" s="158">
        <f t="shared" si="209"/>
        <v>1.3555068493150686E-3</v>
      </c>
      <c r="AX332" s="144">
        <f t="shared" si="210"/>
        <v>4.2525123287671232E-6</v>
      </c>
      <c r="AY332" s="158">
        <f t="shared" si="211"/>
        <v>1.4175041095890411E-2</v>
      </c>
      <c r="AZ332" s="144">
        <f t="shared" si="212"/>
        <v>7.6989041095890404E-10</v>
      </c>
      <c r="BA332" s="158">
        <f t="shared" si="213"/>
        <v>2.1996868884540115E-7</v>
      </c>
      <c r="BB332" s="144">
        <f t="shared" si="214"/>
        <v>5.8873972602739721E-9</v>
      </c>
      <c r="BC332" s="158">
        <f t="shared" si="215"/>
        <v>1.1774794520547943E-6</v>
      </c>
      <c r="BD332" s="144">
        <f t="shared" si="216"/>
        <v>6.3402739726027393E-10</v>
      </c>
      <c r="BE332" s="158">
        <f t="shared" si="217"/>
        <v>1.2680547945205478E-6</v>
      </c>
      <c r="BF332" s="144">
        <f t="shared" si="218"/>
        <v>1.2046520547945204E-8</v>
      </c>
      <c r="BG332" s="158">
        <f t="shared" si="219"/>
        <v>2.1511643835616437E-6</v>
      </c>
    </row>
    <row r="333" spans="20:59">
      <c r="T333" s="53" t="s">
        <v>585</v>
      </c>
      <c r="U333" s="53" t="s">
        <v>586</v>
      </c>
      <c r="V333" s="180">
        <v>43890</v>
      </c>
      <c r="W333" s="183">
        <v>0.16252800000000001</v>
      </c>
      <c r="X333" s="183">
        <v>34.760970999999998</v>
      </c>
      <c r="Y333" s="53" t="s">
        <v>668</v>
      </c>
      <c r="Z333" s="53" t="s">
        <v>330</v>
      </c>
      <c r="AA333" s="53" t="s">
        <v>347</v>
      </c>
      <c r="AB333" s="154" t="s">
        <v>371</v>
      </c>
      <c r="AC333" s="116" t="s">
        <v>687</v>
      </c>
      <c r="AD333" s="53" t="s">
        <v>538</v>
      </c>
      <c r="AE333" s="53" t="s">
        <v>739</v>
      </c>
      <c r="AF333" s="53" t="s">
        <v>726</v>
      </c>
      <c r="AG333" s="53" t="s">
        <v>727</v>
      </c>
      <c r="AH333" s="156">
        <v>0.19</v>
      </c>
      <c r="AI333" s="191">
        <v>0.1</v>
      </c>
      <c r="AJ333" s="192">
        <v>0.11</v>
      </c>
      <c r="AK333" s="193">
        <v>8.0000000000000002E-3</v>
      </c>
      <c r="AL333" s="192">
        <v>0.32</v>
      </c>
      <c r="AM333" s="192"/>
      <c r="AN333" s="144">
        <f t="shared" si="200"/>
        <v>3.8728767123287674E-6</v>
      </c>
      <c r="AO333" s="158">
        <f t="shared" si="201"/>
        <v>1.2909589041095893E-2</v>
      </c>
      <c r="AP333" s="144">
        <f t="shared" si="202"/>
        <v>2.038356164383562E-6</v>
      </c>
      <c r="AQ333" s="158">
        <f t="shared" si="203"/>
        <v>5.6621004566210055E-4</v>
      </c>
      <c r="AR333" s="144">
        <f t="shared" si="204"/>
        <v>2.2421917808219177E-6</v>
      </c>
      <c r="AS333" s="158">
        <f t="shared" si="205"/>
        <v>7.4739726027397253E-4</v>
      </c>
      <c r="AT333" s="144">
        <f t="shared" si="206"/>
        <v>1.6306849315068491E-7</v>
      </c>
      <c r="AU333" s="158">
        <f t="shared" si="207"/>
        <v>3.2613698630136982E-4</v>
      </c>
      <c r="AV333" s="144">
        <f t="shared" si="208"/>
        <v>6.5227397260273978E-6</v>
      </c>
      <c r="AW333" s="158">
        <f t="shared" si="209"/>
        <v>3.2613698630136988E-4</v>
      </c>
      <c r="AX333" s="144">
        <f t="shared" si="210"/>
        <v>2.5813972602739725E-7</v>
      </c>
      <c r="AY333" s="158">
        <f t="shared" si="211"/>
        <v>8.6046575342465755E-4</v>
      </c>
      <c r="AZ333" s="144">
        <f t="shared" si="212"/>
        <v>4.5287671232876713E-10</v>
      </c>
      <c r="BA333" s="158">
        <f t="shared" si="213"/>
        <v>1.2939334637964775E-7</v>
      </c>
      <c r="BB333" s="144">
        <f t="shared" si="214"/>
        <v>4.9816438356164386E-9</v>
      </c>
      <c r="BC333" s="158">
        <f t="shared" si="215"/>
        <v>9.9632876712328771E-7</v>
      </c>
      <c r="BD333" s="144">
        <f t="shared" si="216"/>
        <v>3.6230136986301375E-10</v>
      </c>
      <c r="BE333" s="158">
        <f t="shared" si="217"/>
        <v>7.2460273972602751E-7</v>
      </c>
      <c r="BF333" s="144">
        <f t="shared" si="218"/>
        <v>2.89841095890411E-9</v>
      </c>
      <c r="BG333" s="158">
        <f t="shared" si="219"/>
        <v>5.175733855185911E-7</v>
      </c>
    </row>
    <row r="334" spans="20:59">
      <c r="T334" s="53" t="s">
        <v>587</v>
      </c>
      <c r="U334" s="53" t="s">
        <v>588</v>
      </c>
      <c r="V334" s="180">
        <v>43890</v>
      </c>
      <c r="W334" s="183">
        <v>0.16381399999999999</v>
      </c>
      <c r="X334" s="183">
        <v>34.761139</v>
      </c>
      <c r="Y334" s="53" t="s">
        <v>669</v>
      </c>
      <c r="Z334" s="53" t="s">
        <v>330</v>
      </c>
      <c r="AA334" s="53" t="s">
        <v>347</v>
      </c>
      <c r="AB334" s="154" t="s">
        <v>371</v>
      </c>
      <c r="AC334" s="116" t="s">
        <v>687</v>
      </c>
      <c r="AD334" s="53" t="s">
        <v>527</v>
      </c>
      <c r="AE334" s="53" t="s">
        <v>740</v>
      </c>
      <c r="AF334" s="53" t="s">
        <v>685</v>
      </c>
      <c r="AG334" s="53" t="s">
        <v>691</v>
      </c>
      <c r="AH334" s="156">
        <v>2.29</v>
      </c>
      <c r="AI334" s="191">
        <v>0.35</v>
      </c>
      <c r="AJ334" s="192">
        <v>0.76</v>
      </c>
      <c r="AK334" s="193">
        <v>3.9E-2</v>
      </c>
      <c r="AL334" s="192">
        <v>5.03</v>
      </c>
      <c r="AM334" s="192"/>
      <c r="AN334" s="144">
        <f t="shared" si="200"/>
        <v>4.6678356164383559E-5</v>
      </c>
      <c r="AO334" s="158">
        <f t="shared" si="201"/>
        <v>0.1555945205479452</v>
      </c>
      <c r="AP334" s="144">
        <f t="shared" si="202"/>
        <v>7.1342465753424659E-6</v>
      </c>
      <c r="AQ334" s="158">
        <f t="shared" si="203"/>
        <v>1.9817351598173517E-3</v>
      </c>
      <c r="AR334" s="144">
        <f t="shared" si="204"/>
        <v>1.549150684931507E-5</v>
      </c>
      <c r="AS334" s="158">
        <f t="shared" si="205"/>
        <v>5.1638356164383564E-3</v>
      </c>
      <c r="AT334" s="144">
        <f t="shared" si="206"/>
        <v>7.9495890410958903E-7</v>
      </c>
      <c r="AU334" s="158">
        <f t="shared" si="207"/>
        <v>1.5899178082191779E-3</v>
      </c>
      <c r="AV334" s="144">
        <f t="shared" si="208"/>
        <v>1.0252931506849317E-4</v>
      </c>
      <c r="AW334" s="158">
        <f t="shared" si="209"/>
        <v>5.1264657534246579E-3</v>
      </c>
      <c r="AX334" s="144">
        <f t="shared" si="210"/>
        <v>3.1112630136986295E-6</v>
      </c>
      <c r="AY334" s="158">
        <f t="shared" si="211"/>
        <v>1.0370876712328767E-2</v>
      </c>
      <c r="AZ334" s="144">
        <f t="shared" si="212"/>
        <v>1.5850684931506847E-9</v>
      </c>
      <c r="BA334" s="158">
        <f t="shared" si="213"/>
        <v>4.5287671232876705E-7</v>
      </c>
      <c r="BB334" s="144">
        <f t="shared" si="214"/>
        <v>3.4418630136986297E-8</v>
      </c>
      <c r="BC334" s="158">
        <f t="shared" si="215"/>
        <v>6.8837260273972596E-6</v>
      </c>
      <c r="BD334" s="144">
        <f t="shared" si="216"/>
        <v>1.7662191780821921E-9</v>
      </c>
      <c r="BE334" s="158">
        <f t="shared" si="217"/>
        <v>3.5324383561643842E-6</v>
      </c>
      <c r="BF334" s="144">
        <f t="shared" si="218"/>
        <v>4.555939726027397E-8</v>
      </c>
      <c r="BG334" s="158">
        <f t="shared" si="219"/>
        <v>8.1356066536203517E-6</v>
      </c>
    </row>
    <row r="335" spans="20:59">
      <c r="T335" s="53" t="s">
        <v>589</v>
      </c>
      <c r="U335" s="53" t="s">
        <v>590</v>
      </c>
      <c r="V335" s="180">
        <v>43890</v>
      </c>
      <c r="W335" s="183">
        <v>0.105117</v>
      </c>
      <c r="X335" s="183">
        <v>34.698954000000001</v>
      </c>
      <c r="Y335" s="53" t="s">
        <v>359</v>
      </c>
      <c r="Z335" s="53" t="s">
        <v>334</v>
      </c>
      <c r="AA335" s="53" t="s">
        <v>347</v>
      </c>
      <c r="AB335" s="154" t="s">
        <v>371</v>
      </c>
      <c r="AC335" s="116" t="s">
        <v>687</v>
      </c>
      <c r="AD335" s="53" t="s">
        <v>527</v>
      </c>
      <c r="AE335" s="53" t="s">
        <v>740</v>
      </c>
      <c r="AF335" s="53" t="s">
        <v>685</v>
      </c>
      <c r="AG335" s="53" t="s">
        <v>691</v>
      </c>
      <c r="AH335" s="156">
        <v>204.51</v>
      </c>
      <c r="AI335" s="191">
        <v>0.2</v>
      </c>
      <c r="AJ335" s="192">
        <v>0.08</v>
      </c>
      <c r="AK335" s="193">
        <v>8.7999999999999995E-2</v>
      </c>
      <c r="AL335" s="157">
        <v>19.47</v>
      </c>
      <c r="AM335" s="157"/>
      <c r="AN335" s="144">
        <f t="shared" si="200"/>
        <v>4.1686421917808223E-3</v>
      </c>
      <c r="AO335" s="158">
        <f t="shared" si="201"/>
        <v>13.895473972602742</v>
      </c>
      <c r="AP335" s="144">
        <f t="shared" si="202"/>
        <v>4.076712328767124E-6</v>
      </c>
      <c r="AQ335" s="158">
        <f t="shared" si="203"/>
        <v>1.1324200913242011E-3</v>
      </c>
      <c r="AR335" s="144">
        <f t="shared" si="204"/>
        <v>1.6306849315068495E-6</v>
      </c>
      <c r="AS335" s="158">
        <f t="shared" si="205"/>
        <v>5.4356164383561646E-4</v>
      </c>
      <c r="AT335" s="144">
        <f t="shared" si="206"/>
        <v>1.7937534246575344E-6</v>
      </c>
      <c r="AU335" s="158">
        <f t="shared" si="207"/>
        <v>3.5875068493150686E-3</v>
      </c>
      <c r="AV335" s="144">
        <f t="shared" si="208"/>
        <v>3.9686794520547944E-4</v>
      </c>
      <c r="AW335" s="158">
        <f t="shared" si="209"/>
        <v>1.9843397260273971E-2</v>
      </c>
      <c r="AX335" s="144">
        <f t="shared" si="210"/>
        <v>2.7785344931506849E-4</v>
      </c>
      <c r="AY335" s="158">
        <f t="shared" si="211"/>
        <v>0.92617816438356171</v>
      </c>
      <c r="AZ335" s="144">
        <f t="shared" si="212"/>
        <v>9.0575342465753426E-10</v>
      </c>
      <c r="BA335" s="158">
        <f t="shared" si="213"/>
        <v>2.587866927592955E-7</v>
      </c>
      <c r="BB335" s="144">
        <f t="shared" si="214"/>
        <v>3.623013698630137E-9</v>
      </c>
      <c r="BC335" s="158">
        <f t="shared" si="215"/>
        <v>7.2460273972602741E-7</v>
      </c>
      <c r="BD335" s="144">
        <f t="shared" si="216"/>
        <v>3.9853150684931497E-9</v>
      </c>
      <c r="BE335" s="158">
        <f t="shared" si="217"/>
        <v>7.9706301369863E-6</v>
      </c>
      <c r="BF335" s="144">
        <f t="shared" si="218"/>
        <v>1.7635019178082194E-7</v>
      </c>
      <c r="BG335" s="158">
        <f t="shared" si="219"/>
        <v>3.1491105675146775E-5</v>
      </c>
    </row>
    <row r="336" spans="20:59">
      <c r="T336" s="53" t="s">
        <v>591</v>
      </c>
      <c r="U336" s="53" t="s">
        <v>592</v>
      </c>
      <c r="V336" s="180">
        <v>43890</v>
      </c>
      <c r="W336" s="183">
        <v>0.105629</v>
      </c>
      <c r="X336" s="183">
        <v>34.699337</v>
      </c>
      <c r="Y336" s="53" t="s">
        <v>359</v>
      </c>
      <c r="Z336" s="53" t="s">
        <v>334</v>
      </c>
      <c r="AA336" s="53" t="s">
        <v>347</v>
      </c>
      <c r="AB336" s="154" t="s">
        <v>371</v>
      </c>
      <c r="AC336" s="116" t="s">
        <v>687</v>
      </c>
      <c r="AD336" s="53" t="s">
        <v>527</v>
      </c>
      <c r="AE336" s="53" t="s">
        <v>740</v>
      </c>
      <c r="AF336" s="53" t="s">
        <v>685</v>
      </c>
      <c r="AG336" s="53" t="s">
        <v>691</v>
      </c>
      <c r="AH336" s="156">
        <v>7.75</v>
      </c>
      <c r="AI336" s="191">
        <v>0.12</v>
      </c>
      <c r="AJ336" s="192">
        <v>0.18</v>
      </c>
      <c r="AK336" s="193">
        <v>2.91</v>
      </c>
      <c r="AL336" s="157">
        <v>218.01</v>
      </c>
      <c r="AM336" s="157"/>
      <c r="AN336" s="144">
        <f t="shared" si="200"/>
        <v>1.5797260273972603E-4</v>
      </c>
      <c r="AO336" s="158">
        <f t="shared" si="201"/>
        <v>0.52657534246575355</v>
      </c>
      <c r="AP336" s="144">
        <f t="shared" si="202"/>
        <v>2.4460273972602743E-6</v>
      </c>
      <c r="AQ336" s="158">
        <f t="shared" si="203"/>
        <v>6.7945205479452069E-4</v>
      </c>
      <c r="AR336" s="144">
        <f t="shared" si="204"/>
        <v>3.6690410958904104E-6</v>
      </c>
      <c r="AS336" s="158">
        <f t="shared" si="205"/>
        <v>1.2230136986301368E-3</v>
      </c>
      <c r="AT336" s="144">
        <f t="shared" si="206"/>
        <v>5.931616438356166E-5</v>
      </c>
      <c r="AU336" s="158">
        <f t="shared" si="207"/>
        <v>0.11863232876712332</v>
      </c>
      <c r="AV336" s="144">
        <f t="shared" si="208"/>
        <v>4.4438202739726027E-3</v>
      </c>
      <c r="AW336" s="158">
        <f t="shared" si="209"/>
        <v>0.22219101369863012</v>
      </c>
      <c r="AX336" s="144">
        <f t="shared" si="210"/>
        <v>1.0529383561643837E-5</v>
      </c>
      <c r="AY336" s="158">
        <f t="shared" si="211"/>
        <v>3.5097945205479458E-2</v>
      </c>
      <c r="AZ336" s="144">
        <f t="shared" si="212"/>
        <v>5.4345205479452066E-10</v>
      </c>
      <c r="BA336" s="158">
        <f t="shared" si="213"/>
        <v>1.5527201565557734E-7</v>
      </c>
      <c r="BB336" s="144">
        <f t="shared" si="214"/>
        <v>8.1517808219178084E-9</v>
      </c>
      <c r="BC336" s="158">
        <f t="shared" si="215"/>
        <v>1.6303561643835616E-6</v>
      </c>
      <c r="BD336" s="144">
        <f t="shared" si="216"/>
        <v>1.3178712328767122E-7</v>
      </c>
      <c r="BE336" s="158">
        <f t="shared" si="217"/>
        <v>2.6357424657534243E-4</v>
      </c>
      <c r="BF336" s="144">
        <f t="shared" si="218"/>
        <v>1.9746330410958905E-6</v>
      </c>
      <c r="BG336" s="158">
        <f t="shared" si="219"/>
        <v>3.526130430528376E-4</v>
      </c>
    </row>
    <row r="337" spans="20:60">
      <c r="T337" s="53" t="s">
        <v>593</v>
      </c>
      <c r="U337" s="53" t="s">
        <v>594</v>
      </c>
      <c r="V337" s="180">
        <v>43891</v>
      </c>
      <c r="W337" s="183">
        <v>0.10255300000000001</v>
      </c>
      <c r="X337" s="183">
        <v>34.713514000000004</v>
      </c>
      <c r="Y337" s="53" t="s">
        <v>335</v>
      </c>
      <c r="Z337" s="53" t="s">
        <v>334</v>
      </c>
      <c r="AA337" s="53" t="s">
        <v>347</v>
      </c>
      <c r="AB337" s="154" t="s">
        <v>371</v>
      </c>
      <c r="AC337" s="116" t="s">
        <v>687</v>
      </c>
      <c r="AD337" s="53" t="s">
        <v>527</v>
      </c>
      <c r="AE337" s="53" t="s">
        <v>740</v>
      </c>
      <c r="AF337" s="53" t="s">
        <v>685</v>
      </c>
      <c r="AG337" s="53" t="s">
        <v>691</v>
      </c>
      <c r="AH337" s="156">
        <v>863.94</v>
      </c>
      <c r="AI337" s="191">
        <v>0.2</v>
      </c>
      <c r="AJ337" s="192">
        <v>0.39</v>
      </c>
      <c r="AK337" s="193">
        <v>0.05</v>
      </c>
      <c r="AL337" s="157">
        <v>10.68</v>
      </c>
      <c r="AM337" s="157"/>
      <c r="AN337" s="144">
        <f t="shared" si="200"/>
        <v>1.7610174246575346E-2</v>
      </c>
      <c r="AO337" s="158">
        <f t="shared" si="201"/>
        <v>58.700580821917825</v>
      </c>
      <c r="AP337" s="144">
        <f t="shared" si="202"/>
        <v>4.076712328767124E-6</v>
      </c>
      <c r="AQ337" s="158">
        <f t="shared" si="203"/>
        <v>1.1324200913242011E-3</v>
      </c>
      <c r="AR337" s="144">
        <f t="shared" si="204"/>
        <v>7.9495890410958914E-6</v>
      </c>
      <c r="AS337" s="158">
        <f t="shared" si="205"/>
        <v>2.6498630136986305E-3</v>
      </c>
      <c r="AT337" s="144">
        <f t="shared" si="206"/>
        <v>1.019178082191781E-6</v>
      </c>
      <c r="AU337" s="158">
        <f t="shared" si="207"/>
        <v>2.0383561643835617E-3</v>
      </c>
      <c r="AV337" s="144">
        <f t="shared" si="208"/>
        <v>2.1769643835616441E-4</v>
      </c>
      <c r="AW337" s="158">
        <f t="shared" si="209"/>
        <v>1.0884821917808219E-2</v>
      </c>
      <c r="AX337" s="144">
        <f t="shared" si="210"/>
        <v>1.1737749205479452E-3</v>
      </c>
      <c r="AY337" s="158">
        <f t="shared" si="211"/>
        <v>3.9125830684931509</v>
      </c>
      <c r="AZ337" s="144">
        <f t="shared" si="212"/>
        <v>9.0575342465753426E-10</v>
      </c>
      <c r="BA337" s="158">
        <f t="shared" si="213"/>
        <v>2.587866927592955E-7</v>
      </c>
      <c r="BB337" s="144">
        <f t="shared" si="214"/>
        <v>1.7662191780821915E-8</v>
      </c>
      <c r="BC337" s="158">
        <f t="shared" si="215"/>
        <v>3.5324383561643829E-6</v>
      </c>
      <c r="BD337" s="144">
        <f t="shared" si="216"/>
        <v>2.2643835616438359E-9</v>
      </c>
      <c r="BE337" s="158">
        <f t="shared" si="217"/>
        <v>4.5287671232876719E-6</v>
      </c>
      <c r="BF337" s="144">
        <f t="shared" si="218"/>
        <v>9.6734465753424667E-8</v>
      </c>
      <c r="BG337" s="158">
        <f t="shared" si="219"/>
        <v>1.7274011741682975E-5</v>
      </c>
    </row>
    <row r="338" spans="20:60">
      <c r="T338" s="53" t="s">
        <v>595</v>
      </c>
      <c r="U338" s="53" t="s">
        <v>596</v>
      </c>
      <c r="V338" s="180">
        <v>43891</v>
      </c>
      <c r="W338" s="183">
        <v>0.15733900000000001</v>
      </c>
      <c r="X338" s="183">
        <v>34.817802</v>
      </c>
      <c r="Y338" s="53" t="s">
        <v>360</v>
      </c>
      <c r="Z338" s="53" t="s">
        <v>330</v>
      </c>
      <c r="AA338" s="53" t="s">
        <v>347</v>
      </c>
      <c r="AB338" s="154" t="s">
        <v>371</v>
      </c>
      <c r="AC338" s="116" t="s">
        <v>687</v>
      </c>
      <c r="AD338" s="53" t="s">
        <v>538</v>
      </c>
      <c r="AE338" s="53" t="s">
        <v>739</v>
      </c>
      <c r="AF338" s="53" t="s">
        <v>726</v>
      </c>
      <c r="AG338" s="53" t="s">
        <v>727</v>
      </c>
      <c r="AH338" s="156">
        <v>2.1800000000000002</v>
      </c>
      <c r="AI338" s="191">
        <v>0.36</v>
      </c>
      <c r="AJ338" s="192">
        <v>0.45</v>
      </c>
      <c r="AK338" s="193">
        <v>7.0999999999999994E-2</v>
      </c>
      <c r="AL338" s="192">
        <v>1.06</v>
      </c>
      <c r="AM338" s="192"/>
      <c r="AN338" s="144">
        <f t="shared" si="200"/>
        <v>4.443616438356164E-5</v>
      </c>
      <c r="AO338" s="158">
        <f t="shared" si="201"/>
        <v>0.14812054794520549</v>
      </c>
      <c r="AP338" s="144">
        <f t="shared" si="202"/>
        <v>7.3380821917808208E-6</v>
      </c>
      <c r="AQ338" s="158">
        <f t="shared" si="203"/>
        <v>2.0383561643835613E-3</v>
      </c>
      <c r="AR338" s="144">
        <f t="shared" si="204"/>
        <v>9.1726027397260258E-6</v>
      </c>
      <c r="AS338" s="158">
        <f t="shared" si="205"/>
        <v>3.0575342465753419E-3</v>
      </c>
      <c r="AT338" s="144">
        <f t="shared" si="206"/>
        <v>1.4472328767123286E-6</v>
      </c>
      <c r="AU338" s="158">
        <f t="shared" si="207"/>
        <v>2.894465753424657E-3</v>
      </c>
      <c r="AV338" s="144">
        <f t="shared" si="208"/>
        <v>2.160657534246575E-5</v>
      </c>
      <c r="AW338" s="158">
        <f t="shared" si="209"/>
        <v>1.0803287671232874E-3</v>
      </c>
      <c r="AX338" s="144">
        <f t="shared" si="210"/>
        <v>2.9618136986301376E-6</v>
      </c>
      <c r="AY338" s="158">
        <f t="shared" si="211"/>
        <v>9.8727123287671269E-3</v>
      </c>
      <c r="AZ338" s="144">
        <f t="shared" si="212"/>
        <v>1.630356164383562E-9</v>
      </c>
      <c r="BA338" s="158">
        <f t="shared" si="213"/>
        <v>4.6581604696673197E-7</v>
      </c>
      <c r="BB338" s="144">
        <f t="shared" si="214"/>
        <v>2.037945205479452E-8</v>
      </c>
      <c r="BC338" s="158">
        <f t="shared" si="215"/>
        <v>4.0758904109589039E-6</v>
      </c>
      <c r="BD338" s="144">
        <f t="shared" si="216"/>
        <v>3.2154246575342467E-9</v>
      </c>
      <c r="BE338" s="158">
        <f t="shared" si="217"/>
        <v>6.4308493150684934E-6</v>
      </c>
      <c r="BF338" s="144">
        <f t="shared" si="218"/>
        <v>9.600986301369864E-9</v>
      </c>
      <c r="BG338" s="158">
        <f t="shared" si="219"/>
        <v>1.7144618395303328E-6</v>
      </c>
    </row>
    <row r="339" spans="20:60">
      <c r="T339" s="53" t="s">
        <v>597</v>
      </c>
      <c r="U339" s="53" t="s">
        <v>598</v>
      </c>
      <c r="V339" s="180">
        <v>43891</v>
      </c>
      <c r="W339" s="183">
        <v>0.15733900000000001</v>
      </c>
      <c r="X339" s="183">
        <v>34.817802</v>
      </c>
      <c r="Y339" s="53" t="s">
        <v>360</v>
      </c>
      <c r="Z339" s="53" t="s">
        <v>330</v>
      </c>
      <c r="AA339" s="53" t="s">
        <v>347</v>
      </c>
      <c r="AB339" s="154" t="s">
        <v>371</v>
      </c>
      <c r="AC339" s="116" t="s">
        <v>687</v>
      </c>
      <c r="AD339" s="53" t="s">
        <v>527</v>
      </c>
      <c r="AE339" s="53" t="s">
        <v>740</v>
      </c>
      <c r="AF339" s="53" t="s">
        <v>685</v>
      </c>
      <c r="AG339" s="53" t="s">
        <v>691</v>
      </c>
      <c r="AH339" s="156">
        <v>27.67</v>
      </c>
      <c r="AI339" s="191">
        <v>0.19</v>
      </c>
      <c r="AJ339" s="192">
        <v>0.26</v>
      </c>
      <c r="AK339" s="193">
        <v>5.3999999999999999E-2</v>
      </c>
      <c r="AL339" s="157">
        <v>12.58</v>
      </c>
      <c r="AM339" s="157"/>
      <c r="AN339" s="144">
        <f t="shared" si="200"/>
        <v>5.6401315068493158E-4</v>
      </c>
      <c r="AO339" s="158">
        <f t="shared" si="201"/>
        <v>1.8800438356164388</v>
      </c>
      <c r="AP339" s="144">
        <f t="shared" si="202"/>
        <v>3.8728767123287674E-6</v>
      </c>
      <c r="AQ339" s="158">
        <f t="shared" si="203"/>
        <v>1.0757990867579909E-3</v>
      </c>
      <c r="AR339" s="144">
        <f t="shared" si="204"/>
        <v>5.2997260273972601E-6</v>
      </c>
      <c r="AS339" s="158">
        <f t="shared" si="205"/>
        <v>1.7665753424657533E-3</v>
      </c>
      <c r="AT339" s="144">
        <f t="shared" si="206"/>
        <v>1.1007123287671232E-6</v>
      </c>
      <c r="AU339" s="158">
        <f t="shared" si="207"/>
        <v>2.2014246575342462E-3</v>
      </c>
      <c r="AV339" s="144">
        <f t="shared" si="208"/>
        <v>2.5642520547945204E-4</v>
      </c>
      <c r="AW339" s="158">
        <f t="shared" si="209"/>
        <v>1.2821260273972603E-2</v>
      </c>
      <c r="AX339" s="144">
        <f t="shared" si="210"/>
        <v>3.7593295890410952E-5</v>
      </c>
      <c r="AY339" s="158">
        <f t="shared" si="211"/>
        <v>0.12531098630136986</v>
      </c>
      <c r="AZ339" s="144">
        <f t="shared" si="212"/>
        <v>8.6046575342465752E-10</v>
      </c>
      <c r="BA339" s="158">
        <f t="shared" si="213"/>
        <v>2.4584735812133074E-7</v>
      </c>
      <c r="BB339" s="144">
        <f t="shared" si="214"/>
        <v>1.1774794520547944E-8</v>
      </c>
      <c r="BC339" s="158">
        <f t="shared" si="215"/>
        <v>2.3549589041095886E-6</v>
      </c>
      <c r="BD339" s="144">
        <f t="shared" si="216"/>
        <v>2.4455342465753424E-9</v>
      </c>
      <c r="BE339" s="158">
        <f t="shared" si="217"/>
        <v>4.8910684931506851E-6</v>
      </c>
      <c r="BF339" s="144">
        <f t="shared" si="218"/>
        <v>1.1394378082191781E-7</v>
      </c>
      <c r="BG339" s="158">
        <f t="shared" si="219"/>
        <v>2.0347103718199611E-5</v>
      </c>
    </row>
    <row r="340" spans="20:60">
      <c r="T340" s="53" t="s">
        <v>599</v>
      </c>
      <c r="U340" s="53" t="s">
        <v>600</v>
      </c>
      <c r="V340" s="180">
        <v>43891</v>
      </c>
      <c r="W340" s="183">
        <v>0.156809</v>
      </c>
      <c r="X340" s="183">
        <v>34.818221000000001</v>
      </c>
      <c r="Y340" s="53" t="s">
        <v>360</v>
      </c>
      <c r="Z340" s="53" t="s">
        <v>330</v>
      </c>
      <c r="AA340" s="53" t="s">
        <v>347</v>
      </c>
      <c r="AB340" s="154" t="s">
        <v>371</v>
      </c>
      <c r="AC340" s="116" t="s">
        <v>687</v>
      </c>
      <c r="AD340" s="53" t="s">
        <v>527</v>
      </c>
      <c r="AE340" s="53" t="s">
        <v>740</v>
      </c>
      <c r="AF340" s="53" t="s">
        <v>685</v>
      </c>
      <c r="AG340" s="53" t="s">
        <v>691</v>
      </c>
      <c r="AH340" s="156">
        <v>13.39</v>
      </c>
      <c r="AI340" s="191">
        <v>0.65</v>
      </c>
      <c r="AJ340" s="192">
        <v>0.67</v>
      </c>
      <c r="AK340" s="193">
        <v>4.1000000000000002E-2</v>
      </c>
      <c r="AL340" s="192">
        <v>2.21</v>
      </c>
      <c r="AM340" s="192"/>
      <c r="AN340" s="144">
        <f t="shared" si="200"/>
        <v>2.7293589041095891E-4</v>
      </c>
      <c r="AO340" s="158">
        <f t="shared" si="201"/>
        <v>0.90978630136986316</v>
      </c>
      <c r="AP340" s="144">
        <f t="shared" si="202"/>
        <v>1.3249315068493151E-5</v>
      </c>
      <c r="AQ340" s="158">
        <f t="shared" si="203"/>
        <v>3.6803652968036529E-3</v>
      </c>
      <c r="AR340" s="144">
        <f t="shared" si="204"/>
        <v>1.3656986301369865E-5</v>
      </c>
      <c r="AS340" s="158">
        <f t="shared" si="205"/>
        <v>4.5523287671232881E-3</v>
      </c>
      <c r="AT340" s="144">
        <f t="shared" si="206"/>
        <v>8.3572602739726022E-7</v>
      </c>
      <c r="AU340" s="158">
        <f t="shared" si="207"/>
        <v>1.6714520547945204E-3</v>
      </c>
      <c r="AV340" s="144">
        <f t="shared" si="208"/>
        <v>4.5047671232876706E-5</v>
      </c>
      <c r="AW340" s="158">
        <f t="shared" si="209"/>
        <v>2.2523835616438353E-3</v>
      </c>
      <c r="AX340" s="144">
        <f t="shared" si="210"/>
        <v>1.8192057534246577E-5</v>
      </c>
      <c r="AY340" s="158">
        <f t="shared" si="211"/>
        <v>6.0640191780821931E-2</v>
      </c>
      <c r="AZ340" s="144">
        <f t="shared" si="212"/>
        <v>2.943698630136986E-9</v>
      </c>
      <c r="BA340" s="158">
        <f t="shared" si="213"/>
        <v>8.4105675146771032E-7</v>
      </c>
      <c r="BB340" s="144">
        <f t="shared" si="214"/>
        <v>3.0342739726027397E-8</v>
      </c>
      <c r="BC340" s="158">
        <f t="shared" si="215"/>
        <v>6.0685479452054794E-6</v>
      </c>
      <c r="BD340" s="144">
        <f t="shared" si="216"/>
        <v>1.8567945205479454E-9</v>
      </c>
      <c r="BE340" s="158">
        <f t="shared" si="217"/>
        <v>3.7135890410958908E-6</v>
      </c>
      <c r="BF340" s="144">
        <f t="shared" si="218"/>
        <v>2.0017150684931509E-8</v>
      </c>
      <c r="BG340" s="158">
        <f t="shared" si="219"/>
        <v>3.5744911937377695E-6</v>
      </c>
    </row>
    <row r="341" spans="20:60">
      <c r="T341" s="53" t="s">
        <v>601</v>
      </c>
      <c r="U341" s="53" t="s">
        <v>602</v>
      </c>
      <c r="V341" s="180">
        <v>43891</v>
      </c>
      <c r="W341" s="183">
        <v>0.156392</v>
      </c>
      <c r="X341" s="183">
        <v>34.817486000000002</v>
      </c>
      <c r="Y341" s="53" t="s">
        <v>360</v>
      </c>
      <c r="Z341" s="53" t="s">
        <v>330</v>
      </c>
      <c r="AA341" s="53" t="s">
        <v>347</v>
      </c>
      <c r="AB341" s="154" t="s">
        <v>371</v>
      </c>
      <c r="AC341" s="116" t="s">
        <v>687</v>
      </c>
      <c r="AD341" s="53" t="s">
        <v>527</v>
      </c>
      <c r="AE341" s="53" t="s">
        <v>740</v>
      </c>
      <c r="AF341" s="53" t="s">
        <v>685</v>
      </c>
      <c r="AG341" s="53" t="s">
        <v>691</v>
      </c>
      <c r="AH341" s="156">
        <v>23.24</v>
      </c>
      <c r="AI341" s="191">
        <v>0.28000000000000003</v>
      </c>
      <c r="AJ341" s="192">
        <v>0.25</v>
      </c>
      <c r="AK341" s="193">
        <v>2.1999999999999999E-2</v>
      </c>
      <c r="AL341" s="192">
        <v>3.04</v>
      </c>
      <c r="AM341" s="192"/>
      <c r="AN341" s="144">
        <f t="shared" si="200"/>
        <v>4.7371397260273973E-4</v>
      </c>
      <c r="AO341" s="158">
        <f t="shared" si="201"/>
        <v>1.5790465753424658</v>
      </c>
      <c r="AP341" s="144">
        <f t="shared" si="202"/>
        <v>5.7073972602739724E-6</v>
      </c>
      <c r="AQ341" s="158">
        <f t="shared" si="203"/>
        <v>1.5853881278538812E-3</v>
      </c>
      <c r="AR341" s="144">
        <f t="shared" si="204"/>
        <v>5.0958904109589035E-6</v>
      </c>
      <c r="AS341" s="158">
        <f t="shared" si="205"/>
        <v>1.6986301369863012E-3</v>
      </c>
      <c r="AT341" s="144">
        <f t="shared" si="206"/>
        <v>4.4843835616438361E-7</v>
      </c>
      <c r="AU341" s="158">
        <f t="shared" si="207"/>
        <v>8.9687671232876716E-4</v>
      </c>
      <c r="AV341" s="144">
        <f t="shared" si="208"/>
        <v>6.1966027397260278E-5</v>
      </c>
      <c r="AW341" s="158">
        <f t="shared" si="209"/>
        <v>3.0983013698630138E-3</v>
      </c>
      <c r="AX341" s="144">
        <f t="shared" si="210"/>
        <v>3.1574564383561634E-5</v>
      </c>
      <c r="AY341" s="158">
        <f t="shared" si="211"/>
        <v>0.10524854794520545</v>
      </c>
      <c r="AZ341" s="144">
        <f t="shared" si="212"/>
        <v>1.2680547945205483E-9</v>
      </c>
      <c r="BA341" s="158">
        <f t="shared" si="213"/>
        <v>3.6230136986301381E-7</v>
      </c>
      <c r="BB341" s="144">
        <f t="shared" si="214"/>
        <v>1.1321917808219178E-8</v>
      </c>
      <c r="BC341" s="158">
        <f t="shared" si="215"/>
        <v>2.2643835616438355E-6</v>
      </c>
      <c r="BD341" s="144">
        <f t="shared" si="216"/>
        <v>9.9632876712328742E-10</v>
      </c>
      <c r="BE341" s="158">
        <f t="shared" si="217"/>
        <v>1.992657534246575E-6</v>
      </c>
      <c r="BF341" s="144">
        <f t="shared" si="218"/>
        <v>2.7534904109589041E-8</v>
      </c>
      <c r="BG341" s="158">
        <f t="shared" si="219"/>
        <v>4.9169471624266141E-6</v>
      </c>
    </row>
    <row r="342" spans="20:60">
      <c r="T342" s="101"/>
      <c r="U342" s="101"/>
      <c r="V342" s="101"/>
      <c r="W342" s="101"/>
      <c r="X342" s="101"/>
      <c r="Y342" s="101"/>
      <c r="Z342" s="101"/>
      <c r="AA342" s="101"/>
      <c r="AB342" s="101"/>
      <c r="AC342" s="101"/>
      <c r="AD342" s="101"/>
      <c r="AE342" s="101"/>
      <c r="AF342" s="101"/>
      <c r="AG342" s="101"/>
      <c r="AH342" s="185"/>
      <c r="AI342" s="215"/>
      <c r="AJ342" s="216"/>
      <c r="AK342" s="217"/>
      <c r="AL342" s="216"/>
      <c r="AM342" s="201" t="s">
        <v>965</v>
      </c>
      <c r="AN342" s="204">
        <f>AVERAGE(AN305:AN341)</f>
        <v>7.0198231766012593E-4</v>
      </c>
      <c r="AO342" s="204">
        <f t="shared" si="201"/>
        <v>2.3399410588670868</v>
      </c>
      <c r="AP342" s="204">
        <f>AVERAGE(AP305:AP341)</f>
        <v>4.1979118844872265E-6</v>
      </c>
      <c r="AQ342" s="204">
        <f t="shared" si="203"/>
        <v>1.1660866345797852E-3</v>
      </c>
      <c r="AR342" s="204">
        <f>AVERAGE(AR305:AR341)</f>
        <v>1.5937741577193638E-5</v>
      </c>
      <c r="AS342" s="204">
        <f t="shared" si="205"/>
        <v>5.3125805257312128E-3</v>
      </c>
      <c r="AT342" s="204">
        <f>AVERAGE(AT305:AT341)</f>
        <v>2.4900999629766762E-6</v>
      </c>
      <c r="AU342" s="204">
        <f t="shared" si="207"/>
        <v>4.9801999259533524E-3</v>
      </c>
      <c r="AV342" s="204">
        <f>AVERAGE(AV305:AV341)</f>
        <v>2.0823736393928177E-4</v>
      </c>
      <c r="AW342" s="204">
        <f t="shared" si="209"/>
        <v>1.0411868196964089E-2</v>
      </c>
      <c r="AX342" s="204">
        <f>AVERAGE(AX305:AX341)</f>
        <v>4.6789385931136626E-5</v>
      </c>
      <c r="AY342" s="204">
        <f t="shared" si="211"/>
        <v>0.15596461977045542</v>
      </c>
      <c r="AZ342" s="204">
        <f>AVERAGE(AZ305:AZ341)</f>
        <v>9.3268122917437989E-10</v>
      </c>
      <c r="BA342" s="204">
        <f t="shared" si="213"/>
        <v>2.6648035119267998E-7</v>
      </c>
      <c r="BB342" s="204">
        <f>AVERAGE(BB305:BB341)</f>
        <v>3.5410062939651981E-8</v>
      </c>
      <c r="BC342" s="204">
        <f t="shared" si="215"/>
        <v>7.0820125879303964E-6</v>
      </c>
      <c r="BD342" s="204">
        <f>AVERAGE(BD305:BD341)</f>
        <v>5.5324398370973712E-9</v>
      </c>
      <c r="BE342" s="204">
        <f t="shared" si="217"/>
        <v>1.1064879674194742E-5</v>
      </c>
      <c r="BF342" s="204">
        <f>AVERAGE(BF305:BF341)</f>
        <v>9.2531280266567932E-8</v>
      </c>
      <c r="BG342" s="204">
        <f t="shared" si="219"/>
        <v>1.6523442904744273E-5</v>
      </c>
      <c r="BH342" s="203"/>
    </row>
    <row r="343" spans="20:60">
      <c r="T343" s="53" t="s">
        <v>618</v>
      </c>
      <c r="U343" s="53" t="s">
        <v>619</v>
      </c>
      <c r="V343" s="180">
        <v>44065</v>
      </c>
      <c r="W343" s="183">
        <v>0.46654299999999999</v>
      </c>
      <c r="X343" s="183">
        <v>34.870725999999998</v>
      </c>
      <c r="Y343" s="53" t="s">
        <v>331</v>
      </c>
      <c r="Z343" s="53" t="s">
        <v>330</v>
      </c>
      <c r="AA343" s="53" t="s">
        <v>347</v>
      </c>
      <c r="AB343" s="154" t="s">
        <v>362</v>
      </c>
      <c r="AC343" s="154" t="s">
        <v>362</v>
      </c>
      <c r="AD343" s="53" t="s">
        <v>620</v>
      </c>
      <c r="AE343" s="53" t="s">
        <v>739</v>
      </c>
      <c r="AF343" s="53" t="s">
        <v>684</v>
      </c>
      <c r="AG343" s="53" t="s">
        <v>683</v>
      </c>
      <c r="AH343" s="156">
        <v>0.04</v>
      </c>
      <c r="AI343" s="192">
        <v>0.18</v>
      </c>
      <c r="AJ343" s="157">
        <v>1.1000000000000001</v>
      </c>
      <c r="AK343" s="197">
        <v>8.0000000000000002E-3</v>
      </c>
      <c r="AL343" s="192">
        <v>0.64</v>
      </c>
      <c r="AM343" s="192"/>
      <c r="AN343" s="144">
        <f t="shared" si="200"/>
        <v>8.1534246575342473E-7</v>
      </c>
      <c r="AO343" s="158">
        <f t="shared" si="201"/>
        <v>2.7178082191780827E-3</v>
      </c>
      <c r="AP343" s="144">
        <f t="shared" si="202"/>
        <v>3.6690410958904104E-6</v>
      </c>
      <c r="AQ343" s="158">
        <f t="shared" si="203"/>
        <v>1.0191780821917806E-3</v>
      </c>
      <c r="AR343" s="144">
        <f t="shared" si="204"/>
        <v>2.242191780821918E-5</v>
      </c>
      <c r="AS343" s="158">
        <f t="shared" si="205"/>
        <v>7.4739726027397268E-3</v>
      </c>
      <c r="AT343" s="144">
        <f t="shared" si="206"/>
        <v>1.6306849315068491E-7</v>
      </c>
      <c r="AU343" s="158">
        <f t="shared" si="207"/>
        <v>3.2613698630136982E-4</v>
      </c>
      <c r="AV343" s="144">
        <f t="shared" si="208"/>
        <v>1.3045479452054796E-5</v>
      </c>
      <c r="AW343" s="158">
        <f t="shared" si="209"/>
        <v>6.5227397260273975E-4</v>
      </c>
      <c r="AX343" s="144">
        <f t="shared" si="210"/>
        <v>5.4345205479452058E-8</v>
      </c>
      <c r="AY343" s="158">
        <f t="shared" si="211"/>
        <v>1.8115068493150687E-4</v>
      </c>
      <c r="AZ343" s="144">
        <f t="shared" si="212"/>
        <v>8.1517808219178099E-10</v>
      </c>
      <c r="BA343" s="158">
        <f t="shared" si="213"/>
        <v>2.3290802348336598E-7</v>
      </c>
      <c r="BB343" s="144">
        <f t="shared" si="214"/>
        <v>4.9816438356164399E-8</v>
      </c>
      <c r="BC343" s="158">
        <f t="shared" si="215"/>
        <v>9.9632876712328797E-6</v>
      </c>
      <c r="BD343" s="144">
        <f t="shared" si="216"/>
        <v>3.6230136986301375E-10</v>
      </c>
      <c r="BE343" s="158">
        <f t="shared" si="217"/>
        <v>7.2460273972602751E-7</v>
      </c>
      <c r="BF343" s="144">
        <f t="shared" si="218"/>
        <v>5.7968219178082201E-9</v>
      </c>
      <c r="BG343" s="158">
        <f t="shared" si="219"/>
        <v>1.0351467710371822E-6</v>
      </c>
    </row>
    <row r="344" spans="20:60">
      <c r="T344" s="53" t="s">
        <v>621</v>
      </c>
      <c r="U344" s="53" t="s">
        <v>622</v>
      </c>
      <c r="V344" s="180">
        <v>44065</v>
      </c>
      <c r="W344" s="183">
        <v>0.46604000000000001</v>
      </c>
      <c r="X344" s="183">
        <v>34.870392000000002</v>
      </c>
      <c r="Y344" s="53" t="s">
        <v>331</v>
      </c>
      <c r="Z344" s="53" t="s">
        <v>330</v>
      </c>
      <c r="AA344" s="53" t="s">
        <v>347</v>
      </c>
      <c r="AB344" s="154" t="s">
        <v>362</v>
      </c>
      <c r="AC344" s="154" t="s">
        <v>362</v>
      </c>
      <c r="AD344" s="53" t="s">
        <v>623</v>
      </c>
      <c r="AE344" s="53" t="s">
        <v>739</v>
      </c>
      <c r="AF344" s="53" t="s">
        <v>684</v>
      </c>
      <c r="AG344" s="53" t="s">
        <v>683</v>
      </c>
      <c r="AH344" s="156">
        <v>0.04</v>
      </c>
      <c r="AI344" s="192">
        <v>0.1</v>
      </c>
      <c r="AJ344" s="157">
        <v>0.3</v>
      </c>
      <c r="AK344" s="197">
        <v>5.0000000000000001E-3</v>
      </c>
      <c r="AL344" s="192">
        <v>0.56999999999999995</v>
      </c>
      <c r="AM344" s="192"/>
      <c r="AN344" s="144">
        <f t="shared" si="200"/>
        <v>8.1534246575342473E-7</v>
      </c>
      <c r="AO344" s="158">
        <f t="shared" si="201"/>
        <v>2.7178082191780827E-3</v>
      </c>
      <c r="AP344" s="144">
        <f t="shared" si="202"/>
        <v>2.038356164383562E-6</v>
      </c>
      <c r="AQ344" s="158">
        <f t="shared" si="203"/>
        <v>5.6621004566210055E-4</v>
      </c>
      <c r="AR344" s="144">
        <f t="shared" si="204"/>
        <v>6.1150684931506847E-6</v>
      </c>
      <c r="AS344" s="158">
        <f t="shared" si="205"/>
        <v>2.0383561643835617E-3</v>
      </c>
      <c r="AT344" s="144">
        <f t="shared" si="206"/>
        <v>1.0191780821917809E-7</v>
      </c>
      <c r="AU344" s="158">
        <f t="shared" si="207"/>
        <v>2.0383561643835617E-4</v>
      </c>
      <c r="AV344" s="144">
        <f t="shared" si="208"/>
        <v>1.1618630136986301E-5</v>
      </c>
      <c r="AW344" s="158">
        <f t="shared" si="209"/>
        <v>5.8093150684931504E-4</v>
      </c>
      <c r="AX344" s="144">
        <f t="shared" si="210"/>
        <v>5.4345205479452058E-8</v>
      </c>
      <c r="AY344" s="158">
        <f t="shared" si="211"/>
        <v>1.8115068493150687E-4</v>
      </c>
      <c r="AZ344" s="144">
        <f t="shared" si="212"/>
        <v>4.5287671232876713E-10</v>
      </c>
      <c r="BA344" s="158">
        <f t="shared" si="213"/>
        <v>1.2939334637964775E-7</v>
      </c>
      <c r="BB344" s="144">
        <f t="shared" si="214"/>
        <v>1.3586301369863015E-8</v>
      </c>
      <c r="BC344" s="158">
        <f t="shared" si="215"/>
        <v>2.717260273972603E-6</v>
      </c>
      <c r="BD344" s="144">
        <f t="shared" si="216"/>
        <v>2.2643835616438356E-10</v>
      </c>
      <c r="BE344" s="158">
        <f t="shared" si="217"/>
        <v>4.528767123287671E-7</v>
      </c>
      <c r="BF344" s="144">
        <f t="shared" si="218"/>
        <v>5.1627945205479443E-9</v>
      </c>
      <c r="BG344" s="158">
        <f t="shared" si="219"/>
        <v>9.219275929549901E-7</v>
      </c>
    </row>
    <row r="345" spans="20:60">
      <c r="T345" s="53" t="s">
        <v>624</v>
      </c>
      <c r="U345" s="53" t="s">
        <v>625</v>
      </c>
      <c r="V345" s="180">
        <v>44065</v>
      </c>
      <c r="W345" s="183">
        <v>0.195803</v>
      </c>
      <c r="X345" s="183">
        <v>34.487564999999996</v>
      </c>
      <c r="Y345" s="53" t="s">
        <v>338</v>
      </c>
      <c r="Z345" s="53" t="s">
        <v>330</v>
      </c>
      <c r="AA345" s="53" t="s">
        <v>347</v>
      </c>
      <c r="AB345" s="154" t="s">
        <v>362</v>
      </c>
      <c r="AC345" s="154" t="s">
        <v>362</v>
      </c>
      <c r="AD345" s="53" t="s">
        <v>626</v>
      </c>
      <c r="AE345" s="53" t="s">
        <v>739</v>
      </c>
      <c r="AF345" s="53" t="s">
        <v>684</v>
      </c>
      <c r="AG345" s="53" t="s">
        <v>683</v>
      </c>
      <c r="AH345" s="156">
        <v>0.65</v>
      </c>
      <c r="AI345" s="192">
        <v>7.0000000000000007E-2</v>
      </c>
      <c r="AJ345" s="157">
        <v>0.2</v>
      </c>
      <c r="AK345" s="197">
        <v>5.0000000000000001E-3</v>
      </c>
      <c r="AL345" s="192">
        <v>2.63</v>
      </c>
      <c r="AM345" s="192"/>
      <c r="AN345" s="144">
        <f t="shared" si="200"/>
        <v>1.3249315068493151E-5</v>
      </c>
      <c r="AO345" s="158">
        <f t="shared" si="201"/>
        <v>4.4164383561643837E-2</v>
      </c>
      <c r="AP345" s="144">
        <f t="shared" si="202"/>
        <v>1.4268493150684931E-6</v>
      </c>
      <c r="AQ345" s="158">
        <f t="shared" si="203"/>
        <v>3.963470319634703E-4</v>
      </c>
      <c r="AR345" s="144">
        <f t="shared" si="204"/>
        <v>4.076712328767124E-6</v>
      </c>
      <c r="AS345" s="158">
        <f t="shared" si="205"/>
        <v>1.3589041095890414E-3</v>
      </c>
      <c r="AT345" s="144">
        <f t="shared" si="206"/>
        <v>1.0191780821917809E-7</v>
      </c>
      <c r="AU345" s="158">
        <f t="shared" si="207"/>
        <v>2.0383561643835617E-4</v>
      </c>
      <c r="AV345" s="144">
        <f t="shared" si="208"/>
        <v>5.3608767123287669E-5</v>
      </c>
      <c r="AW345" s="158">
        <f t="shared" si="209"/>
        <v>2.6804383561643834E-3</v>
      </c>
      <c r="AX345" s="144">
        <f t="shared" si="210"/>
        <v>8.8310958904109583E-7</v>
      </c>
      <c r="AY345" s="158">
        <f t="shared" si="211"/>
        <v>2.9436986301369862E-3</v>
      </c>
      <c r="AZ345" s="144">
        <f t="shared" si="212"/>
        <v>3.1701369863013707E-10</v>
      </c>
      <c r="BA345" s="158">
        <f t="shared" si="213"/>
        <v>9.0575342465753452E-8</v>
      </c>
      <c r="BB345" s="144">
        <f t="shared" si="214"/>
        <v>9.0575342465753436E-9</v>
      </c>
      <c r="BC345" s="158">
        <f t="shared" si="215"/>
        <v>1.8115068493150686E-6</v>
      </c>
      <c r="BD345" s="144">
        <f t="shared" si="216"/>
        <v>2.2643835616438356E-10</v>
      </c>
      <c r="BE345" s="158">
        <f t="shared" si="217"/>
        <v>4.528767123287671E-7</v>
      </c>
      <c r="BF345" s="144">
        <f t="shared" si="218"/>
        <v>2.3821315068493152E-8</v>
      </c>
      <c r="BG345" s="158">
        <f t="shared" si="219"/>
        <v>4.2538062622309197E-6</v>
      </c>
    </row>
    <row r="346" spans="20:60">
      <c r="T346" s="53" t="s">
        <v>627</v>
      </c>
      <c r="U346" s="53" t="s">
        <v>628</v>
      </c>
      <c r="V346" s="180">
        <v>44065</v>
      </c>
      <c r="W346" s="183">
        <v>0.195803</v>
      </c>
      <c r="X346" s="183">
        <v>34.487564999999996</v>
      </c>
      <c r="Y346" s="53" t="s">
        <v>337</v>
      </c>
      <c r="Z346" s="53" t="s">
        <v>330</v>
      </c>
      <c r="AA346" s="53" t="s">
        <v>347</v>
      </c>
      <c r="AB346" s="154" t="s">
        <v>362</v>
      </c>
      <c r="AC346" s="154" t="s">
        <v>362</v>
      </c>
      <c r="AD346" s="53" t="s">
        <v>629</v>
      </c>
      <c r="AE346" s="53" t="s">
        <v>739</v>
      </c>
      <c r="AF346" s="53" t="s">
        <v>684</v>
      </c>
      <c r="AG346" s="53" t="s">
        <v>683</v>
      </c>
      <c r="AH346" s="156">
        <v>0.06</v>
      </c>
      <c r="AI346" s="192">
        <v>0.06</v>
      </c>
      <c r="AJ346" s="157">
        <v>1.5</v>
      </c>
      <c r="AK346" s="197">
        <v>3.3000000000000002E-2</v>
      </c>
      <c r="AL346" s="157">
        <v>16.64</v>
      </c>
      <c r="AM346" s="157"/>
      <c r="AN346" s="144">
        <f t="shared" si="200"/>
        <v>1.2230136986301371E-6</v>
      </c>
      <c r="AO346" s="158">
        <f t="shared" si="201"/>
        <v>4.0767123287671243E-3</v>
      </c>
      <c r="AP346" s="144">
        <f t="shared" si="202"/>
        <v>1.2230136986301371E-6</v>
      </c>
      <c r="AQ346" s="158">
        <f t="shared" si="203"/>
        <v>3.3972602739726034E-4</v>
      </c>
      <c r="AR346" s="144">
        <f t="shared" si="204"/>
        <v>3.0575342465753426E-5</v>
      </c>
      <c r="AS346" s="158">
        <f t="shared" si="205"/>
        <v>1.0191780821917809E-2</v>
      </c>
      <c r="AT346" s="144">
        <f t="shared" si="206"/>
        <v>6.7265753424657536E-7</v>
      </c>
      <c r="AU346" s="158">
        <f t="shared" si="207"/>
        <v>1.3453150684931507E-3</v>
      </c>
      <c r="AV346" s="144">
        <f t="shared" si="208"/>
        <v>3.3918246575342464E-4</v>
      </c>
      <c r="AW346" s="158">
        <f t="shared" si="209"/>
        <v>1.695912328767123E-2</v>
      </c>
      <c r="AX346" s="144">
        <f t="shared" si="210"/>
        <v>8.1517808219178081E-8</v>
      </c>
      <c r="AY346" s="158">
        <f t="shared" si="211"/>
        <v>2.7172602739726032E-4</v>
      </c>
      <c r="AZ346" s="144">
        <f t="shared" si="212"/>
        <v>2.7172602739726033E-10</v>
      </c>
      <c r="BA346" s="158">
        <f t="shared" si="213"/>
        <v>7.763600782778867E-8</v>
      </c>
      <c r="BB346" s="144">
        <f t="shared" si="214"/>
        <v>6.7931506849315063E-8</v>
      </c>
      <c r="BC346" s="158">
        <f t="shared" si="215"/>
        <v>1.3586301369863013E-5</v>
      </c>
      <c r="BD346" s="144">
        <f t="shared" si="216"/>
        <v>1.4944931506849317E-9</v>
      </c>
      <c r="BE346" s="158">
        <f t="shared" si="217"/>
        <v>2.9889863013698631E-6</v>
      </c>
      <c r="BF346" s="144">
        <f t="shared" si="218"/>
        <v>1.5071736986301368E-7</v>
      </c>
      <c r="BG346" s="158">
        <f t="shared" si="219"/>
        <v>2.691381604696673E-5</v>
      </c>
    </row>
    <row r="347" spans="20:60">
      <c r="T347" s="53" t="s">
        <v>630</v>
      </c>
      <c r="U347" s="53" t="s">
        <v>631</v>
      </c>
      <c r="V347" s="180">
        <v>44065</v>
      </c>
      <c r="W347" s="183">
        <v>0.49734299999999998</v>
      </c>
      <c r="X347" s="183">
        <v>35.278543999999997</v>
      </c>
      <c r="Y347" s="53" t="s">
        <v>633</v>
      </c>
      <c r="Z347" s="53" t="s">
        <v>632</v>
      </c>
      <c r="AA347" s="53" t="s">
        <v>347</v>
      </c>
      <c r="AB347" s="154" t="s">
        <v>362</v>
      </c>
      <c r="AC347" s="154" t="s">
        <v>362</v>
      </c>
      <c r="AD347" s="53" t="s">
        <v>672</v>
      </c>
      <c r="AE347" s="53" t="s">
        <v>739</v>
      </c>
      <c r="AF347" s="53" t="s">
        <v>684</v>
      </c>
      <c r="AG347" s="53" t="s">
        <v>683</v>
      </c>
      <c r="AH347" s="156">
        <v>1.08</v>
      </c>
      <c r="AI347" s="192">
        <v>0.28000000000000003</v>
      </c>
      <c r="AJ347" s="157">
        <v>0.2</v>
      </c>
      <c r="AK347" s="197">
        <v>1.4E-2</v>
      </c>
      <c r="AL347" s="192">
        <v>0.1</v>
      </c>
      <c r="AM347" s="192"/>
      <c r="AN347" s="144">
        <f t="shared" si="200"/>
        <v>2.2014246575342467E-5</v>
      </c>
      <c r="AO347" s="158">
        <f t="shared" si="201"/>
        <v>7.3380821917808231E-2</v>
      </c>
      <c r="AP347" s="144">
        <f t="shared" si="202"/>
        <v>5.7073972602739724E-6</v>
      </c>
      <c r="AQ347" s="158">
        <f t="shared" si="203"/>
        <v>1.5853881278538812E-3</v>
      </c>
      <c r="AR347" s="144">
        <f t="shared" si="204"/>
        <v>4.076712328767124E-6</v>
      </c>
      <c r="AS347" s="158">
        <f t="shared" si="205"/>
        <v>1.3589041095890414E-3</v>
      </c>
      <c r="AT347" s="144">
        <f t="shared" si="206"/>
        <v>2.8536986301369859E-7</v>
      </c>
      <c r="AU347" s="158">
        <f t="shared" si="207"/>
        <v>5.7073972602739718E-4</v>
      </c>
      <c r="AV347" s="144">
        <f t="shared" si="208"/>
        <v>2.038356164383562E-6</v>
      </c>
      <c r="AW347" s="158">
        <f t="shared" si="209"/>
        <v>1.019178082191781E-4</v>
      </c>
      <c r="AX347" s="144">
        <f t="shared" si="210"/>
        <v>1.4673205479452053E-6</v>
      </c>
      <c r="AY347" s="158">
        <f t="shared" si="211"/>
        <v>4.8910684931506845E-3</v>
      </c>
      <c r="AZ347" s="144">
        <f t="shared" si="212"/>
        <v>1.2680547945205483E-9</v>
      </c>
      <c r="BA347" s="158">
        <f t="shared" si="213"/>
        <v>3.6230136986301381E-7</v>
      </c>
      <c r="BB347" s="144">
        <f t="shared" si="214"/>
        <v>9.0575342465753436E-9</v>
      </c>
      <c r="BC347" s="158">
        <f t="shared" si="215"/>
        <v>1.8115068493150686E-6</v>
      </c>
      <c r="BD347" s="144">
        <f t="shared" si="216"/>
        <v>6.3402739726027393E-10</v>
      </c>
      <c r="BE347" s="158">
        <f t="shared" si="217"/>
        <v>1.2680547945205478E-6</v>
      </c>
      <c r="BF347" s="144">
        <f t="shared" si="218"/>
        <v>9.0575342465753426E-10</v>
      </c>
      <c r="BG347" s="158">
        <f t="shared" si="219"/>
        <v>1.6174168297455969E-7</v>
      </c>
    </row>
    <row r="348" spans="20:60">
      <c r="AN348" s="144"/>
      <c r="AO348" s="144"/>
      <c r="AP348" s="144"/>
      <c r="AQ348" s="144"/>
      <c r="AR348" s="144"/>
      <c r="AS348" s="144"/>
      <c r="AT348" s="144"/>
      <c r="AU348" s="144"/>
      <c r="AV348" s="144"/>
      <c r="AW348" s="144"/>
      <c r="AX348" s="144"/>
      <c r="AY348" s="144"/>
      <c r="AZ348" s="144"/>
      <c r="BA348" s="144"/>
      <c r="BB348" s="144"/>
      <c r="BC348" s="144"/>
      <c r="BD348" s="144"/>
      <c r="BE348" s="144"/>
      <c r="BF348" s="144"/>
    </row>
    <row r="349" spans="20:60">
      <c r="T349" s="107" t="s">
        <v>967</v>
      </c>
      <c r="AN349" s="144"/>
      <c r="AO349" s="144"/>
      <c r="AP349" s="144"/>
      <c r="AQ349" s="144"/>
      <c r="AR349" s="144"/>
      <c r="AS349" s="144"/>
      <c r="AT349" s="144"/>
      <c r="AU349" s="144"/>
      <c r="AV349" s="144"/>
      <c r="AW349" s="144"/>
      <c r="AX349" s="144"/>
      <c r="AY349" s="144"/>
      <c r="AZ349" s="144"/>
      <c r="BA349" s="144"/>
      <c r="BB349" s="144"/>
      <c r="BC349" s="144"/>
      <c r="BD349" s="144"/>
      <c r="BE349" s="144"/>
      <c r="BF349" s="144"/>
    </row>
    <row r="350" spans="20:60">
      <c r="T350" s="47" t="s">
        <v>0</v>
      </c>
      <c r="U350" s="47" t="s">
        <v>405</v>
      </c>
      <c r="V350" s="47" t="s">
        <v>1</v>
      </c>
      <c r="W350" s="47" t="s">
        <v>301</v>
      </c>
      <c r="X350" s="47" t="s">
        <v>300</v>
      </c>
      <c r="Y350" s="47" t="s">
        <v>664</v>
      </c>
      <c r="Z350" s="47" t="s">
        <v>302</v>
      </c>
      <c r="AA350" s="47" t="s">
        <v>303</v>
      </c>
      <c r="AB350" s="26" t="s">
        <v>363</v>
      </c>
      <c r="AC350" s="26" t="s">
        <v>681</v>
      </c>
      <c r="AD350" s="26" t="s">
        <v>680</v>
      </c>
      <c r="AE350" s="83" t="s">
        <v>738</v>
      </c>
      <c r="AF350" s="83" t="s">
        <v>686</v>
      </c>
      <c r="AG350" s="83" t="s">
        <v>693</v>
      </c>
      <c r="AH350" s="57" t="s">
        <v>23</v>
      </c>
      <c r="AI350" s="70" t="s">
        <v>55</v>
      </c>
      <c r="AJ350" s="70" t="s">
        <v>15</v>
      </c>
      <c r="AK350" s="57" t="s">
        <v>32</v>
      </c>
      <c r="AL350" s="70" t="s">
        <v>19</v>
      </c>
      <c r="AM350" s="70"/>
      <c r="AN350" s="205" t="s">
        <v>920</v>
      </c>
      <c r="AO350" s="214" t="s">
        <v>921</v>
      </c>
      <c r="AP350" s="32" t="s">
        <v>922</v>
      </c>
      <c r="AQ350" s="214" t="s">
        <v>923</v>
      </c>
      <c r="AR350" s="32" t="s">
        <v>926</v>
      </c>
      <c r="AS350" s="214" t="s">
        <v>927</v>
      </c>
      <c r="AT350" s="205" t="s">
        <v>928</v>
      </c>
      <c r="AU350" s="214" t="s">
        <v>929</v>
      </c>
      <c r="AV350" s="32" t="s">
        <v>930</v>
      </c>
      <c r="AW350" s="214" t="s">
        <v>931</v>
      </c>
      <c r="AX350" s="205" t="s">
        <v>932</v>
      </c>
      <c r="AY350" s="214" t="s">
        <v>933</v>
      </c>
      <c r="AZ350" s="32" t="s">
        <v>934</v>
      </c>
      <c r="BA350" s="214" t="s">
        <v>935</v>
      </c>
      <c r="BB350" s="32" t="s">
        <v>938</v>
      </c>
      <c r="BC350" s="214" t="s">
        <v>939</v>
      </c>
      <c r="BD350" s="205" t="s">
        <v>940</v>
      </c>
      <c r="BE350" s="214" t="s">
        <v>941</v>
      </c>
      <c r="BF350" s="32" t="s">
        <v>942</v>
      </c>
      <c r="BG350" s="214" t="s">
        <v>943</v>
      </c>
    </row>
    <row r="351" spans="20:60" ht="18">
      <c r="T351" s="53"/>
      <c r="U351" s="53"/>
      <c r="V351" s="53"/>
      <c r="W351" s="53"/>
      <c r="X351" s="53"/>
      <c r="Y351" s="53"/>
      <c r="Z351" s="53"/>
      <c r="AA351" s="53"/>
      <c r="AB351" s="53"/>
      <c r="AC351" s="53"/>
      <c r="AD351" s="53"/>
      <c r="AE351" s="53"/>
      <c r="AF351" s="53"/>
      <c r="AG351" s="53"/>
      <c r="AH351" s="53" t="s">
        <v>659</v>
      </c>
      <c r="AI351" s="53" t="s">
        <v>659</v>
      </c>
      <c r="AJ351" s="53" t="s">
        <v>659</v>
      </c>
      <c r="AK351" s="53" t="s">
        <v>659</v>
      </c>
      <c r="AL351" s="53" t="s">
        <v>659</v>
      </c>
      <c r="AN351" s="78" t="s">
        <v>964</v>
      </c>
      <c r="AO351" s="78" t="s">
        <v>964</v>
      </c>
      <c r="AP351" s="78" t="s">
        <v>964</v>
      </c>
      <c r="AQ351" s="78" t="s">
        <v>964</v>
      </c>
      <c r="AR351" s="78" t="s">
        <v>964</v>
      </c>
      <c r="AS351" s="78" t="s">
        <v>964</v>
      </c>
      <c r="AT351" s="78" t="s">
        <v>964</v>
      </c>
      <c r="AU351" s="78" t="s">
        <v>964</v>
      </c>
      <c r="AV351" s="78" t="s">
        <v>964</v>
      </c>
      <c r="AW351" s="78" t="s">
        <v>964</v>
      </c>
      <c r="AX351" s="78" t="s">
        <v>964</v>
      </c>
      <c r="AY351" s="78" t="s">
        <v>964</v>
      </c>
      <c r="AZ351" s="78" t="s">
        <v>964</v>
      </c>
      <c r="BA351" s="78" t="s">
        <v>964</v>
      </c>
      <c r="BB351" s="78" t="s">
        <v>964</v>
      </c>
      <c r="BC351" s="78" t="s">
        <v>964</v>
      </c>
      <c r="BD351" s="78" t="s">
        <v>964</v>
      </c>
      <c r="BE351" s="78" t="s">
        <v>964</v>
      </c>
      <c r="BF351" s="78" t="s">
        <v>964</v>
      </c>
      <c r="BG351" s="78" t="s">
        <v>964</v>
      </c>
    </row>
    <row r="352" spans="20:60">
      <c r="T352" s="47" t="s">
        <v>297</v>
      </c>
      <c r="U352" s="47"/>
      <c r="V352" s="47"/>
      <c r="W352" s="47"/>
      <c r="X352" s="47"/>
      <c r="Y352" s="47"/>
      <c r="Z352" s="47"/>
      <c r="AA352" s="47"/>
      <c r="AB352" s="47"/>
      <c r="AC352" s="47"/>
      <c r="AD352" s="47"/>
      <c r="AE352" s="47"/>
      <c r="AF352" s="47"/>
      <c r="AG352" s="47"/>
      <c r="AH352" s="97" t="s">
        <v>60</v>
      </c>
      <c r="AI352" s="97" t="s">
        <v>76</v>
      </c>
      <c r="AJ352" s="97" t="s">
        <v>520</v>
      </c>
      <c r="AK352" s="97" t="s">
        <v>82</v>
      </c>
      <c r="AL352" s="97" t="s">
        <v>78</v>
      </c>
      <c r="AM352" s="32"/>
    </row>
    <row r="353" spans="20:59">
      <c r="T353" s="53" t="s">
        <v>525</v>
      </c>
      <c r="U353" s="53" t="s">
        <v>526</v>
      </c>
      <c r="V353" s="180">
        <v>43887</v>
      </c>
      <c r="W353" s="183">
        <v>0.26076500000000002</v>
      </c>
      <c r="X353" s="183">
        <v>34.720081</v>
      </c>
      <c r="Y353" s="53" t="s">
        <v>661</v>
      </c>
      <c r="Z353" s="53" t="s">
        <v>330</v>
      </c>
      <c r="AA353" s="53" t="s">
        <v>347</v>
      </c>
      <c r="AB353" s="154" t="s">
        <v>371</v>
      </c>
      <c r="AC353" s="116" t="s">
        <v>687</v>
      </c>
      <c r="AD353" s="53" t="s">
        <v>527</v>
      </c>
      <c r="AE353" s="53" t="s">
        <v>740</v>
      </c>
      <c r="AF353" s="53" t="s">
        <v>685</v>
      </c>
      <c r="AG353" s="53" t="s">
        <v>691</v>
      </c>
      <c r="AH353" s="156">
        <v>1.21</v>
      </c>
      <c r="AI353" s="191">
        <v>0.11</v>
      </c>
      <c r="AJ353" s="192">
        <v>0.6</v>
      </c>
      <c r="AK353" s="193">
        <v>2.4E-2</v>
      </c>
      <c r="AL353" s="192">
        <v>2.79</v>
      </c>
      <c r="AM353" s="192"/>
      <c r="AN353" s="144">
        <f t="shared" ref="AN353:AN389" si="220">(AH353*0.78*350*6*0.001)/(15*6*365)</f>
        <v>6.0334246575342469E-5</v>
      </c>
      <c r="AO353" s="158">
        <f>AN353/0.0003</f>
        <v>0.20111415525114157</v>
      </c>
      <c r="AP353" s="144">
        <f t="shared" ref="AP353:AP389" si="221">(AI353*0.78*350*6*0.001)/(15*6*365)</f>
        <v>5.4849315068493152E-6</v>
      </c>
      <c r="AQ353" s="158">
        <f>AP353/0.0036</f>
        <v>1.523592085235921E-3</v>
      </c>
      <c r="AR353" s="144">
        <f t="shared" ref="AR353:AR389" si="222">(AJ353*0.78*350*6*0.001)/(15*6*365)</f>
        <v>2.9917808219178081E-5</v>
      </c>
      <c r="AS353" s="158">
        <f>AR353/0.003</f>
        <v>9.9726027397260275E-3</v>
      </c>
      <c r="AT353" s="144">
        <f t="shared" ref="AT353:AT389" si="223">(AK353*0.78*350*6*0.001)/(15*6*365)</f>
        <v>1.1967123287671236E-6</v>
      </c>
      <c r="AU353" s="158">
        <f>AT353/0.0005</f>
        <v>2.393424657534247E-3</v>
      </c>
      <c r="AV353" s="144">
        <f t="shared" ref="AV353:AV389" si="224">(AL353*0.78*350*6*0.001)/(15*6*365)</f>
        <v>1.391178082191781E-4</v>
      </c>
      <c r="AW353" s="158">
        <f>AV353/0.02</f>
        <v>6.9558904109589051E-3</v>
      </c>
      <c r="AX353" s="144">
        <f t="shared" ref="AX353:AX389" si="225">(AH353*2800*0.001*0.03*0.58*350*6*0.001)/(15*6*365)</f>
        <v>3.7685698630136985E-6</v>
      </c>
      <c r="AY353" s="158">
        <f>AX353/0.0003</f>
        <v>1.2561899543378996E-2</v>
      </c>
      <c r="AZ353" s="144">
        <f t="shared" ref="AZ353:AZ389" si="226">(AI353*2800*0.0001*0.001*0.58*350*6*0.001)/(15*6*365)</f>
        <v>1.1419908675799086E-9</v>
      </c>
      <c r="BA353" s="158">
        <f>AZ353/0.0035</f>
        <v>3.2628310502283105E-7</v>
      </c>
      <c r="BB353" s="144">
        <f t="shared" ref="BB353:BB389" si="227">(AJ353*2800*0.001*0.001*0.58*350*6*0.001)/(15*6*365)</f>
        <v>6.2290410958904098E-8</v>
      </c>
      <c r="BC353" s="158">
        <f>BB353/0.005</f>
        <v>1.245808219178082E-5</v>
      </c>
      <c r="BD353" s="144">
        <f t="shared" ref="BD353:BD389" si="228">(AK353*2800*0.001*0.001*0.58*350*6*0.001)/(15*6*365)</f>
        <v>2.4916164383561642E-9</v>
      </c>
      <c r="BE353" s="158">
        <f>BD353/0.0005</f>
        <v>4.9832328767123287E-6</v>
      </c>
      <c r="BF353" s="144">
        <f t="shared" ref="BF353:BF389" si="229">(AL353*2800*0.0002*0.001*0.58*350*6*0.001)/(15*6*365)</f>
        <v>5.7930082191780822E-8</v>
      </c>
      <c r="BG353" s="158">
        <f>BF353/0.0056</f>
        <v>1.0344657534246575E-5</v>
      </c>
    </row>
    <row r="354" spans="20:59">
      <c r="T354" s="53" t="s">
        <v>528</v>
      </c>
      <c r="U354" s="53" t="s">
        <v>529</v>
      </c>
      <c r="V354" s="180">
        <v>43887</v>
      </c>
      <c r="W354" s="183">
        <v>0.26020300000000002</v>
      </c>
      <c r="X354" s="183">
        <v>34.719721</v>
      </c>
      <c r="Y354" s="53" t="s">
        <v>661</v>
      </c>
      <c r="Z354" s="53" t="s">
        <v>330</v>
      </c>
      <c r="AA354" s="53" t="s">
        <v>347</v>
      </c>
      <c r="AB354" s="154" t="s">
        <v>371</v>
      </c>
      <c r="AC354" s="116" t="s">
        <v>687</v>
      </c>
      <c r="AD354" s="53" t="s">
        <v>530</v>
      </c>
      <c r="AE354" s="53" t="s">
        <v>740</v>
      </c>
      <c r="AF354" s="53" t="s">
        <v>684</v>
      </c>
      <c r="AG354" s="53" t="s">
        <v>683</v>
      </c>
      <c r="AH354" s="156">
        <v>0.89</v>
      </c>
      <c r="AI354" s="191">
        <v>0.33</v>
      </c>
      <c r="AJ354" s="192">
        <v>2.95</v>
      </c>
      <c r="AK354" s="193">
        <v>3.9E-2</v>
      </c>
      <c r="AL354" s="192">
        <v>5.87</v>
      </c>
      <c r="AM354" s="192"/>
      <c r="AN354" s="144">
        <f t="shared" si="220"/>
        <v>4.4378082191780828E-5</v>
      </c>
      <c r="AO354" s="158">
        <f t="shared" ref="AO354:AO395" si="230">AN354/0.0003</f>
        <v>0.14792694063926945</v>
      </c>
      <c r="AP354" s="144">
        <f t="shared" si="221"/>
        <v>1.6454794520547947E-5</v>
      </c>
      <c r="AQ354" s="158">
        <f t="shared" ref="AQ354:AQ395" si="231">AP354/0.0036</f>
        <v>4.5707762557077635E-3</v>
      </c>
      <c r="AR354" s="144">
        <f t="shared" si="222"/>
        <v>1.4709589041095891E-4</v>
      </c>
      <c r="AS354" s="158">
        <f t="shared" ref="AS354:AS395" si="232">AR354/0.003</f>
        <v>4.9031963470319635E-2</v>
      </c>
      <c r="AT354" s="144">
        <f t="shared" si="223"/>
        <v>1.9446575342465756E-6</v>
      </c>
      <c r="AU354" s="158">
        <f t="shared" ref="AU354:AU395" si="233">AT354/0.0005</f>
        <v>3.8893150684931512E-3</v>
      </c>
      <c r="AV354" s="144">
        <f t="shared" si="224"/>
        <v>2.9269589041095893E-4</v>
      </c>
      <c r="AW354" s="158">
        <f t="shared" ref="AW354:AW395" si="234">AV354/0.02</f>
        <v>1.4634794520547946E-2</v>
      </c>
      <c r="AX354" s="144">
        <f t="shared" si="225"/>
        <v>2.7719232876712321E-6</v>
      </c>
      <c r="AY354" s="158">
        <f t="shared" ref="AY354:AY395" si="235">AX354/0.0003</f>
        <v>9.2397442922374402E-3</v>
      </c>
      <c r="AZ354" s="144">
        <f t="shared" si="226"/>
        <v>3.4259726027397263E-9</v>
      </c>
      <c r="BA354" s="158">
        <f t="shared" ref="BA354:BA395" si="236">AZ354/0.0035</f>
        <v>9.7884931506849332E-7</v>
      </c>
      <c r="BB354" s="144">
        <f t="shared" si="227"/>
        <v>3.062611872146119E-7</v>
      </c>
      <c r="BC354" s="158">
        <f t="shared" ref="BC354:BC395" si="237">BB354/0.005</f>
        <v>6.1252237442922382E-5</v>
      </c>
      <c r="BD354" s="144">
        <f t="shared" si="228"/>
        <v>4.0488767123287672E-9</v>
      </c>
      <c r="BE354" s="158">
        <f t="shared" ref="BE354:BE395" si="238">BD354/0.0005</f>
        <v>8.0977534246575341E-6</v>
      </c>
      <c r="BF354" s="144">
        <f t="shared" si="229"/>
        <v>1.2188157077625573E-7</v>
      </c>
      <c r="BG354" s="158">
        <f t="shared" ref="BG354:BG395" si="239">BF354/0.0056</f>
        <v>2.1764566210045667E-5</v>
      </c>
    </row>
    <row r="355" spans="20:59">
      <c r="T355" s="53" t="s">
        <v>531</v>
      </c>
      <c r="U355" s="53" t="s">
        <v>532</v>
      </c>
      <c r="V355" s="180">
        <v>43887</v>
      </c>
      <c r="W355" s="183">
        <v>0.25792300000000001</v>
      </c>
      <c r="X355" s="183">
        <v>34.719996000000002</v>
      </c>
      <c r="Y355" s="53" t="s">
        <v>661</v>
      </c>
      <c r="Z355" s="53" t="s">
        <v>330</v>
      </c>
      <c r="AA355" s="53" t="s">
        <v>347</v>
      </c>
      <c r="AB355" s="154" t="s">
        <v>371</v>
      </c>
      <c r="AC355" s="116" t="s">
        <v>687</v>
      </c>
      <c r="AD355" s="53" t="s">
        <v>527</v>
      </c>
      <c r="AE355" s="53" t="s">
        <v>740</v>
      </c>
      <c r="AF355" s="53" t="s">
        <v>685</v>
      </c>
      <c r="AG355" s="53" t="s">
        <v>691</v>
      </c>
      <c r="AH355" s="156">
        <v>0.41</v>
      </c>
      <c r="AI355" s="191">
        <v>0.11</v>
      </c>
      <c r="AJ355" s="192">
        <v>0.85</v>
      </c>
      <c r="AK355" s="193">
        <v>3.4000000000000002E-2</v>
      </c>
      <c r="AL355" s="192">
        <v>4.8099999999999996</v>
      </c>
      <c r="AM355" s="192"/>
      <c r="AN355" s="144">
        <f t="shared" si="220"/>
        <v>2.0443835616438356E-5</v>
      </c>
      <c r="AO355" s="158">
        <f t="shared" si="230"/>
        <v>6.8146118721461188E-2</v>
      </c>
      <c r="AP355" s="144">
        <f t="shared" si="221"/>
        <v>5.4849315068493152E-6</v>
      </c>
      <c r="AQ355" s="158">
        <f t="shared" si="231"/>
        <v>1.523592085235921E-3</v>
      </c>
      <c r="AR355" s="144">
        <f t="shared" si="222"/>
        <v>4.2383561643835624E-5</v>
      </c>
      <c r="AS355" s="158">
        <f t="shared" si="232"/>
        <v>1.4127853881278541E-2</v>
      </c>
      <c r="AT355" s="144">
        <f t="shared" si="223"/>
        <v>1.6953424657534247E-6</v>
      </c>
      <c r="AU355" s="158">
        <f t="shared" si="233"/>
        <v>3.3906849315068492E-3</v>
      </c>
      <c r="AV355" s="144">
        <f t="shared" si="224"/>
        <v>2.3984109589041092E-4</v>
      </c>
      <c r="AW355" s="158">
        <f t="shared" si="234"/>
        <v>1.1992054794520545E-2</v>
      </c>
      <c r="AX355" s="144">
        <f t="shared" si="225"/>
        <v>1.2769534246575344E-6</v>
      </c>
      <c r="AY355" s="158">
        <f t="shared" si="235"/>
        <v>4.2565114155251145E-3</v>
      </c>
      <c r="AZ355" s="144">
        <f t="shared" si="226"/>
        <v>1.1419908675799086E-9</v>
      </c>
      <c r="BA355" s="158">
        <f t="shared" si="236"/>
        <v>3.2628310502283105E-7</v>
      </c>
      <c r="BB355" s="144">
        <f t="shared" si="227"/>
        <v>8.8244748858447463E-8</v>
      </c>
      <c r="BC355" s="158">
        <f t="shared" si="237"/>
        <v>1.7648949771689492E-5</v>
      </c>
      <c r="BD355" s="144">
        <f t="shared" si="228"/>
        <v>3.5297899543379002E-9</v>
      </c>
      <c r="BE355" s="158">
        <f t="shared" si="238"/>
        <v>7.0595799086758007E-6</v>
      </c>
      <c r="BF355" s="144">
        <f t="shared" si="229"/>
        <v>9.9872292237442906E-8</v>
      </c>
      <c r="BG355" s="158">
        <f t="shared" si="239"/>
        <v>1.7834337899543377E-5</v>
      </c>
    </row>
    <row r="356" spans="20:59">
      <c r="T356" s="53" t="s">
        <v>533</v>
      </c>
      <c r="U356" s="53" t="s">
        <v>534</v>
      </c>
      <c r="V356" s="180">
        <v>43887</v>
      </c>
      <c r="W356" s="183">
        <v>0.26020300000000002</v>
      </c>
      <c r="X356" s="183">
        <v>34.719721</v>
      </c>
      <c r="Y356" s="53" t="s">
        <v>661</v>
      </c>
      <c r="Z356" s="53" t="s">
        <v>330</v>
      </c>
      <c r="AA356" s="53" t="s">
        <v>347</v>
      </c>
      <c r="AB356" s="154" t="s">
        <v>371</v>
      </c>
      <c r="AC356" s="116" t="s">
        <v>687</v>
      </c>
      <c r="AD356" s="53" t="s">
        <v>535</v>
      </c>
      <c r="AE356" s="53" t="s">
        <v>739</v>
      </c>
      <c r="AF356" s="53" t="s">
        <v>684</v>
      </c>
      <c r="AG356" s="53" t="s">
        <v>683</v>
      </c>
      <c r="AH356" s="156">
        <v>0.78</v>
      </c>
      <c r="AI356" s="191">
        <v>0.09</v>
      </c>
      <c r="AJ356" s="192">
        <v>2.46</v>
      </c>
      <c r="AK356" s="193">
        <v>1.9E-2</v>
      </c>
      <c r="AL356" s="192">
        <v>3.45</v>
      </c>
      <c r="AM356" s="192"/>
      <c r="AN356" s="144">
        <f t="shared" si="220"/>
        <v>3.8893150684931508E-5</v>
      </c>
      <c r="AO356" s="158">
        <f t="shared" si="230"/>
        <v>0.12964383561643836</v>
      </c>
      <c r="AP356" s="144">
        <f t="shared" si="221"/>
        <v>4.4876712328767131E-6</v>
      </c>
      <c r="AQ356" s="158">
        <f t="shared" si="231"/>
        <v>1.2465753424657537E-3</v>
      </c>
      <c r="AR356" s="144">
        <f t="shared" si="222"/>
        <v>1.2266301369863014E-4</v>
      </c>
      <c r="AS356" s="158">
        <f t="shared" si="232"/>
        <v>4.0887671232876711E-2</v>
      </c>
      <c r="AT356" s="144">
        <f t="shared" si="223"/>
        <v>9.4739726027397263E-7</v>
      </c>
      <c r="AU356" s="158">
        <f t="shared" si="233"/>
        <v>1.8947945205479452E-3</v>
      </c>
      <c r="AV356" s="144">
        <f t="shared" si="224"/>
        <v>1.7202739726027399E-4</v>
      </c>
      <c r="AW356" s="158">
        <f t="shared" si="234"/>
        <v>8.6013698630136998E-3</v>
      </c>
      <c r="AX356" s="144">
        <f t="shared" si="225"/>
        <v>2.4293260273972604E-6</v>
      </c>
      <c r="AY356" s="158">
        <f t="shared" si="235"/>
        <v>8.0977534246575358E-3</v>
      </c>
      <c r="AZ356" s="144">
        <f t="shared" si="226"/>
        <v>9.3435616438356169E-10</v>
      </c>
      <c r="BA356" s="158">
        <f t="shared" si="236"/>
        <v>2.6695890410958907E-7</v>
      </c>
      <c r="BB356" s="144">
        <f t="shared" si="227"/>
        <v>2.5539068493150686E-7</v>
      </c>
      <c r="BC356" s="158">
        <f t="shared" si="237"/>
        <v>5.1078136986301373E-5</v>
      </c>
      <c r="BD356" s="144">
        <f t="shared" si="228"/>
        <v>1.9725296803652968E-9</v>
      </c>
      <c r="BE356" s="158">
        <f t="shared" si="238"/>
        <v>3.9450593607305935E-6</v>
      </c>
      <c r="BF356" s="144">
        <f t="shared" si="229"/>
        <v>7.1633972602739721E-8</v>
      </c>
      <c r="BG356" s="158">
        <f t="shared" si="239"/>
        <v>1.2791780821917807E-5</v>
      </c>
    </row>
    <row r="357" spans="20:59">
      <c r="T357" s="53" t="s">
        <v>536</v>
      </c>
      <c r="U357" s="53" t="s">
        <v>537</v>
      </c>
      <c r="V357" s="180">
        <v>43887</v>
      </c>
      <c r="W357" s="183">
        <v>0.26076500000000002</v>
      </c>
      <c r="X357" s="183">
        <v>34.720081</v>
      </c>
      <c r="Y357" s="53" t="s">
        <v>661</v>
      </c>
      <c r="Z357" s="53" t="s">
        <v>330</v>
      </c>
      <c r="AA357" s="53" t="s">
        <v>347</v>
      </c>
      <c r="AB357" s="154" t="s">
        <v>371</v>
      </c>
      <c r="AC357" s="116" t="s">
        <v>687</v>
      </c>
      <c r="AD357" s="53" t="s">
        <v>538</v>
      </c>
      <c r="AE357" s="53" t="s">
        <v>739</v>
      </c>
      <c r="AF357" s="53" t="s">
        <v>726</v>
      </c>
      <c r="AG357" s="53" t="s">
        <v>727</v>
      </c>
      <c r="AH357" s="156">
        <v>0.71</v>
      </c>
      <c r="AI357" s="191">
        <v>0.13</v>
      </c>
      <c r="AJ357" s="192">
        <v>0.5</v>
      </c>
      <c r="AK357" s="193">
        <v>2.5999999999999999E-2</v>
      </c>
      <c r="AL357" s="192">
        <v>1.98</v>
      </c>
      <c r="AM357" s="192"/>
      <c r="AN357" s="144">
        <f t="shared" si="220"/>
        <v>3.5402739726027398E-5</v>
      </c>
      <c r="AO357" s="158">
        <f t="shared" si="230"/>
        <v>0.11800913242009134</v>
      </c>
      <c r="AP357" s="144">
        <f t="shared" si="221"/>
        <v>6.4821917808219174E-6</v>
      </c>
      <c r="AQ357" s="158">
        <f t="shared" si="231"/>
        <v>1.8006088280060882E-3</v>
      </c>
      <c r="AR357" s="144">
        <f t="shared" si="222"/>
        <v>2.4931506849315071E-5</v>
      </c>
      <c r="AS357" s="158">
        <f t="shared" si="232"/>
        <v>8.3105022831050229E-3</v>
      </c>
      <c r="AT357" s="144">
        <f t="shared" si="223"/>
        <v>1.2964383561643837E-6</v>
      </c>
      <c r="AU357" s="158">
        <f t="shared" si="233"/>
        <v>2.5928767123287672E-3</v>
      </c>
      <c r="AV357" s="144">
        <f t="shared" si="224"/>
        <v>9.8728767123287657E-5</v>
      </c>
      <c r="AW357" s="158">
        <f t="shared" si="234"/>
        <v>4.9364383561643832E-3</v>
      </c>
      <c r="AX357" s="144">
        <f t="shared" si="225"/>
        <v>2.2113095890410953E-6</v>
      </c>
      <c r="AY357" s="158">
        <f t="shared" si="235"/>
        <v>7.3710319634703184E-3</v>
      </c>
      <c r="AZ357" s="144">
        <f t="shared" si="226"/>
        <v>1.349625570776256E-9</v>
      </c>
      <c r="BA357" s="158">
        <f t="shared" si="236"/>
        <v>3.8560730593607314E-7</v>
      </c>
      <c r="BB357" s="144">
        <f t="shared" si="227"/>
        <v>5.190867579908677E-8</v>
      </c>
      <c r="BC357" s="158">
        <f t="shared" si="237"/>
        <v>1.0381735159817353E-5</v>
      </c>
      <c r="BD357" s="144">
        <f t="shared" si="228"/>
        <v>2.699251141552512E-9</v>
      </c>
      <c r="BE357" s="158">
        <f t="shared" si="238"/>
        <v>5.3985022831050236E-6</v>
      </c>
      <c r="BF357" s="144">
        <f t="shared" si="229"/>
        <v>4.1111671232876716E-8</v>
      </c>
      <c r="BG357" s="158">
        <f t="shared" si="239"/>
        <v>7.3413698630136992E-6</v>
      </c>
    </row>
    <row r="358" spans="20:59">
      <c r="T358" s="53" t="s">
        <v>539</v>
      </c>
      <c r="U358" s="53" t="s">
        <v>540</v>
      </c>
      <c r="V358" s="180">
        <v>43887</v>
      </c>
      <c r="W358" s="183">
        <v>0.25792300000000001</v>
      </c>
      <c r="X358" s="183">
        <v>34.719996000000002</v>
      </c>
      <c r="Y358" s="53" t="s">
        <v>661</v>
      </c>
      <c r="Z358" s="53" t="s">
        <v>330</v>
      </c>
      <c r="AA358" s="53" t="s">
        <v>347</v>
      </c>
      <c r="AB358" s="154" t="s">
        <v>371</v>
      </c>
      <c r="AC358" s="116" t="s">
        <v>687</v>
      </c>
      <c r="AD358" s="53" t="s">
        <v>538</v>
      </c>
      <c r="AE358" s="53" t="s">
        <v>739</v>
      </c>
      <c r="AF358" s="53" t="s">
        <v>726</v>
      </c>
      <c r="AG358" s="53" t="s">
        <v>727</v>
      </c>
      <c r="AH358" s="156">
        <v>0.75</v>
      </c>
      <c r="AI358" s="191">
        <v>0.11</v>
      </c>
      <c r="AJ358" s="192">
        <v>0.82</v>
      </c>
      <c r="AK358" s="193">
        <v>3.2000000000000001E-2</v>
      </c>
      <c r="AL358" s="192">
        <v>4.96</v>
      </c>
      <c r="AM358" s="192"/>
      <c r="AN358" s="144">
        <f t="shared" si="220"/>
        <v>3.7397260273972603E-5</v>
      </c>
      <c r="AO358" s="158">
        <f t="shared" si="230"/>
        <v>0.12465753424657536</v>
      </c>
      <c r="AP358" s="144">
        <f t="shared" si="221"/>
        <v>5.4849315068493152E-6</v>
      </c>
      <c r="AQ358" s="158">
        <f t="shared" si="231"/>
        <v>1.523592085235921E-3</v>
      </c>
      <c r="AR358" s="144">
        <f t="shared" si="222"/>
        <v>4.0887671232876712E-5</v>
      </c>
      <c r="AS358" s="158">
        <f t="shared" si="232"/>
        <v>1.3629223744292237E-2</v>
      </c>
      <c r="AT358" s="144">
        <f t="shared" si="223"/>
        <v>1.5956164383561646E-6</v>
      </c>
      <c r="AU358" s="158">
        <f t="shared" si="233"/>
        <v>3.191232876712329E-3</v>
      </c>
      <c r="AV358" s="144">
        <f t="shared" si="224"/>
        <v>2.4732054794520552E-4</v>
      </c>
      <c r="AW358" s="158">
        <f t="shared" si="234"/>
        <v>1.2366027397260277E-2</v>
      </c>
      <c r="AX358" s="144">
        <f t="shared" si="225"/>
        <v>2.3358904109589037E-6</v>
      </c>
      <c r="AY358" s="158">
        <f t="shared" si="235"/>
        <v>7.7863013698630124E-3</v>
      </c>
      <c r="AZ358" s="144">
        <f t="shared" si="226"/>
        <v>1.1419908675799086E-9</v>
      </c>
      <c r="BA358" s="158">
        <f t="shared" si="236"/>
        <v>3.2628310502283105E-7</v>
      </c>
      <c r="BB358" s="144">
        <f t="shared" si="227"/>
        <v>8.5130228310502282E-8</v>
      </c>
      <c r="BC358" s="158">
        <f t="shared" si="237"/>
        <v>1.7026045662100456E-5</v>
      </c>
      <c r="BD358" s="144">
        <f t="shared" si="228"/>
        <v>3.3221552511415524E-9</v>
      </c>
      <c r="BE358" s="158">
        <f t="shared" si="238"/>
        <v>6.6443105022831049E-6</v>
      </c>
      <c r="BF358" s="144">
        <f t="shared" si="229"/>
        <v>1.0298681278538814E-7</v>
      </c>
      <c r="BG358" s="158">
        <f t="shared" si="239"/>
        <v>1.8390502283105026E-5</v>
      </c>
    </row>
    <row r="359" spans="20:59">
      <c r="T359" s="53" t="s">
        <v>541</v>
      </c>
      <c r="U359" s="53" t="s">
        <v>542</v>
      </c>
      <c r="V359" s="180">
        <v>43887</v>
      </c>
      <c r="W359" s="183">
        <v>0.25792300000000001</v>
      </c>
      <c r="X359" s="183">
        <v>34.719996000000002</v>
      </c>
      <c r="Y359" s="53" t="s">
        <v>661</v>
      </c>
      <c r="Z359" s="53" t="s">
        <v>330</v>
      </c>
      <c r="AA359" s="53" t="s">
        <v>347</v>
      </c>
      <c r="AB359" s="154" t="s">
        <v>371</v>
      </c>
      <c r="AC359" s="116" t="s">
        <v>687</v>
      </c>
      <c r="AD359" s="53" t="s">
        <v>538</v>
      </c>
      <c r="AE359" s="53" t="s">
        <v>739</v>
      </c>
      <c r="AF359" s="53" t="s">
        <v>726</v>
      </c>
      <c r="AG359" s="53" t="s">
        <v>727</v>
      </c>
      <c r="AH359" s="156">
        <v>0.4</v>
      </c>
      <c r="AI359" s="191">
        <v>0.17</v>
      </c>
      <c r="AJ359" s="192">
        <v>0.86</v>
      </c>
      <c r="AK359" s="193">
        <v>5.5E-2</v>
      </c>
      <c r="AL359" s="192">
        <v>4.79</v>
      </c>
      <c r="AM359" s="192"/>
      <c r="AN359" s="144">
        <f t="shared" si="220"/>
        <v>1.9945205479452057E-5</v>
      </c>
      <c r="AO359" s="158">
        <f t="shared" si="230"/>
        <v>6.6484018264840197E-2</v>
      </c>
      <c r="AP359" s="144">
        <f t="shared" si="221"/>
        <v>8.476712328767125E-6</v>
      </c>
      <c r="AQ359" s="158">
        <f t="shared" si="231"/>
        <v>2.3546423135464237E-3</v>
      </c>
      <c r="AR359" s="144">
        <f t="shared" si="222"/>
        <v>4.288219178082193E-5</v>
      </c>
      <c r="AS359" s="158">
        <f t="shared" si="232"/>
        <v>1.4294063926940643E-2</v>
      </c>
      <c r="AT359" s="144">
        <f t="shared" si="223"/>
        <v>2.7424657534246576E-6</v>
      </c>
      <c r="AU359" s="158">
        <f t="shared" si="233"/>
        <v>5.4849315068493153E-3</v>
      </c>
      <c r="AV359" s="144">
        <f t="shared" si="224"/>
        <v>2.3884383561643835E-4</v>
      </c>
      <c r="AW359" s="158">
        <f t="shared" si="234"/>
        <v>1.1942191780821917E-2</v>
      </c>
      <c r="AX359" s="144">
        <f t="shared" si="225"/>
        <v>1.2458082191780824E-6</v>
      </c>
      <c r="AY359" s="158">
        <f t="shared" si="235"/>
        <v>4.152694063926942E-3</v>
      </c>
      <c r="AZ359" s="144">
        <f t="shared" si="226"/>
        <v>1.7648949771689501E-9</v>
      </c>
      <c r="BA359" s="158">
        <f t="shared" si="236"/>
        <v>5.0425570776255712E-7</v>
      </c>
      <c r="BB359" s="144">
        <f t="shared" si="227"/>
        <v>8.9282922374429235E-8</v>
      </c>
      <c r="BC359" s="158">
        <f t="shared" si="237"/>
        <v>1.7856584474885848E-5</v>
      </c>
      <c r="BD359" s="144">
        <f t="shared" si="228"/>
        <v>5.7099543378995436E-9</v>
      </c>
      <c r="BE359" s="158">
        <f t="shared" si="238"/>
        <v>1.1419908675799087E-5</v>
      </c>
      <c r="BF359" s="144">
        <f t="shared" si="229"/>
        <v>9.9457022831050245E-8</v>
      </c>
      <c r="BG359" s="158">
        <f t="shared" si="239"/>
        <v>1.7760182648401831E-5</v>
      </c>
    </row>
    <row r="360" spans="20:59">
      <c r="T360" s="53" t="s">
        <v>543</v>
      </c>
      <c r="U360" s="53" t="s">
        <v>544</v>
      </c>
      <c r="V360" s="180">
        <v>43887</v>
      </c>
      <c r="W360" s="183">
        <v>0.258245</v>
      </c>
      <c r="X360" s="183">
        <v>34.717754999999997</v>
      </c>
      <c r="Y360" s="53" t="s">
        <v>661</v>
      </c>
      <c r="Z360" s="53" t="s">
        <v>330</v>
      </c>
      <c r="AA360" s="53" t="s">
        <v>347</v>
      </c>
      <c r="AB360" s="154" t="s">
        <v>371</v>
      </c>
      <c r="AC360" s="116" t="s">
        <v>687</v>
      </c>
      <c r="AD360" s="53" t="s">
        <v>527</v>
      </c>
      <c r="AE360" s="53" t="s">
        <v>740</v>
      </c>
      <c r="AF360" s="53" t="s">
        <v>685</v>
      </c>
      <c r="AG360" s="53" t="s">
        <v>691</v>
      </c>
      <c r="AH360" s="156">
        <v>0.82</v>
      </c>
      <c r="AI360" s="191">
        <v>0.15</v>
      </c>
      <c r="AJ360" s="192">
        <v>2.42</v>
      </c>
      <c r="AK360" s="193">
        <v>5.5E-2</v>
      </c>
      <c r="AL360" s="192">
        <v>3.38</v>
      </c>
      <c r="AM360" s="192"/>
      <c r="AN360" s="144">
        <f t="shared" si="220"/>
        <v>4.0887671232876712E-5</v>
      </c>
      <c r="AO360" s="158">
        <f t="shared" si="230"/>
        <v>0.13629223744292238</v>
      </c>
      <c r="AP360" s="144">
        <f t="shared" si="221"/>
        <v>7.4794520547945204E-6</v>
      </c>
      <c r="AQ360" s="158">
        <f t="shared" si="231"/>
        <v>2.0776255707762557E-3</v>
      </c>
      <c r="AR360" s="144">
        <f t="shared" si="222"/>
        <v>1.2066849315068494E-4</v>
      </c>
      <c r="AS360" s="158">
        <f t="shared" si="232"/>
        <v>4.0222831050228315E-2</v>
      </c>
      <c r="AT360" s="144">
        <f t="shared" si="223"/>
        <v>2.7424657534246576E-6</v>
      </c>
      <c r="AU360" s="158">
        <f t="shared" si="233"/>
        <v>5.4849315068493153E-3</v>
      </c>
      <c r="AV360" s="144">
        <f t="shared" si="224"/>
        <v>1.685369863013699E-4</v>
      </c>
      <c r="AW360" s="158">
        <f t="shared" si="234"/>
        <v>8.426849315068494E-3</v>
      </c>
      <c r="AX360" s="144">
        <f t="shared" si="225"/>
        <v>2.5539068493150687E-6</v>
      </c>
      <c r="AY360" s="158">
        <f t="shared" si="235"/>
        <v>8.5130228310502289E-3</v>
      </c>
      <c r="AZ360" s="144">
        <f t="shared" si="226"/>
        <v>1.5572602739726029E-9</v>
      </c>
      <c r="BA360" s="158">
        <f t="shared" si="236"/>
        <v>4.4493150684931513E-7</v>
      </c>
      <c r="BB360" s="144">
        <f t="shared" si="227"/>
        <v>2.5123799086757983E-7</v>
      </c>
      <c r="BC360" s="158">
        <f t="shared" si="237"/>
        <v>5.0247598173515964E-5</v>
      </c>
      <c r="BD360" s="144">
        <f t="shared" si="228"/>
        <v>5.7099543378995436E-9</v>
      </c>
      <c r="BE360" s="158">
        <f t="shared" si="238"/>
        <v>1.1419908675799087E-5</v>
      </c>
      <c r="BF360" s="144">
        <f t="shared" si="229"/>
        <v>7.0180529680365276E-8</v>
      </c>
      <c r="BG360" s="158">
        <f t="shared" si="239"/>
        <v>1.2532237442922371E-5</v>
      </c>
    </row>
    <row r="361" spans="20:59">
      <c r="T361" s="53" t="s">
        <v>545</v>
      </c>
      <c r="U361" s="53" t="s">
        <v>546</v>
      </c>
      <c r="V361" s="180">
        <v>43887</v>
      </c>
      <c r="W361" s="183">
        <v>0.26067699999999999</v>
      </c>
      <c r="X361" s="183">
        <v>34.720677999999999</v>
      </c>
      <c r="Y361" s="53" t="s">
        <v>661</v>
      </c>
      <c r="Z361" s="53" t="s">
        <v>330</v>
      </c>
      <c r="AA361" s="53" t="s">
        <v>347</v>
      </c>
      <c r="AB361" s="154" t="s">
        <v>371</v>
      </c>
      <c r="AC361" s="116" t="s">
        <v>687</v>
      </c>
      <c r="AD361" s="53" t="s">
        <v>728</v>
      </c>
      <c r="AE361" s="53" t="s">
        <v>739</v>
      </c>
      <c r="AF361" s="53" t="s">
        <v>726</v>
      </c>
      <c r="AG361" s="53" t="s">
        <v>727</v>
      </c>
      <c r="AH361" s="156">
        <v>4.26</v>
      </c>
      <c r="AI361" s="191">
        <v>0.15</v>
      </c>
      <c r="AJ361" s="192">
        <v>0.27</v>
      </c>
      <c r="AK361" s="193">
        <v>1.6E-2</v>
      </c>
      <c r="AL361" s="192">
        <v>1.86</v>
      </c>
      <c r="AM361" s="192"/>
      <c r="AN361" s="144">
        <f t="shared" si="220"/>
        <v>2.1241643835616438E-4</v>
      </c>
      <c r="AO361" s="158">
        <f t="shared" si="230"/>
        <v>0.70805479452054798</v>
      </c>
      <c r="AP361" s="144">
        <f t="shared" si="221"/>
        <v>7.4794520547945204E-6</v>
      </c>
      <c r="AQ361" s="158">
        <f t="shared" si="231"/>
        <v>2.0776255707762557E-3</v>
      </c>
      <c r="AR361" s="144">
        <f t="shared" si="222"/>
        <v>1.3463013698630137E-5</v>
      </c>
      <c r="AS361" s="158">
        <f t="shared" si="232"/>
        <v>4.4876712328767122E-3</v>
      </c>
      <c r="AT361" s="144">
        <f t="shared" si="223"/>
        <v>7.9780821917808229E-7</v>
      </c>
      <c r="AU361" s="158">
        <f t="shared" si="233"/>
        <v>1.5956164383561645E-3</v>
      </c>
      <c r="AV361" s="144">
        <f t="shared" si="224"/>
        <v>9.2745205479452064E-5</v>
      </c>
      <c r="AW361" s="158">
        <f t="shared" si="234"/>
        <v>4.6372602739726031E-3</v>
      </c>
      <c r="AX361" s="144">
        <f t="shared" si="225"/>
        <v>1.3267857534246575E-5</v>
      </c>
      <c r="AY361" s="158">
        <f t="shared" si="235"/>
        <v>4.4226191780821919E-2</v>
      </c>
      <c r="AZ361" s="144">
        <f t="shared" si="226"/>
        <v>1.5572602739726029E-9</v>
      </c>
      <c r="BA361" s="158">
        <f t="shared" si="236"/>
        <v>4.4493150684931513E-7</v>
      </c>
      <c r="BB361" s="144">
        <f t="shared" si="227"/>
        <v>2.8030684931506848E-8</v>
      </c>
      <c r="BC361" s="158">
        <f t="shared" si="237"/>
        <v>5.6061369863013698E-6</v>
      </c>
      <c r="BD361" s="144">
        <f t="shared" si="228"/>
        <v>1.6610776255707762E-9</v>
      </c>
      <c r="BE361" s="158">
        <f t="shared" si="238"/>
        <v>3.3221552511415525E-6</v>
      </c>
      <c r="BF361" s="144">
        <f t="shared" si="229"/>
        <v>3.8620054794520546E-8</v>
      </c>
      <c r="BG361" s="158">
        <f t="shared" si="239"/>
        <v>6.8964383561643832E-6</v>
      </c>
    </row>
    <row r="362" spans="20:59">
      <c r="T362" s="53" t="s">
        <v>547</v>
      </c>
      <c r="U362" s="53" t="s">
        <v>548</v>
      </c>
      <c r="V362" s="180">
        <v>43887</v>
      </c>
      <c r="W362" s="183">
        <v>0.31578899999999999</v>
      </c>
      <c r="X362" s="183">
        <v>34.648187999999998</v>
      </c>
      <c r="Y362" s="53" t="s">
        <v>661</v>
      </c>
      <c r="Z362" s="53" t="s">
        <v>330</v>
      </c>
      <c r="AA362" s="53" t="s">
        <v>347</v>
      </c>
      <c r="AB362" s="154" t="s">
        <v>371</v>
      </c>
      <c r="AC362" s="39" t="s">
        <v>688</v>
      </c>
      <c r="AD362" s="53" t="s">
        <v>535</v>
      </c>
      <c r="AE362" s="53" t="s">
        <v>739</v>
      </c>
      <c r="AF362" s="53" t="s">
        <v>684</v>
      </c>
      <c r="AG362" s="53" t="s">
        <v>683</v>
      </c>
      <c r="AH362" s="156">
        <v>1.32</v>
      </c>
      <c r="AI362" s="191">
        <v>0.38</v>
      </c>
      <c r="AJ362" s="192">
        <v>0.22</v>
      </c>
      <c r="AK362" s="193">
        <v>3.9E-2</v>
      </c>
      <c r="AL362" s="192">
        <v>1.33</v>
      </c>
      <c r="AM362" s="192"/>
      <c r="AN362" s="144">
        <f t="shared" si="220"/>
        <v>6.5819178082191789E-5</v>
      </c>
      <c r="AO362" s="158">
        <f t="shared" si="230"/>
        <v>0.21939726027397266</v>
      </c>
      <c r="AP362" s="144">
        <f t="shared" si="221"/>
        <v>1.8947945205479451E-5</v>
      </c>
      <c r="AQ362" s="158">
        <f t="shared" si="231"/>
        <v>5.2633181126331809E-3</v>
      </c>
      <c r="AR362" s="144">
        <f t="shared" si="222"/>
        <v>1.096986301369863E-5</v>
      </c>
      <c r="AS362" s="158">
        <f t="shared" si="232"/>
        <v>3.6566210045662099E-3</v>
      </c>
      <c r="AT362" s="144">
        <f t="shared" si="223"/>
        <v>1.9446575342465756E-6</v>
      </c>
      <c r="AU362" s="158">
        <f t="shared" si="233"/>
        <v>3.8893150684931512E-3</v>
      </c>
      <c r="AV362" s="144">
        <f t="shared" si="224"/>
        <v>6.6317808219178075E-5</v>
      </c>
      <c r="AW362" s="158">
        <f t="shared" si="234"/>
        <v>3.3158904109589038E-3</v>
      </c>
      <c r="AX362" s="144">
        <f t="shared" si="225"/>
        <v>4.111167123287671E-6</v>
      </c>
      <c r="AY362" s="158">
        <f t="shared" si="235"/>
        <v>1.3703890410958904E-2</v>
      </c>
      <c r="AZ362" s="144">
        <f t="shared" si="226"/>
        <v>3.9450593607305945E-9</v>
      </c>
      <c r="BA362" s="158">
        <f t="shared" si="236"/>
        <v>1.1271598173515983E-6</v>
      </c>
      <c r="BB362" s="144">
        <f t="shared" si="227"/>
        <v>2.2839817351598174E-8</v>
      </c>
      <c r="BC362" s="158">
        <f t="shared" si="237"/>
        <v>4.5679634703196346E-6</v>
      </c>
      <c r="BD362" s="144">
        <f t="shared" si="228"/>
        <v>4.0488767123287672E-9</v>
      </c>
      <c r="BE362" s="158">
        <f t="shared" si="238"/>
        <v>8.0977534246575341E-6</v>
      </c>
      <c r="BF362" s="144">
        <f t="shared" si="229"/>
        <v>2.7615415525114154E-8</v>
      </c>
      <c r="BG362" s="158">
        <f t="shared" si="239"/>
        <v>4.9313242009132415E-6</v>
      </c>
    </row>
    <row r="363" spans="20:59">
      <c r="T363" s="53" t="s">
        <v>549</v>
      </c>
      <c r="U363" s="53" t="s">
        <v>550</v>
      </c>
      <c r="V363" s="180">
        <v>43887</v>
      </c>
      <c r="W363" s="53">
        <v>0.31646400000000002</v>
      </c>
      <c r="X363" s="53">
        <v>34.649081000000002</v>
      </c>
      <c r="Y363" s="53" t="s">
        <v>661</v>
      </c>
      <c r="Z363" s="53" t="s">
        <v>330</v>
      </c>
      <c r="AA363" s="53" t="s">
        <v>347</v>
      </c>
      <c r="AB363" s="53" t="s">
        <v>371</v>
      </c>
      <c r="AC363" s="39" t="s">
        <v>688</v>
      </c>
      <c r="AD363" s="53" t="s">
        <v>535</v>
      </c>
      <c r="AE363" s="53" t="s">
        <v>739</v>
      </c>
      <c r="AF363" s="53" t="s">
        <v>684</v>
      </c>
      <c r="AG363" s="53" t="s">
        <v>683</v>
      </c>
      <c r="AH363" s="156">
        <v>0.15</v>
      </c>
      <c r="AI363" s="191">
        <v>0.18</v>
      </c>
      <c r="AJ363" s="192">
        <v>0.21</v>
      </c>
      <c r="AK363" s="193">
        <v>5.3999999999999999E-2</v>
      </c>
      <c r="AL363" s="192">
        <v>1.5</v>
      </c>
      <c r="AM363" s="192"/>
      <c r="AN363" s="144">
        <f t="shared" si="220"/>
        <v>7.4794520547945204E-6</v>
      </c>
      <c r="AO363" s="158">
        <f t="shared" si="230"/>
        <v>2.4931506849315069E-2</v>
      </c>
      <c r="AP363" s="144">
        <f t="shared" si="221"/>
        <v>8.9753424657534261E-6</v>
      </c>
      <c r="AQ363" s="158">
        <f t="shared" si="231"/>
        <v>2.4931506849315073E-3</v>
      </c>
      <c r="AR363" s="144">
        <f t="shared" si="222"/>
        <v>1.0471232876712329E-5</v>
      </c>
      <c r="AS363" s="158">
        <f t="shared" si="232"/>
        <v>3.4904109589041095E-3</v>
      </c>
      <c r="AT363" s="144">
        <f t="shared" si="223"/>
        <v>2.6926027397260277E-6</v>
      </c>
      <c r="AU363" s="158">
        <f t="shared" si="233"/>
        <v>5.385205479452055E-3</v>
      </c>
      <c r="AV363" s="144">
        <f t="shared" si="224"/>
        <v>7.4794520547945205E-5</v>
      </c>
      <c r="AW363" s="158">
        <f t="shared" si="234"/>
        <v>3.7397260273972603E-3</v>
      </c>
      <c r="AX363" s="144">
        <f t="shared" si="225"/>
        <v>4.6717808219178076E-7</v>
      </c>
      <c r="AY363" s="158">
        <f t="shared" si="235"/>
        <v>1.5572602739726026E-3</v>
      </c>
      <c r="AZ363" s="144">
        <f t="shared" si="226"/>
        <v>1.8687123287671234E-9</v>
      </c>
      <c r="BA363" s="158">
        <f t="shared" si="236"/>
        <v>5.3391780821917813E-7</v>
      </c>
      <c r="BB363" s="144">
        <f t="shared" si="227"/>
        <v>2.1801643835616436E-8</v>
      </c>
      <c r="BC363" s="158">
        <f t="shared" si="237"/>
        <v>4.3603287671232868E-6</v>
      </c>
      <c r="BD363" s="144">
        <f t="shared" si="228"/>
        <v>5.6061369863013701E-9</v>
      </c>
      <c r="BE363" s="158">
        <f t="shared" si="238"/>
        <v>1.121227397260274E-5</v>
      </c>
      <c r="BF363" s="144">
        <f t="shared" si="229"/>
        <v>3.1145205479452056E-8</v>
      </c>
      <c r="BG363" s="158">
        <f t="shared" si="239"/>
        <v>5.5616438356164385E-6</v>
      </c>
    </row>
    <row r="364" spans="20:59">
      <c r="T364" s="53" t="s">
        <v>551</v>
      </c>
      <c r="U364" s="53" t="s">
        <v>552</v>
      </c>
      <c r="V364" s="180">
        <v>43888</v>
      </c>
      <c r="W364" s="53">
        <v>0.25118800000000002</v>
      </c>
      <c r="X364" s="53">
        <v>34.723633</v>
      </c>
      <c r="Y364" s="53" t="s">
        <v>661</v>
      </c>
      <c r="Z364" s="53" t="s">
        <v>330</v>
      </c>
      <c r="AA364" s="53" t="s">
        <v>347</v>
      </c>
      <c r="AB364" s="53" t="s">
        <v>371</v>
      </c>
      <c r="AC364" s="39" t="s">
        <v>688</v>
      </c>
      <c r="AD364" s="53" t="s">
        <v>538</v>
      </c>
      <c r="AE364" s="53" t="s">
        <v>739</v>
      </c>
      <c r="AF364" s="53" t="s">
        <v>726</v>
      </c>
      <c r="AG364" s="53" t="s">
        <v>727</v>
      </c>
      <c r="AH364" s="156">
        <v>0.12</v>
      </c>
      <c r="AI364" s="191">
        <v>0.13</v>
      </c>
      <c r="AJ364" s="192">
        <v>0.6</v>
      </c>
      <c r="AK364" s="193">
        <v>2.5000000000000001E-2</v>
      </c>
      <c r="AL364" s="192">
        <v>1.1599999999999999</v>
      </c>
      <c r="AM364" s="192"/>
      <c r="AN364" s="144">
        <f t="shared" si="220"/>
        <v>5.9835616438356171E-6</v>
      </c>
      <c r="AO364" s="158">
        <f t="shared" si="230"/>
        <v>1.9945205479452058E-2</v>
      </c>
      <c r="AP364" s="144">
        <f t="shared" si="221"/>
        <v>6.4821917808219174E-6</v>
      </c>
      <c r="AQ364" s="158">
        <f t="shared" si="231"/>
        <v>1.8006088280060882E-3</v>
      </c>
      <c r="AR364" s="144">
        <f t="shared" si="222"/>
        <v>2.9917808219178081E-5</v>
      </c>
      <c r="AS364" s="158">
        <f t="shared" si="232"/>
        <v>9.9726027397260275E-3</v>
      </c>
      <c r="AT364" s="144">
        <f t="shared" si="223"/>
        <v>1.2465753424657535E-6</v>
      </c>
      <c r="AU364" s="158">
        <f t="shared" si="233"/>
        <v>2.4931506849315069E-3</v>
      </c>
      <c r="AV364" s="144">
        <f t="shared" si="224"/>
        <v>5.7841095890410952E-5</v>
      </c>
      <c r="AW364" s="158">
        <f t="shared" si="234"/>
        <v>2.8920547945205477E-3</v>
      </c>
      <c r="AX364" s="144">
        <f t="shared" si="225"/>
        <v>3.7374246575342469E-7</v>
      </c>
      <c r="AY364" s="158">
        <f t="shared" si="235"/>
        <v>1.2458082191780825E-3</v>
      </c>
      <c r="AZ364" s="144">
        <f t="shared" si="226"/>
        <v>1.349625570776256E-9</v>
      </c>
      <c r="BA364" s="158">
        <f t="shared" si="236"/>
        <v>3.8560730593607314E-7</v>
      </c>
      <c r="BB364" s="144">
        <f t="shared" si="227"/>
        <v>6.2290410958904098E-8</v>
      </c>
      <c r="BC364" s="158">
        <f t="shared" si="237"/>
        <v>1.245808219178082E-5</v>
      </c>
      <c r="BD364" s="144">
        <f t="shared" si="228"/>
        <v>2.5954337899543385E-9</v>
      </c>
      <c r="BE364" s="158">
        <f t="shared" si="238"/>
        <v>5.1908675799086766E-6</v>
      </c>
      <c r="BF364" s="144">
        <f t="shared" si="229"/>
        <v>2.4085625570776259E-8</v>
      </c>
      <c r="BG364" s="158">
        <f t="shared" si="239"/>
        <v>4.3010045662100462E-6</v>
      </c>
    </row>
    <row r="365" spans="20:59">
      <c r="T365" s="53" t="s">
        <v>553</v>
      </c>
      <c r="U365" s="53" t="s">
        <v>554</v>
      </c>
      <c r="V365" s="180">
        <v>43888</v>
      </c>
      <c r="W365" s="53">
        <v>0.26495800000000003</v>
      </c>
      <c r="X365" s="53">
        <v>34.729039</v>
      </c>
      <c r="Y365" s="53" t="s">
        <v>660</v>
      </c>
      <c r="Z365" s="53" t="s">
        <v>330</v>
      </c>
      <c r="AA365" s="53" t="s">
        <v>347</v>
      </c>
      <c r="AB365" s="53" t="s">
        <v>371</v>
      </c>
      <c r="AC365" s="116" t="s">
        <v>687</v>
      </c>
      <c r="AD365" s="53" t="s">
        <v>555</v>
      </c>
      <c r="AE365" s="53" t="s">
        <v>739</v>
      </c>
      <c r="AF365" s="53" t="s">
        <v>684</v>
      </c>
      <c r="AG365" s="53" t="s">
        <v>683</v>
      </c>
      <c r="AH365" s="156">
        <v>0.06</v>
      </c>
      <c r="AI365" s="191">
        <v>0.21</v>
      </c>
      <c r="AJ365" s="192">
        <v>0.38</v>
      </c>
      <c r="AK365" s="193">
        <v>4.3999999999999997E-2</v>
      </c>
      <c r="AL365" s="157">
        <v>32.200000000000003</v>
      </c>
      <c r="AM365" s="157"/>
      <c r="AN365" s="144">
        <f t="shared" si="220"/>
        <v>2.9917808219178086E-6</v>
      </c>
      <c r="AO365" s="158">
        <f t="shared" si="230"/>
        <v>9.9726027397260292E-3</v>
      </c>
      <c r="AP365" s="144">
        <f t="shared" si="221"/>
        <v>1.0471232876712329E-5</v>
      </c>
      <c r="AQ365" s="158">
        <f t="shared" si="231"/>
        <v>2.908675799086758E-3</v>
      </c>
      <c r="AR365" s="144">
        <f t="shared" si="222"/>
        <v>1.8947945205479451E-5</v>
      </c>
      <c r="AS365" s="158">
        <f t="shared" si="232"/>
        <v>6.3159817351598167E-3</v>
      </c>
      <c r="AT365" s="144">
        <f t="shared" si="223"/>
        <v>2.1939726027397253E-6</v>
      </c>
      <c r="AU365" s="158">
        <f t="shared" si="233"/>
        <v>4.3879452054794502E-3</v>
      </c>
      <c r="AV365" s="144">
        <f t="shared" si="224"/>
        <v>1.6055890410958907E-3</v>
      </c>
      <c r="AW365" s="158">
        <f t="shared" si="234"/>
        <v>8.0279452054794531E-2</v>
      </c>
      <c r="AX365" s="144">
        <f t="shared" si="225"/>
        <v>1.8687123287671235E-7</v>
      </c>
      <c r="AY365" s="158">
        <f t="shared" si="235"/>
        <v>6.2290410958904126E-4</v>
      </c>
      <c r="AZ365" s="144">
        <f t="shared" si="226"/>
        <v>2.1801643835616442E-9</v>
      </c>
      <c r="BA365" s="158">
        <f t="shared" si="236"/>
        <v>6.2290410958904119E-7</v>
      </c>
      <c r="BB365" s="144">
        <f t="shared" si="227"/>
        <v>3.9450593607305934E-8</v>
      </c>
      <c r="BC365" s="158">
        <f t="shared" si="237"/>
        <v>7.8901187214611871E-6</v>
      </c>
      <c r="BD365" s="144">
        <f t="shared" si="228"/>
        <v>4.5679634703196337E-9</v>
      </c>
      <c r="BE365" s="158">
        <f t="shared" si="238"/>
        <v>9.1359269406392676E-6</v>
      </c>
      <c r="BF365" s="144">
        <f t="shared" si="229"/>
        <v>6.6858374429223753E-7</v>
      </c>
      <c r="BG365" s="158">
        <f t="shared" si="239"/>
        <v>1.1938995433789956E-4</v>
      </c>
    </row>
    <row r="366" spans="20:59">
      <c r="T366" s="53" t="s">
        <v>556</v>
      </c>
      <c r="U366" s="53" t="s">
        <v>557</v>
      </c>
      <c r="V366" s="180">
        <v>43888</v>
      </c>
      <c r="W366" s="53">
        <v>0.21136199999999999</v>
      </c>
      <c r="X366" s="53">
        <v>34.729503000000001</v>
      </c>
      <c r="Y366" s="53" t="s">
        <v>662</v>
      </c>
      <c r="Z366" s="53" t="s">
        <v>330</v>
      </c>
      <c r="AA366" s="53" t="s">
        <v>347</v>
      </c>
      <c r="AB366" s="53" t="s">
        <v>371</v>
      </c>
      <c r="AC366" s="116" t="s">
        <v>687</v>
      </c>
      <c r="AD366" s="53" t="s">
        <v>538</v>
      </c>
      <c r="AE366" s="53" t="s">
        <v>739</v>
      </c>
      <c r="AF366" s="53" t="s">
        <v>726</v>
      </c>
      <c r="AG366" s="53" t="s">
        <v>727</v>
      </c>
      <c r="AH366" s="156">
        <v>8.09</v>
      </c>
      <c r="AI366" s="191">
        <v>0.24</v>
      </c>
      <c r="AJ366" s="192">
        <v>0.51</v>
      </c>
      <c r="AK366" s="193">
        <v>4.9000000000000002E-2</v>
      </c>
      <c r="AL366" s="192">
        <v>1.64</v>
      </c>
      <c r="AM366" s="192"/>
      <c r="AN366" s="144">
        <f t="shared" si="220"/>
        <v>4.0339178082191783E-4</v>
      </c>
      <c r="AO366" s="158">
        <f t="shared" si="230"/>
        <v>1.3446392694063929</v>
      </c>
      <c r="AP366" s="144">
        <f t="shared" si="221"/>
        <v>1.1967123287671234E-5</v>
      </c>
      <c r="AQ366" s="158">
        <f t="shared" si="231"/>
        <v>3.3242009132420096E-3</v>
      </c>
      <c r="AR366" s="144">
        <f t="shared" si="222"/>
        <v>2.5430136986301373E-5</v>
      </c>
      <c r="AS366" s="158">
        <f t="shared" si="232"/>
        <v>8.4767123287671237E-3</v>
      </c>
      <c r="AT366" s="144">
        <f t="shared" si="223"/>
        <v>2.4432876712328767E-6</v>
      </c>
      <c r="AU366" s="158">
        <f t="shared" si="233"/>
        <v>4.8865753424657534E-3</v>
      </c>
      <c r="AV366" s="144">
        <f t="shared" si="224"/>
        <v>8.1775342465753424E-5</v>
      </c>
      <c r="AW366" s="158">
        <f t="shared" si="234"/>
        <v>4.088767123287671E-3</v>
      </c>
      <c r="AX366" s="144">
        <f t="shared" si="225"/>
        <v>2.5196471232876712E-5</v>
      </c>
      <c r="AY366" s="158">
        <f t="shared" si="235"/>
        <v>8.3988237442922387E-2</v>
      </c>
      <c r="AZ366" s="144">
        <f t="shared" si="226"/>
        <v>2.4916164383561642E-9</v>
      </c>
      <c r="BA366" s="158">
        <f t="shared" si="236"/>
        <v>7.1189041095890404E-7</v>
      </c>
      <c r="BB366" s="144">
        <f t="shared" si="227"/>
        <v>5.2946849315068482E-8</v>
      </c>
      <c r="BC366" s="158">
        <f t="shared" si="237"/>
        <v>1.0589369863013697E-5</v>
      </c>
      <c r="BD366" s="144">
        <f t="shared" si="228"/>
        <v>5.0870502283105027E-9</v>
      </c>
      <c r="BE366" s="158">
        <f t="shared" si="238"/>
        <v>1.0174100456621006E-5</v>
      </c>
      <c r="BF366" s="144">
        <f t="shared" si="229"/>
        <v>3.4052091324200913E-8</v>
      </c>
      <c r="BG366" s="158">
        <f t="shared" si="239"/>
        <v>6.0807305936073061E-6</v>
      </c>
    </row>
    <row r="367" spans="20:59">
      <c r="T367" s="53" t="s">
        <v>558</v>
      </c>
      <c r="U367" s="53" t="s">
        <v>559</v>
      </c>
      <c r="V367" s="180">
        <v>43888</v>
      </c>
      <c r="W367" s="183">
        <v>0.20258399999999999</v>
      </c>
      <c r="X367" s="183">
        <v>34.714993</v>
      </c>
      <c r="Y367" s="53" t="s">
        <v>662</v>
      </c>
      <c r="Z367" s="53" t="s">
        <v>330</v>
      </c>
      <c r="AA367" s="53" t="s">
        <v>347</v>
      </c>
      <c r="AB367" s="154" t="s">
        <v>371</v>
      </c>
      <c r="AC367" s="116" t="s">
        <v>687</v>
      </c>
      <c r="AD367" s="53" t="s">
        <v>535</v>
      </c>
      <c r="AE367" s="53" t="s">
        <v>739</v>
      </c>
      <c r="AF367" s="53" t="s">
        <v>684</v>
      </c>
      <c r="AG367" s="53" t="s">
        <v>683</v>
      </c>
      <c r="AH367" s="156">
        <v>0.23</v>
      </c>
      <c r="AI367" s="191">
        <v>0.15</v>
      </c>
      <c r="AJ367" s="192">
        <v>4.8899999999999997</v>
      </c>
      <c r="AK367" s="193">
        <v>4.8000000000000001E-2</v>
      </c>
      <c r="AL367" s="192">
        <v>2.87</v>
      </c>
      <c r="AM367" s="192"/>
      <c r="AN367" s="144">
        <f t="shared" si="220"/>
        <v>1.1468493150684931E-5</v>
      </c>
      <c r="AO367" s="158">
        <f t="shared" si="230"/>
        <v>3.8228310502283105E-2</v>
      </c>
      <c r="AP367" s="144">
        <f t="shared" si="221"/>
        <v>7.4794520547945204E-6</v>
      </c>
      <c r="AQ367" s="158">
        <f t="shared" si="231"/>
        <v>2.0776255707762557E-3</v>
      </c>
      <c r="AR367" s="144">
        <f t="shared" si="222"/>
        <v>2.4383013698630135E-4</v>
      </c>
      <c r="AS367" s="158">
        <f t="shared" si="232"/>
        <v>8.1276712328767112E-2</v>
      </c>
      <c r="AT367" s="144">
        <f t="shared" si="223"/>
        <v>2.3934246575342472E-6</v>
      </c>
      <c r="AU367" s="158">
        <f t="shared" si="233"/>
        <v>4.786849315068494E-3</v>
      </c>
      <c r="AV367" s="144">
        <f t="shared" si="224"/>
        <v>1.4310684931506852E-4</v>
      </c>
      <c r="AW367" s="158">
        <f t="shared" si="234"/>
        <v>7.1553424657534257E-3</v>
      </c>
      <c r="AX367" s="144">
        <f t="shared" si="225"/>
        <v>7.1633972602739721E-7</v>
      </c>
      <c r="AY367" s="158">
        <f t="shared" si="235"/>
        <v>2.3877990867579909E-3</v>
      </c>
      <c r="AZ367" s="144">
        <f t="shared" si="226"/>
        <v>1.5572602739726029E-9</v>
      </c>
      <c r="BA367" s="158">
        <f t="shared" si="236"/>
        <v>4.4493150684931513E-7</v>
      </c>
      <c r="BB367" s="144">
        <f t="shared" si="227"/>
        <v>5.0766684931506846E-7</v>
      </c>
      <c r="BC367" s="158">
        <f t="shared" si="237"/>
        <v>1.0153336986301369E-4</v>
      </c>
      <c r="BD367" s="144">
        <f t="shared" si="228"/>
        <v>4.9832328767123284E-9</v>
      </c>
      <c r="BE367" s="158">
        <f t="shared" si="238"/>
        <v>9.9664657534246574E-6</v>
      </c>
      <c r="BF367" s="144">
        <f t="shared" si="229"/>
        <v>5.9591159817351611E-8</v>
      </c>
      <c r="BG367" s="158">
        <f t="shared" si="239"/>
        <v>1.0641278538812788E-5</v>
      </c>
    </row>
    <row r="368" spans="20:59">
      <c r="T368" s="53" t="s">
        <v>560</v>
      </c>
      <c r="U368" s="53" t="s">
        <v>561</v>
      </c>
      <c r="V368" s="180">
        <v>43889</v>
      </c>
      <c r="W368" s="183">
        <v>0.18987899999999999</v>
      </c>
      <c r="X368" s="183">
        <v>34.735692999999998</v>
      </c>
      <c r="Y368" s="53" t="s">
        <v>663</v>
      </c>
      <c r="Z368" s="53" t="s">
        <v>330</v>
      </c>
      <c r="AA368" s="53" t="s">
        <v>347</v>
      </c>
      <c r="AB368" s="154" t="s">
        <v>371</v>
      </c>
      <c r="AC368" s="116" t="s">
        <v>687</v>
      </c>
      <c r="AD368" s="53" t="s">
        <v>555</v>
      </c>
      <c r="AE368" s="53" t="s">
        <v>739</v>
      </c>
      <c r="AF368" s="53" t="s">
        <v>684</v>
      </c>
      <c r="AG368" s="53" t="s">
        <v>683</v>
      </c>
      <c r="AH368" s="156">
        <v>12.97</v>
      </c>
      <c r="AI368" s="191">
        <v>0.16</v>
      </c>
      <c r="AJ368" s="192">
        <v>0.08</v>
      </c>
      <c r="AK368" s="193">
        <v>0.122</v>
      </c>
      <c r="AL368" s="192">
        <v>5.8</v>
      </c>
      <c r="AM368" s="192"/>
      <c r="AN368" s="144">
        <f t="shared" si="220"/>
        <v>6.4672328767123295E-4</v>
      </c>
      <c r="AO368" s="158">
        <f t="shared" si="230"/>
        <v>2.1557442922374435</v>
      </c>
      <c r="AP368" s="144">
        <f t="shared" si="221"/>
        <v>7.9780821917808206E-6</v>
      </c>
      <c r="AQ368" s="158">
        <f t="shared" si="231"/>
        <v>2.2161339421613393E-3</v>
      </c>
      <c r="AR368" s="144">
        <f t="shared" si="222"/>
        <v>3.9890410958904103E-6</v>
      </c>
      <c r="AS368" s="158">
        <f t="shared" si="232"/>
        <v>1.3296803652968034E-3</v>
      </c>
      <c r="AT368" s="144">
        <f t="shared" si="223"/>
        <v>6.0832876712328762E-6</v>
      </c>
      <c r="AU368" s="158">
        <f t="shared" si="233"/>
        <v>1.2166575342465753E-2</v>
      </c>
      <c r="AV368" s="144">
        <f t="shared" si="224"/>
        <v>2.8920547945205483E-4</v>
      </c>
      <c r="AW368" s="158">
        <f t="shared" si="234"/>
        <v>1.4460273972602741E-2</v>
      </c>
      <c r="AX368" s="144">
        <f t="shared" si="225"/>
        <v>4.039533150684931E-5</v>
      </c>
      <c r="AY368" s="158">
        <f t="shared" si="235"/>
        <v>0.13465110502283104</v>
      </c>
      <c r="AZ368" s="144">
        <f t="shared" si="226"/>
        <v>1.661077625570776E-9</v>
      </c>
      <c r="BA368" s="158">
        <f t="shared" si="236"/>
        <v>4.7459360730593599E-7</v>
      </c>
      <c r="BB368" s="144">
        <f t="shared" si="227"/>
        <v>8.3053881278538813E-9</v>
      </c>
      <c r="BC368" s="158">
        <f t="shared" si="237"/>
        <v>1.6610776255707762E-6</v>
      </c>
      <c r="BD368" s="144">
        <f t="shared" si="228"/>
        <v>1.2665716894977166E-8</v>
      </c>
      <c r="BE368" s="158">
        <f t="shared" si="238"/>
        <v>2.5331433789954331E-5</v>
      </c>
      <c r="BF368" s="144">
        <f t="shared" si="229"/>
        <v>1.204281278538813E-7</v>
      </c>
      <c r="BG368" s="158">
        <f t="shared" si="239"/>
        <v>2.150502283105023E-5</v>
      </c>
    </row>
    <row r="369" spans="20:59">
      <c r="T369" s="53" t="s">
        <v>562</v>
      </c>
      <c r="U369" s="53" t="s">
        <v>563</v>
      </c>
      <c r="V369" s="180">
        <v>43889</v>
      </c>
      <c r="W369" s="183">
        <v>0.18990299999999999</v>
      </c>
      <c r="X369" s="183">
        <v>34.745731999999997</v>
      </c>
      <c r="Y369" s="198" t="s">
        <v>663</v>
      </c>
      <c r="Z369" s="53" t="s">
        <v>330</v>
      </c>
      <c r="AA369" s="53" t="s">
        <v>347</v>
      </c>
      <c r="AB369" s="154" t="s">
        <v>371</v>
      </c>
      <c r="AC369" s="116" t="s">
        <v>687</v>
      </c>
      <c r="AD369" s="53" t="s">
        <v>535</v>
      </c>
      <c r="AE369" s="53" t="s">
        <v>739</v>
      </c>
      <c r="AF369" s="53" t="s">
        <v>684</v>
      </c>
      <c r="AG369" s="53" t="s">
        <v>683</v>
      </c>
      <c r="AH369" s="156">
        <v>1.63</v>
      </c>
      <c r="AI369" s="191">
        <v>0.18</v>
      </c>
      <c r="AJ369" s="192">
        <v>0.51</v>
      </c>
      <c r="AK369" s="193">
        <v>4.4999999999999998E-2</v>
      </c>
      <c r="AL369" s="192">
        <v>2.08</v>
      </c>
      <c r="AM369" s="192"/>
      <c r="AN369" s="144">
        <f t="shared" si="220"/>
        <v>8.1276712328767111E-5</v>
      </c>
      <c r="AO369" s="158">
        <f t="shared" si="230"/>
        <v>0.27092237442922373</v>
      </c>
      <c r="AP369" s="144">
        <f t="shared" si="221"/>
        <v>8.9753424657534261E-6</v>
      </c>
      <c r="AQ369" s="158">
        <f t="shared" si="231"/>
        <v>2.4931506849315073E-3</v>
      </c>
      <c r="AR369" s="144">
        <f t="shared" si="222"/>
        <v>2.5430136986301373E-5</v>
      </c>
      <c r="AS369" s="158">
        <f t="shared" si="232"/>
        <v>8.4767123287671237E-3</v>
      </c>
      <c r="AT369" s="144">
        <f t="shared" si="223"/>
        <v>2.2438356164383565E-6</v>
      </c>
      <c r="AU369" s="158">
        <f t="shared" si="233"/>
        <v>4.4876712328767131E-3</v>
      </c>
      <c r="AV369" s="144">
        <f t="shared" si="224"/>
        <v>1.0371506849315068E-4</v>
      </c>
      <c r="AW369" s="158">
        <f t="shared" si="234"/>
        <v>5.1857534246575335E-3</v>
      </c>
      <c r="AX369" s="144">
        <f t="shared" si="225"/>
        <v>5.0766684931506846E-6</v>
      </c>
      <c r="AY369" s="158">
        <f t="shared" si="235"/>
        <v>1.6922228310502285E-2</v>
      </c>
      <c r="AZ369" s="144">
        <f t="shared" si="226"/>
        <v>1.8687123287671234E-9</v>
      </c>
      <c r="BA369" s="158">
        <f t="shared" si="236"/>
        <v>5.3391780821917813E-7</v>
      </c>
      <c r="BB369" s="144">
        <f t="shared" si="227"/>
        <v>5.2946849315068482E-8</v>
      </c>
      <c r="BC369" s="158">
        <f t="shared" si="237"/>
        <v>1.0589369863013697E-5</v>
      </c>
      <c r="BD369" s="144">
        <f t="shared" si="228"/>
        <v>4.671780821917808E-9</v>
      </c>
      <c r="BE369" s="158">
        <f t="shared" si="238"/>
        <v>9.3435616438356163E-6</v>
      </c>
      <c r="BF369" s="144">
        <f t="shared" si="229"/>
        <v>4.3188018264840192E-8</v>
      </c>
      <c r="BG369" s="158">
        <f t="shared" si="239"/>
        <v>7.7121461187214637E-6</v>
      </c>
    </row>
    <row r="370" spans="20:59">
      <c r="T370" s="53" t="s">
        <v>564</v>
      </c>
      <c r="U370" s="53" t="s">
        <v>565</v>
      </c>
      <c r="V370" s="180">
        <v>43889</v>
      </c>
      <c r="W370" s="183">
        <v>0.187274</v>
      </c>
      <c r="X370" s="183">
        <v>34.735595000000004</v>
      </c>
      <c r="Y370" s="198" t="s">
        <v>663</v>
      </c>
      <c r="Z370" s="53" t="s">
        <v>330</v>
      </c>
      <c r="AA370" s="53" t="s">
        <v>347</v>
      </c>
      <c r="AB370" s="154" t="s">
        <v>371</v>
      </c>
      <c r="AC370" s="116" t="s">
        <v>687</v>
      </c>
      <c r="AD370" s="53" t="s">
        <v>527</v>
      </c>
      <c r="AE370" s="53" t="s">
        <v>740</v>
      </c>
      <c r="AF370" s="53" t="s">
        <v>685</v>
      </c>
      <c r="AG370" s="53" t="s">
        <v>691</v>
      </c>
      <c r="AH370" s="156">
        <v>14.63</v>
      </c>
      <c r="AI370" s="191">
        <v>0.22</v>
      </c>
      <c r="AJ370" s="192">
        <v>0.18</v>
      </c>
      <c r="AK370" s="193">
        <v>6.3E-2</v>
      </c>
      <c r="AL370" s="192">
        <v>4.53</v>
      </c>
      <c r="AM370" s="192"/>
      <c r="AN370" s="144">
        <f t="shared" si="220"/>
        <v>7.2949589041095908E-4</v>
      </c>
      <c r="AO370" s="158">
        <f t="shared" si="230"/>
        <v>2.4316529680365306</v>
      </c>
      <c r="AP370" s="144">
        <f t="shared" si="221"/>
        <v>1.096986301369863E-5</v>
      </c>
      <c r="AQ370" s="158">
        <f t="shared" si="231"/>
        <v>3.047184170471842E-3</v>
      </c>
      <c r="AR370" s="144">
        <f t="shared" si="222"/>
        <v>8.9753424657534261E-6</v>
      </c>
      <c r="AS370" s="158">
        <f t="shared" si="232"/>
        <v>2.9917808219178089E-3</v>
      </c>
      <c r="AT370" s="144">
        <f t="shared" si="223"/>
        <v>3.1413698630136992E-6</v>
      </c>
      <c r="AU370" s="158">
        <f t="shared" si="233"/>
        <v>6.2827397260273986E-3</v>
      </c>
      <c r="AV370" s="144">
        <f t="shared" si="224"/>
        <v>2.2587945205479454E-4</v>
      </c>
      <c r="AW370" s="158">
        <f t="shared" si="234"/>
        <v>1.1293972602739727E-2</v>
      </c>
      <c r="AX370" s="144">
        <f t="shared" si="225"/>
        <v>4.5565435616438356E-5</v>
      </c>
      <c r="AY370" s="158">
        <f t="shared" si="235"/>
        <v>0.15188478538812786</v>
      </c>
      <c r="AZ370" s="144">
        <f t="shared" si="226"/>
        <v>2.2839817351598173E-9</v>
      </c>
      <c r="BA370" s="158">
        <f t="shared" si="236"/>
        <v>6.5256621004566211E-7</v>
      </c>
      <c r="BB370" s="144">
        <f t="shared" si="227"/>
        <v>1.8687123287671232E-8</v>
      </c>
      <c r="BC370" s="158">
        <f t="shared" si="237"/>
        <v>3.7374246575342465E-6</v>
      </c>
      <c r="BD370" s="144">
        <f t="shared" si="228"/>
        <v>6.5404931506849314E-9</v>
      </c>
      <c r="BE370" s="158">
        <f t="shared" si="238"/>
        <v>1.3080986301369863E-5</v>
      </c>
      <c r="BF370" s="144">
        <f t="shared" si="229"/>
        <v>9.4058520547945191E-8</v>
      </c>
      <c r="BG370" s="158">
        <f t="shared" si="239"/>
        <v>1.679616438356164E-5</v>
      </c>
    </row>
    <row r="371" spans="20:59">
      <c r="T371" s="53" t="s">
        <v>566</v>
      </c>
      <c r="U371" s="53" t="s">
        <v>567</v>
      </c>
      <c r="V371" s="180">
        <v>43889</v>
      </c>
      <c r="W371" s="183">
        <v>0.18942800000000001</v>
      </c>
      <c r="X371" s="183">
        <v>34.740335999999999</v>
      </c>
      <c r="Y371" s="198" t="s">
        <v>665</v>
      </c>
      <c r="Z371" s="53" t="s">
        <v>330</v>
      </c>
      <c r="AA371" s="53" t="s">
        <v>347</v>
      </c>
      <c r="AB371" s="154" t="s">
        <v>371</v>
      </c>
      <c r="AC371" s="116" t="s">
        <v>687</v>
      </c>
      <c r="AD371" s="53" t="s">
        <v>538</v>
      </c>
      <c r="AE371" s="53" t="s">
        <v>739</v>
      </c>
      <c r="AF371" s="53" t="s">
        <v>726</v>
      </c>
      <c r="AG371" s="53" t="s">
        <v>727</v>
      </c>
      <c r="AH371" s="156">
        <v>2.11</v>
      </c>
      <c r="AI371" s="191">
        <v>0.26</v>
      </c>
      <c r="AJ371" s="192">
        <v>0.27</v>
      </c>
      <c r="AK371" s="193">
        <v>3.5999999999999997E-2</v>
      </c>
      <c r="AL371" s="192">
        <v>1.75</v>
      </c>
      <c r="AM371" s="192"/>
      <c r="AN371" s="144">
        <f t="shared" si="220"/>
        <v>1.0521095890410959E-4</v>
      </c>
      <c r="AO371" s="158">
        <f t="shared" si="230"/>
        <v>0.35070319634703201</v>
      </c>
      <c r="AP371" s="144">
        <f t="shared" si="221"/>
        <v>1.2964383561643835E-5</v>
      </c>
      <c r="AQ371" s="158">
        <f t="shared" si="231"/>
        <v>3.6012176560121763E-3</v>
      </c>
      <c r="AR371" s="144">
        <f t="shared" si="222"/>
        <v>1.3463013698630137E-5</v>
      </c>
      <c r="AS371" s="158">
        <f t="shared" si="232"/>
        <v>4.4876712328767122E-3</v>
      </c>
      <c r="AT371" s="144">
        <f t="shared" si="223"/>
        <v>1.795068493150685E-6</v>
      </c>
      <c r="AU371" s="158">
        <f t="shared" si="233"/>
        <v>3.5901369863013699E-3</v>
      </c>
      <c r="AV371" s="144">
        <f t="shared" si="224"/>
        <v>8.7260273972602744E-5</v>
      </c>
      <c r="AW371" s="158">
        <f t="shared" si="234"/>
        <v>4.363013698630137E-3</v>
      </c>
      <c r="AX371" s="144">
        <f t="shared" si="225"/>
        <v>6.5716383561643842E-6</v>
      </c>
      <c r="AY371" s="158">
        <f t="shared" si="235"/>
        <v>2.1905461187214616E-2</v>
      </c>
      <c r="AZ371" s="144">
        <f t="shared" si="226"/>
        <v>2.699251141552512E-9</v>
      </c>
      <c r="BA371" s="158">
        <f t="shared" si="236"/>
        <v>7.7121461187214629E-7</v>
      </c>
      <c r="BB371" s="144">
        <f t="shared" si="227"/>
        <v>2.8030684931506848E-8</v>
      </c>
      <c r="BC371" s="158">
        <f t="shared" si="237"/>
        <v>5.6061369863013698E-6</v>
      </c>
      <c r="BD371" s="144">
        <f t="shared" si="228"/>
        <v>3.7374246575342467E-9</v>
      </c>
      <c r="BE371" s="158">
        <f t="shared" si="238"/>
        <v>7.474849315068493E-6</v>
      </c>
      <c r="BF371" s="144">
        <f t="shared" si="229"/>
        <v>3.6336073059360733E-8</v>
      </c>
      <c r="BG371" s="158">
        <f t="shared" si="239"/>
        <v>6.4885844748858451E-6</v>
      </c>
    </row>
    <row r="372" spans="20:59">
      <c r="T372" s="53" t="s">
        <v>568</v>
      </c>
      <c r="U372" s="53" t="s">
        <v>569</v>
      </c>
      <c r="V372" s="180">
        <v>43889</v>
      </c>
      <c r="W372" s="183">
        <v>0.18878500000000001</v>
      </c>
      <c r="X372" s="183">
        <v>34.739865000000002</v>
      </c>
      <c r="Y372" s="198" t="s">
        <v>665</v>
      </c>
      <c r="Z372" s="53" t="s">
        <v>330</v>
      </c>
      <c r="AA372" s="53" t="s">
        <v>347</v>
      </c>
      <c r="AB372" s="154" t="s">
        <v>371</v>
      </c>
      <c r="AC372" s="116" t="s">
        <v>687</v>
      </c>
      <c r="AD372" s="53" t="s">
        <v>538</v>
      </c>
      <c r="AE372" s="53" t="s">
        <v>739</v>
      </c>
      <c r="AF372" s="53" t="s">
        <v>726</v>
      </c>
      <c r="AG372" s="53" t="s">
        <v>727</v>
      </c>
      <c r="AH372" s="156">
        <v>2.48</v>
      </c>
      <c r="AI372" s="191">
        <v>0.2</v>
      </c>
      <c r="AJ372" s="192">
        <v>0.24</v>
      </c>
      <c r="AK372" s="193">
        <v>5.8999999999999997E-2</v>
      </c>
      <c r="AL372" s="192">
        <v>2.68</v>
      </c>
      <c r="AM372" s="192"/>
      <c r="AN372" s="144">
        <f t="shared" si="220"/>
        <v>1.2366027397260276E-4</v>
      </c>
      <c r="AO372" s="158">
        <f t="shared" si="230"/>
        <v>0.41220091324200925</v>
      </c>
      <c r="AP372" s="144">
        <f t="shared" si="221"/>
        <v>9.9726027397260283E-6</v>
      </c>
      <c r="AQ372" s="158">
        <f t="shared" si="231"/>
        <v>2.7701674277016745E-3</v>
      </c>
      <c r="AR372" s="144">
        <f t="shared" si="222"/>
        <v>1.1967123287671234E-5</v>
      </c>
      <c r="AS372" s="158">
        <f t="shared" si="232"/>
        <v>3.9890410958904115E-3</v>
      </c>
      <c r="AT372" s="144">
        <f t="shared" si="223"/>
        <v>2.9419178082191778E-6</v>
      </c>
      <c r="AU372" s="158">
        <f t="shared" si="233"/>
        <v>5.8838356164383557E-3</v>
      </c>
      <c r="AV372" s="144">
        <f t="shared" si="224"/>
        <v>1.3363287671232878E-4</v>
      </c>
      <c r="AW372" s="158">
        <f t="shared" si="234"/>
        <v>6.681643835616439E-3</v>
      </c>
      <c r="AX372" s="144">
        <f t="shared" si="225"/>
        <v>7.7240109589041071E-6</v>
      </c>
      <c r="AY372" s="158">
        <f t="shared" si="235"/>
        <v>2.5746703196347025E-2</v>
      </c>
      <c r="AZ372" s="144">
        <f t="shared" si="226"/>
        <v>2.0763470319634703E-9</v>
      </c>
      <c r="BA372" s="158">
        <f t="shared" si="236"/>
        <v>5.9324200913242007E-7</v>
      </c>
      <c r="BB372" s="144">
        <f t="shared" si="227"/>
        <v>2.4916164383561647E-8</v>
      </c>
      <c r="BC372" s="158">
        <f t="shared" si="237"/>
        <v>4.9832328767123295E-6</v>
      </c>
      <c r="BD372" s="144">
        <f t="shared" si="228"/>
        <v>6.125223744292235E-9</v>
      </c>
      <c r="BE372" s="158">
        <f t="shared" si="238"/>
        <v>1.225044748858447E-5</v>
      </c>
      <c r="BF372" s="144">
        <f t="shared" si="229"/>
        <v>5.5646100456621009E-8</v>
      </c>
      <c r="BG372" s="158">
        <f t="shared" si="239"/>
        <v>9.9368036529680371E-6</v>
      </c>
    </row>
    <row r="373" spans="20:59">
      <c r="T373" s="53" t="s">
        <v>570</v>
      </c>
      <c r="U373" s="53" t="s">
        <v>571</v>
      </c>
      <c r="V373" s="180">
        <v>43889</v>
      </c>
      <c r="W373" s="183">
        <v>0.19486300000000001</v>
      </c>
      <c r="X373" s="183">
        <v>34.750653</v>
      </c>
      <c r="Y373" s="198" t="s">
        <v>666</v>
      </c>
      <c r="Z373" s="53" t="s">
        <v>330</v>
      </c>
      <c r="AA373" s="53" t="s">
        <v>347</v>
      </c>
      <c r="AB373" s="154" t="s">
        <v>371</v>
      </c>
      <c r="AC373" s="116" t="s">
        <v>687</v>
      </c>
      <c r="AD373" s="53" t="s">
        <v>728</v>
      </c>
      <c r="AE373" s="53" t="s">
        <v>739</v>
      </c>
      <c r="AF373" s="53" t="s">
        <v>726</v>
      </c>
      <c r="AG373" s="53" t="s">
        <v>727</v>
      </c>
      <c r="AH373" s="156">
        <v>22.1</v>
      </c>
      <c r="AI373" s="191">
        <v>0.52</v>
      </c>
      <c r="AJ373" s="192">
        <v>0.88</v>
      </c>
      <c r="AK373" s="193">
        <v>7.0999999999999994E-2</v>
      </c>
      <c r="AL373" s="192">
        <v>0.89</v>
      </c>
      <c r="AM373" s="192"/>
      <c r="AN373" s="144">
        <f t="shared" si="220"/>
        <v>1.1019726027397261E-3</v>
      </c>
      <c r="AO373" s="158">
        <f t="shared" si="230"/>
        <v>3.6732420091324207</v>
      </c>
      <c r="AP373" s="144">
        <f t="shared" si="221"/>
        <v>2.5928767123287669E-5</v>
      </c>
      <c r="AQ373" s="158">
        <f t="shared" si="231"/>
        <v>7.2024353120243526E-3</v>
      </c>
      <c r="AR373" s="144">
        <f t="shared" si="222"/>
        <v>4.3879452054794522E-5</v>
      </c>
      <c r="AS373" s="158">
        <f t="shared" si="232"/>
        <v>1.462648401826484E-2</v>
      </c>
      <c r="AT373" s="144">
        <f t="shared" si="223"/>
        <v>3.5402739726027396E-6</v>
      </c>
      <c r="AU373" s="158">
        <f t="shared" si="233"/>
        <v>7.0805479452054794E-3</v>
      </c>
      <c r="AV373" s="144">
        <f t="shared" si="224"/>
        <v>4.4378082191780828E-5</v>
      </c>
      <c r="AW373" s="158">
        <f t="shared" si="234"/>
        <v>2.2189041095890412E-3</v>
      </c>
      <c r="AX373" s="144">
        <f t="shared" si="225"/>
        <v>6.8830904109589051E-5</v>
      </c>
      <c r="AY373" s="158">
        <f t="shared" si="235"/>
        <v>0.22943634703196353</v>
      </c>
      <c r="AZ373" s="144">
        <f t="shared" si="226"/>
        <v>5.398502283105024E-9</v>
      </c>
      <c r="BA373" s="158">
        <f t="shared" si="236"/>
        <v>1.5424292237442926E-6</v>
      </c>
      <c r="BB373" s="144">
        <f t="shared" si="227"/>
        <v>9.1359269406392697E-8</v>
      </c>
      <c r="BC373" s="158">
        <f t="shared" si="237"/>
        <v>1.8271853881278539E-5</v>
      </c>
      <c r="BD373" s="144">
        <f t="shared" si="228"/>
        <v>7.3710319634703192E-9</v>
      </c>
      <c r="BE373" s="158">
        <f t="shared" si="238"/>
        <v>1.4742063926940637E-5</v>
      </c>
      <c r="BF373" s="144">
        <f t="shared" si="229"/>
        <v>1.8479488584474882E-8</v>
      </c>
      <c r="BG373" s="158">
        <f t="shared" si="239"/>
        <v>3.299908675799086E-6</v>
      </c>
    </row>
    <row r="374" spans="20:59">
      <c r="T374" s="53" t="s">
        <v>572</v>
      </c>
      <c r="U374" s="53" t="s">
        <v>573</v>
      </c>
      <c r="V374" s="180">
        <v>43889</v>
      </c>
      <c r="W374" s="183">
        <v>0.19523199999999999</v>
      </c>
      <c r="X374" s="183">
        <v>34.751345000000001</v>
      </c>
      <c r="Y374" s="198" t="s">
        <v>666</v>
      </c>
      <c r="Z374" s="53" t="s">
        <v>330</v>
      </c>
      <c r="AA374" s="53" t="s">
        <v>347</v>
      </c>
      <c r="AB374" s="154" t="s">
        <v>371</v>
      </c>
      <c r="AC374" s="116" t="s">
        <v>687</v>
      </c>
      <c r="AD374" s="53" t="s">
        <v>555</v>
      </c>
      <c r="AE374" s="53" t="s">
        <v>739</v>
      </c>
      <c r="AF374" s="53" t="s">
        <v>684</v>
      </c>
      <c r="AG374" s="53" t="s">
        <v>683</v>
      </c>
      <c r="AH374" s="156">
        <v>17.170000000000002</v>
      </c>
      <c r="AI374" s="191">
        <v>0.13</v>
      </c>
      <c r="AJ374" s="192">
        <v>0.77</v>
      </c>
      <c r="AK374" s="193">
        <v>4.7E-2</v>
      </c>
      <c r="AL374" s="192">
        <v>1.2</v>
      </c>
      <c r="AM374" s="192"/>
      <c r="AN374" s="144">
        <f t="shared" si="220"/>
        <v>8.5614794520547967E-4</v>
      </c>
      <c r="AO374" s="158">
        <f t="shared" si="230"/>
        <v>2.8538264840182657</v>
      </c>
      <c r="AP374" s="144">
        <f t="shared" si="221"/>
        <v>6.4821917808219174E-6</v>
      </c>
      <c r="AQ374" s="158">
        <f t="shared" si="231"/>
        <v>1.8006088280060882E-3</v>
      </c>
      <c r="AR374" s="144">
        <f t="shared" si="222"/>
        <v>3.8394520547945208E-5</v>
      </c>
      <c r="AS374" s="158">
        <f t="shared" si="232"/>
        <v>1.2798173515981736E-2</v>
      </c>
      <c r="AT374" s="144">
        <f t="shared" si="223"/>
        <v>2.343561643835616E-6</v>
      </c>
      <c r="AU374" s="158">
        <f t="shared" si="233"/>
        <v>4.687123287671232E-3</v>
      </c>
      <c r="AV374" s="144">
        <f t="shared" si="224"/>
        <v>5.9835616438356163E-5</v>
      </c>
      <c r="AW374" s="158">
        <f t="shared" si="234"/>
        <v>2.991780821917808E-3</v>
      </c>
      <c r="AX374" s="144">
        <f t="shared" si="225"/>
        <v>5.3476317808219182E-5</v>
      </c>
      <c r="AY374" s="158">
        <f t="shared" si="235"/>
        <v>0.17825439269406396</v>
      </c>
      <c r="AZ374" s="144">
        <f t="shared" si="226"/>
        <v>1.349625570776256E-9</v>
      </c>
      <c r="BA374" s="158">
        <f t="shared" si="236"/>
        <v>3.8560730593607314E-7</v>
      </c>
      <c r="BB374" s="144">
        <f t="shared" si="227"/>
        <v>7.9939360730593625E-8</v>
      </c>
      <c r="BC374" s="158">
        <f t="shared" si="237"/>
        <v>1.5987872146118726E-5</v>
      </c>
      <c r="BD374" s="144">
        <f t="shared" si="228"/>
        <v>4.879415525114155E-9</v>
      </c>
      <c r="BE374" s="158">
        <f t="shared" si="238"/>
        <v>9.7588310502283104E-6</v>
      </c>
      <c r="BF374" s="144">
        <f t="shared" si="229"/>
        <v>2.4916164383561647E-8</v>
      </c>
      <c r="BG374" s="158">
        <f t="shared" si="239"/>
        <v>4.449315068493151E-6</v>
      </c>
    </row>
    <row r="375" spans="20:59">
      <c r="T375" s="53" t="s">
        <v>574</v>
      </c>
      <c r="U375" s="53" t="s">
        <v>573</v>
      </c>
      <c r="V375" s="180">
        <v>43889</v>
      </c>
      <c r="W375" s="183">
        <v>0.19523199999999999</v>
      </c>
      <c r="X375" s="183">
        <v>34.751345000000001</v>
      </c>
      <c r="Y375" s="198" t="s">
        <v>666</v>
      </c>
      <c r="Z375" s="53" t="s">
        <v>330</v>
      </c>
      <c r="AA375" s="53" t="s">
        <v>347</v>
      </c>
      <c r="AB375" s="154" t="s">
        <v>371</v>
      </c>
      <c r="AC375" s="116" t="s">
        <v>687</v>
      </c>
      <c r="AD375" s="53" t="s">
        <v>555</v>
      </c>
      <c r="AE375" s="53" t="s">
        <v>739</v>
      </c>
      <c r="AF375" s="53" t="s">
        <v>684</v>
      </c>
      <c r="AG375" s="53" t="s">
        <v>683</v>
      </c>
      <c r="AH375" s="156">
        <v>17.09</v>
      </c>
      <c r="AI375" s="191">
        <v>0.02</v>
      </c>
      <c r="AJ375" s="192">
        <v>0.72</v>
      </c>
      <c r="AK375" s="193">
        <v>1.9E-2</v>
      </c>
      <c r="AL375" s="192">
        <v>1.1100000000000001</v>
      </c>
      <c r="AM375" s="192"/>
      <c r="AN375" s="144">
        <f t="shared" si="220"/>
        <v>8.5215890410958906E-4</v>
      </c>
      <c r="AO375" s="158">
        <f t="shared" si="230"/>
        <v>2.8405296803652971</v>
      </c>
      <c r="AP375" s="144">
        <f t="shared" si="221"/>
        <v>9.9726027397260257E-7</v>
      </c>
      <c r="AQ375" s="158">
        <f t="shared" si="231"/>
        <v>2.7701674277016741E-4</v>
      </c>
      <c r="AR375" s="144">
        <f t="shared" si="222"/>
        <v>3.5901369863013704E-5</v>
      </c>
      <c r="AS375" s="158">
        <f t="shared" si="232"/>
        <v>1.1967123287671235E-2</v>
      </c>
      <c r="AT375" s="144">
        <f t="shared" si="223"/>
        <v>9.4739726027397263E-7</v>
      </c>
      <c r="AU375" s="158">
        <f t="shared" si="233"/>
        <v>1.8947945205479452E-3</v>
      </c>
      <c r="AV375" s="144">
        <f t="shared" si="224"/>
        <v>5.5347945205479462E-5</v>
      </c>
      <c r="AW375" s="158">
        <f t="shared" si="234"/>
        <v>2.7673972602739729E-3</v>
      </c>
      <c r="AX375" s="144">
        <f t="shared" si="225"/>
        <v>5.3227156164383559E-5</v>
      </c>
      <c r="AY375" s="158">
        <f t="shared" si="235"/>
        <v>0.17742385388127854</v>
      </c>
      <c r="AZ375" s="144">
        <f t="shared" si="226"/>
        <v>2.07634703196347E-10</v>
      </c>
      <c r="BA375" s="158">
        <f t="shared" si="236"/>
        <v>5.9324200913241999E-8</v>
      </c>
      <c r="BB375" s="144">
        <f t="shared" si="227"/>
        <v>7.4748493150684928E-8</v>
      </c>
      <c r="BC375" s="158">
        <f t="shared" si="237"/>
        <v>1.4949698630136986E-5</v>
      </c>
      <c r="BD375" s="144">
        <f t="shared" si="228"/>
        <v>1.9725296803652968E-9</v>
      </c>
      <c r="BE375" s="158">
        <f t="shared" si="238"/>
        <v>3.9450593607305935E-6</v>
      </c>
      <c r="BF375" s="144">
        <f t="shared" si="229"/>
        <v>2.3047452054794525E-8</v>
      </c>
      <c r="BG375" s="158">
        <f t="shared" si="239"/>
        <v>4.1156164383561652E-6</v>
      </c>
    </row>
    <row r="376" spans="20:59">
      <c r="T376" s="53" t="s">
        <v>575</v>
      </c>
      <c r="U376" s="53" t="s">
        <v>576</v>
      </c>
      <c r="V376" s="180">
        <v>43890</v>
      </c>
      <c r="W376" s="183">
        <v>0.224908</v>
      </c>
      <c r="X376" s="183">
        <v>34.799022000000001</v>
      </c>
      <c r="Y376" s="53" t="s">
        <v>667</v>
      </c>
      <c r="Z376" s="53" t="s">
        <v>330</v>
      </c>
      <c r="AA376" s="53" t="s">
        <v>347</v>
      </c>
      <c r="AB376" s="154" t="s">
        <v>371</v>
      </c>
      <c r="AC376" s="116" t="s">
        <v>687</v>
      </c>
      <c r="AD376" s="53" t="s">
        <v>535</v>
      </c>
      <c r="AE376" s="53" t="s">
        <v>739</v>
      </c>
      <c r="AF376" s="53" t="s">
        <v>684</v>
      </c>
      <c r="AG376" s="53" t="s">
        <v>683</v>
      </c>
      <c r="AH376" s="156">
        <v>3.36</v>
      </c>
      <c r="AI376" s="191">
        <v>0.13</v>
      </c>
      <c r="AJ376" s="192">
        <v>2.35</v>
      </c>
      <c r="AK376" s="193">
        <v>5.6000000000000001E-2</v>
      </c>
      <c r="AL376" s="192">
        <v>3.49</v>
      </c>
      <c r="AM376" s="192"/>
      <c r="AN376" s="144">
        <f t="shared" si="220"/>
        <v>1.6753972602739727E-4</v>
      </c>
      <c r="AO376" s="158">
        <f t="shared" si="230"/>
        <v>0.55846575342465765</v>
      </c>
      <c r="AP376" s="144">
        <f t="shared" si="221"/>
        <v>6.4821917808219174E-6</v>
      </c>
      <c r="AQ376" s="158">
        <f t="shared" si="231"/>
        <v>1.8006088280060882E-3</v>
      </c>
      <c r="AR376" s="144">
        <f t="shared" si="222"/>
        <v>1.1717808219178083E-4</v>
      </c>
      <c r="AS376" s="158">
        <f t="shared" si="232"/>
        <v>3.9059360730593608E-2</v>
      </c>
      <c r="AT376" s="144">
        <f t="shared" si="223"/>
        <v>2.792328767123288E-6</v>
      </c>
      <c r="AU376" s="158">
        <f t="shared" si="233"/>
        <v>5.5846575342465756E-3</v>
      </c>
      <c r="AV376" s="144">
        <f t="shared" si="224"/>
        <v>1.7402191780821919E-4</v>
      </c>
      <c r="AW376" s="158">
        <f t="shared" si="234"/>
        <v>8.7010958904109592E-3</v>
      </c>
      <c r="AX376" s="144">
        <f t="shared" si="225"/>
        <v>1.0464789041095891E-5</v>
      </c>
      <c r="AY376" s="158">
        <f t="shared" si="235"/>
        <v>3.4882630136986302E-2</v>
      </c>
      <c r="AZ376" s="144">
        <f t="shared" si="226"/>
        <v>1.349625570776256E-9</v>
      </c>
      <c r="BA376" s="158">
        <f t="shared" si="236"/>
        <v>3.8560730593607314E-7</v>
      </c>
      <c r="BB376" s="144">
        <f t="shared" si="227"/>
        <v>2.439707762557078E-7</v>
      </c>
      <c r="BC376" s="158">
        <f t="shared" si="237"/>
        <v>4.879415525114156E-5</v>
      </c>
      <c r="BD376" s="144">
        <f t="shared" si="228"/>
        <v>5.8137716894977171E-9</v>
      </c>
      <c r="BE376" s="158">
        <f t="shared" si="238"/>
        <v>1.1627543378995434E-5</v>
      </c>
      <c r="BF376" s="144">
        <f t="shared" si="229"/>
        <v>7.2464511415525122E-8</v>
      </c>
      <c r="BG376" s="158">
        <f t="shared" si="239"/>
        <v>1.2940091324200914E-5</v>
      </c>
    </row>
    <row r="377" spans="20:59">
      <c r="T377" s="53" t="s">
        <v>577</v>
      </c>
      <c r="U377" s="53" t="s">
        <v>578</v>
      </c>
      <c r="V377" s="180">
        <v>43890</v>
      </c>
      <c r="W377" s="183">
        <v>0.22484799999999999</v>
      </c>
      <c r="X377" s="183">
        <v>34.799002999999999</v>
      </c>
      <c r="Y377" s="53" t="s">
        <v>667</v>
      </c>
      <c r="Z377" s="53" t="s">
        <v>330</v>
      </c>
      <c r="AA377" s="53" t="s">
        <v>347</v>
      </c>
      <c r="AB377" s="154" t="s">
        <v>371</v>
      </c>
      <c r="AC377" s="116" t="s">
        <v>687</v>
      </c>
      <c r="AD377" s="53" t="s">
        <v>535</v>
      </c>
      <c r="AE377" s="53" t="s">
        <v>739</v>
      </c>
      <c r="AF377" s="53" t="s">
        <v>684</v>
      </c>
      <c r="AG377" s="53" t="s">
        <v>683</v>
      </c>
      <c r="AH377" s="156">
        <v>4.88</v>
      </c>
      <c r="AI377" s="191">
        <v>0.25</v>
      </c>
      <c r="AJ377" s="192">
        <v>0.8</v>
      </c>
      <c r="AK377" s="193">
        <v>9.6000000000000002E-2</v>
      </c>
      <c r="AL377" s="192">
        <v>3.73</v>
      </c>
      <c r="AM377" s="192"/>
      <c r="AN377" s="144">
        <f t="shared" si="220"/>
        <v>2.4333150684931507E-4</v>
      </c>
      <c r="AO377" s="158">
        <f t="shared" si="230"/>
        <v>0.81110502283105035</v>
      </c>
      <c r="AP377" s="144">
        <f t="shared" si="221"/>
        <v>1.2465753424657535E-5</v>
      </c>
      <c r="AQ377" s="158">
        <f t="shared" si="231"/>
        <v>3.4627092846270932E-3</v>
      </c>
      <c r="AR377" s="144">
        <f t="shared" si="222"/>
        <v>3.9890410958904113E-5</v>
      </c>
      <c r="AS377" s="158">
        <f t="shared" si="232"/>
        <v>1.3296803652968037E-2</v>
      </c>
      <c r="AT377" s="144">
        <f t="shared" si="223"/>
        <v>4.7868493150684944E-6</v>
      </c>
      <c r="AU377" s="158">
        <f t="shared" si="233"/>
        <v>9.573698630136988E-3</v>
      </c>
      <c r="AV377" s="144">
        <f t="shared" si="224"/>
        <v>1.8598904109589043E-4</v>
      </c>
      <c r="AW377" s="158">
        <f t="shared" si="234"/>
        <v>9.2994520547945211E-3</v>
      </c>
      <c r="AX377" s="144">
        <f t="shared" si="225"/>
        <v>1.5198860273972598E-5</v>
      </c>
      <c r="AY377" s="158">
        <f t="shared" si="235"/>
        <v>5.0662867579908663E-2</v>
      </c>
      <c r="AZ377" s="144">
        <f t="shared" si="226"/>
        <v>2.5954337899543385E-9</v>
      </c>
      <c r="BA377" s="158">
        <f t="shared" si="236"/>
        <v>7.4155251141552527E-7</v>
      </c>
      <c r="BB377" s="144">
        <f t="shared" si="227"/>
        <v>8.3053881278538833E-8</v>
      </c>
      <c r="BC377" s="158">
        <f t="shared" si="237"/>
        <v>1.6610776255707766E-5</v>
      </c>
      <c r="BD377" s="144">
        <f t="shared" si="228"/>
        <v>9.9664657534246569E-9</v>
      </c>
      <c r="BE377" s="158">
        <f t="shared" si="238"/>
        <v>1.9932931506849315E-5</v>
      </c>
      <c r="BF377" s="144">
        <f t="shared" si="229"/>
        <v>7.7447744292237435E-8</v>
      </c>
      <c r="BG377" s="158">
        <f t="shared" si="239"/>
        <v>1.3829954337899543E-5</v>
      </c>
    </row>
    <row r="378" spans="20:59">
      <c r="T378" s="53" t="s">
        <v>579</v>
      </c>
      <c r="U378" s="53" t="s">
        <v>580</v>
      </c>
      <c r="V378" s="180">
        <v>43890</v>
      </c>
      <c r="W378" s="183">
        <v>0.21770700000000001</v>
      </c>
      <c r="X378" s="183">
        <v>34.802644000000001</v>
      </c>
      <c r="Y378" s="53" t="s">
        <v>667</v>
      </c>
      <c r="Z378" s="53" t="s">
        <v>330</v>
      </c>
      <c r="AA378" s="53" t="s">
        <v>347</v>
      </c>
      <c r="AB378" s="154" t="s">
        <v>371</v>
      </c>
      <c r="AC378" s="116" t="s">
        <v>687</v>
      </c>
      <c r="AD378" s="53" t="s">
        <v>535</v>
      </c>
      <c r="AE378" s="53" t="s">
        <v>739</v>
      </c>
      <c r="AF378" s="53" t="s">
        <v>684</v>
      </c>
      <c r="AG378" s="53" t="s">
        <v>683</v>
      </c>
      <c r="AH378" s="156">
        <v>1.2</v>
      </c>
      <c r="AI378" s="191">
        <v>0.22</v>
      </c>
      <c r="AJ378" s="192">
        <v>0.23</v>
      </c>
      <c r="AK378" s="193">
        <v>4.2999999999999997E-2</v>
      </c>
      <c r="AL378" s="192">
        <v>1.2</v>
      </c>
      <c r="AM378" s="192"/>
      <c r="AN378" s="144">
        <f t="shared" si="220"/>
        <v>5.9835616438356163E-5</v>
      </c>
      <c r="AO378" s="158">
        <f t="shared" si="230"/>
        <v>0.19945205479452055</v>
      </c>
      <c r="AP378" s="144">
        <f t="shared" si="221"/>
        <v>1.096986301369863E-5</v>
      </c>
      <c r="AQ378" s="158">
        <f t="shared" si="231"/>
        <v>3.047184170471842E-3</v>
      </c>
      <c r="AR378" s="144">
        <f t="shared" si="222"/>
        <v>1.1468493150684931E-5</v>
      </c>
      <c r="AS378" s="158">
        <f t="shared" si="232"/>
        <v>3.8228310502283103E-3</v>
      </c>
      <c r="AT378" s="144">
        <f t="shared" si="223"/>
        <v>2.1441095890410958E-6</v>
      </c>
      <c r="AU378" s="158">
        <f t="shared" si="233"/>
        <v>4.2882191780821916E-3</v>
      </c>
      <c r="AV378" s="144">
        <f t="shared" si="224"/>
        <v>5.9835616438356163E-5</v>
      </c>
      <c r="AW378" s="158">
        <f t="shared" si="234"/>
        <v>2.991780821917808E-3</v>
      </c>
      <c r="AX378" s="144">
        <f t="shared" si="225"/>
        <v>3.7374246575342461E-6</v>
      </c>
      <c r="AY378" s="158">
        <f t="shared" si="235"/>
        <v>1.2458082191780821E-2</v>
      </c>
      <c r="AZ378" s="144">
        <f t="shared" si="226"/>
        <v>2.2839817351598173E-9</v>
      </c>
      <c r="BA378" s="158">
        <f t="shared" si="236"/>
        <v>6.5256621004566211E-7</v>
      </c>
      <c r="BB378" s="144">
        <f t="shared" si="227"/>
        <v>2.3877990867579912E-8</v>
      </c>
      <c r="BC378" s="158">
        <f t="shared" si="237"/>
        <v>4.7755981735159825E-6</v>
      </c>
      <c r="BD378" s="144">
        <f t="shared" si="228"/>
        <v>4.4641461187214602E-9</v>
      </c>
      <c r="BE378" s="158">
        <f t="shared" si="238"/>
        <v>8.9282922374429205E-6</v>
      </c>
      <c r="BF378" s="144">
        <f t="shared" si="229"/>
        <v>2.4916164383561647E-8</v>
      </c>
      <c r="BG378" s="158">
        <f t="shared" si="239"/>
        <v>4.449315068493151E-6</v>
      </c>
    </row>
    <row r="379" spans="20:59">
      <c r="T379" s="53" t="s">
        <v>581</v>
      </c>
      <c r="U379" s="53" t="s">
        <v>582</v>
      </c>
      <c r="V379" s="180">
        <v>43890</v>
      </c>
      <c r="W379" s="183">
        <v>0.21793199999999999</v>
      </c>
      <c r="X379" s="183">
        <v>34.802683999999999</v>
      </c>
      <c r="Y379" s="53" t="s">
        <v>667</v>
      </c>
      <c r="Z379" s="53" t="s">
        <v>330</v>
      </c>
      <c r="AA379" s="53" t="s">
        <v>347</v>
      </c>
      <c r="AB379" s="154" t="s">
        <v>371</v>
      </c>
      <c r="AC379" s="116" t="s">
        <v>687</v>
      </c>
      <c r="AD379" s="53" t="s">
        <v>535</v>
      </c>
      <c r="AE379" s="53" t="s">
        <v>739</v>
      </c>
      <c r="AF379" s="53" t="s">
        <v>684</v>
      </c>
      <c r="AG379" s="53" t="s">
        <v>683</v>
      </c>
      <c r="AH379" s="156">
        <v>6.12</v>
      </c>
      <c r="AI379" s="191">
        <v>7.0000000000000007E-2</v>
      </c>
      <c r="AJ379" s="192">
        <v>0.08</v>
      </c>
      <c r="AK379" s="193">
        <v>7.0000000000000001E-3</v>
      </c>
      <c r="AL379" s="192">
        <v>1.21</v>
      </c>
      <c r="AM379" s="192"/>
      <c r="AN379" s="144">
        <f t="shared" si="220"/>
        <v>3.0516164383561641E-4</v>
      </c>
      <c r="AO379" s="158">
        <f t="shared" si="230"/>
        <v>1.0172054794520549</v>
      </c>
      <c r="AP379" s="144">
        <f t="shared" si="221"/>
        <v>3.4904109589041105E-6</v>
      </c>
      <c r="AQ379" s="158">
        <f t="shared" si="231"/>
        <v>9.695585996955863E-4</v>
      </c>
      <c r="AR379" s="144">
        <f t="shared" si="222"/>
        <v>3.9890410958904103E-6</v>
      </c>
      <c r="AS379" s="158">
        <f t="shared" si="232"/>
        <v>1.3296803652968034E-3</v>
      </c>
      <c r="AT379" s="144">
        <f t="shared" si="223"/>
        <v>3.49041095890411E-7</v>
      </c>
      <c r="AU379" s="158">
        <f t="shared" si="233"/>
        <v>6.9808219178082195E-4</v>
      </c>
      <c r="AV379" s="144">
        <f t="shared" si="224"/>
        <v>6.0334246575342469E-5</v>
      </c>
      <c r="AW379" s="158">
        <f t="shared" si="234"/>
        <v>3.0167123287671233E-3</v>
      </c>
      <c r="AX379" s="144">
        <f t="shared" si="225"/>
        <v>1.9060865753424656E-5</v>
      </c>
      <c r="AY379" s="158">
        <f t="shared" si="235"/>
        <v>6.3536219178082193E-2</v>
      </c>
      <c r="AZ379" s="144">
        <f t="shared" si="226"/>
        <v>7.2672146118721463E-10</v>
      </c>
      <c r="BA379" s="158">
        <f t="shared" si="236"/>
        <v>2.0763470319634703E-7</v>
      </c>
      <c r="BB379" s="144">
        <f t="shared" si="227"/>
        <v>8.3053881278538813E-9</v>
      </c>
      <c r="BC379" s="158">
        <f t="shared" si="237"/>
        <v>1.6610776255707762E-6</v>
      </c>
      <c r="BD379" s="144">
        <f t="shared" si="228"/>
        <v>7.2672146118721463E-10</v>
      </c>
      <c r="BE379" s="158">
        <f t="shared" si="238"/>
        <v>1.4534429223744292E-6</v>
      </c>
      <c r="BF379" s="144">
        <f t="shared" si="229"/>
        <v>2.5123799086757988E-8</v>
      </c>
      <c r="BG379" s="158">
        <f t="shared" si="239"/>
        <v>4.4863926940639263E-6</v>
      </c>
    </row>
    <row r="380" spans="20:59">
      <c r="T380" s="53" t="s">
        <v>583</v>
      </c>
      <c r="U380" s="53" t="s">
        <v>584</v>
      </c>
      <c r="V380" s="180">
        <v>43890</v>
      </c>
      <c r="W380" s="183">
        <v>0.218167</v>
      </c>
      <c r="X380" s="183">
        <v>34.802627999999999</v>
      </c>
      <c r="Y380" s="53" t="s">
        <v>667</v>
      </c>
      <c r="Z380" s="53" t="s">
        <v>330</v>
      </c>
      <c r="AA380" s="53" t="s">
        <v>347</v>
      </c>
      <c r="AB380" s="154" t="s">
        <v>371</v>
      </c>
      <c r="AC380" s="116" t="s">
        <v>687</v>
      </c>
      <c r="AD380" s="53" t="s">
        <v>530</v>
      </c>
      <c r="AE380" s="53" t="s">
        <v>740</v>
      </c>
      <c r="AF380" s="53" t="s">
        <v>684</v>
      </c>
      <c r="AG380" s="53" t="s">
        <v>683</v>
      </c>
      <c r="AH380" s="156">
        <v>3.13</v>
      </c>
      <c r="AI380" s="191">
        <v>0.17</v>
      </c>
      <c r="AJ380" s="192">
        <v>0.13</v>
      </c>
      <c r="AK380" s="193">
        <v>1.4E-2</v>
      </c>
      <c r="AL380" s="192">
        <v>1.33</v>
      </c>
      <c r="AM380" s="192"/>
      <c r="AN380" s="144">
        <f t="shared" si="220"/>
        <v>1.560712328767123E-4</v>
      </c>
      <c r="AO380" s="158">
        <f t="shared" si="230"/>
        <v>0.52023744292237439</v>
      </c>
      <c r="AP380" s="144">
        <f t="shared" si="221"/>
        <v>8.476712328767125E-6</v>
      </c>
      <c r="AQ380" s="158">
        <f t="shared" si="231"/>
        <v>2.3546423135464237E-3</v>
      </c>
      <c r="AR380" s="144">
        <f t="shared" si="222"/>
        <v>6.4821917808219174E-6</v>
      </c>
      <c r="AS380" s="158">
        <f t="shared" si="232"/>
        <v>2.1607305936073057E-3</v>
      </c>
      <c r="AT380" s="144">
        <f t="shared" si="223"/>
        <v>6.9808219178082199E-7</v>
      </c>
      <c r="AU380" s="158">
        <f t="shared" si="233"/>
        <v>1.3961643835616439E-3</v>
      </c>
      <c r="AV380" s="144">
        <f t="shared" si="224"/>
        <v>6.6317808219178075E-5</v>
      </c>
      <c r="AW380" s="158">
        <f t="shared" si="234"/>
        <v>3.3158904109589038E-3</v>
      </c>
      <c r="AX380" s="144">
        <f t="shared" si="225"/>
        <v>9.7484493150684911E-6</v>
      </c>
      <c r="AY380" s="158">
        <f t="shared" si="235"/>
        <v>3.2494831050228309E-2</v>
      </c>
      <c r="AZ380" s="144">
        <f t="shared" si="226"/>
        <v>1.7648949771689501E-9</v>
      </c>
      <c r="BA380" s="158">
        <f t="shared" si="236"/>
        <v>5.0425570776255712E-7</v>
      </c>
      <c r="BB380" s="144">
        <f t="shared" si="227"/>
        <v>1.3496255707762557E-8</v>
      </c>
      <c r="BC380" s="158">
        <f t="shared" si="237"/>
        <v>2.6992511415525114E-6</v>
      </c>
      <c r="BD380" s="144">
        <f t="shared" si="228"/>
        <v>1.4534429223744293E-9</v>
      </c>
      <c r="BE380" s="158">
        <f t="shared" si="238"/>
        <v>2.9068858447488584E-6</v>
      </c>
      <c r="BF380" s="144">
        <f t="shared" si="229"/>
        <v>2.7615415525114154E-8</v>
      </c>
      <c r="BG380" s="158">
        <f t="shared" si="239"/>
        <v>4.9313242009132415E-6</v>
      </c>
    </row>
    <row r="381" spans="20:59">
      <c r="T381" s="53" t="s">
        <v>585</v>
      </c>
      <c r="U381" s="53" t="s">
        <v>586</v>
      </c>
      <c r="V381" s="180">
        <v>43890</v>
      </c>
      <c r="W381" s="183">
        <v>0.16252800000000001</v>
      </c>
      <c r="X381" s="183">
        <v>34.760970999999998</v>
      </c>
      <c r="Y381" s="53" t="s">
        <v>668</v>
      </c>
      <c r="Z381" s="53" t="s">
        <v>330</v>
      </c>
      <c r="AA381" s="53" t="s">
        <v>347</v>
      </c>
      <c r="AB381" s="154" t="s">
        <v>371</v>
      </c>
      <c r="AC381" s="116" t="s">
        <v>687</v>
      </c>
      <c r="AD381" s="53" t="s">
        <v>538</v>
      </c>
      <c r="AE381" s="53" t="s">
        <v>739</v>
      </c>
      <c r="AF381" s="53" t="s">
        <v>726</v>
      </c>
      <c r="AG381" s="53" t="s">
        <v>727</v>
      </c>
      <c r="AH381" s="156">
        <v>0.19</v>
      </c>
      <c r="AI381" s="191">
        <v>0.1</v>
      </c>
      <c r="AJ381" s="192">
        <v>0.11</v>
      </c>
      <c r="AK381" s="193">
        <v>8.0000000000000002E-3</v>
      </c>
      <c r="AL381" s="192">
        <v>0.32</v>
      </c>
      <c r="AM381" s="192"/>
      <c r="AN381" s="144">
        <f t="shared" si="220"/>
        <v>9.4739726027397255E-6</v>
      </c>
      <c r="AO381" s="158">
        <f t="shared" si="230"/>
        <v>3.1579908675799087E-2</v>
      </c>
      <c r="AP381" s="144">
        <f t="shared" si="221"/>
        <v>4.9863013698630141E-6</v>
      </c>
      <c r="AQ381" s="158">
        <f t="shared" si="231"/>
        <v>1.3850837138508372E-3</v>
      </c>
      <c r="AR381" s="144">
        <f t="shared" si="222"/>
        <v>5.4849315068493152E-6</v>
      </c>
      <c r="AS381" s="158">
        <f t="shared" si="232"/>
        <v>1.828310502283105E-3</v>
      </c>
      <c r="AT381" s="144">
        <f t="shared" si="223"/>
        <v>3.9890410958904115E-7</v>
      </c>
      <c r="AU381" s="158">
        <f t="shared" si="233"/>
        <v>7.9780821917808226E-4</v>
      </c>
      <c r="AV381" s="144">
        <f t="shared" si="224"/>
        <v>1.5956164383561641E-5</v>
      </c>
      <c r="AW381" s="158">
        <f t="shared" si="234"/>
        <v>7.9780821917808204E-4</v>
      </c>
      <c r="AX381" s="144">
        <f t="shared" si="225"/>
        <v>5.9175890410958912E-7</v>
      </c>
      <c r="AY381" s="158">
        <f t="shared" si="235"/>
        <v>1.9725296803652973E-3</v>
      </c>
      <c r="AZ381" s="144">
        <f t="shared" si="226"/>
        <v>1.0381735159817352E-9</v>
      </c>
      <c r="BA381" s="158">
        <f t="shared" si="236"/>
        <v>2.9662100456621003E-7</v>
      </c>
      <c r="BB381" s="144">
        <f t="shared" si="227"/>
        <v>1.1419908675799087E-8</v>
      </c>
      <c r="BC381" s="158">
        <f t="shared" si="237"/>
        <v>2.2839817351598173E-6</v>
      </c>
      <c r="BD381" s="144">
        <f t="shared" si="228"/>
        <v>8.3053881278538811E-10</v>
      </c>
      <c r="BE381" s="158">
        <f t="shared" si="238"/>
        <v>1.6610776255707762E-6</v>
      </c>
      <c r="BF381" s="144">
        <f t="shared" si="229"/>
        <v>6.644310502283104E-9</v>
      </c>
      <c r="BG381" s="158">
        <f t="shared" si="239"/>
        <v>1.1864840182648399E-6</v>
      </c>
    </row>
    <row r="382" spans="20:59">
      <c r="T382" s="53" t="s">
        <v>587</v>
      </c>
      <c r="U382" s="53" t="s">
        <v>588</v>
      </c>
      <c r="V382" s="180">
        <v>43890</v>
      </c>
      <c r="W382" s="183">
        <v>0.16381399999999999</v>
      </c>
      <c r="X382" s="183">
        <v>34.761139</v>
      </c>
      <c r="Y382" s="53" t="s">
        <v>669</v>
      </c>
      <c r="Z382" s="53" t="s">
        <v>330</v>
      </c>
      <c r="AA382" s="53" t="s">
        <v>347</v>
      </c>
      <c r="AB382" s="154" t="s">
        <v>371</v>
      </c>
      <c r="AC382" s="116" t="s">
        <v>687</v>
      </c>
      <c r="AD382" s="53" t="s">
        <v>527</v>
      </c>
      <c r="AE382" s="53" t="s">
        <v>740</v>
      </c>
      <c r="AF382" s="53" t="s">
        <v>685</v>
      </c>
      <c r="AG382" s="53" t="s">
        <v>691</v>
      </c>
      <c r="AH382" s="156">
        <v>2.29</v>
      </c>
      <c r="AI382" s="191">
        <v>0.35</v>
      </c>
      <c r="AJ382" s="192">
        <v>0.76</v>
      </c>
      <c r="AK382" s="193">
        <v>3.9E-2</v>
      </c>
      <c r="AL382" s="192">
        <v>5.03</v>
      </c>
      <c r="AM382" s="192"/>
      <c r="AN382" s="144">
        <f t="shared" si="220"/>
        <v>1.1418630136986301E-4</v>
      </c>
      <c r="AO382" s="158">
        <f t="shared" si="230"/>
        <v>0.38062100456621006</v>
      </c>
      <c r="AP382" s="144">
        <f t="shared" si="221"/>
        <v>1.7452054794520546E-5</v>
      </c>
      <c r="AQ382" s="158">
        <f t="shared" si="231"/>
        <v>4.8477929984779298E-3</v>
      </c>
      <c r="AR382" s="144">
        <f t="shared" si="222"/>
        <v>3.7895890410958902E-5</v>
      </c>
      <c r="AS382" s="158">
        <f t="shared" si="232"/>
        <v>1.2631963470319633E-2</v>
      </c>
      <c r="AT382" s="144">
        <f t="shared" si="223"/>
        <v>1.9446575342465756E-6</v>
      </c>
      <c r="AU382" s="158">
        <f t="shared" si="233"/>
        <v>3.8893150684931512E-3</v>
      </c>
      <c r="AV382" s="144">
        <f t="shared" si="224"/>
        <v>2.5081095890410956E-4</v>
      </c>
      <c r="AW382" s="158">
        <f t="shared" si="234"/>
        <v>1.2540547945205477E-2</v>
      </c>
      <c r="AX382" s="144">
        <f t="shared" si="225"/>
        <v>7.1322520547945197E-6</v>
      </c>
      <c r="AY382" s="158">
        <f t="shared" si="235"/>
        <v>2.3774173515981736E-2</v>
      </c>
      <c r="AZ382" s="144">
        <f t="shared" si="226"/>
        <v>3.6336073059360733E-9</v>
      </c>
      <c r="BA382" s="158">
        <f t="shared" si="236"/>
        <v>1.0381735159817351E-6</v>
      </c>
      <c r="BB382" s="144">
        <f t="shared" si="227"/>
        <v>7.8901187214611867E-8</v>
      </c>
      <c r="BC382" s="158">
        <f t="shared" si="237"/>
        <v>1.5780237442922374E-5</v>
      </c>
      <c r="BD382" s="144">
        <f t="shared" si="228"/>
        <v>4.0488767123287672E-9</v>
      </c>
      <c r="BE382" s="158">
        <f t="shared" si="238"/>
        <v>8.0977534246575341E-6</v>
      </c>
      <c r="BF382" s="144">
        <f t="shared" si="229"/>
        <v>1.0444025570776259E-7</v>
      </c>
      <c r="BG382" s="158">
        <f t="shared" si="239"/>
        <v>1.8650045662100463E-5</v>
      </c>
    </row>
    <row r="383" spans="20:59">
      <c r="T383" s="53" t="s">
        <v>589</v>
      </c>
      <c r="U383" s="53" t="s">
        <v>590</v>
      </c>
      <c r="V383" s="180">
        <v>43890</v>
      </c>
      <c r="W383" s="183">
        <v>0.105117</v>
      </c>
      <c r="X383" s="183">
        <v>34.698954000000001</v>
      </c>
      <c r="Y383" s="53" t="s">
        <v>359</v>
      </c>
      <c r="Z383" s="53" t="s">
        <v>334</v>
      </c>
      <c r="AA383" s="53" t="s">
        <v>347</v>
      </c>
      <c r="AB383" s="154" t="s">
        <v>371</v>
      </c>
      <c r="AC383" s="116" t="s">
        <v>687</v>
      </c>
      <c r="AD383" s="53" t="s">
        <v>527</v>
      </c>
      <c r="AE383" s="53" t="s">
        <v>740</v>
      </c>
      <c r="AF383" s="53" t="s">
        <v>685</v>
      </c>
      <c r="AG383" s="53" t="s">
        <v>691</v>
      </c>
      <c r="AH383" s="156">
        <v>204.51</v>
      </c>
      <c r="AI383" s="191">
        <v>0.2</v>
      </c>
      <c r="AJ383" s="192">
        <v>0.08</v>
      </c>
      <c r="AK383" s="193">
        <v>8.7999999999999995E-2</v>
      </c>
      <c r="AL383" s="157">
        <v>19.47</v>
      </c>
      <c r="AM383" s="157"/>
      <c r="AN383" s="144">
        <f t="shared" si="220"/>
        <v>1.0197484931506851E-2</v>
      </c>
      <c r="AO383" s="158">
        <f t="shared" si="230"/>
        <v>33.991616438356175</v>
      </c>
      <c r="AP383" s="144">
        <f t="shared" si="221"/>
        <v>9.9726027397260283E-6</v>
      </c>
      <c r="AQ383" s="158">
        <f t="shared" si="231"/>
        <v>2.7701674277016745E-3</v>
      </c>
      <c r="AR383" s="144">
        <f t="shared" si="222"/>
        <v>3.9890410958904103E-6</v>
      </c>
      <c r="AS383" s="158">
        <f t="shared" si="232"/>
        <v>1.3296803652968034E-3</v>
      </c>
      <c r="AT383" s="144">
        <f t="shared" si="223"/>
        <v>4.3879452054794506E-6</v>
      </c>
      <c r="AU383" s="158">
        <f t="shared" si="233"/>
        <v>8.7758904109589003E-3</v>
      </c>
      <c r="AV383" s="144">
        <f t="shared" si="224"/>
        <v>9.7083287671232885E-4</v>
      </c>
      <c r="AW383" s="158">
        <f t="shared" si="234"/>
        <v>4.854164383561644E-2</v>
      </c>
      <c r="AX383" s="144">
        <f t="shared" si="225"/>
        <v>6.3695059726027396E-4</v>
      </c>
      <c r="AY383" s="158">
        <f t="shared" si="235"/>
        <v>2.1231686575342468</v>
      </c>
      <c r="AZ383" s="144">
        <f t="shared" si="226"/>
        <v>2.0763470319634703E-9</v>
      </c>
      <c r="BA383" s="158">
        <f t="shared" si="236"/>
        <v>5.9324200913242007E-7</v>
      </c>
      <c r="BB383" s="144">
        <f t="shared" si="227"/>
        <v>8.3053881278538813E-9</v>
      </c>
      <c r="BC383" s="158">
        <f t="shared" si="237"/>
        <v>1.6610776255707762E-6</v>
      </c>
      <c r="BD383" s="144">
        <f t="shared" si="228"/>
        <v>9.1359269406392674E-9</v>
      </c>
      <c r="BE383" s="158">
        <f t="shared" si="238"/>
        <v>1.8271853881278535E-5</v>
      </c>
      <c r="BF383" s="144">
        <f t="shared" si="229"/>
        <v>4.0426476712328769E-7</v>
      </c>
      <c r="BG383" s="158">
        <f t="shared" si="239"/>
        <v>7.219013698630137E-5</v>
      </c>
    </row>
    <row r="384" spans="20:59">
      <c r="T384" s="53" t="s">
        <v>591</v>
      </c>
      <c r="U384" s="53" t="s">
        <v>592</v>
      </c>
      <c r="V384" s="180">
        <v>43890</v>
      </c>
      <c r="W384" s="183">
        <v>0.105629</v>
      </c>
      <c r="X384" s="183">
        <v>34.699337</v>
      </c>
      <c r="Y384" s="53" t="s">
        <v>359</v>
      </c>
      <c r="Z384" s="53" t="s">
        <v>334</v>
      </c>
      <c r="AA384" s="53" t="s">
        <v>347</v>
      </c>
      <c r="AB384" s="154" t="s">
        <v>371</v>
      </c>
      <c r="AC384" s="116" t="s">
        <v>687</v>
      </c>
      <c r="AD384" s="53" t="s">
        <v>527</v>
      </c>
      <c r="AE384" s="53" t="s">
        <v>740</v>
      </c>
      <c r="AF384" s="53" t="s">
        <v>685</v>
      </c>
      <c r="AG384" s="53" t="s">
        <v>691</v>
      </c>
      <c r="AH384" s="156">
        <v>7.75</v>
      </c>
      <c r="AI384" s="191">
        <v>0.12</v>
      </c>
      <c r="AJ384" s="192">
        <v>0.18</v>
      </c>
      <c r="AK384" s="193">
        <v>2.91</v>
      </c>
      <c r="AL384" s="157">
        <v>218.01</v>
      </c>
      <c r="AM384" s="157"/>
      <c r="AN384" s="144">
        <f t="shared" si="220"/>
        <v>3.8643835616438354E-4</v>
      </c>
      <c r="AO384" s="158">
        <f t="shared" si="230"/>
        <v>1.2881278538812786</v>
      </c>
      <c r="AP384" s="144">
        <f t="shared" si="221"/>
        <v>5.9835616438356171E-6</v>
      </c>
      <c r="AQ384" s="158">
        <f t="shared" si="231"/>
        <v>1.6621004566210048E-3</v>
      </c>
      <c r="AR384" s="144">
        <f t="shared" si="222"/>
        <v>8.9753424657534261E-6</v>
      </c>
      <c r="AS384" s="158">
        <f t="shared" si="232"/>
        <v>2.9917808219178089E-3</v>
      </c>
      <c r="AT384" s="144">
        <f t="shared" si="223"/>
        <v>1.4510136986301372E-4</v>
      </c>
      <c r="AU384" s="158">
        <f t="shared" si="233"/>
        <v>0.29020273972602745</v>
      </c>
      <c r="AV384" s="144">
        <f t="shared" si="224"/>
        <v>1.0870635616438357E-2</v>
      </c>
      <c r="AW384" s="158">
        <f t="shared" si="234"/>
        <v>0.54353178082191789</v>
      </c>
      <c r="AX384" s="144">
        <f t="shared" si="225"/>
        <v>2.4137534246575337E-5</v>
      </c>
      <c r="AY384" s="158">
        <f t="shared" si="235"/>
        <v>8.0458447488584467E-2</v>
      </c>
      <c r="AZ384" s="144">
        <f t="shared" si="226"/>
        <v>1.2458082191780821E-9</v>
      </c>
      <c r="BA384" s="158">
        <f t="shared" si="236"/>
        <v>3.5594520547945202E-7</v>
      </c>
      <c r="BB384" s="144">
        <f t="shared" si="227"/>
        <v>1.8687123287671232E-8</v>
      </c>
      <c r="BC384" s="158">
        <f t="shared" si="237"/>
        <v>3.7374246575342465E-6</v>
      </c>
      <c r="BD384" s="144">
        <f t="shared" si="228"/>
        <v>3.0210849315068487E-7</v>
      </c>
      <c r="BE384" s="158">
        <f t="shared" si="238"/>
        <v>6.0421698630136976E-4</v>
      </c>
      <c r="BF384" s="144">
        <f t="shared" si="229"/>
        <v>4.5266441643835616E-6</v>
      </c>
      <c r="BG384" s="158">
        <f t="shared" si="239"/>
        <v>8.0832931506849321E-4</v>
      </c>
    </row>
    <row r="385" spans="20:60">
      <c r="T385" s="53" t="s">
        <v>593</v>
      </c>
      <c r="U385" s="53" t="s">
        <v>594</v>
      </c>
      <c r="V385" s="180">
        <v>43891</v>
      </c>
      <c r="W385" s="183">
        <v>0.10255300000000001</v>
      </c>
      <c r="X385" s="183">
        <v>34.713514000000004</v>
      </c>
      <c r="Y385" s="53" t="s">
        <v>335</v>
      </c>
      <c r="Z385" s="53" t="s">
        <v>334</v>
      </c>
      <c r="AA385" s="53" t="s">
        <v>347</v>
      </c>
      <c r="AB385" s="154" t="s">
        <v>371</v>
      </c>
      <c r="AC385" s="116" t="s">
        <v>687</v>
      </c>
      <c r="AD385" s="53" t="s">
        <v>527</v>
      </c>
      <c r="AE385" s="53" t="s">
        <v>740</v>
      </c>
      <c r="AF385" s="53" t="s">
        <v>685</v>
      </c>
      <c r="AG385" s="53" t="s">
        <v>691</v>
      </c>
      <c r="AH385" s="156">
        <v>863.94</v>
      </c>
      <c r="AI385" s="191">
        <v>0.2</v>
      </c>
      <c r="AJ385" s="192">
        <v>0.39</v>
      </c>
      <c r="AK385" s="193">
        <v>0.05</v>
      </c>
      <c r="AL385" s="157">
        <v>10.68</v>
      </c>
      <c r="AM385" s="157"/>
      <c r="AN385" s="144">
        <f t="shared" si="220"/>
        <v>4.3078652054794532E-2</v>
      </c>
      <c r="AO385" s="158">
        <f t="shared" si="230"/>
        <v>143.59550684931511</v>
      </c>
      <c r="AP385" s="144">
        <f t="shared" si="221"/>
        <v>9.9726027397260283E-6</v>
      </c>
      <c r="AQ385" s="158">
        <f t="shared" si="231"/>
        <v>2.7701674277016745E-3</v>
      </c>
      <c r="AR385" s="144">
        <f t="shared" si="222"/>
        <v>1.9446575342465754E-5</v>
      </c>
      <c r="AS385" s="158">
        <f t="shared" si="232"/>
        <v>6.4821917808219175E-3</v>
      </c>
      <c r="AT385" s="144">
        <f t="shared" si="223"/>
        <v>2.4931506849315071E-6</v>
      </c>
      <c r="AU385" s="158">
        <f t="shared" si="233"/>
        <v>4.9863013698630138E-3</v>
      </c>
      <c r="AV385" s="144">
        <f t="shared" si="224"/>
        <v>5.3253698630137002E-4</v>
      </c>
      <c r="AW385" s="158">
        <f t="shared" si="234"/>
        <v>2.66268493150685E-2</v>
      </c>
      <c r="AX385" s="144">
        <f t="shared" si="225"/>
        <v>2.6907588821917807E-3</v>
      </c>
      <c r="AY385" s="158">
        <f t="shared" si="235"/>
        <v>8.969196273972603</v>
      </c>
      <c r="AZ385" s="144">
        <f t="shared" si="226"/>
        <v>2.0763470319634703E-9</v>
      </c>
      <c r="BA385" s="158">
        <f t="shared" si="236"/>
        <v>5.9324200913242007E-7</v>
      </c>
      <c r="BB385" s="144">
        <f t="shared" si="227"/>
        <v>4.0488767123287678E-8</v>
      </c>
      <c r="BC385" s="158">
        <f t="shared" si="237"/>
        <v>8.0977534246575358E-6</v>
      </c>
      <c r="BD385" s="144">
        <f t="shared" si="228"/>
        <v>5.190867579908677E-9</v>
      </c>
      <c r="BE385" s="158">
        <f t="shared" si="238"/>
        <v>1.0381735159817353E-5</v>
      </c>
      <c r="BF385" s="144">
        <f t="shared" si="229"/>
        <v>2.2175386301369866E-7</v>
      </c>
      <c r="BG385" s="158">
        <f t="shared" si="239"/>
        <v>3.9598904109589044E-5</v>
      </c>
    </row>
    <row r="386" spans="20:60">
      <c r="T386" s="53" t="s">
        <v>595</v>
      </c>
      <c r="U386" s="53" t="s">
        <v>596</v>
      </c>
      <c r="V386" s="180">
        <v>43891</v>
      </c>
      <c r="W386" s="183">
        <v>0.15733900000000001</v>
      </c>
      <c r="X386" s="183">
        <v>34.817802</v>
      </c>
      <c r="Y386" s="53" t="s">
        <v>360</v>
      </c>
      <c r="Z386" s="53" t="s">
        <v>330</v>
      </c>
      <c r="AA386" s="53" t="s">
        <v>347</v>
      </c>
      <c r="AB386" s="154" t="s">
        <v>371</v>
      </c>
      <c r="AC386" s="116" t="s">
        <v>687</v>
      </c>
      <c r="AD386" s="53" t="s">
        <v>538</v>
      </c>
      <c r="AE386" s="53" t="s">
        <v>739</v>
      </c>
      <c r="AF386" s="53" t="s">
        <v>726</v>
      </c>
      <c r="AG386" s="53" t="s">
        <v>727</v>
      </c>
      <c r="AH386" s="156">
        <v>2.1800000000000002</v>
      </c>
      <c r="AI386" s="191">
        <v>0.36</v>
      </c>
      <c r="AJ386" s="192">
        <v>0.45</v>
      </c>
      <c r="AK386" s="193">
        <v>7.0999999999999994E-2</v>
      </c>
      <c r="AL386" s="192">
        <v>1.06</v>
      </c>
      <c r="AM386" s="192"/>
      <c r="AN386" s="144">
        <f t="shared" si="220"/>
        <v>1.0870136986301371E-4</v>
      </c>
      <c r="AO386" s="158">
        <f t="shared" si="230"/>
        <v>0.36233789954337908</v>
      </c>
      <c r="AP386" s="144">
        <f t="shared" si="221"/>
        <v>1.7950684931506852E-5</v>
      </c>
      <c r="AQ386" s="158">
        <f t="shared" si="231"/>
        <v>4.9863013698630146E-3</v>
      </c>
      <c r="AR386" s="144">
        <f t="shared" si="222"/>
        <v>2.2438356164383564E-5</v>
      </c>
      <c r="AS386" s="158">
        <f t="shared" si="232"/>
        <v>7.4794520547945206E-3</v>
      </c>
      <c r="AT386" s="144">
        <f t="shared" si="223"/>
        <v>3.5402739726027396E-6</v>
      </c>
      <c r="AU386" s="158">
        <f t="shared" si="233"/>
        <v>7.0805479452054794E-3</v>
      </c>
      <c r="AV386" s="144">
        <f t="shared" si="224"/>
        <v>5.2854794520547951E-5</v>
      </c>
      <c r="AW386" s="158">
        <f t="shared" si="234"/>
        <v>2.6427397260273973E-3</v>
      </c>
      <c r="AX386" s="144">
        <f t="shared" si="225"/>
        <v>6.789654794520548E-6</v>
      </c>
      <c r="AY386" s="158">
        <f t="shared" si="235"/>
        <v>2.2632182648401829E-2</v>
      </c>
      <c r="AZ386" s="144">
        <f t="shared" si="226"/>
        <v>3.7374246575342467E-9</v>
      </c>
      <c r="BA386" s="158">
        <f t="shared" si="236"/>
        <v>1.0678356164383563E-6</v>
      </c>
      <c r="BB386" s="144">
        <f t="shared" si="227"/>
        <v>4.6717808219178087E-8</v>
      </c>
      <c r="BC386" s="158">
        <f t="shared" si="237"/>
        <v>9.343561643835618E-6</v>
      </c>
      <c r="BD386" s="144">
        <f t="shared" si="228"/>
        <v>7.3710319634703192E-9</v>
      </c>
      <c r="BE386" s="158">
        <f t="shared" si="238"/>
        <v>1.4742063926940637E-5</v>
      </c>
      <c r="BF386" s="144">
        <f t="shared" si="229"/>
        <v>2.2009278538812787E-8</v>
      </c>
      <c r="BG386" s="158">
        <f t="shared" si="239"/>
        <v>3.9302283105022834E-6</v>
      </c>
    </row>
    <row r="387" spans="20:60">
      <c r="T387" s="53" t="s">
        <v>597</v>
      </c>
      <c r="U387" s="53" t="s">
        <v>598</v>
      </c>
      <c r="V387" s="180">
        <v>43891</v>
      </c>
      <c r="W387" s="183">
        <v>0.15733900000000001</v>
      </c>
      <c r="X387" s="183">
        <v>34.817802</v>
      </c>
      <c r="Y387" s="53" t="s">
        <v>360</v>
      </c>
      <c r="Z387" s="53" t="s">
        <v>330</v>
      </c>
      <c r="AA387" s="53" t="s">
        <v>347</v>
      </c>
      <c r="AB387" s="154" t="s">
        <v>371</v>
      </c>
      <c r="AC387" s="116" t="s">
        <v>687</v>
      </c>
      <c r="AD387" s="53" t="s">
        <v>527</v>
      </c>
      <c r="AE387" s="53" t="s">
        <v>740</v>
      </c>
      <c r="AF387" s="53" t="s">
        <v>685</v>
      </c>
      <c r="AG387" s="53" t="s">
        <v>691</v>
      </c>
      <c r="AH387" s="156">
        <v>27.67</v>
      </c>
      <c r="AI387" s="191">
        <v>0.19</v>
      </c>
      <c r="AJ387" s="192">
        <v>0.26</v>
      </c>
      <c r="AK387" s="193">
        <v>5.3999999999999999E-2</v>
      </c>
      <c r="AL387" s="157">
        <v>12.58</v>
      </c>
      <c r="AM387" s="157"/>
      <c r="AN387" s="144">
        <f t="shared" si="220"/>
        <v>1.3797095890410961E-3</v>
      </c>
      <c r="AO387" s="158">
        <f t="shared" si="230"/>
        <v>4.5990319634703205</v>
      </c>
      <c r="AP387" s="144">
        <f t="shared" si="221"/>
        <v>9.4739726027397255E-6</v>
      </c>
      <c r="AQ387" s="158">
        <f t="shared" si="231"/>
        <v>2.6316590563165904E-3</v>
      </c>
      <c r="AR387" s="144">
        <f t="shared" si="222"/>
        <v>1.2964383561643835E-5</v>
      </c>
      <c r="AS387" s="158">
        <f t="shared" si="232"/>
        <v>4.3214611872146114E-3</v>
      </c>
      <c r="AT387" s="144">
        <f t="shared" si="223"/>
        <v>2.6926027397260277E-6</v>
      </c>
      <c r="AU387" s="158">
        <f t="shared" si="233"/>
        <v>5.385205479452055E-3</v>
      </c>
      <c r="AV387" s="144">
        <f t="shared" si="224"/>
        <v>6.2727671232876711E-4</v>
      </c>
      <c r="AW387" s="158">
        <f t="shared" si="234"/>
        <v>3.1363835616438358E-2</v>
      </c>
      <c r="AX387" s="144">
        <f t="shared" si="225"/>
        <v>8.6178783561643819E-5</v>
      </c>
      <c r="AY387" s="158">
        <f t="shared" si="235"/>
        <v>0.28726261187214608</v>
      </c>
      <c r="AZ387" s="144">
        <f t="shared" si="226"/>
        <v>1.9725296803652973E-9</v>
      </c>
      <c r="BA387" s="158">
        <f t="shared" si="236"/>
        <v>5.6357990867579915E-7</v>
      </c>
      <c r="BB387" s="144">
        <f t="shared" si="227"/>
        <v>2.6992511415525113E-8</v>
      </c>
      <c r="BC387" s="158">
        <f t="shared" si="237"/>
        <v>5.3985022831050228E-6</v>
      </c>
      <c r="BD387" s="144">
        <f t="shared" si="228"/>
        <v>5.6061369863013701E-9</v>
      </c>
      <c r="BE387" s="158">
        <f t="shared" si="238"/>
        <v>1.121227397260274E-5</v>
      </c>
      <c r="BF387" s="144">
        <f t="shared" si="229"/>
        <v>2.6120445662100459E-7</v>
      </c>
      <c r="BG387" s="158">
        <f t="shared" si="239"/>
        <v>4.6643652968036534E-5</v>
      </c>
    </row>
    <row r="388" spans="20:60">
      <c r="T388" s="53" t="s">
        <v>599</v>
      </c>
      <c r="U388" s="53" t="s">
        <v>600</v>
      </c>
      <c r="V388" s="180">
        <v>43891</v>
      </c>
      <c r="W388" s="183">
        <v>0.156809</v>
      </c>
      <c r="X388" s="183">
        <v>34.818221000000001</v>
      </c>
      <c r="Y388" s="53" t="s">
        <v>360</v>
      </c>
      <c r="Z388" s="53" t="s">
        <v>330</v>
      </c>
      <c r="AA388" s="53" t="s">
        <v>347</v>
      </c>
      <c r="AB388" s="154" t="s">
        <v>371</v>
      </c>
      <c r="AC388" s="116" t="s">
        <v>687</v>
      </c>
      <c r="AD388" s="53" t="s">
        <v>527</v>
      </c>
      <c r="AE388" s="53" t="s">
        <v>740</v>
      </c>
      <c r="AF388" s="53" t="s">
        <v>685</v>
      </c>
      <c r="AG388" s="53" t="s">
        <v>691</v>
      </c>
      <c r="AH388" s="156">
        <v>13.39</v>
      </c>
      <c r="AI388" s="191">
        <v>0.65</v>
      </c>
      <c r="AJ388" s="192">
        <v>0.67</v>
      </c>
      <c r="AK388" s="193">
        <v>4.1000000000000002E-2</v>
      </c>
      <c r="AL388" s="192">
        <v>2.21</v>
      </c>
      <c r="AM388" s="192"/>
      <c r="AN388" s="144">
        <f t="shared" si="220"/>
        <v>6.6766575342465753E-4</v>
      </c>
      <c r="AO388" s="158">
        <f t="shared" si="230"/>
        <v>2.2255525114155255</v>
      </c>
      <c r="AP388" s="144">
        <f t="shared" si="221"/>
        <v>3.2410958904109582E-5</v>
      </c>
      <c r="AQ388" s="158">
        <f t="shared" si="231"/>
        <v>9.0030441400304403E-3</v>
      </c>
      <c r="AR388" s="144">
        <f t="shared" si="222"/>
        <v>3.3408219178082194E-5</v>
      </c>
      <c r="AS388" s="158">
        <f t="shared" si="232"/>
        <v>1.1136073059360731E-2</v>
      </c>
      <c r="AT388" s="144">
        <f t="shared" si="223"/>
        <v>2.0443835616438364E-6</v>
      </c>
      <c r="AU388" s="158">
        <f t="shared" si="233"/>
        <v>4.0887671232876727E-3</v>
      </c>
      <c r="AV388" s="144">
        <f t="shared" si="224"/>
        <v>1.1019726027397261E-4</v>
      </c>
      <c r="AW388" s="158">
        <f t="shared" si="234"/>
        <v>5.5098630136986302E-3</v>
      </c>
      <c r="AX388" s="144">
        <f t="shared" si="225"/>
        <v>4.1703430136986302E-5</v>
      </c>
      <c r="AY388" s="158">
        <f t="shared" si="235"/>
        <v>0.13901143378995434</v>
      </c>
      <c r="AZ388" s="144">
        <f t="shared" si="226"/>
        <v>6.7481278538812783E-9</v>
      </c>
      <c r="BA388" s="158">
        <f t="shared" si="236"/>
        <v>1.9280365296803651E-6</v>
      </c>
      <c r="BB388" s="144">
        <f t="shared" si="227"/>
        <v>6.9557625570776258E-8</v>
      </c>
      <c r="BC388" s="158">
        <f t="shared" si="237"/>
        <v>1.3911525114155251E-5</v>
      </c>
      <c r="BD388" s="144">
        <f t="shared" si="228"/>
        <v>4.2565114155251141E-9</v>
      </c>
      <c r="BE388" s="158">
        <f t="shared" si="238"/>
        <v>8.5130228310502282E-6</v>
      </c>
      <c r="BF388" s="144">
        <f t="shared" si="229"/>
        <v>4.5887269406392699E-8</v>
      </c>
      <c r="BG388" s="158">
        <f t="shared" si="239"/>
        <v>8.1941552511415543E-6</v>
      </c>
    </row>
    <row r="389" spans="20:60">
      <c r="T389" s="53" t="s">
        <v>601</v>
      </c>
      <c r="U389" s="53" t="s">
        <v>602</v>
      </c>
      <c r="V389" s="180">
        <v>43891</v>
      </c>
      <c r="W389" s="183">
        <v>0.156392</v>
      </c>
      <c r="X389" s="183">
        <v>34.817486000000002</v>
      </c>
      <c r="Y389" s="53" t="s">
        <v>360</v>
      </c>
      <c r="Z389" s="53" t="s">
        <v>330</v>
      </c>
      <c r="AA389" s="53" t="s">
        <v>347</v>
      </c>
      <c r="AB389" s="154" t="s">
        <v>371</v>
      </c>
      <c r="AC389" s="116" t="s">
        <v>687</v>
      </c>
      <c r="AD389" s="53" t="s">
        <v>527</v>
      </c>
      <c r="AE389" s="53" t="s">
        <v>740</v>
      </c>
      <c r="AF389" s="53" t="s">
        <v>685</v>
      </c>
      <c r="AG389" s="53" t="s">
        <v>691</v>
      </c>
      <c r="AH389" s="156">
        <v>23.24</v>
      </c>
      <c r="AI389" s="191">
        <v>0.28000000000000003</v>
      </c>
      <c r="AJ389" s="192">
        <v>0.25</v>
      </c>
      <c r="AK389" s="193">
        <v>2.1999999999999999E-2</v>
      </c>
      <c r="AL389" s="192">
        <v>3.04</v>
      </c>
      <c r="AM389" s="192"/>
      <c r="AN389" s="144">
        <f t="shared" si="220"/>
        <v>1.1588164383561643E-3</v>
      </c>
      <c r="AO389" s="158">
        <f t="shared" si="230"/>
        <v>3.8627214611872147</v>
      </c>
      <c r="AP389" s="144">
        <f t="shared" si="221"/>
        <v>1.3961643835616442E-5</v>
      </c>
      <c r="AQ389" s="158">
        <f t="shared" si="231"/>
        <v>3.8782343987823452E-3</v>
      </c>
      <c r="AR389" s="144">
        <f t="shared" si="222"/>
        <v>1.2465753424657535E-5</v>
      </c>
      <c r="AS389" s="158">
        <f t="shared" si="232"/>
        <v>4.1552511415525115E-3</v>
      </c>
      <c r="AT389" s="144">
        <f t="shared" si="223"/>
        <v>1.0969863013698627E-6</v>
      </c>
      <c r="AU389" s="158">
        <f t="shared" si="233"/>
        <v>2.1939726027397251E-3</v>
      </c>
      <c r="AV389" s="144">
        <f t="shared" si="224"/>
        <v>1.5158356164383561E-4</v>
      </c>
      <c r="AW389" s="158">
        <f t="shared" si="234"/>
        <v>7.5791780821917801E-3</v>
      </c>
      <c r="AX389" s="144">
        <f t="shared" si="225"/>
        <v>7.2381457534246571E-5</v>
      </c>
      <c r="AY389" s="158">
        <f t="shared" si="235"/>
        <v>0.24127152511415526</v>
      </c>
      <c r="AZ389" s="144">
        <f t="shared" si="226"/>
        <v>2.9068858447488585E-9</v>
      </c>
      <c r="BA389" s="158">
        <f t="shared" si="236"/>
        <v>8.3053881278538812E-7</v>
      </c>
      <c r="BB389" s="144">
        <f t="shared" si="227"/>
        <v>2.5954337899543385E-8</v>
      </c>
      <c r="BC389" s="158">
        <f t="shared" si="237"/>
        <v>5.1908675799086766E-6</v>
      </c>
      <c r="BD389" s="144">
        <f t="shared" si="228"/>
        <v>2.2839817351598169E-9</v>
      </c>
      <c r="BE389" s="158">
        <f t="shared" si="238"/>
        <v>4.5679634703196338E-6</v>
      </c>
      <c r="BF389" s="144">
        <f t="shared" si="229"/>
        <v>6.3120949771689512E-8</v>
      </c>
      <c r="BG389" s="158">
        <f t="shared" si="239"/>
        <v>1.1271598173515985E-5</v>
      </c>
    </row>
    <row r="390" spans="20:60">
      <c r="T390" s="101"/>
      <c r="U390" s="101"/>
      <c r="V390" s="101"/>
      <c r="W390" s="101"/>
      <c r="X390" s="101"/>
      <c r="Y390" s="101"/>
      <c r="Z390" s="101"/>
      <c r="AA390" s="101"/>
      <c r="AB390" s="101"/>
      <c r="AC390" s="101"/>
      <c r="AD390" s="101"/>
      <c r="AE390" s="101"/>
      <c r="AF390" s="101"/>
      <c r="AG390" s="101"/>
      <c r="AH390" s="200"/>
      <c r="AI390" s="199"/>
      <c r="AJ390" s="201"/>
      <c r="AK390" s="202"/>
      <c r="AL390" s="203"/>
      <c r="AM390" s="218" t="s">
        <v>965</v>
      </c>
      <c r="AN390" s="158">
        <f>AVERAGE(AN353:AN389)</f>
        <v>1.7172148093298782E-3</v>
      </c>
      <c r="AO390" s="158">
        <f t="shared" ref="AO390:BG390" si="240">AVERAGE(AO353:AO389)</f>
        <v>5.7240493644329273</v>
      </c>
      <c r="AP390" s="158">
        <f t="shared" si="240"/>
        <v>1.0269085523880044E-5</v>
      </c>
      <c r="AQ390" s="158">
        <f t="shared" si="240"/>
        <v>2.8525237566333454E-3</v>
      </c>
      <c r="AR390" s="158">
        <f t="shared" si="240"/>
        <v>3.898748611625324E-5</v>
      </c>
      <c r="AS390" s="158">
        <f t="shared" si="240"/>
        <v>1.2995828705417746E-2</v>
      </c>
      <c r="AT390" s="158">
        <f t="shared" si="240"/>
        <v>6.0913735653461683E-6</v>
      </c>
      <c r="AU390" s="158">
        <f t="shared" si="240"/>
        <v>1.2182747130692336E-2</v>
      </c>
      <c r="AV390" s="158">
        <f t="shared" si="240"/>
        <v>5.093978526471678E-4</v>
      </c>
      <c r="AW390" s="158">
        <f t="shared" si="240"/>
        <v>2.5469892632358389E-2</v>
      </c>
      <c r="AX390" s="158">
        <f t="shared" si="240"/>
        <v>1.072598788596816E-4</v>
      </c>
      <c r="AY390" s="158">
        <f t="shared" si="240"/>
        <v>0.357532929532272</v>
      </c>
      <c r="AZ390" s="158">
        <f t="shared" si="240"/>
        <v>2.1380762680488714E-9</v>
      </c>
      <c r="BA390" s="158">
        <f t="shared" si="240"/>
        <v>6.1087893372824893E-7</v>
      </c>
      <c r="BB390" s="158">
        <f t="shared" si="240"/>
        <v>8.1173945452301639E-8</v>
      </c>
      <c r="BC390" s="158">
        <f t="shared" si="240"/>
        <v>1.6234789090460323E-5</v>
      </c>
      <c r="BD390" s="158">
        <f t="shared" si="240"/>
        <v>1.2682552141182277E-8</v>
      </c>
      <c r="BE390" s="158">
        <f t="shared" si="240"/>
        <v>2.5365104282364555E-5</v>
      </c>
      <c r="BF390" s="158">
        <f t="shared" si="240"/>
        <v>2.1211849043564114E-7</v>
      </c>
      <c r="BG390" s="158">
        <f t="shared" si="240"/>
        <v>3.7878301863507347E-5</v>
      </c>
      <c r="BH390" s="89"/>
    </row>
    <row r="391" spans="20:60">
      <c r="T391" s="53" t="s">
        <v>618</v>
      </c>
      <c r="U391" s="53" t="s">
        <v>619</v>
      </c>
      <c r="V391" s="180">
        <v>44065</v>
      </c>
      <c r="W391" s="183">
        <v>0.46654299999999999</v>
      </c>
      <c r="X391" s="183">
        <v>34.870725999999998</v>
      </c>
      <c r="Y391" s="53" t="s">
        <v>331</v>
      </c>
      <c r="Z391" s="53" t="s">
        <v>330</v>
      </c>
      <c r="AA391" s="53" t="s">
        <v>347</v>
      </c>
      <c r="AB391" s="154" t="s">
        <v>362</v>
      </c>
      <c r="AC391" s="154" t="s">
        <v>362</v>
      </c>
      <c r="AD391" s="53" t="s">
        <v>620</v>
      </c>
      <c r="AE391" s="53" t="s">
        <v>739</v>
      </c>
      <c r="AF391" s="53" t="s">
        <v>684</v>
      </c>
      <c r="AG391" s="53" t="s">
        <v>683</v>
      </c>
      <c r="AH391" s="156">
        <v>0.04</v>
      </c>
      <c r="AI391" s="192">
        <v>0.18</v>
      </c>
      <c r="AJ391" s="157">
        <v>1.1000000000000001</v>
      </c>
      <c r="AK391" s="197">
        <v>8.0000000000000002E-3</v>
      </c>
      <c r="AL391" s="192">
        <v>0.64</v>
      </c>
      <c r="AM391" s="192"/>
      <c r="AN391" s="144">
        <f>(AH391*0.78*350*6*0.001)/(15*6*365)</f>
        <v>1.9945205479452051E-6</v>
      </c>
      <c r="AO391" s="158">
        <f t="shared" si="230"/>
        <v>6.6484018264840175E-3</v>
      </c>
      <c r="AP391" s="144">
        <f>(AI391*0.78*350*6*0.001)/(15*6*365)</f>
        <v>8.9753424657534261E-6</v>
      </c>
      <c r="AQ391" s="158">
        <f t="shared" si="231"/>
        <v>2.4931506849315073E-3</v>
      </c>
      <c r="AR391" s="144">
        <f>(AJ391*0.78*350*6*0.001)/(15*6*365)</f>
        <v>5.4849315068493162E-5</v>
      </c>
      <c r="AS391" s="158">
        <f t="shared" si="232"/>
        <v>1.8283105022831054E-2</v>
      </c>
      <c r="AT391" s="144">
        <f>(AK391*0.78*350*6*0.001)/(15*6*365)</f>
        <v>3.9890410958904115E-7</v>
      </c>
      <c r="AU391" s="158">
        <f t="shared" si="233"/>
        <v>7.9780821917808226E-4</v>
      </c>
      <c r="AV391" s="144">
        <f>(AL391*0.78*350*6*0.001)/(15*6*365)</f>
        <v>3.1912328767123282E-5</v>
      </c>
      <c r="AW391" s="158">
        <f t="shared" si="234"/>
        <v>1.5956164383561641E-3</v>
      </c>
      <c r="AX391" s="144">
        <f>(AH391*2800*0.001*0.03*0.58*350*6*0.001)/(15*6*365)</f>
        <v>1.245808219178082E-7</v>
      </c>
      <c r="AY391" s="158">
        <f t="shared" si="235"/>
        <v>4.1526940639269403E-4</v>
      </c>
      <c r="AZ391" s="144">
        <f>(AI391*2800*0.0001*0.001*0.58*350*6*0.001)/(15*6*365)</f>
        <v>1.8687123287671234E-9</v>
      </c>
      <c r="BA391" s="158">
        <f t="shared" si="236"/>
        <v>5.3391780821917813E-7</v>
      </c>
      <c r="BB391" s="144">
        <f>(AJ391*2800*0.001*0.001*0.58*350*6*0.001)/(15*6*365)</f>
        <v>1.1419908675799088E-7</v>
      </c>
      <c r="BC391" s="158">
        <f t="shared" si="237"/>
        <v>2.2839817351598177E-5</v>
      </c>
      <c r="BD391" s="144">
        <f>(AK391*2800*0.001*0.001*0.58*350*6*0.001)/(15*6*365)</f>
        <v>8.3053881278538811E-10</v>
      </c>
      <c r="BE391" s="158">
        <f t="shared" si="238"/>
        <v>1.6610776255707762E-6</v>
      </c>
      <c r="BF391" s="144">
        <f>(AL391*2800*0.0002*0.001*0.58*350*6*0.001)/(15*6*365)</f>
        <v>1.3288621004566208E-8</v>
      </c>
      <c r="BG391" s="158">
        <f t="shared" si="239"/>
        <v>2.3729680365296798E-6</v>
      </c>
    </row>
    <row r="392" spans="20:60">
      <c r="T392" s="53" t="s">
        <v>621</v>
      </c>
      <c r="U392" s="53" t="s">
        <v>622</v>
      </c>
      <c r="V392" s="180">
        <v>44065</v>
      </c>
      <c r="W392" s="183">
        <v>0.46604000000000001</v>
      </c>
      <c r="X392" s="183">
        <v>34.870392000000002</v>
      </c>
      <c r="Y392" s="53" t="s">
        <v>331</v>
      </c>
      <c r="Z392" s="53" t="s">
        <v>330</v>
      </c>
      <c r="AA392" s="53" t="s">
        <v>347</v>
      </c>
      <c r="AB392" s="154" t="s">
        <v>362</v>
      </c>
      <c r="AC392" s="154" t="s">
        <v>362</v>
      </c>
      <c r="AD392" s="53" t="s">
        <v>623</v>
      </c>
      <c r="AE392" s="53" t="s">
        <v>739</v>
      </c>
      <c r="AF392" s="53" t="s">
        <v>684</v>
      </c>
      <c r="AG392" s="53" t="s">
        <v>683</v>
      </c>
      <c r="AH392" s="156">
        <v>0.04</v>
      </c>
      <c r="AI392" s="192">
        <v>0.1</v>
      </c>
      <c r="AJ392" s="157">
        <v>0.3</v>
      </c>
      <c r="AK392" s="197">
        <v>5.0000000000000001E-3</v>
      </c>
      <c r="AL392" s="192">
        <v>0.56999999999999995</v>
      </c>
      <c r="AM392" s="192"/>
      <c r="AN392" s="144">
        <f>(AH392*0.78*350*6*0.001)/(15*6*365)</f>
        <v>1.9945205479452051E-6</v>
      </c>
      <c r="AO392" s="158">
        <f t="shared" si="230"/>
        <v>6.6484018264840175E-3</v>
      </c>
      <c r="AP392" s="144">
        <f>(AI392*0.78*350*6*0.001)/(15*6*365)</f>
        <v>4.9863013698630141E-6</v>
      </c>
      <c r="AQ392" s="158">
        <f t="shared" si="231"/>
        <v>1.3850837138508372E-3</v>
      </c>
      <c r="AR392" s="144">
        <f>(AJ392*0.78*350*6*0.001)/(15*6*365)</f>
        <v>1.4958904109589041E-5</v>
      </c>
      <c r="AS392" s="158">
        <f t="shared" si="232"/>
        <v>4.9863013698630138E-3</v>
      </c>
      <c r="AT392" s="144">
        <f>(AK392*0.78*350*6*0.001)/(15*6*365)</f>
        <v>2.4931506849315064E-7</v>
      </c>
      <c r="AU392" s="158">
        <f t="shared" si="233"/>
        <v>4.9863013698630122E-4</v>
      </c>
      <c r="AV392" s="144">
        <f>(AL392*0.78*350*6*0.001)/(15*6*365)</f>
        <v>2.8421917808219173E-5</v>
      </c>
      <c r="AW392" s="158">
        <f t="shared" si="234"/>
        <v>1.4210958904109585E-3</v>
      </c>
      <c r="AX392" s="144">
        <f>(AH392*2800*0.001*0.03*0.58*350*6*0.001)/(15*6*365)</f>
        <v>1.245808219178082E-7</v>
      </c>
      <c r="AY392" s="158">
        <f t="shared" si="235"/>
        <v>4.1526940639269403E-4</v>
      </c>
      <c r="AZ392" s="144">
        <f>(AI392*2800*0.0001*0.001*0.58*350*6*0.001)/(15*6*365)</f>
        <v>1.0381735159817352E-9</v>
      </c>
      <c r="BA392" s="158">
        <f t="shared" si="236"/>
        <v>2.9662100456621003E-7</v>
      </c>
      <c r="BB392" s="144">
        <f>(AJ392*2800*0.001*0.001*0.58*350*6*0.001)/(15*6*365)</f>
        <v>3.1145205479452049E-8</v>
      </c>
      <c r="BC392" s="158">
        <f t="shared" si="237"/>
        <v>6.22904109589041E-6</v>
      </c>
      <c r="BD392" s="144">
        <f>(AK392*2800*0.001*0.001*0.58*350*6*0.001)/(15*6*365)</f>
        <v>5.1908675799086758E-10</v>
      </c>
      <c r="BE392" s="158">
        <f t="shared" si="238"/>
        <v>1.0381735159817351E-6</v>
      </c>
      <c r="BF392" s="144">
        <f>(AL392*2800*0.0002*0.001*0.58*350*6*0.001)/(15*6*365)</f>
        <v>1.1835178082191781E-8</v>
      </c>
      <c r="BG392" s="158">
        <f t="shared" si="239"/>
        <v>2.1134246575342465E-6</v>
      </c>
    </row>
    <row r="393" spans="20:60">
      <c r="T393" s="53" t="s">
        <v>624</v>
      </c>
      <c r="U393" s="53" t="s">
        <v>625</v>
      </c>
      <c r="V393" s="180">
        <v>44065</v>
      </c>
      <c r="W393" s="183">
        <v>0.195803</v>
      </c>
      <c r="X393" s="183">
        <v>34.487564999999996</v>
      </c>
      <c r="Y393" s="53" t="s">
        <v>338</v>
      </c>
      <c r="Z393" s="53" t="s">
        <v>330</v>
      </c>
      <c r="AA393" s="53" t="s">
        <v>347</v>
      </c>
      <c r="AB393" s="154" t="s">
        <v>362</v>
      </c>
      <c r="AC393" s="154" t="s">
        <v>362</v>
      </c>
      <c r="AD393" s="53" t="s">
        <v>626</v>
      </c>
      <c r="AE393" s="53" t="s">
        <v>739</v>
      </c>
      <c r="AF393" s="53" t="s">
        <v>684</v>
      </c>
      <c r="AG393" s="53" t="s">
        <v>683</v>
      </c>
      <c r="AH393" s="156">
        <v>0.65</v>
      </c>
      <c r="AI393" s="192">
        <v>7.0000000000000007E-2</v>
      </c>
      <c r="AJ393" s="157">
        <v>0.2</v>
      </c>
      <c r="AK393" s="197">
        <v>5.0000000000000001E-3</v>
      </c>
      <c r="AL393" s="192">
        <v>2.63</v>
      </c>
      <c r="AM393" s="192"/>
      <c r="AN393" s="144">
        <f>(AH393*0.78*350*6*0.001)/(15*6*365)</f>
        <v>3.2410958904109582E-5</v>
      </c>
      <c r="AO393" s="158">
        <f t="shared" si="230"/>
        <v>0.10803652968036528</v>
      </c>
      <c r="AP393" s="144">
        <f>(AI393*0.78*350*6*0.001)/(15*6*365)</f>
        <v>3.4904109589041105E-6</v>
      </c>
      <c r="AQ393" s="158">
        <f t="shared" si="231"/>
        <v>9.695585996955863E-4</v>
      </c>
      <c r="AR393" s="144">
        <f>(AJ393*0.78*350*6*0.001)/(15*6*365)</f>
        <v>9.9726027397260283E-6</v>
      </c>
      <c r="AS393" s="158">
        <f t="shared" si="232"/>
        <v>3.3242009132420092E-3</v>
      </c>
      <c r="AT393" s="144">
        <f>(AK393*0.78*350*6*0.001)/(15*6*365)</f>
        <v>2.4931506849315064E-7</v>
      </c>
      <c r="AU393" s="158">
        <f t="shared" si="233"/>
        <v>4.9863013698630122E-4</v>
      </c>
      <c r="AV393" s="144">
        <f>(AL393*0.78*350*6*0.001)/(15*6*365)</f>
        <v>1.3113972602739728E-4</v>
      </c>
      <c r="AW393" s="158">
        <f t="shared" si="234"/>
        <v>6.5569863013698639E-3</v>
      </c>
      <c r="AX393" s="144">
        <f>(AH393*2800*0.001*0.03*0.58*350*6*0.001)/(15*6*365)</f>
        <v>2.024438356164384E-6</v>
      </c>
      <c r="AY393" s="158">
        <f t="shared" si="235"/>
        <v>6.7481278538812804E-3</v>
      </c>
      <c r="AZ393" s="144">
        <f>(AI393*2800*0.0001*0.001*0.58*350*6*0.001)/(15*6*365)</f>
        <v>7.2672146118721463E-10</v>
      </c>
      <c r="BA393" s="158">
        <f t="shared" si="236"/>
        <v>2.0763470319634703E-7</v>
      </c>
      <c r="BB393" s="144">
        <f>(AJ393*2800*0.001*0.001*0.58*350*6*0.001)/(15*6*365)</f>
        <v>2.0763470319634708E-8</v>
      </c>
      <c r="BC393" s="158">
        <f t="shared" si="237"/>
        <v>4.1526940639269414E-6</v>
      </c>
      <c r="BD393" s="144">
        <f>(AK393*2800*0.001*0.001*0.58*350*6*0.001)/(15*6*365)</f>
        <v>5.1908675799086758E-10</v>
      </c>
      <c r="BE393" s="158">
        <f t="shared" si="238"/>
        <v>1.0381735159817351E-6</v>
      </c>
      <c r="BF393" s="144">
        <f>(AL393*2800*0.0002*0.001*0.58*350*6*0.001)/(15*6*365)</f>
        <v>5.4607926940639277E-8</v>
      </c>
      <c r="BG393" s="158">
        <f t="shared" si="239"/>
        <v>9.7514155251141561E-6</v>
      </c>
    </row>
    <row r="394" spans="20:60">
      <c r="T394" s="53" t="s">
        <v>627</v>
      </c>
      <c r="U394" s="53" t="s">
        <v>628</v>
      </c>
      <c r="V394" s="180">
        <v>44065</v>
      </c>
      <c r="W394" s="183">
        <v>0.195803</v>
      </c>
      <c r="X394" s="183">
        <v>34.487564999999996</v>
      </c>
      <c r="Y394" s="53" t="s">
        <v>337</v>
      </c>
      <c r="Z394" s="53" t="s">
        <v>330</v>
      </c>
      <c r="AA394" s="53" t="s">
        <v>347</v>
      </c>
      <c r="AB394" s="154" t="s">
        <v>362</v>
      </c>
      <c r="AC394" s="154" t="s">
        <v>362</v>
      </c>
      <c r="AD394" s="53" t="s">
        <v>629</v>
      </c>
      <c r="AE394" s="53" t="s">
        <v>739</v>
      </c>
      <c r="AF394" s="53" t="s">
        <v>684</v>
      </c>
      <c r="AG394" s="53" t="s">
        <v>683</v>
      </c>
      <c r="AH394" s="156">
        <v>0.06</v>
      </c>
      <c r="AI394" s="192">
        <v>0.06</v>
      </c>
      <c r="AJ394" s="157">
        <v>1.5</v>
      </c>
      <c r="AK394" s="197">
        <v>3.3000000000000002E-2</v>
      </c>
      <c r="AL394" s="157">
        <v>16.64</v>
      </c>
      <c r="AM394" s="157"/>
      <c r="AN394" s="144">
        <f>(AH394*0.78*350*6*0.001)/(15*6*365)</f>
        <v>2.9917808219178086E-6</v>
      </c>
      <c r="AO394" s="158">
        <f t="shared" si="230"/>
        <v>9.9726027397260292E-3</v>
      </c>
      <c r="AP394" s="144">
        <f>(AI394*0.78*350*6*0.001)/(15*6*365)</f>
        <v>2.9917808219178086E-6</v>
      </c>
      <c r="AQ394" s="158">
        <f t="shared" si="231"/>
        <v>8.310502283105024E-4</v>
      </c>
      <c r="AR394" s="144">
        <f>(AJ394*0.78*350*6*0.001)/(15*6*365)</f>
        <v>7.4794520547945205E-5</v>
      </c>
      <c r="AS394" s="158">
        <f t="shared" si="232"/>
        <v>2.4931506849315069E-2</v>
      </c>
      <c r="AT394" s="144">
        <f>(AK394*0.78*350*6*0.001)/(15*6*365)</f>
        <v>1.6454794520547947E-6</v>
      </c>
      <c r="AU394" s="158">
        <f t="shared" si="233"/>
        <v>3.2909589041095894E-3</v>
      </c>
      <c r="AV394" s="144">
        <f>(AL394*0.78*350*6*0.001)/(15*6*365)</f>
        <v>8.2972054794520542E-4</v>
      </c>
      <c r="AW394" s="158">
        <f t="shared" si="234"/>
        <v>4.1486027397260268E-2</v>
      </c>
      <c r="AX394" s="144">
        <f>(AH394*2800*0.001*0.03*0.58*350*6*0.001)/(15*6*365)</f>
        <v>1.8687123287671235E-7</v>
      </c>
      <c r="AY394" s="158">
        <f t="shared" si="235"/>
        <v>6.2290410958904126E-4</v>
      </c>
      <c r="AZ394" s="144">
        <f>(AI394*2800*0.0001*0.001*0.58*350*6*0.001)/(15*6*365)</f>
        <v>6.2290410958904106E-10</v>
      </c>
      <c r="BA394" s="158">
        <f t="shared" si="236"/>
        <v>1.7797260273972601E-7</v>
      </c>
      <c r="BB394" s="144">
        <f>(AJ394*2800*0.001*0.001*0.58*350*6*0.001)/(15*6*365)</f>
        <v>1.557260273972603E-7</v>
      </c>
      <c r="BC394" s="158">
        <f t="shared" si="237"/>
        <v>3.1145205479452058E-5</v>
      </c>
      <c r="BD394" s="144">
        <f>(AK394*2800*0.001*0.001*0.58*350*6*0.001)/(15*6*365)</f>
        <v>3.4259726027397263E-9</v>
      </c>
      <c r="BE394" s="158">
        <f t="shared" si="238"/>
        <v>6.8519452054794528E-6</v>
      </c>
      <c r="BF394" s="144">
        <f>(AL394*2800*0.0002*0.001*0.58*350*6*0.001)/(15*6*365)</f>
        <v>3.4550414611872154E-7</v>
      </c>
      <c r="BG394" s="158">
        <f t="shared" si="239"/>
        <v>6.169716894977171E-5</v>
      </c>
    </row>
    <row r="395" spans="20:60">
      <c r="T395" s="53" t="s">
        <v>630</v>
      </c>
      <c r="U395" s="53" t="s">
        <v>631</v>
      </c>
      <c r="V395" s="180">
        <v>44065</v>
      </c>
      <c r="W395" s="183">
        <v>0.49734299999999998</v>
      </c>
      <c r="X395" s="183">
        <v>35.278543999999997</v>
      </c>
      <c r="Y395" s="53" t="s">
        <v>633</v>
      </c>
      <c r="Z395" s="53" t="s">
        <v>632</v>
      </c>
      <c r="AA395" s="53" t="s">
        <v>347</v>
      </c>
      <c r="AB395" s="154" t="s">
        <v>362</v>
      </c>
      <c r="AC395" s="154" t="s">
        <v>362</v>
      </c>
      <c r="AD395" s="53" t="s">
        <v>672</v>
      </c>
      <c r="AE395" s="53" t="s">
        <v>739</v>
      </c>
      <c r="AF395" s="53" t="s">
        <v>684</v>
      </c>
      <c r="AG395" s="53" t="s">
        <v>683</v>
      </c>
      <c r="AH395" s="156">
        <v>1.08</v>
      </c>
      <c r="AI395" s="192">
        <v>0.28000000000000003</v>
      </c>
      <c r="AJ395" s="157">
        <v>0.2</v>
      </c>
      <c r="AK395" s="197">
        <v>1.4E-2</v>
      </c>
      <c r="AL395" s="192">
        <v>0.1</v>
      </c>
      <c r="AM395" s="192"/>
      <c r="AN395" s="144">
        <f>(AH395*0.78*350*6*0.001)/(15*6*365)</f>
        <v>5.385205479452055E-5</v>
      </c>
      <c r="AO395" s="158">
        <f t="shared" si="230"/>
        <v>0.17950684931506852</v>
      </c>
      <c r="AP395" s="144">
        <f>(AI395*0.78*350*6*0.001)/(15*6*365)</f>
        <v>1.3961643835616442E-5</v>
      </c>
      <c r="AQ395" s="158">
        <f t="shared" si="231"/>
        <v>3.8782343987823452E-3</v>
      </c>
      <c r="AR395" s="144">
        <f>(AJ395*0.78*350*6*0.001)/(15*6*365)</f>
        <v>9.9726027397260283E-6</v>
      </c>
      <c r="AS395" s="158">
        <f t="shared" si="232"/>
        <v>3.3242009132420092E-3</v>
      </c>
      <c r="AT395" s="144">
        <f>(AK395*0.78*350*6*0.001)/(15*6*365)</f>
        <v>6.9808219178082199E-7</v>
      </c>
      <c r="AU395" s="158">
        <f t="shared" si="233"/>
        <v>1.3961643835616439E-3</v>
      </c>
      <c r="AV395" s="144">
        <f>(AL395*0.78*350*6*0.001)/(15*6*365)</f>
        <v>4.9863013698630141E-6</v>
      </c>
      <c r="AW395" s="158">
        <f t="shared" si="234"/>
        <v>2.4931506849315072E-4</v>
      </c>
      <c r="AX395" s="144">
        <f>(AH395*2800*0.001*0.03*0.58*350*6*0.001)/(15*6*365)</f>
        <v>3.3636821917808216E-6</v>
      </c>
      <c r="AY395" s="158">
        <f t="shared" si="235"/>
        <v>1.121227397260274E-2</v>
      </c>
      <c r="AZ395" s="144">
        <f>(AI395*2800*0.0001*0.001*0.58*350*6*0.001)/(15*6*365)</f>
        <v>2.9068858447488585E-9</v>
      </c>
      <c r="BA395" s="158">
        <f t="shared" si="236"/>
        <v>8.3053881278538812E-7</v>
      </c>
      <c r="BB395" s="144">
        <f>(AJ395*2800*0.001*0.001*0.58*350*6*0.001)/(15*6*365)</f>
        <v>2.0763470319634708E-8</v>
      </c>
      <c r="BC395" s="158">
        <f t="shared" si="237"/>
        <v>4.1526940639269414E-6</v>
      </c>
      <c r="BD395" s="144">
        <f>(AK395*2800*0.001*0.001*0.58*350*6*0.001)/(15*6*365)</f>
        <v>1.4534429223744293E-9</v>
      </c>
      <c r="BE395" s="158">
        <f t="shared" si="238"/>
        <v>2.9068858447488584E-6</v>
      </c>
      <c r="BF395" s="144">
        <f>(AL395*2800*0.0002*0.001*0.58*350*6*0.001)/(15*6*365)</f>
        <v>2.0763470319634703E-9</v>
      </c>
      <c r="BG395" s="158">
        <f t="shared" si="239"/>
        <v>3.7077625570776258E-7</v>
      </c>
    </row>
    <row r="396" spans="20:60">
      <c r="T396" s="238" t="s">
        <v>1050</v>
      </c>
    </row>
  </sheetData>
  <mergeCells count="114">
    <mergeCell ref="A48:A49"/>
    <mergeCell ref="B48:B49"/>
    <mergeCell ref="P12:S12"/>
    <mergeCell ref="A3:C3"/>
    <mergeCell ref="D3:J3"/>
    <mergeCell ref="P50:P51"/>
    <mergeCell ref="Q50:Q51"/>
    <mergeCell ref="L44:L45"/>
    <mergeCell ref="M44:M45"/>
    <mergeCell ref="N44:N45"/>
    <mergeCell ref="O44:O45"/>
    <mergeCell ref="A44:A45"/>
    <mergeCell ref="A50:A51"/>
    <mergeCell ref="B50:B51"/>
    <mergeCell ref="C50:C51"/>
    <mergeCell ref="D50:D51"/>
    <mergeCell ref="E50:E51"/>
    <mergeCell ref="J50:J51"/>
    <mergeCell ref="B42:E42"/>
    <mergeCell ref="F42:I42"/>
    <mergeCell ref="J42:M42"/>
    <mergeCell ref="N42:Q42"/>
    <mergeCell ref="B44:B45"/>
    <mergeCell ref="C44:C45"/>
    <mergeCell ref="A52:A53"/>
    <mergeCell ref="B52:B53"/>
    <mergeCell ref="C52:C53"/>
    <mergeCell ref="D52:D53"/>
    <mergeCell ref="E52:E53"/>
    <mergeCell ref="F50:F51"/>
    <mergeCell ref="G50:G51"/>
    <mergeCell ref="H50:H51"/>
    <mergeCell ref="I50:I51"/>
    <mergeCell ref="F52:F53"/>
    <mergeCell ref="G52:G53"/>
    <mergeCell ref="H52:H53"/>
    <mergeCell ref="I52:I53"/>
    <mergeCell ref="P44:P45"/>
    <mergeCell ref="Q44:Q45"/>
    <mergeCell ref="A46:A47"/>
    <mergeCell ref="B46:B47"/>
    <mergeCell ref="C46:C47"/>
    <mergeCell ref="D46:D47"/>
    <mergeCell ref="E46:E47"/>
    <mergeCell ref="F46:F47"/>
    <mergeCell ref="G46:G47"/>
    <mergeCell ref="H46:H47"/>
    <mergeCell ref="I46:I47"/>
    <mergeCell ref="N46:N47"/>
    <mergeCell ref="O46:O47"/>
    <mergeCell ref="P46:P47"/>
    <mergeCell ref="Q46:Q47"/>
    <mergeCell ref="F44:F45"/>
    <mergeCell ref="G44:G45"/>
    <mergeCell ref="H44:H45"/>
    <mergeCell ref="I44:I45"/>
    <mergeCell ref="J44:J45"/>
    <mergeCell ref="K44:K45"/>
    <mergeCell ref="D44:D45"/>
    <mergeCell ref="E44:E45"/>
    <mergeCell ref="C48:C49"/>
    <mergeCell ref="D48:D49"/>
    <mergeCell ref="E48:E49"/>
    <mergeCell ref="F48:F49"/>
    <mergeCell ref="G48:G49"/>
    <mergeCell ref="H48:H49"/>
    <mergeCell ref="I48:I49"/>
    <mergeCell ref="M54:M55"/>
    <mergeCell ref="J46:J47"/>
    <mergeCell ref="K46:K47"/>
    <mergeCell ref="L46:L47"/>
    <mergeCell ref="M46:M47"/>
    <mergeCell ref="J48:J49"/>
    <mergeCell ref="K48:K49"/>
    <mergeCell ref="L48:L49"/>
    <mergeCell ref="M48:M49"/>
    <mergeCell ref="M52:M53"/>
    <mergeCell ref="N48:N49"/>
    <mergeCell ref="O48:O49"/>
    <mergeCell ref="P48:P49"/>
    <mergeCell ref="J52:J53"/>
    <mergeCell ref="K50:K51"/>
    <mergeCell ref="L50:L51"/>
    <mergeCell ref="M50:M51"/>
    <mergeCell ref="N50:N51"/>
    <mergeCell ref="O50:O51"/>
    <mergeCell ref="K52:K53"/>
    <mergeCell ref="L52:L53"/>
    <mergeCell ref="N52:N53"/>
    <mergeCell ref="O52:O53"/>
    <mergeCell ref="N54:N55"/>
    <mergeCell ref="Q48:Q49"/>
    <mergeCell ref="A1:AM1"/>
    <mergeCell ref="O54:O55"/>
    <mergeCell ref="P54:P55"/>
    <mergeCell ref="Q54:Q55"/>
    <mergeCell ref="B61:E61"/>
    <mergeCell ref="F61:I61"/>
    <mergeCell ref="J61:M61"/>
    <mergeCell ref="N61:Q61"/>
    <mergeCell ref="P52:P53"/>
    <mergeCell ref="Q52:Q53"/>
    <mergeCell ref="A54:A55"/>
    <mergeCell ref="B54:B55"/>
    <mergeCell ref="C54:C55"/>
    <mergeCell ref="D54:D55"/>
    <mergeCell ref="E54:E55"/>
    <mergeCell ref="F54:F55"/>
    <mergeCell ref="G54:G55"/>
    <mergeCell ref="H54:H55"/>
    <mergeCell ref="I54:I55"/>
    <mergeCell ref="J54:J55"/>
    <mergeCell ref="K54:K55"/>
    <mergeCell ref="L54:L55"/>
  </mergeCells>
  <pageMargins left="0.7" right="0.7" top="0.75" bottom="0.75" header="0.3" footer="0.3"/>
  <pageSetup paperSize="9"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BL403"/>
  <sheetViews>
    <sheetView workbookViewId="0"/>
  </sheetViews>
  <sheetFormatPr defaultColWidth="8.7109375" defaultRowHeight="15.75"/>
  <cols>
    <col min="1" max="1" width="18.5703125" style="78" customWidth="1"/>
    <col min="2" max="2" width="8.85546875" style="78" bestFit="1" customWidth="1"/>
    <col min="3" max="3" width="18" style="78" bestFit="1" customWidth="1"/>
    <col min="4" max="4" width="19.140625" style="78" bestFit="1" customWidth="1"/>
    <col min="5" max="5" width="18.85546875" style="78" bestFit="1" customWidth="1"/>
    <col min="6" max="6" width="16.5703125" style="78" bestFit="1" customWidth="1"/>
    <col min="7" max="7" width="16.28515625" style="78" bestFit="1" customWidth="1"/>
    <col min="8" max="9" width="11.85546875" style="78" bestFit="1" customWidth="1"/>
    <col min="10" max="10" width="10.85546875" style="78" bestFit="1" customWidth="1"/>
    <col min="11" max="23" width="8.7109375" style="78"/>
    <col min="24" max="24" width="17.85546875" style="78" customWidth="1"/>
    <col min="25" max="25" width="23.42578125" style="78" bestFit="1" customWidth="1"/>
    <col min="26" max="26" width="20.28515625" style="78" bestFit="1" customWidth="1"/>
    <col min="27" max="27" width="11.5703125" style="78" bestFit="1" customWidth="1"/>
    <col min="28" max="28" width="12.85546875" style="78" bestFit="1" customWidth="1"/>
    <col min="29" max="36" width="8.7109375" style="78"/>
    <col min="37" max="50" width="8.85546875" style="78" bestFit="1" customWidth="1"/>
    <col min="51" max="56" width="9" style="78" bestFit="1" customWidth="1"/>
    <col min="57" max="63" width="8.85546875" style="78" bestFit="1" customWidth="1"/>
    <col min="64" max="16384" width="8.7109375" style="78"/>
  </cols>
  <sheetData>
    <row r="1" spans="1:64">
      <c r="B1" s="80"/>
      <c r="C1" s="80"/>
      <c r="I1" s="78" t="s">
        <v>985</v>
      </c>
    </row>
    <row r="2" spans="1:64">
      <c r="A2" s="107" t="s">
        <v>975</v>
      </c>
      <c r="X2" s="107" t="s">
        <v>986</v>
      </c>
    </row>
    <row r="3" spans="1:64">
      <c r="D3" s="80" t="s">
        <v>976</v>
      </c>
      <c r="E3" s="80"/>
      <c r="F3" s="80"/>
      <c r="X3" s="107" t="s">
        <v>1008</v>
      </c>
    </row>
    <row r="4" spans="1:64">
      <c r="A4" s="80" t="s">
        <v>678</v>
      </c>
      <c r="B4" s="80" t="s">
        <v>912</v>
      </c>
      <c r="C4" s="80" t="s">
        <v>913</v>
      </c>
      <c r="D4" s="80" t="s">
        <v>23</v>
      </c>
      <c r="E4" s="80" t="s">
        <v>55</v>
      </c>
      <c r="F4" s="80" t="s">
        <v>3</v>
      </c>
      <c r="G4" s="80" t="s">
        <v>15</v>
      </c>
      <c r="H4" s="80" t="s">
        <v>32</v>
      </c>
      <c r="I4" s="80" t="s">
        <v>19</v>
      </c>
      <c r="J4" s="80" t="s">
        <v>914</v>
      </c>
      <c r="X4" s="107" t="s">
        <v>962</v>
      </c>
      <c r="Y4" s="80"/>
      <c r="Z4" s="80"/>
      <c r="AA4" s="80"/>
    </row>
    <row r="5" spans="1:64">
      <c r="A5" s="80" t="s">
        <v>915</v>
      </c>
      <c r="B5" s="80" t="s">
        <v>916</v>
      </c>
      <c r="C5" s="78" t="s">
        <v>792</v>
      </c>
      <c r="D5" s="144">
        <v>1.1000000000000001E-3</v>
      </c>
      <c r="E5" s="144">
        <v>7.3899999999999994E-5</v>
      </c>
      <c r="F5" s="144">
        <v>3.2799999999999999E-6</v>
      </c>
      <c r="G5" s="144">
        <v>1.94E-4</v>
      </c>
      <c r="H5" s="144">
        <v>3.2599999999999998E-7</v>
      </c>
      <c r="I5" s="144">
        <v>6.0399999999999998E-5</v>
      </c>
      <c r="J5" s="144">
        <v>1.4300000000000001E-3</v>
      </c>
      <c r="K5" s="144"/>
      <c r="X5" s="26" t="s">
        <v>0</v>
      </c>
      <c r="Y5" s="26" t="s">
        <v>692</v>
      </c>
      <c r="Z5" s="83" t="s">
        <v>1</v>
      </c>
      <c r="AA5" s="83" t="s">
        <v>301</v>
      </c>
      <c r="AB5" s="83" t="s">
        <v>300</v>
      </c>
      <c r="AC5" s="83" t="s">
        <v>348</v>
      </c>
      <c r="AD5" s="83" t="s">
        <v>302</v>
      </c>
      <c r="AE5" s="26" t="s">
        <v>303</v>
      </c>
      <c r="AF5" s="26" t="s">
        <v>363</v>
      </c>
      <c r="AG5" s="26" t="s">
        <v>681</v>
      </c>
      <c r="AH5" s="26" t="s">
        <v>680</v>
      </c>
      <c r="AI5" s="83" t="s">
        <v>686</v>
      </c>
      <c r="AJ5" s="83" t="s">
        <v>693</v>
      </c>
      <c r="AK5" s="57" t="s">
        <v>23</v>
      </c>
      <c r="AL5" s="70" t="s">
        <v>55</v>
      </c>
      <c r="AM5" s="150" t="s">
        <v>3</v>
      </c>
      <c r="AN5" s="70" t="s">
        <v>15</v>
      </c>
      <c r="AO5" s="57" t="s">
        <v>32</v>
      </c>
      <c r="AP5" s="70" t="s">
        <v>19</v>
      </c>
      <c r="AQ5" s="70"/>
      <c r="AR5" s="146" t="s">
        <v>987</v>
      </c>
      <c r="AS5" s="70" t="s">
        <v>988</v>
      </c>
      <c r="AT5" s="70" t="s">
        <v>989</v>
      </c>
      <c r="AU5" s="70" t="s">
        <v>990</v>
      </c>
      <c r="AV5" s="70" t="s">
        <v>991</v>
      </c>
      <c r="AW5" s="146" t="s">
        <v>992</v>
      </c>
      <c r="AX5" s="147"/>
      <c r="AY5" s="151" t="s">
        <v>993</v>
      </c>
      <c r="AZ5" s="70" t="s">
        <v>994</v>
      </c>
      <c r="BA5" s="70" t="s">
        <v>995</v>
      </c>
      <c r="BB5" s="70" t="s">
        <v>996</v>
      </c>
      <c r="BC5" s="70" t="s">
        <v>997</v>
      </c>
      <c r="BD5" s="151" t="s">
        <v>998</v>
      </c>
      <c r="BE5" s="147"/>
      <c r="BF5" s="149" t="s">
        <v>999</v>
      </c>
      <c r="BG5" s="70" t="s">
        <v>1000</v>
      </c>
      <c r="BH5" s="70" t="s">
        <v>1001</v>
      </c>
      <c r="BI5" s="70" t="s">
        <v>1002</v>
      </c>
      <c r="BJ5" s="70" t="s">
        <v>1003</v>
      </c>
      <c r="BK5" s="149" t="s">
        <v>1004</v>
      </c>
    </row>
    <row r="6" spans="1:64" ht="18">
      <c r="A6" s="80" t="s">
        <v>915</v>
      </c>
      <c r="B6" s="80" t="s">
        <v>916</v>
      </c>
      <c r="C6" s="78" t="s">
        <v>827</v>
      </c>
      <c r="D6" s="144">
        <v>220</v>
      </c>
      <c r="E6" s="144">
        <v>14.8</v>
      </c>
      <c r="F6" s="144">
        <v>0.65600000000000003</v>
      </c>
      <c r="G6" s="144">
        <v>38.799999999999997</v>
      </c>
      <c r="H6" s="144">
        <v>6.5299999999999997E-2</v>
      </c>
      <c r="I6" s="144">
        <v>12.1</v>
      </c>
      <c r="J6" s="144">
        <v>286</v>
      </c>
      <c r="K6" s="144"/>
      <c r="R6" s="115" t="s">
        <v>1038</v>
      </c>
      <c r="S6" s="115"/>
      <c r="T6" s="115"/>
      <c r="U6" s="115"/>
      <c r="X6" s="27"/>
      <c r="Y6" s="27"/>
      <c r="Z6" s="116"/>
      <c r="AA6" s="116"/>
      <c r="AB6" s="116"/>
      <c r="AC6" s="116"/>
      <c r="AD6" s="116"/>
      <c r="AE6" s="116"/>
      <c r="AF6" s="116" t="s">
        <v>349</v>
      </c>
      <c r="AG6" s="116"/>
      <c r="AH6" s="116"/>
      <c r="AI6" s="116"/>
      <c r="AJ6" s="116"/>
      <c r="AK6" s="8" t="s">
        <v>403</v>
      </c>
      <c r="AL6" s="8" t="s">
        <v>403</v>
      </c>
      <c r="AM6" s="8" t="s">
        <v>403</v>
      </c>
      <c r="AN6" s="8" t="s">
        <v>403</v>
      </c>
      <c r="AO6" s="8" t="s">
        <v>403</v>
      </c>
      <c r="AP6" s="8" t="s">
        <v>403</v>
      </c>
      <c r="AQ6" s="8"/>
      <c r="AR6" s="53" t="s">
        <v>963</v>
      </c>
      <c r="AS6" s="53" t="s">
        <v>963</v>
      </c>
      <c r="AT6" s="53" t="s">
        <v>963</v>
      </c>
      <c r="AU6" s="53" t="s">
        <v>963</v>
      </c>
      <c r="AV6" s="53" t="s">
        <v>963</v>
      </c>
      <c r="AW6" s="53" t="s">
        <v>963</v>
      </c>
      <c r="AX6" s="53" t="s">
        <v>963</v>
      </c>
      <c r="AY6" s="53" t="s">
        <v>963</v>
      </c>
      <c r="AZ6" s="53" t="s">
        <v>963</v>
      </c>
      <c r="BA6" s="53" t="s">
        <v>963</v>
      </c>
      <c r="BB6" s="53" t="s">
        <v>963</v>
      </c>
      <c r="BC6" s="53" t="s">
        <v>963</v>
      </c>
      <c r="BD6" s="53" t="s">
        <v>963</v>
      </c>
      <c r="BE6" s="53" t="s">
        <v>963</v>
      </c>
      <c r="BF6" s="53" t="s">
        <v>963</v>
      </c>
      <c r="BG6" s="53" t="s">
        <v>963</v>
      </c>
      <c r="BH6" s="53" t="s">
        <v>963</v>
      </c>
      <c r="BI6" s="53" t="s">
        <v>963</v>
      </c>
      <c r="BJ6" s="53" t="s">
        <v>963</v>
      </c>
      <c r="BK6" s="53" t="s">
        <v>963</v>
      </c>
    </row>
    <row r="7" spans="1:64">
      <c r="A7" s="80" t="s">
        <v>915</v>
      </c>
      <c r="B7" s="80" t="s">
        <v>916</v>
      </c>
      <c r="C7" s="78" t="s">
        <v>805</v>
      </c>
      <c r="D7" s="144">
        <v>2.2900000000000001E-4</v>
      </c>
      <c r="E7" s="144">
        <v>5.1399999999999997E-7</v>
      </c>
      <c r="F7" s="144">
        <v>2.2799999999999999E-8</v>
      </c>
      <c r="G7" s="144">
        <v>1.35E-6</v>
      </c>
      <c r="H7" s="144">
        <v>2.2699999999999998E-9</v>
      </c>
      <c r="I7" s="144">
        <v>4.2E-7</v>
      </c>
      <c r="J7" s="144">
        <v>2.31E-4</v>
      </c>
      <c r="K7" s="144"/>
      <c r="R7" s="115" t="s">
        <v>1039</v>
      </c>
      <c r="S7" s="115" t="s">
        <v>1036</v>
      </c>
      <c r="T7" s="115"/>
      <c r="U7" s="115"/>
      <c r="X7" s="152" t="s">
        <v>297</v>
      </c>
      <c r="Y7" s="43"/>
      <c r="Z7" s="153"/>
      <c r="AA7" s="153"/>
      <c r="AB7" s="153"/>
      <c r="AC7" s="153"/>
      <c r="AD7" s="153"/>
      <c r="AE7" s="116"/>
      <c r="AF7" s="116"/>
      <c r="AG7" s="116"/>
      <c r="AH7" s="153"/>
      <c r="AI7" s="153"/>
      <c r="AJ7" s="153"/>
      <c r="AK7" s="57" t="s">
        <v>77</v>
      </c>
      <c r="AL7" s="57" t="s">
        <v>69</v>
      </c>
      <c r="AM7" s="56">
        <v>0.02</v>
      </c>
      <c r="AN7" s="57" t="s">
        <v>69</v>
      </c>
      <c r="AO7" s="57" t="s">
        <v>83</v>
      </c>
      <c r="AP7" s="57" t="s">
        <v>73</v>
      </c>
      <c r="AQ7" s="57"/>
      <c r="AR7" s="147"/>
      <c r="AS7" s="147"/>
      <c r="AT7" s="147"/>
      <c r="AU7" s="147"/>
      <c r="AV7" s="147"/>
      <c r="AW7" s="147"/>
      <c r="AX7" s="147"/>
      <c r="AY7" s="147"/>
      <c r="AZ7" s="147"/>
      <c r="BA7" s="147"/>
      <c r="BB7" s="147"/>
      <c r="BC7" s="147"/>
      <c r="BD7" s="147"/>
      <c r="BE7" s="147"/>
      <c r="BF7" s="147"/>
      <c r="BG7" s="147"/>
      <c r="BH7" s="147"/>
      <c r="BI7" s="147"/>
      <c r="BJ7" s="147"/>
      <c r="BK7" s="147"/>
      <c r="BL7" s="147"/>
    </row>
    <row r="8" spans="1:64">
      <c r="A8" s="80" t="s">
        <v>915</v>
      </c>
      <c r="B8" s="80" t="s">
        <v>916</v>
      </c>
      <c r="C8" s="78" t="s">
        <v>914</v>
      </c>
      <c r="D8" s="144">
        <v>220</v>
      </c>
      <c r="E8" s="144">
        <v>14.8</v>
      </c>
      <c r="F8" s="144">
        <v>0.65600000000000003</v>
      </c>
      <c r="G8" s="144">
        <v>38.799999999999997</v>
      </c>
      <c r="H8" s="144">
        <v>6.5299999999999997E-2</v>
      </c>
      <c r="I8" s="144">
        <v>12.1</v>
      </c>
      <c r="J8" s="144">
        <v>286</v>
      </c>
      <c r="K8" s="144"/>
      <c r="R8" s="115" t="s">
        <v>1040</v>
      </c>
      <c r="S8" s="115" t="s">
        <v>1037</v>
      </c>
      <c r="T8" s="115"/>
      <c r="U8" s="115"/>
      <c r="X8" s="53" t="s">
        <v>87</v>
      </c>
      <c r="Y8" s="154" t="s">
        <v>88</v>
      </c>
      <c r="Z8" s="155" t="s">
        <v>339</v>
      </c>
      <c r="AA8" s="53">
        <v>0.258245</v>
      </c>
      <c r="AB8" s="53">
        <v>34.717754999999997</v>
      </c>
      <c r="AC8" s="53" t="s">
        <v>372</v>
      </c>
      <c r="AD8" s="53" t="s">
        <v>330</v>
      </c>
      <c r="AE8" s="116" t="s">
        <v>347</v>
      </c>
      <c r="AF8" s="154" t="s">
        <v>371</v>
      </c>
      <c r="AG8" s="116" t="s">
        <v>687</v>
      </c>
      <c r="AH8" s="53" t="s">
        <v>361</v>
      </c>
      <c r="AI8" s="53" t="s">
        <v>685</v>
      </c>
      <c r="AJ8" s="53" t="s">
        <v>690</v>
      </c>
      <c r="AK8" s="156">
        <v>35.5</v>
      </c>
      <c r="AL8" s="157">
        <v>19.8</v>
      </c>
      <c r="AM8" s="75">
        <v>11.04308</v>
      </c>
      <c r="AN8" s="157">
        <v>517.5</v>
      </c>
      <c r="AO8" s="156">
        <v>0.11600000000000001</v>
      </c>
      <c r="AP8" s="157">
        <v>98.9</v>
      </c>
      <c r="AQ8" s="157"/>
      <c r="AR8" s="158">
        <f t="shared" ref="AR8:AW39" si="0">(AK8*100*350*30*0.000001)/(70*66.7*365)</f>
        <v>2.1872625331170031E-5</v>
      </c>
      <c r="AS8" s="144">
        <f t="shared" si="0"/>
        <v>1.2199379762173707E-5</v>
      </c>
      <c r="AT8" s="144">
        <f t="shared" si="0"/>
        <v>6.8039760941447083E-6</v>
      </c>
      <c r="AU8" s="144">
        <f t="shared" si="0"/>
        <v>3.1884742560226738E-4</v>
      </c>
      <c r="AV8" s="144">
        <f t="shared" si="0"/>
        <v>7.14711137581894E-8</v>
      </c>
      <c r="AW8" s="158">
        <f t="shared" si="0"/>
        <v>6.0935285781766651E-5</v>
      </c>
      <c r="AX8" s="144"/>
      <c r="AY8" s="159">
        <f t="shared" ref="AY8:BD39" si="1">(AK8*20*350*30)/(70*66.7*365)</f>
        <v>4.3745250662340061</v>
      </c>
      <c r="AZ8" s="144">
        <f t="shared" si="1"/>
        <v>2.4398759524347415</v>
      </c>
      <c r="BA8" s="144">
        <f t="shared" si="1"/>
        <v>1.3607952188289416</v>
      </c>
      <c r="BB8" s="144">
        <f t="shared" si="1"/>
        <v>63.769485120453474</v>
      </c>
      <c r="BC8" s="144">
        <f t="shared" si="1"/>
        <v>1.4294222751637883E-2</v>
      </c>
      <c r="BD8" s="159">
        <f t="shared" si="1"/>
        <v>12.18705715635333</v>
      </c>
      <c r="BE8" s="144"/>
      <c r="BF8" s="160">
        <f t="shared" ref="BF8:BF71" si="2">(AK8*5700*0.61*0.2*0.03*350*30*0.000001)/(70*66.7*365)</f>
        <v>4.5630670965886918E-6</v>
      </c>
      <c r="BG8" s="144">
        <f t="shared" ref="BG8:BK39" si="3">(AL8*5700*0.61*0.2*0.001*350*30*0.000001)/(70*66.7*365)</f>
        <v>8.483448686615594E-8</v>
      </c>
      <c r="BH8" s="144">
        <f t="shared" si="3"/>
        <v>4.7314849758682307E-8</v>
      </c>
      <c r="BI8" s="144">
        <f t="shared" si="3"/>
        <v>2.2172649976381672E-6</v>
      </c>
      <c r="BJ8" s="144">
        <f t="shared" si="3"/>
        <v>4.9701012507444911E-10</v>
      </c>
      <c r="BK8" s="160">
        <f t="shared" si="3"/>
        <v>4.2374397732640519E-7</v>
      </c>
      <c r="BL8" s="144"/>
    </row>
    <row r="9" spans="1:64">
      <c r="A9" s="80" t="s">
        <v>915</v>
      </c>
      <c r="B9" s="80" t="s">
        <v>917</v>
      </c>
      <c r="C9" s="78" t="s">
        <v>792</v>
      </c>
      <c r="D9" s="144">
        <v>2.0500000000000002E-3</v>
      </c>
      <c r="E9" s="144">
        <v>1.3799999999999999E-4</v>
      </c>
      <c r="F9" s="144">
        <v>6.1199999999999999E-6</v>
      </c>
      <c r="G9" s="144">
        <v>3.6299999999999999E-4</v>
      </c>
      <c r="H9" s="144">
        <v>6.0900000000000001E-7</v>
      </c>
      <c r="I9" s="144">
        <v>1.13E-4</v>
      </c>
      <c r="J9" s="144">
        <v>2.6700000000000001E-3</v>
      </c>
      <c r="K9" s="144"/>
      <c r="R9" s="115" t="s">
        <v>1041</v>
      </c>
      <c r="S9" s="115"/>
      <c r="T9" s="115"/>
      <c r="U9" s="115"/>
      <c r="X9" s="53" t="s">
        <v>89</v>
      </c>
      <c r="Y9" s="154" t="s">
        <v>90</v>
      </c>
      <c r="Z9" s="155" t="s">
        <v>339</v>
      </c>
      <c r="AA9" s="53">
        <v>0.258245</v>
      </c>
      <c r="AB9" s="53">
        <v>34.717754999999997</v>
      </c>
      <c r="AC9" s="53" t="s">
        <v>372</v>
      </c>
      <c r="AD9" s="53" t="s">
        <v>330</v>
      </c>
      <c r="AE9" s="116" t="s">
        <v>347</v>
      </c>
      <c r="AF9" s="154" t="s">
        <v>371</v>
      </c>
      <c r="AG9" s="116" t="s">
        <v>687</v>
      </c>
      <c r="AH9" s="53" t="s">
        <v>364</v>
      </c>
      <c r="AI9" s="53" t="s">
        <v>685</v>
      </c>
      <c r="AJ9" s="53" t="s">
        <v>690</v>
      </c>
      <c r="AK9" s="156">
        <v>1.5</v>
      </c>
      <c r="AL9" s="157">
        <v>13.5</v>
      </c>
      <c r="AM9" s="75">
        <v>4.1530000000000004E-2</v>
      </c>
      <c r="AN9" s="157">
        <v>129.5</v>
      </c>
      <c r="AO9" s="156">
        <v>5.3999999999999999E-2</v>
      </c>
      <c r="AP9" s="157">
        <v>113.79</v>
      </c>
      <c r="AQ9" s="157"/>
      <c r="AR9" s="158">
        <f t="shared" si="0"/>
        <v>9.2419543652831112E-7</v>
      </c>
      <c r="AS9" s="144">
        <f t="shared" si="0"/>
        <v>8.3177589287547998E-6</v>
      </c>
      <c r="AT9" s="144">
        <f t="shared" si="0"/>
        <v>2.5587890986013847E-8</v>
      </c>
      <c r="AU9" s="144">
        <f t="shared" si="0"/>
        <v>7.9788872686944196E-5</v>
      </c>
      <c r="AV9" s="144">
        <f t="shared" si="0"/>
        <v>3.3271035715019205E-8</v>
      </c>
      <c r="AW9" s="158">
        <f t="shared" si="0"/>
        <v>7.0109465815037681E-5</v>
      </c>
      <c r="AX9" s="144"/>
      <c r="AY9" s="159">
        <f t="shared" si="1"/>
        <v>0.18483908730566223</v>
      </c>
      <c r="AZ9" s="144">
        <f t="shared" si="1"/>
        <v>1.6635517857509601</v>
      </c>
      <c r="BA9" s="144">
        <f t="shared" si="1"/>
        <v>5.1175781972027691E-3</v>
      </c>
      <c r="BB9" s="144">
        <f t="shared" si="1"/>
        <v>15.95777453738884</v>
      </c>
      <c r="BC9" s="144">
        <f t="shared" si="1"/>
        <v>6.6542071430038402E-3</v>
      </c>
      <c r="BD9" s="159">
        <f t="shared" si="1"/>
        <v>14.02189316300754</v>
      </c>
      <c r="BE9" s="144"/>
      <c r="BF9" s="160">
        <f t="shared" si="2"/>
        <v>1.9280565196853632E-7</v>
      </c>
      <c r="BG9" s="144">
        <f t="shared" si="3"/>
        <v>5.7841695590560882E-8</v>
      </c>
      <c r="BH9" s="144">
        <f t="shared" si="3"/>
        <v>1.779381939167403E-10</v>
      </c>
      <c r="BI9" s="144">
        <f t="shared" si="3"/>
        <v>5.5485182066500991E-7</v>
      </c>
      <c r="BJ9" s="144">
        <f t="shared" si="3"/>
        <v>2.3136678236224358E-10</v>
      </c>
      <c r="BK9" s="160">
        <f t="shared" si="3"/>
        <v>4.875412252777721E-7</v>
      </c>
      <c r="BL9" s="144"/>
    </row>
    <row r="10" spans="1:64">
      <c r="A10" s="80" t="s">
        <v>915</v>
      </c>
      <c r="B10" s="80" t="s">
        <v>917</v>
      </c>
      <c r="C10" s="78" t="s">
        <v>827</v>
      </c>
      <c r="D10" s="144">
        <v>78</v>
      </c>
      <c r="E10" s="144">
        <v>5.24</v>
      </c>
      <c r="F10" s="144">
        <v>0.23300000000000001</v>
      </c>
      <c r="G10" s="144">
        <v>13.8</v>
      </c>
      <c r="H10" s="144">
        <v>2.3099999999999999E-2</v>
      </c>
      <c r="I10" s="144">
        <v>4.29</v>
      </c>
      <c r="J10" s="144">
        <v>102</v>
      </c>
      <c r="K10" s="144"/>
      <c r="R10" s="426" t="s">
        <v>1042</v>
      </c>
      <c r="S10" s="426"/>
      <c r="T10" s="426"/>
      <c r="U10" s="426"/>
      <c r="X10" s="53" t="s">
        <v>93</v>
      </c>
      <c r="Y10" s="154" t="s">
        <v>94</v>
      </c>
      <c r="Z10" s="155" t="s">
        <v>339</v>
      </c>
      <c r="AA10" s="53">
        <v>0.258245</v>
      </c>
      <c r="AB10" s="53">
        <v>34.717754999999997</v>
      </c>
      <c r="AC10" s="53" t="s">
        <v>372</v>
      </c>
      <c r="AD10" s="53" t="s">
        <v>330</v>
      </c>
      <c r="AE10" s="116" t="s">
        <v>347</v>
      </c>
      <c r="AF10" s="154" t="s">
        <v>371</v>
      </c>
      <c r="AG10" s="116" t="s">
        <v>687</v>
      </c>
      <c r="AH10" s="53" t="s">
        <v>365</v>
      </c>
      <c r="AI10" s="53" t="s">
        <v>685</v>
      </c>
      <c r="AJ10" s="53" t="s">
        <v>691</v>
      </c>
      <c r="AK10" s="156">
        <v>482.6</v>
      </c>
      <c r="AL10" s="157">
        <v>16.8</v>
      </c>
      <c r="AM10" s="75">
        <v>2.2132899999999998</v>
      </c>
      <c r="AN10" s="157">
        <v>813.8</v>
      </c>
      <c r="AO10" s="156">
        <v>0.151</v>
      </c>
      <c r="AP10" s="157">
        <v>123.55</v>
      </c>
      <c r="AQ10" s="157"/>
      <c r="AR10" s="158">
        <f t="shared" si="0"/>
        <v>2.9734447844570862E-4</v>
      </c>
      <c r="AS10" s="144">
        <f t="shared" si="0"/>
        <v>1.0350988889117085E-5</v>
      </c>
      <c r="AT10" s="144">
        <f t="shared" si="0"/>
        <v>1.3636750118091636E-6</v>
      </c>
      <c r="AU10" s="144">
        <f t="shared" si="0"/>
        <v>5.0140683083115976E-4</v>
      </c>
      <c r="AV10" s="144">
        <f t="shared" si="0"/>
        <v>9.3035673943849996E-8</v>
      </c>
      <c r="AW10" s="158">
        <f t="shared" si="0"/>
        <v>7.6122897455381888E-5</v>
      </c>
      <c r="AX10" s="144"/>
      <c r="AY10" s="159">
        <f t="shared" si="1"/>
        <v>59.468895689141732</v>
      </c>
      <c r="AZ10" s="144">
        <f t="shared" si="1"/>
        <v>2.0701977778234171</v>
      </c>
      <c r="BA10" s="144">
        <f t="shared" si="1"/>
        <v>0.27273500236183273</v>
      </c>
      <c r="BB10" s="144">
        <f t="shared" si="1"/>
        <v>100.28136616623195</v>
      </c>
      <c r="BC10" s="144">
        <f t="shared" si="1"/>
        <v>1.8607134788769998E-2</v>
      </c>
      <c r="BD10" s="159">
        <f t="shared" si="1"/>
        <v>15.22457949107638</v>
      </c>
      <c r="BE10" s="144"/>
      <c r="BF10" s="160">
        <f t="shared" si="2"/>
        <v>6.2032005093343748E-5</v>
      </c>
      <c r="BG10" s="144">
        <f t="shared" si="3"/>
        <v>7.1980776734920231E-8</v>
      </c>
      <c r="BH10" s="144">
        <f t="shared" si="3"/>
        <v>9.4829960321209237E-9</v>
      </c>
      <c r="BI10" s="144">
        <f t="shared" si="3"/>
        <v>3.4867831015998846E-6</v>
      </c>
      <c r="BJ10" s="144">
        <f t="shared" si="3"/>
        <v>6.4697007660553287E-10</v>
      </c>
      <c r="BK10" s="160">
        <f t="shared" si="3"/>
        <v>5.2935862890472565E-7</v>
      </c>
      <c r="BL10" s="144"/>
    </row>
    <row r="11" spans="1:64">
      <c r="A11" s="80" t="s">
        <v>915</v>
      </c>
      <c r="B11" s="80" t="s">
        <v>917</v>
      </c>
      <c r="C11" s="78" t="s">
        <v>805</v>
      </c>
      <c r="D11" s="144">
        <v>3.68E-5</v>
      </c>
      <c r="E11" s="144">
        <v>8.2500000000000004E-8</v>
      </c>
      <c r="F11" s="144">
        <v>3.6600000000000002E-9</v>
      </c>
      <c r="G11" s="144">
        <v>2.17E-7</v>
      </c>
      <c r="H11" s="144">
        <v>3.6399999999999998E-10</v>
      </c>
      <c r="I11" s="144">
        <v>6.7399999999999995E-8</v>
      </c>
      <c r="J11" s="144">
        <v>3.7200000000000003E-5</v>
      </c>
      <c r="K11" s="144"/>
      <c r="R11" s="308" t="s">
        <v>1043</v>
      </c>
      <c r="S11" s="115"/>
      <c r="T11" s="115"/>
      <c r="U11" s="115"/>
      <c r="X11" s="53" t="s">
        <v>95</v>
      </c>
      <c r="Y11" s="154" t="s">
        <v>96</v>
      </c>
      <c r="Z11" s="155" t="s">
        <v>339</v>
      </c>
      <c r="AA11" s="53">
        <v>0.25792300000000001</v>
      </c>
      <c r="AB11" s="53">
        <v>34.719996000000002</v>
      </c>
      <c r="AC11" s="53" t="s">
        <v>372</v>
      </c>
      <c r="AD11" s="53" t="s">
        <v>330</v>
      </c>
      <c r="AE11" s="116" t="s">
        <v>347</v>
      </c>
      <c r="AF11" s="154" t="s">
        <v>371</v>
      </c>
      <c r="AG11" s="116" t="s">
        <v>687</v>
      </c>
      <c r="AH11" s="53" t="s">
        <v>366</v>
      </c>
      <c r="AI11" s="53" t="s">
        <v>684</v>
      </c>
      <c r="AJ11" s="53" t="s">
        <v>683</v>
      </c>
      <c r="AK11" s="156">
        <v>7.8</v>
      </c>
      <c r="AL11" s="157">
        <v>20.3</v>
      </c>
      <c r="AM11" s="75">
        <v>0.31496999999999997</v>
      </c>
      <c r="AN11" s="157">
        <v>1257.0999999999999</v>
      </c>
      <c r="AO11" s="156">
        <v>9.2999999999999999E-2</v>
      </c>
      <c r="AP11" s="157">
        <v>244.79</v>
      </c>
      <c r="AQ11" s="157"/>
      <c r="AR11" s="158">
        <f t="shared" si="0"/>
        <v>4.8058162699472177E-6</v>
      </c>
      <c r="AS11" s="144">
        <f t="shared" si="0"/>
        <v>1.2507444907683144E-5</v>
      </c>
      <c r="AT11" s="144">
        <f t="shared" si="0"/>
        <v>1.9406255776221474E-7</v>
      </c>
      <c r="AU11" s="144">
        <f t="shared" si="0"/>
        <v>7.745373888398265E-4</v>
      </c>
      <c r="AV11" s="144">
        <f t="shared" si="0"/>
        <v>5.7300117064755303E-8</v>
      </c>
      <c r="AW11" s="158">
        <f t="shared" si="0"/>
        <v>1.5082253393851019E-4</v>
      </c>
      <c r="AX11" s="144"/>
      <c r="AY11" s="159">
        <f t="shared" si="1"/>
        <v>0.96116325398944369</v>
      </c>
      <c r="AZ11" s="144">
        <f t="shared" si="1"/>
        <v>2.501488981536629</v>
      </c>
      <c r="BA11" s="144">
        <f t="shared" si="1"/>
        <v>3.8812511552442953E-2</v>
      </c>
      <c r="BB11" s="144">
        <f t="shared" si="1"/>
        <v>154.90747776796533</v>
      </c>
      <c r="BC11" s="144">
        <f t="shared" si="1"/>
        <v>1.1460023412951059E-2</v>
      </c>
      <c r="BD11" s="159">
        <f t="shared" si="1"/>
        <v>30.164506787702038</v>
      </c>
      <c r="BE11" s="144"/>
      <c r="BF11" s="160">
        <f t="shared" si="2"/>
        <v>1.0025893902363887E-6</v>
      </c>
      <c r="BG11" s="144">
        <f t="shared" si="3"/>
        <v>8.6976771888028589E-8</v>
      </c>
      <c r="BH11" s="144">
        <f t="shared" si="3"/>
        <v>1.349511026678441E-9</v>
      </c>
      <c r="BI11" s="144">
        <f t="shared" si="3"/>
        <v>5.386133001992154E-6</v>
      </c>
      <c r="BJ11" s="144">
        <f t="shared" si="3"/>
        <v>3.9846501406830826E-10</v>
      </c>
      <c r="BK11" s="160">
        <f t="shared" si="3"/>
        <v>1.0488199010083997E-6</v>
      </c>
      <c r="BL11" s="144"/>
    </row>
    <row r="12" spans="1:64">
      <c r="A12" s="80" t="s">
        <v>915</v>
      </c>
      <c r="B12" s="80" t="s">
        <v>917</v>
      </c>
      <c r="C12" s="78" t="s">
        <v>914</v>
      </c>
      <c r="D12" s="144">
        <v>78</v>
      </c>
      <c r="E12" s="144">
        <v>5.24</v>
      </c>
      <c r="F12" s="144">
        <v>0.23300000000000001</v>
      </c>
      <c r="G12" s="144">
        <v>13.8</v>
      </c>
      <c r="H12" s="144">
        <v>2.3099999999999999E-2</v>
      </c>
      <c r="I12" s="144">
        <v>4.29</v>
      </c>
      <c r="J12" s="144">
        <v>102</v>
      </c>
      <c r="K12" s="144"/>
      <c r="R12" s="426" t="s">
        <v>1044</v>
      </c>
      <c r="S12" s="426"/>
      <c r="T12" s="426"/>
      <c r="U12" s="115"/>
      <c r="X12" s="53" t="s">
        <v>97</v>
      </c>
      <c r="Y12" s="154" t="s">
        <v>98</v>
      </c>
      <c r="Z12" s="155" t="s">
        <v>339</v>
      </c>
      <c r="AA12" s="53">
        <v>0.258245</v>
      </c>
      <c r="AB12" s="53">
        <v>34.717754999999997</v>
      </c>
      <c r="AC12" s="53" t="s">
        <v>372</v>
      </c>
      <c r="AD12" s="53" t="s">
        <v>330</v>
      </c>
      <c r="AE12" s="116" t="s">
        <v>347</v>
      </c>
      <c r="AF12" s="154" t="s">
        <v>371</v>
      </c>
      <c r="AG12" s="116" t="s">
        <v>687</v>
      </c>
      <c r="AH12" s="53" t="s">
        <v>366</v>
      </c>
      <c r="AI12" s="53" t="s">
        <v>684</v>
      </c>
      <c r="AJ12" s="53" t="s">
        <v>683</v>
      </c>
      <c r="AK12" s="156">
        <v>8.4</v>
      </c>
      <c r="AL12" s="157">
        <v>18.5</v>
      </c>
      <c r="AM12" s="75">
        <v>0.44583999999999996</v>
      </c>
      <c r="AN12" s="157">
        <v>1344</v>
      </c>
      <c r="AO12" s="156">
        <v>7.3999999999999996E-2</v>
      </c>
      <c r="AP12" s="157">
        <v>277.10000000000002</v>
      </c>
      <c r="AQ12" s="157"/>
      <c r="AR12" s="158">
        <f t="shared" si="0"/>
        <v>5.1754944445585424E-6</v>
      </c>
      <c r="AS12" s="144">
        <f t="shared" si="0"/>
        <v>1.1398410383849172E-5</v>
      </c>
      <c r="AT12" s="144">
        <f t="shared" si="0"/>
        <v>2.7469552894785482E-7</v>
      </c>
      <c r="AU12" s="144">
        <f t="shared" si="0"/>
        <v>8.280791111293669E-4</v>
      </c>
      <c r="AV12" s="144">
        <f t="shared" si="0"/>
        <v>4.5593641535396681E-8</v>
      </c>
      <c r="AW12" s="158">
        <f t="shared" si="0"/>
        <v>1.7072970364133004E-4</v>
      </c>
      <c r="AX12" s="144"/>
      <c r="AY12" s="159">
        <f t="shared" si="1"/>
        <v>1.0350988889117085</v>
      </c>
      <c r="AZ12" s="144">
        <f t="shared" si="1"/>
        <v>2.2796820767698343</v>
      </c>
      <c r="BA12" s="144">
        <f t="shared" si="1"/>
        <v>5.4939105789570966E-2</v>
      </c>
      <c r="BB12" s="144">
        <f t="shared" si="1"/>
        <v>165.61582222587336</v>
      </c>
      <c r="BC12" s="144">
        <f t="shared" si="1"/>
        <v>9.1187283070793372E-3</v>
      </c>
      <c r="BD12" s="159">
        <f t="shared" si="1"/>
        <v>34.145940728266005</v>
      </c>
      <c r="BE12" s="144"/>
      <c r="BF12" s="160">
        <f t="shared" si="2"/>
        <v>1.0797116510238031E-6</v>
      </c>
      <c r="BG12" s="144">
        <f t="shared" si="3"/>
        <v>7.9264545809287167E-8</v>
      </c>
      <c r="BH12" s="144">
        <f t="shared" si="3"/>
        <v>1.9102327083033821E-9</v>
      </c>
      <c r="BI12" s="144">
        <f t="shared" si="3"/>
        <v>5.7584621387936162E-6</v>
      </c>
      <c r="BJ12" s="144">
        <f t="shared" si="3"/>
        <v>3.1705818323714853E-10</v>
      </c>
      <c r="BK12" s="160">
        <f t="shared" si="3"/>
        <v>1.187254359121809E-6</v>
      </c>
      <c r="BL12" s="144"/>
    </row>
    <row r="13" spans="1:64">
      <c r="A13" s="80" t="s">
        <v>918</v>
      </c>
      <c r="B13" s="80" t="s">
        <v>916</v>
      </c>
      <c r="C13" s="78" t="s">
        <v>805</v>
      </c>
      <c r="D13" s="144">
        <v>5.7000000000000003E-5</v>
      </c>
      <c r="E13" s="144">
        <v>2.5100000000000001E-7</v>
      </c>
      <c r="F13" s="144">
        <v>2.4100000000000001E-8</v>
      </c>
      <c r="G13" s="144">
        <v>1.42E-6</v>
      </c>
      <c r="H13" s="144">
        <v>9.3499999999999998E-10</v>
      </c>
      <c r="I13" s="144">
        <v>3.7399999999999999E-7</v>
      </c>
      <c r="J13" s="144">
        <v>5.91E-5</v>
      </c>
      <c r="K13" s="144"/>
      <c r="X13" s="53" t="s">
        <v>99</v>
      </c>
      <c r="Y13" s="154" t="s">
        <v>100</v>
      </c>
      <c r="Z13" s="155" t="s">
        <v>339</v>
      </c>
      <c r="AA13" s="53">
        <v>0.25792300000000001</v>
      </c>
      <c r="AB13" s="53">
        <v>34.719996000000002</v>
      </c>
      <c r="AC13" s="53" t="s">
        <v>372</v>
      </c>
      <c r="AD13" s="53" t="s">
        <v>330</v>
      </c>
      <c r="AE13" s="116" t="s">
        <v>347</v>
      </c>
      <c r="AF13" s="154" t="s">
        <v>371</v>
      </c>
      <c r="AG13" s="116" t="s">
        <v>687</v>
      </c>
      <c r="AH13" s="53" t="s">
        <v>367</v>
      </c>
      <c r="AI13" s="53" t="s">
        <v>684</v>
      </c>
      <c r="AJ13" s="53" t="s">
        <v>683</v>
      </c>
      <c r="AK13" s="156">
        <v>7.2</v>
      </c>
      <c r="AL13" s="157">
        <v>20.6</v>
      </c>
      <c r="AM13" s="75">
        <v>9.7669999999999993E-2</v>
      </c>
      <c r="AN13" s="157">
        <v>611.9</v>
      </c>
      <c r="AO13" s="156">
        <v>6.6000000000000003E-2</v>
      </c>
      <c r="AP13" s="157">
        <v>152.46</v>
      </c>
      <c r="AQ13" s="157"/>
      <c r="AR13" s="158">
        <f t="shared" si="0"/>
        <v>4.4361380953358939E-6</v>
      </c>
      <c r="AS13" s="144">
        <f t="shared" si="0"/>
        <v>1.2692283994988806E-5</v>
      </c>
      <c r="AT13" s="144">
        <f t="shared" si="0"/>
        <v>6.017744552381343E-8</v>
      </c>
      <c r="AU13" s="144">
        <f t="shared" si="0"/>
        <v>3.7701012507444906E-4</v>
      </c>
      <c r="AV13" s="144">
        <f t="shared" si="0"/>
        <v>4.066459920724569E-8</v>
      </c>
      <c r="AW13" s="158">
        <f t="shared" si="0"/>
        <v>9.3935224168737542E-5</v>
      </c>
      <c r="AX13" s="144"/>
      <c r="AY13" s="159">
        <f t="shared" si="1"/>
        <v>0.88722761906717873</v>
      </c>
      <c r="AZ13" s="144">
        <f t="shared" si="1"/>
        <v>2.5384567989977613</v>
      </c>
      <c r="BA13" s="144">
        <f t="shared" si="1"/>
        <v>1.2035489104762686E-2</v>
      </c>
      <c r="BB13" s="144">
        <f t="shared" si="1"/>
        <v>75.402025014889816</v>
      </c>
      <c r="BC13" s="144">
        <f t="shared" si="1"/>
        <v>8.1329198414491384E-3</v>
      </c>
      <c r="BD13" s="159">
        <f t="shared" si="1"/>
        <v>18.787044833747508</v>
      </c>
      <c r="BE13" s="144"/>
      <c r="BF13" s="160">
        <f t="shared" si="2"/>
        <v>9.254671294489741E-7</v>
      </c>
      <c r="BG13" s="144">
        <f t="shared" si="3"/>
        <v>8.8262142901152184E-8</v>
      </c>
      <c r="BH13" s="144">
        <f t="shared" si="3"/>
        <v>4.1847395617259856E-10</v>
      </c>
      <c r="BI13" s="144">
        <f t="shared" si="3"/>
        <v>2.6217284097677192E-6</v>
      </c>
      <c r="BJ13" s="144">
        <f t="shared" si="3"/>
        <v>2.8278162288718662E-10</v>
      </c>
      <c r="BK13" s="160">
        <f t="shared" si="3"/>
        <v>6.5322554886940105E-7</v>
      </c>
      <c r="BL13" s="144"/>
    </row>
    <row r="14" spans="1:64">
      <c r="A14" s="80" t="s">
        <v>918</v>
      </c>
      <c r="B14" s="80" t="s">
        <v>917</v>
      </c>
      <c r="C14" s="78" t="s">
        <v>805</v>
      </c>
      <c r="D14" s="144">
        <v>9.1400000000000006E-6</v>
      </c>
      <c r="E14" s="144">
        <v>4.0299999999999997E-8</v>
      </c>
      <c r="F14" s="144">
        <v>3.8600000000000003E-9</v>
      </c>
      <c r="G14" s="144">
        <v>2.28E-7</v>
      </c>
      <c r="H14" s="144">
        <v>2.04E-9</v>
      </c>
      <c r="I14" s="144">
        <v>8.16E-7</v>
      </c>
      <c r="J14" s="144">
        <v>1.0200000000000001E-5</v>
      </c>
      <c r="K14" s="144"/>
      <c r="X14" s="53" t="s">
        <v>101</v>
      </c>
      <c r="Y14" s="154" t="s">
        <v>102</v>
      </c>
      <c r="Z14" s="155" t="s">
        <v>339</v>
      </c>
      <c r="AA14" s="53">
        <v>0.25812800000000002</v>
      </c>
      <c r="AB14" s="53">
        <v>34.720103999999999</v>
      </c>
      <c r="AC14" s="53" t="s">
        <v>372</v>
      </c>
      <c r="AD14" s="53" t="s">
        <v>330</v>
      </c>
      <c r="AE14" s="116" t="s">
        <v>347</v>
      </c>
      <c r="AF14" s="154" t="s">
        <v>371</v>
      </c>
      <c r="AG14" s="116" t="s">
        <v>687</v>
      </c>
      <c r="AH14" s="53" t="s">
        <v>366</v>
      </c>
      <c r="AI14" s="53" t="s">
        <v>684</v>
      </c>
      <c r="AJ14" s="53" t="s">
        <v>683</v>
      </c>
      <c r="AK14" s="156">
        <v>2.8</v>
      </c>
      <c r="AL14" s="157">
        <v>11.7</v>
      </c>
      <c r="AM14" s="75">
        <v>2.2800000000000001E-2</v>
      </c>
      <c r="AN14" s="157">
        <v>299.2</v>
      </c>
      <c r="AO14" s="156">
        <v>7.6999999999999999E-2</v>
      </c>
      <c r="AP14" s="157">
        <v>185.34</v>
      </c>
      <c r="AQ14" s="157"/>
      <c r="AR14" s="158">
        <f t="shared" si="0"/>
        <v>1.7251648148528475E-6</v>
      </c>
      <c r="AS14" s="144">
        <f t="shared" si="0"/>
        <v>7.2087244049208274E-6</v>
      </c>
      <c r="AT14" s="144">
        <f t="shared" si="0"/>
        <v>1.4047770635230331E-8</v>
      </c>
      <c r="AU14" s="144">
        <f t="shared" si="0"/>
        <v>1.8434618307284711E-4</v>
      </c>
      <c r="AV14" s="144">
        <f t="shared" si="0"/>
        <v>4.7442032408453302E-8</v>
      </c>
      <c r="AW14" s="158">
        <f t="shared" si="0"/>
        <v>1.1419358813743813E-4</v>
      </c>
      <c r="AX14" s="144"/>
      <c r="AY14" s="159">
        <f t="shared" si="1"/>
        <v>0.34503296297056951</v>
      </c>
      <c r="AZ14" s="144">
        <f t="shared" si="1"/>
        <v>1.4417448809841655</v>
      </c>
      <c r="BA14" s="144">
        <f t="shared" si="1"/>
        <v>2.8095541270460661E-3</v>
      </c>
      <c r="BB14" s="144">
        <f t="shared" si="1"/>
        <v>36.869236614569431</v>
      </c>
      <c r="BC14" s="144">
        <f t="shared" si="1"/>
        <v>9.4884064816906609E-3</v>
      </c>
      <c r="BD14" s="159">
        <f t="shared" si="1"/>
        <v>22.838717627487625</v>
      </c>
      <c r="BE14" s="144"/>
      <c r="BF14" s="160">
        <f t="shared" si="2"/>
        <v>3.5990388367460096E-7</v>
      </c>
      <c r="BG14" s="144">
        <f t="shared" si="3"/>
        <v>5.0129469511819439E-8</v>
      </c>
      <c r="BH14" s="144">
        <f t="shared" si="3"/>
        <v>9.7688196997391719E-11</v>
      </c>
      <c r="BI14" s="144">
        <f t="shared" si="3"/>
        <v>1.2819433570885793E-6</v>
      </c>
      <c r="BJ14" s="144">
        <f t="shared" si="3"/>
        <v>3.2991189336838424E-10</v>
      </c>
      <c r="BK14" s="160">
        <f t="shared" si="3"/>
        <v>7.941022119077448E-7</v>
      </c>
      <c r="BL14" s="144"/>
    </row>
    <row r="15" spans="1:64">
      <c r="A15" s="80" t="s">
        <v>919</v>
      </c>
      <c r="B15" s="80" t="s">
        <v>916</v>
      </c>
      <c r="C15" s="78" t="s">
        <v>792</v>
      </c>
      <c r="D15" s="144">
        <v>3.1599999999999998E-4</v>
      </c>
      <c r="E15" s="144">
        <v>1.8899999999999999E-6</v>
      </c>
      <c r="F15" s="144" t="s">
        <v>288</v>
      </c>
      <c r="G15" s="144">
        <v>1.4300000000000001E-6</v>
      </c>
      <c r="H15" s="144">
        <v>1.1200000000000001E-6</v>
      </c>
      <c r="I15" s="144">
        <v>9.3700000000000001E-5</v>
      </c>
      <c r="J15" s="144">
        <v>4.1399999999999998E-4</v>
      </c>
      <c r="K15" s="144"/>
      <c r="X15" s="53" t="s">
        <v>103</v>
      </c>
      <c r="Y15" s="53" t="s">
        <v>104</v>
      </c>
      <c r="Z15" s="155" t="s">
        <v>339</v>
      </c>
      <c r="AA15" s="53">
        <v>0.25792300000000001</v>
      </c>
      <c r="AB15" s="53">
        <v>34.719996000000002</v>
      </c>
      <c r="AC15" s="53" t="s">
        <v>372</v>
      </c>
      <c r="AD15" s="53" t="s">
        <v>330</v>
      </c>
      <c r="AE15" s="116" t="s">
        <v>347</v>
      </c>
      <c r="AF15" s="154" t="s">
        <v>371</v>
      </c>
      <c r="AG15" s="116" t="s">
        <v>687</v>
      </c>
      <c r="AH15" s="53" t="s">
        <v>365</v>
      </c>
      <c r="AI15" s="53" t="s">
        <v>685</v>
      </c>
      <c r="AJ15" s="53" t="s">
        <v>691</v>
      </c>
      <c r="AK15" s="156">
        <v>413</v>
      </c>
      <c r="AL15" s="157">
        <v>25</v>
      </c>
      <c r="AM15" s="75">
        <v>1.3671899999999999</v>
      </c>
      <c r="AN15" s="157">
        <v>1244.5999999999999</v>
      </c>
      <c r="AO15" s="156">
        <v>0.112</v>
      </c>
      <c r="AP15" s="157">
        <v>182.54</v>
      </c>
      <c r="AQ15" s="157"/>
      <c r="AR15" s="158">
        <f t="shared" si="0"/>
        <v>2.5446181019079498E-4</v>
      </c>
      <c r="AS15" s="144">
        <f t="shared" si="0"/>
        <v>1.5403257275471853E-5</v>
      </c>
      <c r="AT15" s="144">
        <f t="shared" si="0"/>
        <v>8.4236717257809448E-7</v>
      </c>
      <c r="AU15" s="144">
        <f t="shared" si="0"/>
        <v>7.6683576020209051E-4</v>
      </c>
      <c r="AV15" s="144">
        <f t="shared" si="0"/>
        <v>6.9006592594113905E-8</v>
      </c>
      <c r="AW15" s="158">
        <f t="shared" si="0"/>
        <v>1.1246842332258529E-4</v>
      </c>
      <c r="AX15" s="144"/>
      <c r="AY15" s="159">
        <f t="shared" si="1"/>
        <v>50.892362038159</v>
      </c>
      <c r="AZ15" s="144">
        <f t="shared" si="1"/>
        <v>3.0806514550943707</v>
      </c>
      <c r="BA15" s="144">
        <f t="shared" si="1"/>
        <v>0.16847343451561891</v>
      </c>
      <c r="BB15" s="144">
        <f t="shared" si="1"/>
        <v>153.36715204041815</v>
      </c>
      <c r="BC15" s="144">
        <f t="shared" si="1"/>
        <v>1.3801318518822783E-2</v>
      </c>
      <c r="BD15" s="159">
        <f t="shared" si="1"/>
        <v>22.493684664517058</v>
      </c>
      <c r="BE15" s="144"/>
      <c r="BF15" s="160">
        <f t="shared" si="2"/>
        <v>5.3085822842003644E-5</v>
      </c>
      <c r="BG15" s="144">
        <f t="shared" si="3"/>
        <v>1.0711425109363129E-7</v>
      </c>
      <c r="BH15" s="144">
        <f t="shared" si="3"/>
        <v>5.8578213181080684E-9</v>
      </c>
      <c r="BI15" s="144">
        <f t="shared" si="3"/>
        <v>5.3325758764453383E-6</v>
      </c>
      <c r="BJ15" s="144">
        <f t="shared" si="3"/>
        <v>4.7987184489946805E-10</v>
      </c>
      <c r="BK15" s="160">
        <f t="shared" si="3"/>
        <v>7.8210541578525793E-7</v>
      </c>
      <c r="BL15" s="144"/>
    </row>
    <row r="16" spans="1:64">
      <c r="A16" s="80" t="s">
        <v>919</v>
      </c>
      <c r="B16" s="80" t="s">
        <v>916</v>
      </c>
      <c r="C16" s="78" t="s">
        <v>805</v>
      </c>
      <c r="D16" s="144">
        <v>2.0999999999999999E-5</v>
      </c>
      <c r="E16" s="144">
        <v>4.1899999999999998E-9</v>
      </c>
      <c r="F16" s="144" t="s">
        <v>288</v>
      </c>
      <c r="G16" s="144">
        <v>1.59E-8</v>
      </c>
      <c r="H16" s="144">
        <v>2.4899999999999999E-9</v>
      </c>
      <c r="I16" s="144">
        <v>2.0800000000000001E-7</v>
      </c>
      <c r="J16" s="144">
        <v>2.12E-5</v>
      </c>
      <c r="K16" s="144"/>
      <c r="X16" s="53" t="s">
        <v>105</v>
      </c>
      <c r="Y16" s="53" t="s">
        <v>106</v>
      </c>
      <c r="Z16" s="155" t="s">
        <v>339</v>
      </c>
      <c r="AA16" s="53">
        <v>0.25812800000000002</v>
      </c>
      <c r="AB16" s="53">
        <v>34.720103999999999</v>
      </c>
      <c r="AC16" s="53" t="s">
        <v>372</v>
      </c>
      <c r="AD16" s="53" t="s">
        <v>330</v>
      </c>
      <c r="AE16" s="116" t="s">
        <v>347</v>
      </c>
      <c r="AF16" s="154" t="s">
        <v>371</v>
      </c>
      <c r="AG16" s="116" t="s">
        <v>687</v>
      </c>
      <c r="AH16" s="53" t="s">
        <v>368</v>
      </c>
      <c r="AI16" s="53" t="s">
        <v>684</v>
      </c>
      <c r="AJ16" s="53" t="s">
        <v>683</v>
      </c>
      <c r="AK16" s="156">
        <v>25.5</v>
      </c>
      <c r="AL16" s="157">
        <v>33.299999999999997</v>
      </c>
      <c r="AM16" s="75">
        <v>0.32069999999999999</v>
      </c>
      <c r="AN16" s="157">
        <v>1071.9000000000001</v>
      </c>
      <c r="AO16" s="156">
        <v>0.14099999999999999</v>
      </c>
      <c r="AP16" s="157">
        <v>172.95</v>
      </c>
      <c r="AQ16" s="157"/>
      <c r="AR16" s="158">
        <f t="shared" si="0"/>
        <v>1.571132242098129E-5</v>
      </c>
      <c r="AS16" s="144">
        <f t="shared" si="0"/>
        <v>2.0517138690928503E-5</v>
      </c>
      <c r="AT16" s="144">
        <f t="shared" si="0"/>
        <v>1.9759298432975293E-7</v>
      </c>
      <c r="AU16" s="144">
        <f t="shared" si="0"/>
        <v>6.6043005894313124E-4</v>
      </c>
      <c r="AV16" s="144">
        <f t="shared" si="0"/>
        <v>8.6874371033661232E-8</v>
      </c>
      <c r="AW16" s="158">
        <f t="shared" si="0"/>
        <v>1.0655973383171427E-4</v>
      </c>
      <c r="AX16" s="144"/>
      <c r="AY16" s="159">
        <f t="shared" si="1"/>
        <v>3.1422644841962581</v>
      </c>
      <c r="AZ16" s="144">
        <f t="shared" si="1"/>
        <v>4.1034277381857018</v>
      </c>
      <c r="BA16" s="144">
        <f t="shared" si="1"/>
        <v>3.9518596865950585E-2</v>
      </c>
      <c r="BB16" s="144">
        <f t="shared" si="1"/>
        <v>132.08601178862622</v>
      </c>
      <c r="BC16" s="144">
        <f t="shared" si="1"/>
        <v>1.7374874206732251E-2</v>
      </c>
      <c r="BD16" s="159">
        <f t="shared" si="1"/>
        <v>21.311946766342857</v>
      </c>
      <c r="BE16" s="144"/>
      <c r="BF16" s="160">
        <f t="shared" si="2"/>
        <v>3.2776960834651167E-6</v>
      </c>
      <c r="BG16" s="144">
        <f t="shared" si="3"/>
        <v>1.4267618245671683E-7</v>
      </c>
      <c r="BH16" s="144">
        <f t="shared" si="3"/>
        <v>1.3740616130291022E-9</v>
      </c>
      <c r="BI16" s="144">
        <f t="shared" si="3"/>
        <v>4.5926306298905348E-6</v>
      </c>
      <c r="BJ16" s="144">
        <f t="shared" si="3"/>
        <v>6.0412437616808028E-10</v>
      </c>
      <c r="BK16" s="160">
        <f t="shared" si="3"/>
        <v>7.4101638906574101E-7</v>
      </c>
      <c r="BL16" s="144"/>
    </row>
    <row r="17" spans="1:64">
      <c r="A17" s="80" t="s">
        <v>919</v>
      </c>
      <c r="B17" s="80" t="s">
        <v>916</v>
      </c>
      <c r="C17" s="78" t="s">
        <v>914</v>
      </c>
      <c r="D17" s="144">
        <v>3.3700000000000001E-4</v>
      </c>
      <c r="E17" s="144">
        <v>1.8899999999999999E-6</v>
      </c>
      <c r="F17" s="144" t="s">
        <v>288</v>
      </c>
      <c r="G17" s="144">
        <v>1.4500000000000001E-6</v>
      </c>
      <c r="H17" s="144">
        <v>1.1200000000000001E-6</v>
      </c>
      <c r="I17" s="144">
        <v>9.3900000000000006E-5</v>
      </c>
      <c r="J17" s="144">
        <v>4.35E-4</v>
      </c>
      <c r="K17" s="144"/>
      <c r="X17" s="53" t="s">
        <v>107</v>
      </c>
      <c r="Y17" s="53" t="s">
        <v>108</v>
      </c>
      <c r="Z17" s="155" t="s">
        <v>339</v>
      </c>
      <c r="AA17" s="53">
        <v>0.26020300000000002</v>
      </c>
      <c r="AB17" s="53">
        <v>34.719721</v>
      </c>
      <c r="AC17" s="53" t="s">
        <v>372</v>
      </c>
      <c r="AD17" s="53" t="s">
        <v>330</v>
      </c>
      <c r="AE17" s="116" t="s">
        <v>347</v>
      </c>
      <c r="AF17" s="154" t="s">
        <v>371</v>
      </c>
      <c r="AG17" s="116" t="s">
        <v>687</v>
      </c>
      <c r="AH17" s="53" t="s">
        <v>366</v>
      </c>
      <c r="AI17" s="53" t="s">
        <v>684</v>
      </c>
      <c r="AJ17" s="53" t="s">
        <v>683</v>
      </c>
      <c r="AK17" s="156">
        <v>10.8</v>
      </c>
      <c r="AL17" s="157">
        <v>18.399999999999999</v>
      </c>
      <c r="AM17" s="75">
        <v>0.15060000000000001</v>
      </c>
      <c r="AN17" s="157">
        <v>718.2</v>
      </c>
      <c r="AO17" s="156">
        <v>0.104</v>
      </c>
      <c r="AP17" s="157">
        <v>140.78</v>
      </c>
      <c r="AQ17" s="157"/>
      <c r="AR17" s="158">
        <f t="shared" si="0"/>
        <v>6.6542071430038404E-6</v>
      </c>
      <c r="AS17" s="144">
        <f t="shared" si="0"/>
        <v>1.1336797354747281E-5</v>
      </c>
      <c r="AT17" s="144">
        <f t="shared" si="0"/>
        <v>9.2789221827442444E-8</v>
      </c>
      <c r="AU17" s="144">
        <f t="shared" si="0"/>
        <v>4.425047750097554E-4</v>
      </c>
      <c r="AV17" s="144">
        <f t="shared" si="0"/>
        <v>6.4077550265962901E-8</v>
      </c>
      <c r="AW17" s="158">
        <f t="shared" si="0"/>
        <v>8.6738822369637091E-5</v>
      </c>
      <c r="AX17" s="144"/>
      <c r="AY17" s="159">
        <f t="shared" si="1"/>
        <v>1.3308414286007682</v>
      </c>
      <c r="AZ17" s="144">
        <f t="shared" si="1"/>
        <v>2.2673594709494567</v>
      </c>
      <c r="BA17" s="144">
        <f t="shared" si="1"/>
        <v>1.8557844365488494E-2</v>
      </c>
      <c r="BB17" s="144">
        <f t="shared" si="1"/>
        <v>88.500955001951084</v>
      </c>
      <c r="BC17" s="144">
        <f t="shared" si="1"/>
        <v>1.2815510053192581E-2</v>
      </c>
      <c r="BD17" s="159">
        <f t="shared" si="1"/>
        <v>17.34776447392742</v>
      </c>
      <c r="BE17" s="144"/>
      <c r="BF17" s="160">
        <f t="shared" si="2"/>
        <v>1.3882006941734614E-6</v>
      </c>
      <c r="BG17" s="144">
        <f t="shared" si="3"/>
        <v>7.8836088804912586E-8</v>
      </c>
      <c r="BH17" s="144">
        <f t="shared" si="3"/>
        <v>6.452562485880348E-10</v>
      </c>
      <c r="BI17" s="144">
        <f t="shared" si="3"/>
        <v>3.0771782054178396E-6</v>
      </c>
      <c r="BJ17" s="144">
        <f t="shared" si="3"/>
        <v>4.4559528454950589E-10</v>
      </c>
      <c r="BK17" s="160">
        <f t="shared" si="3"/>
        <v>6.0318177075845643E-7</v>
      </c>
      <c r="BL17" s="144"/>
    </row>
    <row r="18" spans="1:64">
      <c r="A18" s="80" t="s">
        <v>919</v>
      </c>
      <c r="B18" s="80" t="s">
        <v>917</v>
      </c>
      <c r="C18" s="78" t="s">
        <v>792</v>
      </c>
      <c r="D18" s="144">
        <v>1.54E-4</v>
      </c>
      <c r="E18" s="144">
        <v>9.2399999999999996E-7</v>
      </c>
      <c r="F18" s="144" t="s">
        <v>288</v>
      </c>
      <c r="G18" s="144">
        <v>3.5099999999999999E-6</v>
      </c>
      <c r="H18" s="144">
        <v>5.4799999999999998E-7</v>
      </c>
      <c r="I18" s="144">
        <v>4.5800000000000002E-5</v>
      </c>
      <c r="J18" s="144">
        <v>2.05E-4</v>
      </c>
      <c r="K18" s="144"/>
      <c r="X18" s="53" t="s">
        <v>109</v>
      </c>
      <c r="Y18" s="53" t="s">
        <v>110</v>
      </c>
      <c r="Z18" s="155" t="s">
        <v>339</v>
      </c>
      <c r="AA18" s="53">
        <v>0.26076500000000002</v>
      </c>
      <c r="AB18" s="53">
        <v>34.720081</v>
      </c>
      <c r="AC18" s="53" t="s">
        <v>372</v>
      </c>
      <c r="AD18" s="53" t="s">
        <v>330</v>
      </c>
      <c r="AE18" s="116" t="s">
        <v>347</v>
      </c>
      <c r="AF18" s="154" t="s">
        <v>371</v>
      </c>
      <c r="AG18" s="116" t="s">
        <v>687</v>
      </c>
      <c r="AH18" s="53" t="s">
        <v>361</v>
      </c>
      <c r="AI18" s="53" t="s">
        <v>685</v>
      </c>
      <c r="AJ18" s="53" t="s">
        <v>690</v>
      </c>
      <c r="AK18" s="156">
        <v>95.9</v>
      </c>
      <c r="AL18" s="157">
        <v>24.8</v>
      </c>
      <c r="AM18" s="75">
        <v>4.4837199999999999</v>
      </c>
      <c r="AN18" s="157">
        <v>1005</v>
      </c>
      <c r="AO18" s="156">
        <v>0.124</v>
      </c>
      <c r="AP18" s="157">
        <v>239.98</v>
      </c>
      <c r="AQ18" s="157"/>
      <c r="AR18" s="158">
        <f t="shared" si="0"/>
        <v>5.9086894908710026E-5</v>
      </c>
      <c r="AS18" s="144">
        <f t="shared" si="0"/>
        <v>1.5280031217268079E-5</v>
      </c>
      <c r="AT18" s="144">
        <f t="shared" si="0"/>
        <v>2.762555708447146E-6</v>
      </c>
      <c r="AU18" s="144">
        <f t="shared" si="0"/>
        <v>6.1921094247396847E-4</v>
      </c>
      <c r="AV18" s="144">
        <f t="shared" si="0"/>
        <v>7.6400156086340377E-8</v>
      </c>
      <c r="AW18" s="158">
        <f t="shared" si="0"/>
        <v>1.4785894723870941E-4</v>
      </c>
      <c r="AX18" s="144"/>
      <c r="AY18" s="159">
        <f t="shared" si="1"/>
        <v>11.817378981742007</v>
      </c>
      <c r="AZ18" s="144">
        <f t="shared" si="1"/>
        <v>3.0560062434536155</v>
      </c>
      <c r="BA18" s="144">
        <f t="shared" si="1"/>
        <v>0.55251114168942927</v>
      </c>
      <c r="BB18" s="144">
        <f t="shared" si="1"/>
        <v>123.8421884947937</v>
      </c>
      <c r="BC18" s="144">
        <f t="shared" si="1"/>
        <v>1.5280031217268078E-2</v>
      </c>
      <c r="BD18" s="159">
        <f t="shared" si="1"/>
        <v>29.571789447741878</v>
      </c>
      <c r="BE18" s="144"/>
      <c r="BF18" s="160">
        <f t="shared" si="2"/>
        <v>1.2326708015855087E-5</v>
      </c>
      <c r="BG18" s="144">
        <f t="shared" si="3"/>
        <v>1.0625733708488219E-7</v>
      </c>
      <c r="BH18" s="144">
        <f t="shared" si="3"/>
        <v>1.9210812396541454E-8</v>
      </c>
      <c r="BI18" s="144">
        <f t="shared" si="3"/>
        <v>4.3059928939639763E-6</v>
      </c>
      <c r="BJ18" s="144">
        <f t="shared" si="3"/>
        <v>5.3128668542441112E-10</v>
      </c>
      <c r="BK18" s="160">
        <f t="shared" si="3"/>
        <v>1.0282111190979851E-6</v>
      </c>
      <c r="BL18" s="144"/>
    </row>
    <row r="19" spans="1:64">
      <c r="A19" s="80" t="s">
        <v>919</v>
      </c>
      <c r="B19" s="80" t="s">
        <v>917</v>
      </c>
      <c r="C19" s="78" t="s">
        <v>805</v>
      </c>
      <c r="D19" s="144">
        <v>9.6500000000000008E-7</v>
      </c>
      <c r="E19" s="144">
        <v>1.92E-9</v>
      </c>
      <c r="F19" s="144" t="s">
        <v>288</v>
      </c>
      <c r="G19" s="144">
        <v>7.3E-9</v>
      </c>
      <c r="H19" s="144">
        <v>1.14E-9</v>
      </c>
      <c r="I19" s="144">
        <v>9.5399999999999994E-8</v>
      </c>
      <c r="J19" s="144">
        <v>1.0699999999999999E-6</v>
      </c>
      <c r="K19" s="144"/>
      <c r="X19" s="53" t="s">
        <v>111</v>
      </c>
      <c r="Y19" s="53" t="s">
        <v>112</v>
      </c>
      <c r="Z19" s="155" t="s">
        <v>339</v>
      </c>
      <c r="AA19" s="53">
        <v>0.26067699999999999</v>
      </c>
      <c r="AB19" s="53">
        <v>34.720677999999999</v>
      </c>
      <c r="AC19" s="53" t="s">
        <v>372</v>
      </c>
      <c r="AD19" s="53" t="s">
        <v>330</v>
      </c>
      <c r="AE19" s="116" t="s">
        <v>347</v>
      </c>
      <c r="AF19" s="154" t="s">
        <v>371</v>
      </c>
      <c r="AG19" s="116" t="s">
        <v>687</v>
      </c>
      <c r="AH19" s="53" t="s">
        <v>365</v>
      </c>
      <c r="AI19" s="53" t="s">
        <v>685</v>
      </c>
      <c r="AJ19" s="53" t="s">
        <v>691</v>
      </c>
      <c r="AK19" s="156">
        <v>45.2</v>
      </c>
      <c r="AL19" s="157">
        <v>32.700000000000003</v>
      </c>
      <c r="AM19" s="75">
        <v>0.94225999999999999</v>
      </c>
      <c r="AN19" s="157">
        <v>691.9</v>
      </c>
      <c r="AO19" s="156">
        <v>9.7000000000000003E-2</v>
      </c>
      <c r="AP19" s="157">
        <v>111.8</v>
      </c>
      <c r="AQ19" s="157"/>
      <c r="AR19" s="158">
        <f t="shared" si="0"/>
        <v>2.7849089154053112E-5</v>
      </c>
      <c r="AS19" s="144">
        <f t="shared" si="0"/>
        <v>2.0147460516317187E-5</v>
      </c>
      <c r="AT19" s="144">
        <f t="shared" si="0"/>
        <v>5.8055492801544435E-7</v>
      </c>
      <c r="AU19" s="144">
        <f t="shared" si="0"/>
        <v>4.2630054835595901E-4</v>
      </c>
      <c r="AV19" s="144">
        <f t="shared" si="0"/>
        <v>5.9764638228830798E-8</v>
      </c>
      <c r="AW19" s="158">
        <f t="shared" si="0"/>
        <v>6.8883366535910128E-5</v>
      </c>
      <c r="AX19" s="144"/>
      <c r="AY19" s="159">
        <f t="shared" si="1"/>
        <v>5.5698178308106217</v>
      </c>
      <c r="AZ19" s="144">
        <f t="shared" si="1"/>
        <v>4.0294921032634372</v>
      </c>
      <c r="BA19" s="144">
        <f t="shared" si="1"/>
        <v>0.11611098560308886</v>
      </c>
      <c r="BB19" s="144">
        <f t="shared" si="1"/>
        <v>85.260109671191799</v>
      </c>
      <c r="BC19" s="144">
        <f t="shared" si="1"/>
        <v>1.1952927645766158E-2</v>
      </c>
      <c r="BD19" s="159">
        <f t="shared" si="1"/>
        <v>13.776673307182026</v>
      </c>
      <c r="BE19" s="144"/>
      <c r="BF19" s="160">
        <f t="shared" si="2"/>
        <v>5.8098769793185603E-6</v>
      </c>
      <c r="BG19" s="144">
        <f t="shared" si="3"/>
        <v>1.4010544043046972E-7</v>
      </c>
      <c r="BH19" s="144">
        <f t="shared" si="3"/>
        <v>4.0371789694193999E-9</v>
      </c>
      <c r="BI19" s="144">
        <f t="shared" si="3"/>
        <v>2.9644940132673384E-6</v>
      </c>
      <c r="BJ19" s="144">
        <f t="shared" si="3"/>
        <v>4.1560329424328937E-10</v>
      </c>
      <c r="BK19" s="160">
        <f t="shared" si="3"/>
        <v>4.7901493089071903E-7</v>
      </c>
      <c r="BL19" s="144"/>
    </row>
    <row r="20" spans="1:64">
      <c r="A20" s="80"/>
      <c r="B20" s="80"/>
      <c r="C20" s="80" t="s">
        <v>914</v>
      </c>
      <c r="D20" s="145">
        <v>596</v>
      </c>
      <c r="E20" s="145">
        <v>40.1</v>
      </c>
      <c r="F20" s="145">
        <v>1.78</v>
      </c>
      <c r="G20" s="145">
        <v>105</v>
      </c>
      <c r="H20" s="145">
        <v>0.17699999999999999</v>
      </c>
      <c r="I20" s="145">
        <v>32.799999999999997</v>
      </c>
      <c r="J20" s="145">
        <v>776</v>
      </c>
      <c r="K20" s="144"/>
      <c r="X20" s="53" t="s">
        <v>113</v>
      </c>
      <c r="Y20" s="53" t="s">
        <v>114</v>
      </c>
      <c r="Z20" s="155" t="s">
        <v>339</v>
      </c>
      <c r="AA20" s="53">
        <v>0.26076500000000002</v>
      </c>
      <c r="AB20" s="53">
        <v>34.720081</v>
      </c>
      <c r="AC20" s="53" t="s">
        <v>372</v>
      </c>
      <c r="AD20" s="53" t="s">
        <v>330</v>
      </c>
      <c r="AE20" s="116" t="s">
        <v>347</v>
      </c>
      <c r="AF20" s="154" t="s">
        <v>371</v>
      </c>
      <c r="AG20" s="116" t="s">
        <v>687</v>
      </c>
      <c r="AH20" s="53" t="s">
        <v>366</v>
      </c>
      <c r="AI20" s="53" t="s">
        <v>684</v>
      </c>
      <c r="AJ20" s="53" t="s">
        <v>683</v>
      </c>
      <c r="AK20" s="156">
        <v>16.399999999999999</v>
      </c>
      <c r="AL20" s="157">
        <v>50.7</v>
      </c>
      <c r="AM20" s="75">
        <v>1.03304</v>
      </c>
      <c r="AN20" s="157">
        <v>1413</v>
      </c>
      <c r="AO20" s="156">
        <v>0.12</v>
      </c>
      <c r="AP20" s="157">
        <v>215.62</v>
      </c>
      <c r="AQ20" s="157"/>
      <c r="AR20" s="158">
        <f t="shared" si="0"/>
        <v>1.0104536772709533E-5</v>
      </c>
      <c r="AS20" s="144">
        <f t="shared" si="0"/>
        <v>3.1237805754656918E-5</v>
      </c>
      <c r="AT20" s="144">
        <f t="shared" si="0"/>
        <v>6.3648723583413775E-7</v>
      </c>
      <c r="AU20" s="144">
        <f t="shared" si="0"/>
        <v>8.7059210120966901E-4</v>
      </c>
      <c r="AV20" s="144">
        <f t="shared" si="0"/>
        <v>7.3935634922264895E-8</v>
      </c>
      <c r="AW20" s="158">
        <f t="shared" si="0"/>
        <v>1.3285001334948962E-4</v>
      </c>
      <c r="AX20" s="144"/>
      <c r="AY20" s="159">
        <f t="shared" si="1"/>
        <v>2.0209073545419072</v>
      </c>
      <c r="AZ20" s="144">
        <f t="shared" si="1"/>
        <v>6.247561150931384</v>
      </c>
      <c r="BA20" s="144">
        <f t="shared" si="1"/>
        <v>0.12729744716682753</v>
      </c>
      <c r="BB20" s="144">
        <f t="shared" si="1"/>
        <v>174.11842024193382</v>
      </c>
      <c r="BC20" s="144">
        <f t="shared" si="1"/>
        <v>1.4787126984452979E-2</v>
      </c>
      <c r="BD20" s="159">
        <f t="shared" si="1"/>
        <v>26.570002669897924</v>
      </c>
      <c r="BE20" s="144"/>
      <c r="BF20" s="160">
        <f t="shared" si="2"/>
        <v>2.1080084615226626E-6</v>
      </c>
      <c r="BG20" s="144">
        <f t="shared" si="3"/>
        <v>2.1722770121788421E-7</v>
      </c>
      <c r="BH20" s="144">
        <f t="shared" si="3"/>
        <v>4.4261322379905934E-9</v>
      </c>
      <c r="BI20" s="144">
        <f t="shared" si="3"/>
        <v>6.0540974718120386E-6</v>
      </c>
      <c r="BJ20" s="144">
        <f t="shared" si="3"/>
        <v>5.1414840524943006E-10</v>
      </c>
      <c r="BK20" s="160">
        <f t="shared" si="3"/>
        <v>9.2383899283235116E-7</v>
      </c>
      <c r="BL20" s="144"/>
    </row>
    <row r="21" spans="1:64">
      <c r="X21" s="53" t="s">
        <v>115</v>
      </c>
      <c r="Y21" s="53" t="s">
        <v>116</v>
      </c>
      <c r="Z21" s="155" t="s">
        <v>339</v>
      </c>
      <c r="AA21" s="53">
        <v>0.256575</v>
      </c>
      <c r="AB21" s="53">
        <v>34.722569999999997</v>
      </c>
      <c r="AC21" s="53" t="s">
        <v>372</v>
      </c>
      <c r="AD21" s="53" t="s">
        <v>330</v>
      </c>
      <c r="AE21" s="116" t="s">
        <v>347</v>
      </c>
      <c r="AF21" s="154" t="s">
        <v>371</v>
      </c>
      <c r="AG21" s="116" t="s">
        <v>687</v>
      </c>
      <c r="AH21" s="53" t="s">
        <v>365</v>
      </c>
      <c r="AI21" s="53" t="s">
        <v>685</v>
      </c>
      <c r="AJ21" s="53" t="s">
        <v>691</v>
      </c>
      <c r="AK21" s="156">
        <v>19.5</v>
      </c>
      <c r="AL21" s="157">
        <v>95.3</v>
      </c>
      <c r="AM21" s="75">
        <v>0.36993999999999999</v>
      </c>
      <c r="AN21" s="157">
        <v>99.5</v>
      </c>
      <c r="AO21" s="156">
        <v>0.06</v>
      </c>
      <c r="AP21" s="157">
        <v>25.21</v>
      </c>
      <c r="AQ21" s="157"/>
      <c r="AR21" s="158">
        <f t="shared" si="0"/>
        <v>1.2014540674868043E-5</v>
      </c>
      <c r="AS21" s="144">
        <f t="shared" si="0"/>
        <v>5.87172167340987E-5</v>
      </c>
      <c r="AT21" s="144">
        <f t="shared" si="0"/>
        <v>2.2793123985952229E-7</v>
      </c>
      <c r="AU21" s="144">
        <f t="shared" si="0"/>
        <v>6.1304963956377971E-5</v>
      </c>
      <c r="AV21" s="144">
        <f t="shared" si="0"/>
        <v>3.6967817461132448E-8</v>
      </c>
      <c r="AW21" s="158">
        <f t="shared" si="0"/>
        <v>1.5532644636585814E-5</v>
      </c>
      <c r="AX21" s="144"/>
      <c r="AY21" s="159">
        <f t="shared" si="1"/>
        <v>2.4029081349736092</v>
      </c>
      <c r="AZ21" s="144">
        <f t="shared" si="1"/>
        <v>11.74344334681974</v>
      </c>
      <c r="BA21" s="144">
        <f t="shared" si="1"/>
        <v>4.5586247971904456E-2</v>
      </c>
      <c r="BB21" s="144">
        <f t="shared" si="1"/>
        <v>12.260992791275594</v>
      </c>
      <c r="BC21" s="144">
        <f t="shared" si="1"/>
        <v>7.3935634922264893E-3</v>
      </c>
      <c r="BD21" s="159">
        <f t="shared" si="1"/>
        <v>3.1065289273171639</v>
      </c>
      <c r="BE21" s="144"/>
      <c r="BF21" s="160">
        <f t="shared" si="2"/>
        <v>2.5064734755909724E-6</v>
      </c>
      <c r="BG21" s="144">
        <f t="shared" si="3"/>
        <v>4.0831952516892237E-7</v>
      </c>
      <c r="BH21" s="144">
        <f t="shared" si="3"/>
        <v>1.585033841983118E-9</v>
      </c>
      <c r="BI21" s="144">
        <f t="shared" si="3"/>
        <v>4.2631471935265246E-7</v>
      </c>
      <c r="BJ21" s="144">
        <f t="shared" si="3"/>
        <v>2.5707420262471503E-10</v>
      </c>
      <c r="BK21" s="160">
        <f t="shared" si="3"/>
        <v>1.0801401080281777E-7</v>
      </c>
      <c r="BL21" s="144"/>
    </row>
    <row r="22" spans="1:64">
      <c r="X22" s="53" t="s">
        <v>117</v>
      </c>
      <c r="Y22" s="53" t="s">
        <v>118</v>
      </c>
      <c r="Z22" s="155" t="s">
        <v>339</v>
      </c>
      <c r="AA22" s="53">
        <v>0.25645200000000001</v>
      </c>
      <c r="AB22" s="53">
        <v>34.722082999999998</v>
      </c>
      <c r="AC22" s="53" t="s">
        <v>372</v>
      </c>
      <c r="AD22" s="53" t="s">
        <v>330</v>
      </c>
      <c r="AE22" s="116" t="s">
        <v>347</v>
      </c>
      <c r="AF22" s="154" t="s">
        <v>371</v>
      </c>
      <c r="AG22" s="116" t="s">
        <v>687</v>
      </c>
      <c r="AH22" s="53" t="s">
        <v>365</v>
      </c>
      <c r="AI22" s="53" t="s">
        <v>685</v>
      </c>
      <c r="AJ22" s="53" t="s">
        <v>691</v>
      </c>
      <c r="AK22" s="156">
        <v>20.399999999999999</v>
      </c>
      <c r="AL22" s="157">
        <v>76.599999999999994</v>
      </c>
      <c r="AM22" s="75">
        <v>0.84839000000000009</v>
      </c>
      <c r="AN22" s="157">
        <v>102.6</v>
      </c>
      <c r="AO22" s="156">
        <v>5.0999999999999997E-2</v>
      </c>
      <c r="AP22" s="157">
        <v>28.94</v>
      </c>
      <c r="AQ22" s="157"/>
      <c r="AR22" s="158">
        <f t="shared" si="0"/>
        <v>1.256905793678503E-5</v>
      </c>
      <c r="AS22" s="144">
        <f t="shared" si="0"/>
        <v>4.7195580292045743E-5</v>
      </c>
      <c r="AT22" s="144">
        <f t="shared" si="0"/>
        <v>5.2271877759750267E-7</v>
      </c>
      <c r="AU22" s="144">
        <f t="shared" si="0"/>
        <v>6.3214967858536475E-5</v>
      </c>
      <c r="AV22" s="144">
        <f t="shared" si="0"/>
        <v>3.1422644841962577E-8</v>
      </c>
      <c r="AW22" s="158">
        <f t="shared" si="0"/>
        <v>1.7830810622086214E-5</v>
      </c>
      <c r="AX22" s="144"/>
      <c r="AY22" s="159">
        <f t="shared" si="1"/>
        <v>2.5138115873570066</v>
      </c>
      <c r="AZ22" s="144">
        <f t="shared" si="1"/>
        <v>9.4391160584091516</v>
      </c>
      <c r="BA22" s="144">
        <f t="shared" si="1"/>
        <v>0.10454375551950054</v>
      </c>
      <c r="BB22" s="144">
        <f t="shared" si="1"/>
        <v>12.642993571707297</v>
      </c>
      <c r="BC22" s="144">
        <f t="shared" si="1"/>
        <v>6.2845289683925156E-3</v>
      </c>
      <c r="BD22" s="159">
        <f t="shared" si="1"/>
        <v>3.5661621244172439</v>
      </c>
      <c r="BE22" s="144"/>
      <c r="BF22" s="160">
        <f t="shared" si="2"/>
        <v>2.6221568667720922E-6</v>
      </c>
      <c r="BG22" s="144">
        <f t="shared" si="3"/>
        <v>3.2819806535088616E-7</v>
      </c>
      <c r="BH22" s="144">
        <f t="shared" si="3"/>
        <v>3.6349863794130335E-9</v>
      </c>
      <c r="BI22" s="144">
        <f t="shared" si="3"/>
        <v>4.395968864882628E-7</v>
      </c>
      <c r="BJ22" s="144">
        <f t="shared" si="3"/>
        <v>2.1851307223100778E-10</v>
      </c>
      <c r="BK22" s="160">
        <f t="shared" si="3"/>
        <v>1.2399545706598758E-7</v>
      </c>
      <c r="BL22" s="144"/>
    </row>
    <row r="23" spans="1:64">
      <c r="X23" s="53" t="s">
        <v>119</v>
      </c>
      <c r="Y23" s="53" t="s">
        <v>120</v>
      </c>
      <c r="Z23" s="155" t="s">
        <v>339</v>
      </c>
      <c r="AA23" s="53">
        <v>0.25726700000000002</v>
      </c>
      <c r="AB23" s="53">
        <v>34.722675000000002</v>
      </c>
      <c r="AC23" s="53" t="s">
        <v>372</v>
      </c>
      <c r="AD23" s="53" t="s">
        <v>330</v>
      </c>
      <c r="AE23" s="116" t="s">
        <v>347</v>
      </c>
      <c r="AF23" s="154" t="s">
        <v>371</v>
      </c>
      <c r="AG23" s="116" t="s">
        <v>687</v>
      </c>
      <c r="AH23" s="53" t="s">
        <v>366</v>
      </c>
      <c r="AI23" s="53" t="s">
        <v>684</v>
      </c>
      <c r="AJ23" s="53" t="s">
        <v>683</v>
      </c>
      <c r="AK23" s="156">
        <v>9.3000000000000007</v>
      </c>
      <c r="AL23" s="157">
        <v>27.7</v>
      </c>
      <c r="AM23" s="75">
        <v>1.8359799999999999</v>
      </c>
      <c r="AN23" s="157">
        <v>290.5</v>
      </c>
      <c r="AO23" s="156">
        <v>6.2E-2</v>
      </c>
      <c r="AP23" s="157">
        <v>83.97</v>
      </c>
      <c r="AQ23" s="157"/>
      <c r="AR23" s="158">
        <f t="shared" si="0"/>
        <v>5.7300117064755295E-6</v>
      </c>
      <c r="AS23" s="144">
        <f t="shared" si="0"/>
        <v>1.7066809061222812E-5</v>
      </c>
      <c r="AT23" s="144">
        <f t="shared" si="0"/>
        <v>1.1312028917048323E-6</v>
      </c>
      <c r="AU23" s="144">
        <f t="shared" si="0"/>
        <v>1.7898584954098291E-4</v>
      </c>
      <c r="AV23" s="144">
        <f t="shared" si="0"/>
        <v>3.8200078043170189E-8</v>
      </c>
      <c r="AW23" s="158">
        <f t="shared" si="0"/>
        <v>5.1736460536854855E-5</v>
      </c>
      <c r="AX23" s="144"/>
      <c r="AY23" s="159">
        <f t="shared" si="1"/>
        <v>1.1460023412951059</v>
      </c>
      <c r="AZ23" s="144">
        <f t="shared" si="1"/>
        <v>3.4133618122445628</v>
      </c>
      <c r="BA23" s="144">
        <f t="shared" si="1"/>
        <v>0.22624057834096653</v>
      </c>
      <c r="BB23" s="144">
        <f t="shared" si="1"/>
        <v>35.797169908196587</v>
      </c>
      <c r="BC23" s="144">
        <f t="shared" si="1"/>
        <v>7.640015608634039E-3</v>
      </c>
      <c r="BD23" s="159">
        <f t="shared" si="1"/>
        <v>10.347292107370972</v>
      </c>
      <c r="BE23" s="144"/>
      <c r="BF23" s="160">
        <f t="shared" si="2"/>
        <v>1.195395042204925E-6</v>
      </c>
      <c r="BG23" s="144">
        <f t="shared" si="3"/>
        <v>1.1868259021174344E-7</v>
      </c>
      <c r="BH23" s="144">
        <f t="shared" si="3"/>
        <v>7.8663849089154033E-9</v>
      </c>
      <c r="BI23" s="144">
        <f t="shared" si="3"/>
        <v>1.2446675977079957E-6</v>
      </c>
      <c r="BJ23" s="144">
        <f t="shared" si="3"/>
        <v>2.6564334271220556E-10</v>
      </c>
      <c r="BK23" s="160">
        <f t="shared" si="3"/>
        <v>3.597753465732887E-7</v>
      </c>
      <c r="BL23" s="144"/>
    </row>
    <row r="24" spans="1:64">
      <c r="A24" s="107" t="s">
        <v>977</v>
      </c>
      <c r="B24" s="80"/>
      <c r="C24" s="80"/>
      <c r="D24" s="80"/>
      <c r="E24" s="80"/>
      <c r="F24" s="80"/>
      <c r="G24" s="80"/>
      <c r="H24" s="80"/>
      <c r="I24" s="80"/>
      <c r="J24" s="80"/>
      <c r="K24" s="80"/>
      <c r="L24" s="80"/>
      <c r="M24" s="80"/>
      <c r="N24" s="80"/>
      <c r="O24" s="80"/>
      <c r="P24" s="80"/>
      <c r="X24" s="53" t="s">
        <v>121</v>
      </c>
      <c r="Y24" s="53" t="s">
        <v>122</v>
      </c>
      <c r="Z24" s="155" t="s">
        <v>339</v>
      </c>
      <c r="AA24" s="53">
        <v>0.31583600000000001</v>
      </c>
      <c r="AB24" s="53">
        <v>34.649163999999999</v>
      </c>
      <c r="AC24" s="53" t="s">
        <v>350</v>
      </c>
      <c r="AD24" s="53" t="s">
        <v>330</v>
      </c>
      <c r="AE24" s="116" t="s">
        <v>347</v>
      </c>
      <c r="AF24" s="154" t="s">
        <v>371</v>
      </c>
      <c r="AG24" s="39" t="s">
        <v>688</v>
      </c>
      <c r="AH24" s="53" t="s">
        <v>369</v>
      </c>
      <c r="AI24" s="53" t="s">
        <v>685</v>
      </c>
      <c r="AJ24" s="53" t="s">
        <v>691</v>
      </c>
      <c r="AK24" s="156">
        <v>19.7</v>
      </c>
      <c r="AL24" s="157">
        <v>93.4</v>
      </c>
      <c r="AM24" s="75">
        <v>4.2978700000000005</v>
      </c>
      <c r="AN24" s="157">
        <v>138.19999999999999</v>
      </c>
      <c r="AO24" s="156">
        <v>0.14099999999999999</v>
      </c>
      <c r="AP24" s="157">
        <v>51.9</v>
      </c>
      <c r="AQ24" s="157"/>
      <c r="AR24" s="158">
        <f t="shared" si="0"/>
        <v>1.2137766733071819E-5</v>
      </c>
      <c r="AS24" s="144">
        <f t="shared" si="0"/>
        <v>5.7546569181162842E-5</v>
      </c>
      <c r="AT24" s="144">
        <f t="shared" si="0"/>
        <v>2.6480478938612888E-6</v>
      </c>
      <c r="AU24" s="144">
        <f t="shared" si="0"/>
        <v>8.5149206218808381E-5</v>
      </c>
      <c r="AV24" s="144">
        <f t="shared" si="0"/>
        <v>8.6874371033661232E-8</v>
      </c>
      <c r="AW24" s="158">
        <f t="shared" si="0"/>
        <v>3.1977162103879564E-5</v>
      </c>
      <c r="AX24" s="144"/>
      <c r="AY24" s="159">
        <f t="shared" si="1"/>
        <v>2.4275533466143639</v>
      </c>
      <c r="AZ24" s="144">
        <f t="shared" si="1"/>
        <v>11.509313836232568</v>
      </c>
      <c r="BA24" s="144">
        <f t="shared" si="1"/>
        <v>0.52960957877225778</v>
      </c>
      <c r="BB24" s="144">
        <f t="shared" si="1"/>
        <v>17.02984124376168</v>
      </c>
      <c r="BC24" s="144">
        <f t="shared" si="1"/>
        <v>1.7374874206732251E-2</v>
      </c>
      <c r="BD24" s="159">
        <f t="shared" si="1"/>
        <v>6.3954324207759132</v>
      </c>
      <c r="BE24" s="144"/>
      <c r="BF24" s="160">
        <f t="shared" si="2"/>
        <v>2.5321808958534424E-6</v>
      </c>
      <c r="BG24" s="144">
        <f t="shared" si="3"/>
        <v>4.0017884208580641E-7</v>
      </c>
      <c r="BH24" s="144">
        <f t="shared" si="3"/>
        <v>1.8414525053911401E-8</v>
      </c>
      <c r="BI24" s="144">
        <f t="shared" si="3"/>
        <v>5.9212758004559367E-7</v>
      </c>
      <c r="BJ24" s="144">
        <f t="shared" si="3"/>
        <v>6.0412437616808028E-10</v>
      </c>
      <c r="BK24" s="160">
        <f t="shared" si="3"/>
        <v>2.2236918527037854E-7</v>
      </c>
      <c r="BL24" s="144"/>
    </row>
    <row r="25" spans="1:64">
      <c r="A25" s="107" t="s">
        <v>978</v>
      </c>
      <c r="B25" s="80" t="s">
        <v>979</v>
      </c>
      <c r="C25" s="80" t="s">
        <v>980</v>
      </c>
      <c r="D25" s="80" t="s">
        <v>981</v>
      </c>
      <c r="E25" s="80" t="s">
        <v>982</v>
      </c>
      <c r="F25" s="80" t="s">
        <v>983</v>
      </c>
      <c r="G25" s="80" t="s">
        <v>984</v>
      </c>
      <c r="X25" s="53" t="s">
        <v>123</v>
      </c>
      <c r="Y25" s="53" t="s">
        <v>124</v>
      </c>
      <c r="Z25" s="155" t="s">
        <v>339</v>
      </c>
      <c r="AA25" s="53">
        <v>0.31583600000000001</v>
      </c>
      <c r="AB25" s="53">
        <v>34.649163999999999</v>
      </c>
      <c r="AC25" s="53" t="s">
        <v>350</v>
      </c>
      <c r="AD25" s="161" t="s">
        <v>330</v>
      </c>
      <c r="AE25" s="116" t="s">
        <v>347</v>
      </c>
      <c r="AF25" s="154" t="s">
        <v>371</v>
      </c>
      <c r="AG25" s="39" t="s">
        <v>688</v>
      </c>
      <c r="AH25" s="53" t="s">
        <v>369</v>
      </c>
      <c r="AI25" s="53" t="s">
        <v>685</v>
      </c>
      <c r="AJ25" s="53" t="s">
        <v>691</v>
      </c>
      <c r="AK25" s="156">
        <v>454</v>
      </c>
      <c r="AL25" s="157">
        <v>131.4</v>
      </c>
      <c r="AM25" s="75">
        <v>0.27227999999999997</v>
      </c>
      <c r="AN25" s="157">
        <v>387.2</v>
      </c>
      <c r="AO25" s="156">
        <v>0.58799999999999997</v>
      </c>
      <c r="AP25" s="157">
        <v>82.46</v>
      </c>
      <c r="AQ25" s="157"/>
      <c r="AR25" s="158">
        <f t="shared" si="0"/>
        <v>2.7972315212256883E-4</v>
      </c>
      <c r="AS25" s="144">
        <f t="shared" si="0"/>
        <v>8.095952023988006E-5</v>
      </c>
      <c r="AT25" s="144">
        <f t="shared" si="0"/>
        <v>1.6775995563861904E-7</v>
      </c>
      <c r="AU25" s="144">
        <f t="shared" si="0"/>
        <v>2.3856564868250806E-4</v>
      </c>
      <c r="AV25" s="144">
        <f t="shared" si="0"/>
        <v>3.6228461111909795E-7</v>
      </c>
      <c r="AW25" s="158">
        <f t="shared" si="0"/>
        <v>5.0806103797416362E-5</v>
      </c>
      <c r="AX25" s="144"/>
      <c r="AY25" s="159">
        <f t="shared" si="1"/>
        <v>55.944630424513768</v>
      </c>
      <c r="AZ25" s="144">
        <f t="shared" si="1"/>
        <v>16.191904047976013</v>
      </c>
      <c r="BA25" s="144">
        <f t="shared" si="1"/>
        <v>3.35519911277238E-2</v>
      </c>
      <c r="BB25" s="144">
        <f t="shared" si="1"/>
        <v>47.713129736501614</v>
      </c>
      <c r="BC25" s="144">
        <f t="shared" si="1"/>
        <v>7.2456922223819595E-2</v>
      </c>
      <c r="BD25" s="159">
        <f t="shared" si="1"/>
        <v>10.161220759483269</v>
      </c>
      <c r="BE25" s="144"/>
      <c r="BF25" s="160">
        <f t="shared" si="2"/>
        <v>5.8355843995810312E-5</v>
      </c>
      <c r="BG25" s="144">
        <f t="shared" si="3"/>
        <v>5.6299250374812582E-7</v>
      </c>
      <c r="BH25" s="144">
        <f t="shared" si="3"/>
        <v>1.1666027315109567E-9</v>
      </c>
      <c r="BI25" s="144">
        <f t="shared" si="3"/>
        <v>1.6589855209381611E-6</v>
      </c>
      <c r="BJ25" s="144">
        <f t="shared" si="3"/>
        <v>2.5193271857222073E-9</v>
      </c>
      <c r="BK25" s="160">
        <f t="shared" si="3"/>
        <v>3.5330564580723337E-7</v>
      </c>
      <c r="BL25" s="144"/>
    </row>
    <row r="26" spans="1:64">
      <c r="A26" s="80" t="s">
        <v>23</v>
      </c>
      <c r="B26" s="144">
        <v>2.1299999999999999E-3</v>
      </c>
      <c r="C26" s="144">
        <v>3.3E-3</v>
      </c>
      <c r="D26" s="144">
        <v>3320</v>
      </c>
      <c r="E26" s="144">
        <v>1180</v>
      </c>
      <c r="F26" s="144">
        <v>1.1199999999999999E-3</v>
      </c>
      <c r="G26" s="144">
        <v>1.7200000000000001E-4</v>
      </c>
      <c r="X26" s="53" t="s">
        <v>126</v>
      </c>
      <c r="Y26" s="53" t="s">
        <v>127</v>
      </c>
      <c r="Z26" s="155" t="s">
        <v>339</v>
      </c>
      <c r="AA26" s="53">
        <v>0.31583600000000001</v>
      </c>
      <c r="AB26" s="53">
        <v>34.649163999999999</v>
      </c>
      <c r="AC26" s="53" t="s">
        <v>350</v>
      </c>
      <c r="AD26" s="53" t="s">
        <v>330</v>
      </c>
      <c r="AE26" s="116" t="s">
        <v>347</v>
      </c>
      <c r="AF26" s="154" t="s">
        <v>371</v>
      </c>
      <c r="AG26" s="39" t="s">
        <v>688</v>
      </c>
      <c r="AH26" s="53" t="s">
        <v>369</v>
      </c>
      <c r="AI26" s="53" t="s">
        <v>685</v>
      </c>
      <c r="AJ26" s="53" t="s">
        <v>691</v>
      </c>
      <c r="AK26" s="156">
        <v>21.5</v>
      </c>
      <c r="AL26" s="157">
        <v>115.7</v>
      </c>
      <c r="AM26" s="75">
        <v>1.8449099999999998</v>
      </c>
      <c r="AN26" s="157">
        <v>128.6</v>
      </c>
      <c r="AO26" s="156">
        <v>0.14299999999999999</v>
      </c>
      <c r="AP26" s="157">
        <v>49.89</v>
      </c>
      <c r="AQ26" s="157"/>
      <c r="AR26" s="158">
        <f t="shared" si="0"/>
        <v>1.3246801256905794E-5</v>
      </c>
      <c r="AS26" s="144">
        <f t="shared" si="0"/>
        <v>7.1286274670883729E-5</v>
      </c>
      <c r="AT26" s="144">
        <f t="shared" si="0"/>
        <v>1.1367049352036308E-6</v>
      </c>
      <c r="AU26" s="144">
        <f t="shared" si="0"/>
        <v>7.9234355425027213E-5</v>
      </c>
      <c r="AV26" s="144">
        <f t="shared" si="0"/>
        <v>8.8106631615699006E-8</v>
      </c>
      <c r="AW26" s="158">
        <f t="shared" si="0"/>
        <v>3.073874021893163E-5</v>
      </c>
      <c r="AX26" s="144"/>
      <c r="AY26" s="159">
        <f t="shared" si="1"/>
        <v>2.6493602513811587</v>
      </c>
      <c r="AZ26" s="144">
        <f t="shared" si="1"/>
        <v>14.257254934176748</v>
      </c>
      <c r="BA26" s="144">
        <f t="shared" si="1"/>
        <v>0.22734098704072619</v>
      </c>
      <c r="BB26" s="144">
        <f t="shared" si="1"/>
        <v>15.846871085005443</v>
      </c>
      <c r="BC26" s="144">
        <f t="shared" si="1"/>
        <v>1.7621326323139799E-2</v>
      </c>
      <c r="BD26" s="159">
        <f t="shared" si="1"/>
        <v>6.1477480437863257</v>
      </c>
      <c r="BE26" s="144"/>
      <c r="BF26" s="160">
        <f t="shared" si="2"/>
        <v>2.763547678215687E-6</v>
      </c>
      <c r="BG26" s="144">
        <f t="shared" si="3"/>
        <v>4.9572475406132538E-7</v>
      </c>
      <c r="BH26" s="144">
        <f t="shared" si="3"/>
        <v>7.9046461194060492E-9</v>
      </c>
      <c r="BI26" s="144">
        <f t="shared" si="3"/>
        <v>5.5099570762563928E-7</v>
      </c>
      <c r="BJ26" s="144">
        <f t="shared" si="3"/>
        <v>6.1269351625557096E-10</v>
      </c>
      <c r="BK26" s="160">
        <f t="shared" si="3"/>
        <v>2.1375719948245057E-7</v>
      </c>
      <c r="BL26" s="144"/>
    </row>
    <row r="27" spans="1:64">
      <c r="A27" s="80" t="s">
        <v>55</v>
      </c>
      <c r="B27" s="144">
        <v>6.44E-7</v>
      </c>
      <c r="C27" s="144">
        <v>1.1799999999999999E-6</v>
      </c>
      <c r="D27" s="144">
        <v>0.622</v>
      </c>
      <c r="E27" s="144">
        <v>0.22</v>
      </c>
      <c r="F27" s="144">
        <v>6.54E-12</v>
      </c>
      <c r="G27" s="144">
        <v>1.0599999999999999E-12</v>
      </c>
      <c r="X27" s="53" t="s">
        <v>128</v>
      </c>
      <c r="Y27" s="53" t="s">
        <v>129</v>
      </c>
      <c r="Z27" s="155" t="s">
        <v>339</v>
      </c>
      <c r="AA27" s="53">
        <v>0.31583600000000001</v>
      </c>
      <c r="AB27" s="53">
        <v>34.649163999999999</v>
      </c>
      <c r="AC27" s="53" t="s">
        <v>350</v>
      </c>
      <c r="AD27" s="53" t="s">
        <v>330</v>
      </c>
      <c r="AE27" s="116" t="s">
        <v>347</v>
      </c>
      <c r="AF27" s="154" t="s">
        <v>371</v>
      </c>
      <c r="AG27" s="39" t="s">
        <v>688</v>
      </c>
      <c r="AH27" s="53" t="s">
        <v>365</v>
      </c>
      <c r="AI27" s="53" t="s">
        <v>685</v>
      </c>
      <c r="AJ27" s="53" t="s">
        <v>691</v>
      </c>
      <c r="AK27" s="156">
        <v>440</v>
      </c>
      <c r="AL27" s="157">
        <v>124.3</v>
      </c>
      <c r="AM27" s="75">
        <v>0.52349000000000001</v>
      </c>
      <c r="AN27" s="157">
        <v>370.7</v>
      </c>
      <c r="AO27" s="156">
        <v>0.628</v>
      </c>
      <c r="AP27" s="157">
        <v>80.97</v>
      </c>
      <c r="AQ27" s="157"/>
      <c r="AR27" s="158">
        <f t="shared" si="0"/>
        <v>2.710973280483046E-4</v>
      </c>
      <c r="AS27" s="144">
        <f t="shared" si="0"/>
        <v>7.6584995173646043E-5</v>
      </c>
      <c r="AT27" s="144">
        <f t="shared" si="0"/>
        <v>3.225380460454704E-7</v>
      </c>
      <c r="AU27" s="144">
        <f t="shared" si="0"/>
        <v>2.2839949888069661E-4</v>
      </c>
      <c r="AV27" s="144">
        <f t="shared" si="0"/>
        <v>3.8692982275985296E-7</v>
      </c>
      <c r="AW27" s="158">
        <f t="shared" si="0"/>
        <v>4.9888069663798243E-5</v>
      </c>
      <c r="AX27" s="144"/>
      <c r="AY27" s="159">
        <f t="shared" si="1"/>
        <v>54.219465609660922</v>
      </c>
      <c r="AZ27" s="144">
        <f t="shared" si="1"/>
        <v>15.316999034729211</v>
      </c>
      <c r="BA27" s="144">
        <f t="shared" si="1"/>
        <v>6.4507609209094083E-2</v>
      </c>
      <c r="BB27" s="144">
        <f t="shared" si="1"/>
        <v>45.67989977613933</v>
      </c>
      <c r="BC27" s="144">
        <f t="shared" si="1"/>
        <v>7.7385964551970596E-2</v>
      </c>
      <c r="BD27" s="159">
        <f t="shared" si="1"/>
        <v>9.9776139327596471</v>
      </c>
      <c r="BE27" s="144"/>
      <c r="BF27" s="160">
        <f t="shared" si="2"/>
        <v>5.6556324577437293E-5</v>
      </c>
      <c r="BG27" s="144">
        <f t="shared" si="3"/>
        <v>5.3257205643753461E-7</v>
      </c>
      <c r="BH27" s="144">
        <f t="shared" si="3"/>
        <v>2.2429295722002013E-9</v>
      </c>
      <c r="BI27" s="144">
        <f t="shared" si="3"/>
        <v>1.5882901152163645E-6</v>
      </c>
      <c r="BJ27" s="144">
        <f t="shared" si="3"/>
        <v>2.6907099874720176E-9</v>
      </c>
      <c r="BK27" s="160">
        <f t="shared" si="3"/>
        <v>3.4692163644205293E-7</v>
      </c>
      <c r="BL27" s="144"/>
    </row>
    <row r="28" spans="1:64">
      <c r="A28" s="80" t="s">
        <v>15</v>
      </c>
      <c r="B28" s="144">
        <v>9.7499999999999998E-5</v>
      </c>
      <c r="C28" s="144">
        <v>1.84E-4</v>
      </c>
      <c r="D28" s="144">
        <v>1590</v>
      </c>
      <c r="E28" s="144">
        <v>566</v>
      </c>
      <c r="F28" s="144">
        <v>5.5800000000000001E-5</v>
      </c>
      <c r="G28" s="144">
        <v>9.0399999999999998E-6</v>
      </c>
      <c r="X28" s="53" t="s">
        <v>130</v>
      </c>
      <c r="Y28" s="53" t="s">
        <v>131</v>
      </c>
      <c r="Z28" s="155" t="s">
        <v>339</v>
      </c>
      <c r="AA28" s="53">
        <v>0.31583600000000001</v>
      </c>
      <c r="AB28" s="53">
        <v>34.649163999999999</v>
      </c>
      <c r="AC28" s="53" t="s">
        <v>350</v>
      </c>
      <c r="AD28" s="53" t="s">
        <v>330</v>
      </c>
      <c r="AE28" s="116" t="s">
        <v>347</v>
      </c>
      <c r="AF28" s="154" t="s">
        <v>371</v>
      </c>
      <c r="AG28" s="39" t="s">
        <v>688</v>
      </c>
      <c r="AH28" s="53" t="s">
        <v>365</v>
      </c>
      <c r="AI28" s="53" t="s">
        <v>685</v>
      </c>
      <c r="AJ28" s="53" t="s">
        <v>691</v>
      </c>
      <c r="AK28" s="156">
        <v>20.7</v>
      </c>
      <c r="AL28" s="157">
        <v>99.4</v>
      </c>
      <c r="AM28" s="162">
        <v>2.0906000000000002</v>
      </c>
      <c r="AN28" s="157">
        <v>132.1</v>
      </c>
      <c r="AO28" s="156">
        <v>0.14599999999999999</v>
      </c>
      <c r="AP28" s="157">
        <v>50.08</v>
      </c>
      <c r="AQ28" s="157"/>
      <c r="AR28" s="158">
        <f t="shared" si="0"/>
        <v>1.2753897024090695E-5</v>
      </c>
      <c r="AS28" s="144">
        <f t="shared" si="0"/>
        <v>6.1243350927276085E-5</v>
      </c>
      <c r="AT28" s="144">
        <f t="shared" si="0"/>
        <v>1.2880819864040583E-6</v>
      </c>
      <c r="AU28" s="144">
        <f t="shared" si="0"/>
        <v>8.1390811443593259E-5</v>
      </c>
      <c r="AV28" s="144">
        <f t="shared" si="0"/>
        <v>8.9955022488755614E-8</v>
      </c>
      <c r="AW28" s="158">
        <f t="shared" si="0"/>
        <v>3.0855804974225212E-5</v>
      </c>
      <c r="AX28" s="144"/>
      <c r="AY28" s="159">
        <f t="shared" si="1"/>
        <v>2.5507794048181389</v>
      </c>
      <c r="AZ28" s="144">
        <f t="shared" si="1"/>
        <v>12.248670185455218</v>
      </c>
      <c r="BA28" s="144">
        <f t="shared" si="1"/>
        <v>0.2576163972808117</v>
      </c>
      <c r="BB28" s="144">
        <f t="shared" si="1"/>
        <v>16.278162288718654</v>
      </c>
      <c r="BC28" s="144">
        <f t="shared" si="1"/>
        <v>1.7991004497751123E-2</v>
      </c>
      <c r="BD28" s="159">
        <f t="shared" si="1"/>
        <v>6.1711609948450423</v>
      </c>
      <c r="BE28" s="144"/>
      <c r="BF28" s="160">
        <f t="shared" si="2"/>
        <v>2.6607179971658005E-6</v>
      </c>
      <c r="BG28" s="144">
        <f t="shared" si="3"/>
        <v>4.2588626234827788E-7</v>
      </c>
      <c r="BH28" s="144">
        <f t="shared" si="3"/>
        <v>8.9573221334538232E-9</v>
      </c>
      <c r="BI28" s="144">
        <f t="shared" si="3"/>
        <v>5.6599170277874773E-7</v>
      </c>
      <c r="BJ28" s="144">
        <f t="shared" si="3"/>
        <v>6.2554722638680647E-10</v>
      </c>
      <c r="BK28" s="160">
        <f t="shared" si="3"/>
        <v>2.1457126779076218E-7</v>
      </c>
      <c r="BL28" s="144"/>
    </row>
    <row r="29" spans="1:64">
      <c r="A29" s="80" t="s">
        <v>32</v>
      </c>
      <c r="B29" s="144">
        <v>7.2600000000000002E-7</v>
      </c>
      <c r="C29" s="144">
        <v>5.8100000000000003E-7</v>
      </c>
      <c r="D29" s="144">
        <v>3.27E-2</v>
      </c>
      <c r="E29" s="144">
        <v>1.1599999999999999E-2</v>
      </c>
      <c r="F29" s="144">
        <v>1.14E-7</v>
      </c>
      <c r="G29" s="144">
        <v>7.0799999999999999E-8</v>
      </c>
      <c r="X29" s="53" t="s">
        <v>132</v>
      </c>
      <c r="Y29" s="53" t="s">
        <v>133</v>
      </c>
      <c r="Z29" s="155" t="s">
        <v>339</v>
      </c>
      <c r="AA29" s="53">
        <v>0.31578899999999999</v>
      </c>
      <c r="AB29" s="53">
        <v>34.648187999999998</v>
      </c>
      <c r="AC29" s="53" t="s">
        <v>350</v>
      </c>
      <c r="AD29" s="53" t="s">
        <v>330</v>
      </c>
      <c r="AE29" s="116" t="s">
        <v>347</v>
      </c>
      <c r="AF29" s="154" t="s">
        <v>371</v>
      </c>
      <c r="AG29" s="39" t="s">
        <v>688</v>
      </c>
      <c r="AH29" s="53" t="s">
        <v>367</v>
      </c>
      <c r="AI29" s="53" t="s">
        <v>684</v>
      </c>
      <c r="AJ29" s="53" t="s">
        <v>683</v>
      </c>
      <c r="AK29" s="156">
        <v>1.4</v>
      </c>
      <c r="AL29" s="157">
        <v>16.7</v>
      </c>
      <c r="AM29" s="162">
        <v>5.6399999999999999E-2</v>
      </c>
      <c r="AN29" s="157">
        <v>48.1</v>
      </c>
      <c r="AO29" s="156">
        <v>3.1E-2</v>
      </c>
      <c r="AP29" s="157">
        <v>19.02</v>
      </c>
      <c r="AQ29" s="157"/>
      <c r="AR29" s="158">
        <f t="shared" si="0"/>
        <v>8.6258240742642374E-7</v>
      </c>
      <c r="AS29" s="144">
        <f t="shared" si="0"/>
        <v>1.0289375860015198E-5</v>
      </c>
      <c r="AT29" s="144">
        <f t="shared" si="0"/>
        <v>3.4749748413464498E-8</v>
      </c>
      <c r="AU29" s="144">
        <f t="shared" si="0"/>
        <v>2.9635866998007841E-5</v>
      </c>
      <c r="AV29" s="144">
        <f t="shared" si="0"/>
        <v>1.9100039021585094E-8</v>
      </c>
      <c r="AW29" s="158">
        <f t="shared" si="0"/>
        <v>1.1718798135178986E-5</v>
      </c>
      <c r="AX29" s="144"/>
      <c r="AY29" s="159">
        <f t="shared" si="1"/>
        <v>0.17251648148528476</v>
      </c>
      <c r="AZ29" s="144">
        <f t="shared" si="1"/>
        <v>2.0578751720030395</v>
      </c>
      <c r="BA29" s="144">
        <f t="shared" si="1"/>
        <v>6.9499496826928991E-3</v>
      </c>
      <c r="BB29" s="144">
        <f t="shared" si="1"/>
        <v>5.9271733996015694</v>
      </c>
      <c r="BC29" s="144">
        <f t="shared" si="1"/>
        <v>3.8200078043170195E-3</v>
      </c>
      <c r="BD29" s="159">
        <f t="shared" si="1"/>
        <v>2.343759627035797</v>
      </c>
      <c r="BE29" s="144"/>
      <c r="BF29" s="160">
        <f t="shared" si="2"/>
        <v>1.7995194183730048E-7</v>
      </c>
      <c r="BG29" s="144">
        <f t="shared" si="3"/>
        <v>7.1552319730545678E-8</v>
      </c>
      <c r="BH29" s="144">
        <f t="shared" si="3"/>
        <v>2.4164975046723215E-10</v>
      </c>
      <c r="BI29" s="144">
        <f t="shared" si="3"/>
        <v>2.0608781910414656E-7</v>
      </c>
      <c r="BJ29" s="144">
        <f t="shared" si="3"/>
        <v>1.3282167135610278E-10</v>
      </c>
      <c r="BK29" s="160">
        <f t="shared" si="3"/>
        <v>8.1492522232034657E-8</v>
      </c>
      <c r="BL29" s="144"/>
    </row>
    <row r="30" spans="1:64">
      <c r="A30" s="80" t="s">
        <v>19</v>
      </c>
      <c r="B30" s="144">
        <v>2.6200000000000003E-4</v>
      </c>
      <c r="C30" s="144">
        <v>2.7E-4</v>
      </c>
      <c r="D30" s="144">
        <v>20.6</v>
      </c>
      <c r="E30" s="144">
        <v>7.29</v>
      </c>
      <c r="F30" s="144">
        <v>4.2500000000000003E-5</v>
      </c>
      <c r="G30" s="144">
        <v>4.1600000000000002E-5</v>
      </c>
      <c r="X30" s="53" t="s">
        <v>134</v>
      </c>
      <c r="Y30" s="53" t="s">
        <v>135</v>
      </c>
      <c r="Z30" s="155" t="s">
        <v>340</v>
      </c>
      <c r="AA30" s="53">
        <v>0.25193900000000002</v>
      </c>
      <c r="AB30" s="53">
        <v>34.723801000000002</v>
      </c>
      <c r="AC30" s="53" t="s">
        <v>372</v>
      </c>
      <c r="AD30" s="53" t="s">
        <v>330</v>
      </c>
      <c r="AE30" s="116" t="s">
        <v>347</v>
      </c>
      <c r="AF30" s="154" t="s">
        <v>371</v>
      </c>
      <c r="AG30" s="39" t="s">
        <v>688</v>
      </c>
      <c r="AH30" s="53" t="s">
        <v>367</v>
      </c>
      <c r="AI30" s="53" t="s">
        <v>684</v>
      </c>
      <c r="AJ30" s="53" t="s">
        <v>683</v>
      </c>
      <c r="AK30" s="156">
        <v>7.4</v>
      </c>
      <c r="AL30" s="157">
        <v>15.9</v>
      </c>
      <c r="AM30" s="162">
        <v>4.8073999999999995</v>
      </c>
      <c r="AN30" s="157">
        <v>312.3</v>
      </c>
      <c r="AO30" s="156">
        <v>0.29399999999999998</v>
      </c>
      <c r="AP30" s="157">
        <v>115.55</v>
      </c>
      <c r="AQ30" s="157"/>
      <c r="AR30" s="158">
        <f t="shared" si="0"/>
        <v>4.5593641535396682E-6</v>
      </c>
      <c r="AS30" s="144">
        <f t="shared" si="0"/>
        <v>9.7964716272000986E-6</v>
      </c>
      <c r="AT30" s="144">
        <f t="shared" si="0"/>
        <v>2.9619847610441349E-6</v>
      </c>
      <c r="AU30" s="144">
        <f t="shared" si="0"/>
        <v>1.9241748988519438E-4</v>
      </c>
      <c r="AV30" s="144">
        <f t="shared" si="0"/>
        <v>1.8114230555954898E-7</v>
      </c>
      <c r="AW30" s="158">
        <f t="shared" si="0"/>
        <v>7.1193855127230901E-5</v>
      </c>
      <c r="AX30" s="144"/>
      <c r="AY30" s="159">
        <f t="shared" si="1"/>
        <v>0.91187283070793368</v>
      </c>
      <c r="AZ30" s="144">
        <f t="shared" si="1"/>
        <v>1.9592943254400197</v>
      </c>
      <c r="BA30" s="144">
        <f t="shared" si="1"/>
        <v>0.59239695220882704</v>
      </c>
      <c r="BB30" s="144">
        <f t="shared" si="1"/>
        <v>38.48349797703888</v>
      </c>
      <c r="BC30" s="144">
        <f t="shared" si="1"/>
        <v>3.6228461111909797E-2</v>
      </c>
      <c r="BD30" s="159">
        <f t="shared" si="1"/>
        <v>14.238771025446182</v>
      </c>
      <c r="BE30" s="144"/>
      <c r="BF30" s="160">
        <f t="shared" si="2"/>
        <v>9.5117454971144563E-7</v>
      </c>
      <c r="BG30" s="144">
        <f t="shared" si="3"/>
        <v>6.8124663695549487E-8</v>
      </c>
      <c r="BH30" s="144">
        <f t="shared" si="3"/>
        <v>2.0597642028300915E-8</v>
      </c>
      <c r="BI30" s="144">
        <f t="shared" si="3"/>
        <v>1.3380712246616417E-6</v>
      </c>
      <c r="BJ30" s="144">
        <f t="shared" si="3"/>
        <v>1.2596635928611036E-9</v>
      </c>
      <c r="BK30" s="160">
        <f t="shared" si="3"/>
        <v>4.9508206855476369E-7</v>
      </c>
      <c r="BL30" s="144"/>
    </row>
    <row r="31" spans="1:64">
      <c r="X31" s="53" t="s">
        <v>136</v>
      </c>
      <c r="Y31" s="53" t="s">
        <v>137</v>
      </c>
      <c r="Z31" s="155" t="s">
        <v>340</v>
      </c>
      <c r="AA31" s="53">
        <v>0.25163200000000002</v>
      </c>
      <c r="AB31" s="53">
        <v>34.723951</v>
      </c>
      <c r="AC31" s="53" t="s">
        <v>372</v>
      </c>
      <c r="AD31" s="53" t="s">
        <v>330</v>
      </c>
      <c r="AE31" s="116" t="s">
        <v>347</v>
      </c>
      <c r="AF31" s="154" t="s">
        <v>371</v>
      </c>
      <c r="AG31" s="39" t="s">
        <v>688</v>
      </c>
      <c r="AH31" s="53" t="s">
        <v>369</v>
      </c>
      <c r="AI31" s="53" t="s">
        <v>685</v>
      </c>
      <c r="AJ31" s="53" t="s">
        <v>691</v>
      </c>
      <c r="AK31" s="156">
        <v>622</v>
      </c>
      <c r="AL31" s="157">
        <v>39</v>
      </c>
      <c r="AM31" s="162">
        <v>2.1796000000000002</v>
      </c>
      <c r="AN31" s="157">
        <v>247.2</v>
      </c>
      <c r="AO31" s="156">
        <v>0.46</v>
      </c>
      <c r="AP31" s="157">
        <v>58.95</v>
      </c>
      <c r="AQ31" s="157"/>
      <c r="AR31" s="158">
        <f t="shared" si="0"/>
        <v>3.8323304101373974E-4</v>
      </c>
      <c r="AS31" s="144">
        <f t="shared" si="0"/>
        <v>2.4029081349736087E-5</v>
      </c>
      <c r="AT31" s="144">
        <f t="shared" si="0"/>
        <v>1.342917582304738E-6</v>
      </c>
      <c r="AU31" s="144">
        <f t="shared" si="0"/>
        <v>1.5230740793986569E-4</v>
      </c>
      <c r="AV31" s="144">
        <f t="shared" si="0"/>
        <v>2.834199338686821E-7</v>
      </c>
      <c r="AW31" s="158">
        <f t="shared" si="0"/>
        <v>3.6320880655562625E-5</v>
      </c>
      <c r="AX31" s="144"/>
      <c r="AY31" s="159">
        <f t="shared" si="1"/>
        <v>76.646608202747942</v>
      </c>
      <c r="AZ31" s="144">
        <f t="shared" si="1"/>
        <v>4.8058162699472184</v>
      </c>
      <c r="BA31" s="144">
        <f t="shared" si="1"/>
        <v>0.26858351646094764</v>
      </c>
      <c r="BB31" s="144">
        <f t="shared" si="1"/>
        <v>30.461481587973136</v>
      </c>
      <c r="BC31" s="144">
        <f t="shared" si="1"/>
        <v>5.6683986773736428E-2</v>
      </c>
      <c r="BD31" s="159">
        <f t="shared" si="1"/>
        <v>7.2641761311125261</v>
      </c>
      <c r="BE31" s="144"/>
      <c r="BF31" s="160">
        <f t="shared" si="2"/>
        <v>7.9950077016286366E-5</v>
      </c>
      <c r="BG31" s="144">
        <f t="shared" si="3"/>
        <v>1.670982317060648E-7</v>
      </c>
      <c r="BH31" s="144">
        <f t="shared" si="3"/>
        <v>9.3386488673471502E-9</v>
      </c>
      <c r="BI31" s="144">
        <f t="shared" si="3"/>
        <v>1.0591457148138258E-6</v>
      </c>
      <c r="BJ31" s="144">
        <f t="shared" si="3"/>
        <v>1.9709022201228151E-9</v>
      </c>
      <c r="BK31" s="160">
        <f t="shared" si="3"/>
        <v>2.5257540407878254E-7</v>
      </c>
      <c r="BL31" s="144"/>
    </row>
    <row r="32" spans="1:64">
      <c r="X32" s="53" t="s">
        <v>138</v>
      </c>
      <c r="Y32" s="53" t="s">
        <v>139</v>
      </c>
      <c r="Z32" s="155" t="s">
        <v>340</v>
      </c>
      <c r="AA32" s="53">
        <v>0.25232199999999999</v>
      </c>
      <c r="AB32" s="53">
        <v>34.723750000000003</v>
      </c>
      <c r="AC32" s="53" t="s">
        <v>372</v>
      </c>
      <c r="AD32" s="53" t="s">
        <v>330</v>
      </c>
      <c r="AE32" s="116" t="s">
        <v>347</v>
      </c>
      <c r="AF32" s="154" t="s">
        <v>371</v>
      </c>
      <c r="AG32" s="116" t="s">
        <v>687</v>
      </c>
      <c r="AH32" s="53" t="s">
        <v>366</v>
      </c>
      <c r="AI32" s="53" t="s">
        <v>684</v>
      </c>
      <c r="AJ32" s="53" t="s">
        <v>683</v>
      </c>
      <c r="AK32" s="156">
        <v>11.9</v>
      </c>
      <c r="AL32" s="157">
        <v>15.9</v>
      </c>
      <c r="AM32" s="162">
        <v>6.2413999999999996</v>
      </c>
      <c r="AN32" s="157">
        <v>367.7</v>
      </c>
      <c r="AO32" s="156">
        <v>0.128</v>
      </c>
      <c r="AP32" s="157">
        <v>135.74</v>
      </c>
      <c r="AQ32" s="157"/>
      <c r="AR32" s="158">
        <f t="shared" si="0"/>
        <v>7.3319504631246018E-6</v>
      </c>
      <c r="AS32" s="144">
        <f t="shared" si="0"/>
        <v>9.7964716272000986E-6</v>
      </c>
      <c r="AT32" s="144">
        <f t="shared" si="0"/>
        <v>3.8455155983652007E-6</v>
      </c>
      <c r="AU32" s="144">
        <f t="shared" si="0"/>
        <v>2.2655110800764002E-4</v>
      </c>
      <c r="AV32" s="144">
        <f t="shared" si="0"/>
        <v>7.8864677250415886E-8</v>
      </c>
      <c r="AW32" s="158">
        <f t="shared" si="0"/>
        <v>8.3633525702901963E-5</v>
      </c>
      <c r="AX32" s="144"/>
      <c r="AY32" s="159">
        <f t="shared" si="1"/>
        <v>1.4663900926249205</v>
      </c>
      <c r="AZ32" s="144">
        <f t="shared" si="1"/>
        <v>1.9592943254400197</v>
      </c>
      <c r="BA32" s="144">
        <f t="shared" si="1"/>
        <v>0.76910311967304001</v>
      </c>
      <c r="BB32" s="144">
        <f t="shared" si="1"/>
        <v>45.310221601528006</v>
      </c>
      <c r="BC32" s="144">
        <f t="shared" si="1"/>
        <v>1.5772935450083177E-2</v>
      </c>
      <c r="BD32" s="159">
        <f t="shared" si="1"/>
        <v>16.726705140580396</v>
      </c>
      <c r="BE32" s="144"/>
      <c r="BF32" s="160">
        <f t="shared" si="2"/>
        <v>1.5295915056170543E-6</v>
      </c>
      <c r="BG32" s="144">
        <f t="shared" si="3"/>
        <v>6.8124663695549487E-8</v>
      </c>
      <c r="BH32" s="144">
        <f t="shared" si="3"/>
        <v>2.6741715471031608E-8</v>
      </c>
      <c r="BI32" s="144">
        <f t="shared" si="3"/>
        <v>1.5754364050851283E-6</v>
      </c>
      <c r="BJ32" s="144">
        <f t="shared" si="3"/>
        <v>5.4842496559939208E-10</v>
      </c>
      <c r="BK32" s="160">
        <f t="shared" si="3"/>
        <v>5.8158753773798028E-7</v>
      </c>
      <c r="BL32" s="144"/>
    </row>
    <row r="33" spans="1:64">
      <c r="X33" s="53" t="s">
        <v>140</v>
      </c>
      <c r="Y33" s="53" t="s">
        <v>141</v>
      </c>
      <c r="Z33" s="155" t="s">
        <v>340</v>
      </c>
      <c r="AA33" s="53">
        <v>0.25163200000000002</v>
      </c>
      <c r="AB33" s="53">
        <v>34.723951</v>
      </c>
      <c r="AC33" s="53" t="s">
        <v>372</v>
      </c>
      <c r="AD33" s="53" t="s">
        <v>330</v>
      </c>
      <c r="AE33" s="116" t="s">
        <v>347</v>
      </c>
      <c r="AF33" s="154" t="s">
        <v>371</v>
      </c>
      <c r="AG33" s="116" t="s">
        <v>687</v>
      </c>
      <c r="AH33" s="53" t="s">
        <v>365</v>
      </c>
      <c r="AI33" s="53" t="s">
        <v>685</v>
      </c>
      <c r="AJ33" s="53" t="s">
        <v>691</v>
      </c>
      <c r="AK33" s="156">
        <v>831.3</v>
      </c>
      <c r="AL33" s="157">
        <v>36.4</v>
      </c>
      <c r="AM33" s="162">
        <v>1.7581</v>
      </c>
      <c r="AN33" s="157">
        <v>76.599999999999994</v>
      </c>
      <c r="AO33" s="156">
        <v>0.222</v>
      </c>
      <c r="AP33" s="157">
        <v>11.36</v>
      </c>
      <c r="AQ33" s="157"/>
      <c r="AR33" s="158">
        <f t="shared" si="0"/>
        <v>5.1218911092399007E-4</v>
      </c>
      <c r="AS33" s="144">
        <f t="shared" si="0"/>
        <v>2.2427142593087017E-5</v>
      </c>
      <c r="AT33" s="144">
        <f t="shared" si="0"/>
        <v>1.0832186646402826E-6</v>
      </c>
      <c r="AU33" s="144">
        <f t="shared" si="0"/>
        <v>4.7195580292045743E-5</v>
      </c>
      <c r="AV33" s="144">
        <f t="shared" si="0"/>
        <v>1.3678092460619006E-7</v>
      </c>
      <c r="AW33" s="158">
        <f t="shared" si="0"/>
        <v>6.9992401059744097E-6</v>
      </c>
      <c r="AX33" s="144"/>
      <c r="AY33" s="159">
        <f t="shared" si="1"/>
        <v>102.43782218479801</v>
      </c>
      <c r="AZ33" s="144">
        <f t="shared" si="1"/>
        <v>4.4854285186174039</v>
      </c>
      <c r="BA33" s="144">
        <f t="shared" si="1"/>
        <v>0.2166437329280565</v>
      </c>
      <c r="BB33" s="144">
        <f t="shared" si="1"/>
        <v>9.4391160584091516</v>
      </c>
      <c r="BC33" s="144">
        <f t="shared" si="1"/>
        <v>2.7356184921238015E-2</v>
      </c>
      <c r="BD33" s="159">
        <f t="shared" si="1"/>
        <v>1.3998480211948821</v>
      </c>
      <c r="BE33" s="144"/>
      <c r="BF33" s="160">
        <f t="shared" si="2"/>
        <v>1.0685289232096281E-4</v>
      </c>
      <c r="BG33" s="144">
        <f t="shared" si="3"/>
        <v>1.5595834959232712E-7</v>
      </c>
      <c r="BH33" s="144">
        <f t="shared" si="3"/>
        <v>7.5327025939085244E-9</v>
      </c>
      <c r="BI33" s="144">
        <f t="shared" si="3"/>
        <v>3.2819806535088616E-7</v>
      </c>
      <c r="BJ33" s="144">
        <f t="shared" si="3"/>
        <v>9.5117454971144563E-10</v>
      </c>
      <c r="BK33" s="160">
        <f t="shared" si="3"/>
        <v>4.8672715696946048E-8</v>
      </c>
      <c r="BL33" s="144"/>
    </row>
    <row r="34" spans="1:64">
      <c r="G34" s="163"/>
      <c r="H34" s="163"/>
      <c r="I34" s="163"/>
      <c r="J34" s="163"/>
      <c r="K34" s="163"/>
      <c r="L34" s="163"/>
      <c r="M34" s="164"/>
      <c r="N34" s="164"/>
      <c r="X34" s="53" t="s">
        <v>142</v>
      </c>
      <c r="Y34" s="53" t="s">
        <v>143</v>
      </c>
      <c r="Z34" s="155" t="s">
        <v>340</v>
      </c>
      <c r="AA34" s="53">
        <v>0.25163200000000002</v>
      </c>
      <c r="AB34" s="53">
        <v>34.723951</v>
      </c>
      <c r="AC34" s="53" t="s">
        <v>372</v>
      </c>
      <c r="AD34" s="53" t="s">
        <v>330</v>
      </c>
      <c r="AE34" s="116" t="s">
        <v>347</v>
      </c>
      <c r="AF34" s="154" t="s">
        <v>371</v>
      </c>
      <c r="AG34" s="116" t="s">
        <v>687</v>
      </c>
      <c r="AH34" s="53" t="s">
        <v>365</v>
      </c>
      <c r="AI34" s="53" t="s">
        <v>685</v>
      </c>
      <c r="AJ34" s="53" t="s">
        <v>691</v>
      </c>
      <c r="AK34" s="156">
        <v>780.8</v>
      </c>
      <c r="AL34" s="157">
        <v>35.9</v>
      </c>
      <c r="AM34" s="162">
        <v>1.7239</v>
      </c>
      <c r="AN34" s="157">
        <v>68.599999999999994</v>
      </c>
      <c r="AO34" s="156">
        <v>0.16400000000000001</v>
      </c>
      <c r="AP34" s="157">
        <v>10.43</v>
      </c>
      <c r="AQ34" s="157"/>
      <c r="AR34" s="158">
        <f t="shared" si="0"/>
        <v>4.8107453122753685E-4</v>
      </c>
      <c r="AS34" s="144">
        <f t="shared" si="0"/>
        <v>2.211907744757758E-5</v>
      </c>
      <c r="AT34" s="144">
        <f t="shared" si="0"/>
        <v>1.0621470086874369E-6</v>
      </c>
      <c r="AU34" s="144">
        <f t="shared" si="0"/>
        <v>4.2266537963894756E-5</v>
      </c>
      <c r="AV34" s="144">
        <f t="shared" si="0"/>
        <v>1.0104536772709537E-7</v>
      </c>
      <c r="AW34" s="158">
        <f t="shared" si="0"/>
        <v>6.4262389353268563E-6</v>
      </c>
      <c r="AX34" s="144"/>
      <c r="AY34" s="159">
        <f t="shared" si="1"/>
        <v>96.214906245507379</v>
      </c>
      <c r="AZ34" s="144">
        <f t="shared" si="1"/>
        <v>4.4238154895155164</v>
      </c>
      <c r="BA34" s="144">
        <f t="shared" si="1"/>
        <v>0.21242940173748745</v>
      </c>
      <c r="BB34" s="144">
        <f t="shared" si="1"/>
        <v>8.4533075927789536</v>
      </c>
      <c r="BC34" s="144">
        <f t="shared" si="1"/>
        <v>2.0209073545419072E-2</v>
      </c>
      <c r="BD34" s="159">
        <f t="shared" si="1"/>
        <v>1.2852477870653713</v>
      </c>
      <c r="BE34" s="144"/>
      <c r="BF34" s="160">
        <f t="shared" si="2"/>
        <v>1.0036176870468875E-4</v>
      </c>
      <c r="BG34" s="144">
        <f t="shared" si="3"/>
        <v>1.5381606457045453E-7</v>
      </c>
      <c r="BH34" s="144">
        <f t="shared" si="3"/>
        <v>7.3861702984124365E-9</v>
      </c>
      <c r="BI34" s="144">
        <f t="shared" si="3"/>
        <v>2.939215050009242E-7</v>
      </c>
      <c r="BJ34" s="144">
        <f t="shared" si="3"/>
        <v>7.0266948717422118E-10</v>
      </c>
      <c r="BK34" s="160">
        <f t="shared" si="3"/>
        <v>4.4688065556262968E-8</v>
      </c>
      <c r="BL34" s="144"/>
    </row>
    <row r="35" spans="1:64">
      <c r="G35" s="163"/>
      <c r="H35" s="163"/>
      <c r="I35" s="163"/>
      <c r="J35" s="163"/>
      <c r="K35" s="163"/>
      <c r="L35" s="163"/>
      <c r="M35" s="163"/>
      <c r="N35" s="163"/>
      <c r="X35" s="53" t="s">
        <v>144</v>
      </c>
      <c r="Y35" s="53" t="s">
        <v>145</v>
      </c>
      <c r="Z35" s="155" t="s">
        <v>340</v>
      </c>
      <c r="AA35" s="53">
        <v>0.25722099999999998</v>
      </c>
      <c r="AB35" s="53">
        <v>34.724355000000003</v>
      </c>
      <c r="AC35" s="53" t="s">
        <v>373</v>
      </c>
      <c r="AD35" s="53" t="s">
        <v>330</v>
      </c>
      <c r="AE35" s="116" t="s">
        <v>347</v>
      </c>
      <c r="AF35" s="154" t="s">
        <v>371</v>
      </c>
      <c r="AG35" s="116" t="s">
        <v>687</v>
      </c>
      <c r="AH35" s="53" t="s">
        <v>370</v>
      </c>
      <c r="AI35" s="53" t="s">
        <v>684</v>
      </c>
      <c r="AJ35" s="53" t="s">
        <v>683</v>
      </c>
      <c r="AK35" s="156">
        <v>4.9000000000000004</v>
      </c>
      <c r="AL35" s="157">
        <v>36.200000000000003</v>
      </c>
      <c r="AM35" s="162">
        <v>9.7700000000000009E-2</v>
      </c>
      <c r="AN35" s="157">
        <v>288.39999999999998</v>
      </c>
      <c r="AO35" s="156">
        <v>0.16500000000000001</v>
      </c>
      <c r="AP35" s="157">
        <v>52.75</v>
      </c>
      <c r="AQ35" s="157"/>
      <c r="AR35" s="158">
        <f t="shared" si="0"/>
        <v>3.0190384259924835E-6</v>
      </c>
      <c r="AS35" s="144">
        <f t="shared" si="0"/>
        <v>2.2303916534883246E-5</v>
      </c>
      <c r="AT35" s="144">
        <f t="shared" si="0"/>
        <v>6.0195929432544004E-8</v>
      </c>
      <c r="AU35" s="144">
        <f t="shared" si="0"/>
        <v>1.7769197592984326E-4</v>
      </c>
      <c r="AV35" s="144">
        <f t="shared" si="0"/>
        <v>1.0166149801811423E-7</v>
      </c>
      <c r="AW35" s="158">
        <f t="shared" si="0"/>
        <v>3.2500872851245611E-5</v>
      </c>
      <c r="AX35" s="144"/>
      <c r="AY35" s="159">
        <f t="shared" si="1"/>
        <v>0.60380768519849659</v>
      </c>
      <c r="AZ35" s="144">
        <f t="shared" si="1"/>
        <v>4.4607833069766487</v>
      </c>
      <c r="BA35" s="144">
        <f t="shared" si="1"/>
        <v>1.2039185886508803E-2</v>
      </c>
      <c r="BB35" s="144">
        <f t="shared" si="1"/>
        <v>35.53839518596866</v>
      </c>
      <c r="BC35" s="144">
        <f t="shared" si="1"/>
        <v>2.0332299603622848E-2</v>
      </c>
      <c r="BD35" s="159">
        <f t="shared" si="1"/>
        <v>6.500174570249122</v>
      </c>
      <c r="BE35" s="144"/>
      <c r="BF35" s="160">
        <f t="shared" si="2"/>
        <v>6.2983179643055206E-7</v>
      </c>
      <c r="BG35" s="144">
        <f t="shared" si="3"/>
        <v>1.5510143558357812E-7</v>
      </c>
      <c r="BH35" s="144">
        <f t="shared" si="3"/>
        <v>4.1860249327391108E-10</v>
      </c>
      <c r="BI35" s="144">
        <f t="shared" si="3"/>
        <v>1.23567000061613E-6</v>
      </c>
      <c r="BJ35" s="144">
        <f t="shared" si="3"/>
        <v>7.0695405721796642E-10</v>
      </c>
      <c r="BK35" s="160">
        <f t="shared" si="3"/>
        <v>2.2601106980756194E-7</v>
      </c>
      <c r="BL35" s="144"/>
    </row>
    <row r="36" spans="1:64">
      <c r="G36" s="163"/>
      <c r="H36" s="163"/>
      <c r="I36" s="163"/>
      <c r="J36" s="163"/>
      <c r="K36" s="163"/>
      <c r="L36" s="163"/>
      <c r="M36" s="163"/>
      <c r="N36" s="163"/>
      <c r="X36" s="53" t="s">
        <v>146</v>
      </c>
      <c r="Y36" s="53" t="s">
        <v>147</v>
      </c>
      <c r="Z36" s="155" t="s">
        <v>340</v>
      </c>
      <c r="AA36" s="53">
        <v>0.25722099999999998</v>
      </c>
      <c r="AB36" s="53">
        <v>34.724355000000003</v>
      </c>
      <c r="AC36" s="53" t="s">
        <v>373</v>
      </c>
      <c r="AD36" s="53" t="s">
        <v>330</v>
      </c>
      <c r="AE36" s="116" t="s">
        <v>347</v>
      </c>
      <c r="AF36" s="154" t="s">
        <v>371</v>
      </c>
      <c r="AG36" s="116" t="s">
        <v>687</v>
      </c>
      <c r="AH36" s="53" t="s">
        <v>368</v>
      </c>
      <c r="AI36" s="53" t="s">
        <v>684</v>
      </c>
      <c r="AJ36" s="53" t="s">
        <v>683</v>
      </c>
      <c r="AK36" s="156">
        <v>12.2</v>
      </c>
      <c r="AL36" s="157">
        <v>242.5</v>
      </c>
      <c r="AM36" s="162">
        <v>3.7010000000000001</v>
      </c>
      <c r="AN36" s="157">
        <v>215</v>
      </c>
      <c r="AO36" s="156">
        <v>1.401</v>
      </c>
      <c r="AP36" s="157">
        <v>55.17</v>
      </c>
      <c r="AQ36" s="157"/>
      <c r="AR36" s="158">
        <f t="shared" si="0"/>
        <v>7.5167895504302633E-6</v>
      </c>
      <c r="AS36" s="144">
        <f t="shared" si="0"/>
        <v>1.4941159557207696E-4</v>
      </c>
      <c r="AT36" s="144">
        <f t="shared" si="0"/>
        <v>2.2802982070608533E-6</v>
      </c>
      <c r="AU36" s="144">
        <f t="shared" si="0"/>
        <v>1.3246801256905794E-4</v>
      </c>
      <c r="AV36" s="144">
        <f t="shared" si="0"/>
        <v>8.6319853771744266E-7</v>
      </c>
      <c r="AW36" s="158">
        <f t="shared" si="0"/>
        <v>3.3991908155511282E-5</v>
      </c>
      <c r="AX36" s="144"/>
      <c r="AY36" s="159">
        <f t="shared" si="1"/>
        <v>1.5033579100860528</v>
      </c>
      <c r="AZ36" s="144">
        <f t="shared" si="1"/>
        <v>29.882319114415395</v>
      </c>
      <c r="BA36" s="144">
        <f t="shared" si="1"/>
        <v>0.45605964141217065</v>
      </c>
      <c r="BB36" s="144">
        <f t="shared" si="1"/>
        <v>26.493602513811588</v>
      </c>
      <c r="BC36" s="144">
        <f t="shared" si="1"/>
        <v>0.17263970754348854</v>
      </c>
      <c r="BD36" s="159">
        <f t="shared" si="1"/>
        <v>6.7983816311022585</v>
      </c>
      <c r="BE36" s="144"/>
      <c r="BF36" s="160">
        <f t="shared" si="2"/>
        <v>1.5681526360107618E-6</v>
      </c>
      <c r="BG36" s="144">
        <f t="shared" si="3"/>
        <v>1.0390082356082235E-6</v>
      </c>
      <c r="BH36" s="144">
        <f t="shared" si="3"/>
        <v>1.5857193731901171E-8</v>
      </c>
      <c r="BI36" s="144">
        <f t="shared" si="3"/>
        <v>9.2118255940522883E-7</v>
      </c>
      <c r="BJ36" s="144">
        <f t="shared" si="3"/>
        <v>6.0026826312870965E-9</v>
      </c>
      <c r="BK36" s="160">
        <f t="shared" si="3"/>
        <v>2.3637972931342546E-7</v>
      </c>
      <c r="BL36" s="144"/>
    </row>
    <row r="37" spans="1:64">
      <c r="G37" s="163"/>
      <c r="H37" s="163"/>
      <c r="I37" s="163"/>
      <c r="J37" s="163"/>
      <c r="K37" s="163"/>
      <c r="L37" s="163"/>
      <c r="M37" s="163"/>
      <c r="N37" s="163"/>
      <c r="X37" s="53" t="s">
        <v>148</v>
      </c>
      <c r="Y37" s="53" t="s">
        <v>149</v>
      </c>
      <c r="Z37" s="155" t="s">
        <v>340</v>
      </c>
      <c r="AA37" s="53">
        <v>0.26547500000000002</v>
      </c>
      <c r="AB37" s="53">
        <v>34.728920000000002</v>
      </c>
      <c r="AC37" s="53" t="s">
        <v>373</v>
      </c>
      <c r="AD37" s="53" t="s">
        <v>330</v>
      </c>
      <c r="AE37" s="116" t="s">
        <v>347</v>
      </c>
      <c r="AF37" s="154" t="s">
        <v>371</v>
      </c>
      <c r="AG37" s="116" t="s">
        <v>687</v>
      </c>
      <c r="AH37" s="53" t="s">
        <v>370</v>
      </c>
      <c r="AI37" s="53" t="s">
        <v>684</v>
      </c>
      <c r="AJ37" s="53" t="s">
        <v>683</v>
      </c>
      <c r="AK37" s="156">
        <v>4.8</v>
      </c>
      <c r="AL37" s="157">
        <v>17.5</v>
      </c>
      <c r="AM37" s="162">
        <v>8.3000000000000004E-2</v>
      </c>
      <c r="AN37" s="157">
        <v>1195.9000000000001</v>
      </c>
      <c r="AO37" s="156">
        <v>0.14699999999999999</v>
      </c>
      <c r="AP37" s="157">
        <v>369.65</v>
      </c>
      <c r="AQ37" s="157"/>
      <c r="AR37" s="158">
        <f t="shared" si="0"/>
        <v>2.9574253968905959E-6</v>
      </c>
      <c r="AS37" s="144">
        <f t="shared" si="0"/>
        <v>1.0782280092830297E-5</v>
      </c>
      <c r="AT37" s="144">
        <f t="shared" si="0"/>
        <v>5.1138814154566558E-8</v>
      </c>
      <c r="AU37" s="144">
        <f t="shared" si="0"/>
        <v>7.3683021502947161E-4</v>
      </c>
      <c r="AV37" s="144">
        <f t="shared" si="0"/>
        <v>9.0571152779774488E-8</v>
      </c>
      <c r="AW37" s="158">
        <f t="shared" si="0"/>
        <v>2.2775256207512682E-4</v>
      </c>
      <c r="AX37" s="144"/>
      <c r="AY37" s="159">
        <f t="shared" si="1"/>
        <v>0.59148507937811912</v>
      </c>
      <c r="AZ37" s="144">
        <f t="shared" si="1"/>
        <v>2.1564560185660593</v>
      </c>
      <c r="BA37" s="144">
        <f t="shared" si="1"/>
        <v>1.022776283091331E-2</v>
      </c>
      <c r="BB37" s="144">
        <f t="shared" si="1"/>
        <v>147.36604300589431</v>
      </c>
      <c r="BC37" s="144">
        <f t="shared" si="1"/>
        <v>1.8114230555954899E-2</v>
      </c>
      <c r="BD37" s="159">
        <f t="shared" si="1"/>
        <v>45.550512415025366</v>
      </c>
      <c r="BE37" s="144"/>
      <c r="BF37" s="160">
        <f t="shared" si="2"/>
        <v>6.1697808629931603E-7</v>
      </c>
      <c r="BG37" s="144">
        <f t="shared" si="3"/>
        <v>7.4979975765541895E-8</v>
      </c>
      <c r="BH37" s="144">
        <f t="shared" si="3"/>
        <v>3.5561931363085583E-10</v>
      </c>
      <c r="BI37" s="144">
        <f t="shared" si="3"/>
        <v>5.1239173153149459E-6</v>
      </c>
      <c r="BJ37" s="144">
        <f t="shared" si="3"/>
        <v>6.2983179643055181E-10</v>
      </c>
      <c r="BK37" s="160">
        <f t="shared" si="3"/>
        <v>1.5837913166704319E-6</v>
      </c>
      <c r="BL37" s="144"/>
    </row>
    <row r="38" spans="1:64">
      <c r="G38" s="163"/>
      <c r="H38" s="163"/>
      <c r="I38" s="163"/>
      <c r="J38" s="163"/>
      <c r="K38" s="163"/>
      <c r="L38" s="163"/>
      <c r="M38" s="163"/>
      <c r="N38" s="163"/>
      <c r="X38" s="53" t="s">
        <v>150</v>
      </c>
      <c r="Y38" s="53" t="s">
        <v>151</v>
      </c>
      <c r="Z38" s="155" t="s">
        <v>340</v>
      </c>
      <c r="AA38" s="53">
        <v>0.26495800000000003</v>
      </c>
      <c r="AB38" s="53">
        <v>34.729039</v>
      </c>
      <c r="AC38" s="53" t="s">
        <v>373</v>
      </c>
      <c r="AD38" s="53" t="s">
        <v>330</v>
      </c>
      <c r="AE38" s="116" t="s">
        <v>347</v>
      </c>
      <c r="AF38" s="154" t="s">
        <v>371</v>
      </c>
      <c r="AG38" s="116" t="s">
        <v>687</v>
      </c>
      <c r="AH38" s="53" t="s">
        <v>368</v>
      </c>
      <c r="AI38" s="53" t="s">
        <v>684</v>
      </c>
      <c r="AJ38" s="53" t="s">
        <v>683</v>
      </c>
      <c r="AK38" s="156">
        <v>8.3000000000000007</v>
      </c>
      <c r="AL38" s="157">
        <v>22</v>
      </c>
      <c r="AM38" s="162">
        <v>6.5500000000000003E-2</v>
      </c>
      <c r="AN38" s="157">
        <v>1682.3</v>
      </c>
      <c r="AO38" s="156">
        <v>0.18</v>
      </c>
      <c r="AP38" s="157">
        <v>444.96</v>
      </c>
      <c r="AQ38" s="157"/>
      <c r="AR38" s="158">
        <f t="shared" si="0"/>
        <v>5.1138814154566561E-6</v>
      </c>
      <c r="AS38" s="144">
        <f t="shared" si="0"/>
        <v>1.3554866402415229E-5</v>
      </c>
      <c r="AT38" s="144">
        <f t="shared" si="0"/>
        <v>4.0356534061736267E-8</v>
      </c>
      <c r="AU38" s="144">
        <f t="shared" si="0"/>
        <v>1.0365159885810519E-3</v>
      </c>
      <c r="AV38" s="144">
        <f t="shared" si="0"/>
        <v>1.1090345238339735E-7</v>
      </c>
      <c r="AW38" s="158">
        <f t="shared" si="0"/>
        <v>2.7415333429175819E-4</v>
      </c>
      <c r="AX38" s="144"/>
      <c r="AY38" s="159">
        <f t="shared" si="1"/>
        <v>1.022776283091331</v>
      </c>
      <c r="AZ38" s="144">
        <f t="shared" si="1"/>
        <v>2.7109732804830462</v>
      </c>
      <c r="BA38" s="144">
        <f t="shared" si="1"/>
        <v>8.0713068123472505E-3</v>
      </c>
      <c r="BB38" s="144">
        <f t="shared" si="1"/>
        <v>207.30319771621038</v>
      </c>
      <c r="BC38" s="144">
        <f t="shared" si="1"/>
        <v>2.2180690476679463E-2</v>
      </c>
      <c r="BD38" s="159">
        <f t="shared" si="1"/>
        <v>54.830666858351634</v>
      </c>
      <c r="BE38" s="144"/>
      <c r="BF38" s="160">
        <f t="shared" si="2"/>
        <v>1.0668579408925675E-6</v>
      </c>
      <c r="BG38" s="144">
        <f t="shared" si="3"/>
        <v>9.4260540962395524E-8</v>
      </c>
      <c r="BH38" s="144">
        <f t="shared" si="3"/>
        <v>2.8063933786531395E-10</v>
      </c>
      <c r="BI38" s="144">
        <f t="shared" si="3"/>
        <v>7.207932184592635E-6</v>
      </c>
      <c r="BJ38" s="144">
        <f t="shared" si="3"/>
        <v>7.712226078741451E-10</v>
      </c>
      <c r="BK38" s="160">
        <f t="shared" si="3"/>
        <v>1.9064622866648866E-6</v>
      </c>
      <c r="BL38" s="144"/>
    </row>
    <row r="39" spans="1:64">
      <c r="G39" s="163"/>
      <c r="H39" s="163"/>
      <c r="I39" s="163"/>
      <c r="J39" s="163"/>
      <c r="K39" s="163"/>
      <c r="L39" s="163"/>
      <c r="M39" s="163"/>
      <c r="N39" s="163"/>
      <c r="X39" s="53" t="s">
        <v>152</v>
      </c>
      <c r="Y39" s="53" t="s">
        <v>153</v>
      </c>
      <c r="Z39" s="155" t="s">
        <v>340</v>
      </c>
      <c r="AA39" s="53">
        <v>0.21160000000000001</v>
      </c>
      <c r="AB39" s="53">
        <v>34.72974</v>
      </c>
      <c r="AC39" s="53" t="s">
        <v>351</v>
      </c>
      <c r="AD39" s="53" t="s">
        <v>330</v>
      </c>
      <c r="AE39" s="116" t="s">
        <v>347</v>
      </c>
      <c r="AF39" s="154" t="s">
        <v>371</v>
      </c>
      <c r="AG39" s="116" t="s">
        <v>687</v>
      </c>
      <c r="AH39" s="53" t="s">
        <v>361</v>
      </c>
      <c r="AI39" s="53" t="s">
        <v>685</v>
      </c>
      <c r="AJ39" s="53" t="s">
        <v>690</v>
      </c>
      <c r="AK39" s="156">
        <v>225.5</v>
      </c>
      <c r="AL39" s="157">
        <v>42.6</v>
      </c>
      <c r="AM39" s="162">
        <v>0.31709999999999999</v>
      </c>
      <c r="AN39" s="157">
        <v>263.89999999999998</v>
      </c>
      <c r="AO39" s="156">
        <v>0.185</v>
      </c>
      <c r="AP39" s="157">
        <v>76.84</v>
      </c>
      <c r="AQ39" s="157"/>
      <c r="AR39" s="158">
        <f t="shared" si="0"/>
        <v>1.3893738062475611E-4</v>
      </c>
      <c r="AS39" s="144">
        <f t="shared" si="0"/>
        <v>2.6247150397404035E-5</v>
      </c>
      <c r="AT39" s="144">
        <f t="shared" si="0"/>
        <v>1.95374915282085E-7</v>
      </c>
      <c r="AU39" s="144">
        <f t="shared" si="0"/>
        <v>1.6259678379988083E-4</v>
      </c>
      <c r="AV39" s="144">
        <f t="shared" si="0"/>
        <v>1.1398410383849171E-7</v>
      </c>
      <c r="AW39" s="158">
        <f t="shared" si="0"/>
        <v>4.7343451561890287E-5</v>
      </c>
      <c r="AX39" s="144"/>
      <c r="AY39" s="159">
        <f t="shared" si="1"/>
        <v>27.787476124951223</v>
      </c>
      <c r="AZ39" s="144">
        <f t="shared" si="1"/>
        <v>5.249430079480808</v>
      </c>
      <c r="BA39" s="144">
        <f t="shared" si="1"/>
        <v>3.9074983056416997E-2</v>
      </c>
      <c r="BB39" s="144">
        <f t="shared" si="1"/>
        <v>32.519356759976176</v>
      </c>
      <c r="BC39" s="144">
        <f t="shared" si="1"/>
        <v>2.2796820767698341E-2</v>
      </c>
      <c r="BD39" s="159">
        <f t="shared" si="1"/>
        <v>9.4686903123780599</v>
      </c>
      <c r="BE39" s="144"/>
      <c r="BF39" s="160">
        <f t="shared" si="2"/>
        <v>2.8985116345936619E-5</v>
      </c>
      <c r="BG39" s="144">
        <f t="shared" si="3"/>
        <v>1.8252268386354767E-7</v>
      </c>
      <c r="BH39" s="144">
        <f t="shared" si="3"/>
        <v>1.358637160871619E-9</v>
      </c>
      <c r="BI39" s="144">
        <f t="shared" si="3"/>
        <v>1.1306980345443714E-6</v>
      </c>
      <c r="BJ39" s="144">
        <f t="shared" si="3"/>
        <v>7.9264545809287139E-10</v>
      </c>
      <c r="BK39" s="160">
        <f t="shared" si="3"/>
        <v>3.2922636216138506E-7</v>
      </c>
      <c r="BL39" s="144"/>
    </row>
    <row r="40" spans="1:64">
      <c r="G40" s="163"/>
      <c r="H40" s="163"/>
      <c r="I40" s="163"/>
      <c r="J40" s="163"/>
      <c r="K40" s="163"/>
      <c r="L40" s="163"/>
      <c r="M40" s="163"/>
      <c r="N40" s="163"/>
      <c r="X40" s="53" t="s">
        <v>154</v>
      </c>
      <c r="Y40" s="53" t="s">
        <v>155</v>
      </c>
      <c r="Z40" s="155" t="s">
        <v>340</v>
      </c>
      <c r="AA40" s="53">
        <v>0.20325199999999999</v>
      </c>
      <c r="AB40" s="53">
        <v>34.716146999999999</v>
      </c>
      <c r="AC40" s="53" t="s">
        <v>351</v>
      </c>
      <c r="AD40" s="53" t="s">
        <v>330</v>
      </c>
      <c r="AE40" s="116" t="s">
        <v>347</v>
      </c>
      <c r="AF40" s="154" t="s">
        <v>371</v>
      </c>
      <c r="AG40" s="116" t="s">
        <v>687</v>
      </c>
      <c r="AH40" s="53" t="s">
        <v>367</v>
      </c>
      <c r="AI40" s="53" t="s">
        <v>684</v>
      </c>
      <c r="AJ40" s="53" t="s">
        <v>683</v>
      </c>
      <c r="AK40" s="156">
        <v>24.4</v>
      </c>
      <c r="AL40" s="157">
        <v>17.899999999999999</v>
      </c>
      <c r="AM40" s="162">
        <v>21.142099999999999</v>
      </c>
      <c r="AN40" s="157">
        <v>257.3</v>
      </c>
      <c r="AO40" s="156">
        <v>0.11700000000000001</v>
      </c>
      <c r="AP40" s="157">
        <v>77.98</v>
      </c>
      <c r="AQ40" s="157"/>
      <c r="AR40" s="158">
        <f t="shared" ref="AR40:AW71" si="4">(AK40*100*350*30*0.000001)/(70*66.7*365)</f>
        <v>1.5033579100860527E-5</v>
      </c>
      <c r="AS40" s="144">
        <f t="shared" si="4"/>
        <v>1.1028732209237844E-5</v>
      </c>
      <c r="AT40" s="144">
        <f t="shared" si="4"/>
        <v>1.3026288225750138E-5</v>
      </c>
      <c r="AU40" s="144">
        <f t="shared" si="4"/>
        <v>1.5853032387915628E-4</v>
      </c>
      <c r="AV40" s="144">
        <f t="shared" si="4"/>
        <v>7.2087244049208287E-8</v>
      </c>
      <c r="AW40" s="158">
        <f t="shared" si="4"/>
        <v>4.8045840093651801E-5</v>
      </c>
      <c r="AX40" s="144"/>
      <c r="AY40" s="159">
        <f t="shared" ref="AY40:BD71" si="5">(AK40*20*350*30)/(70*66.7*365)</f>
        <v>3.0067158201721056</v>
      </c>
      <c r="AZ40" s="144">
        <f t="shared" si="5"/>
        <v>2.2057464418475692</v>
      </c>
      <c r="BA40" s="144">
        <f t="shared" si="5"/>
        <v>2.6052576451500271</v>
      </c>
      <c r="BB40" s="144">
        <f t="shared" si="5"/>
        <v>31.706064775831262</v>
      </c>
      <c r="BC40" s="144">
        <f t="shared" si="5"/>
        <v>1.4417448809841657E-2</v>
      </c>
      <c r="BD40" s="159">
        <f t="shared" si="5"/>
        <v>9.6091680187303616</v>
      </c>
      <c r="BE40" s="144"/>
      <c r="BF40" s="160">
        <f t="shared" si="2"/>
        <v>3.1363052720215235E-6</v>
      </c>
      <c r="BG40" s="144">
        <f t="shared" ref="BG40:BK71" si="6">(AL40*5700*0.61*0.2*0.001*350*30*0.000001)/(70*66.7*365)</f>
        <v>7.6693803783039977E-8</v>
      </c>
      <c r="BH40" s="144">
        <f t="shared" si="6"/>
        <v>9.0584808321866464E-8</v>
      </c>
      <c r="BI40" s="144">
        <f t="shared" si="6"/>
        <v>1.1024198722556531E-6</v>
      </c>
      <c r="BJ40" s="144">
        <f t="shared" si="6"/>
        <v>5.0129469511819435E-10</v>
      </c>
      <c r="BK40" s="160">
        <f t="shared" si="6"/>
        <v>3.3411077201125465E-7</v>
      </c>
      <c r="BL40" s="144"/>
    </row>
    <row r="41" spans="1:64">
      <c r="A41" s="163"/>
      <c r="B41" s="163"/>
      <c r="C41" s="163"/>
      <c r="D41" s="163"/>
      <c r="E41" s="163"/>
      <c r="F41" s="163"/>
      <c r="G41" s="163"/>
      <c r="H41" s="163"/>
      <c r="I41" s="163"/>
      <c r="J41" s="163"/>
      <c r="K41" s="163"/>
      <c r="L41" s="163"/>
      <c r="M41" s="163"/>
      <c r="N41" s="163"/>
      <c r="X41" s="53" t="s">
        <v>156</v>
      </c>
      <c r="Y41" s="53" t="s">
        <v>157</v>
      </c>
      <c r="Z41" s="155" t="s">
        <v>340</v>
      </c>
      <c r="AA41" s="53">
        <v>0.20340800000000001</v>
      </c>
      <c r="AB41" s="53">
        <v>34.71658</v>
      </c>
      <c r="AC41" s="53" t="s">
        <v>351</v>
      </c>
      <c r="AD41" s="53" t="s">
        <v>330</v>
      </c>
      <c r="AE41" s="116" t="s">
        <v>347</v>
      </c>
      <c r="AF41" s="154" t="s">
        <v>371</v>
      </c>
      <c r="AG41" s="116" t="s">
        <v>687</v>
      </c>
      <c r="AH41" s="53" t="s">
        <v>366</v>
      </c>
      <c r="AI41" s="53" t="s">
        <v>684</v>
      </c>
      <c r="AJ41" s="53" t="s">
        <v>683</v>
      </c>
      <c r="AK41" s="156">
        <v>19.8</v>
      </c>
      <c r="AL41" s="157">
        <v>21.6</v>
      </c>
      <c r="AM41" s="162">
        <v>5.1158999999999999</v>
      </c>
      <c r="AN41" s="157">
        <v>264.2</v>
      </c>
      <c r="AO41" s="156">
        <v>0.17</v>
      </c>
      <c r="AP41" s="157">
        <v>65.59</v>
      </c>
      <c r="AQ41" s="157"/>
      <c r="AR41" s="158">
        <f t="shared" si="4"/>
        <v>1.2199379762173707E-5</v>
      </c>
      <c r="AS41" s="144">
        <f t="shared" si="4"/>
        <v>1.3308414286007681E-5</v>
      </c>
      <c r="AT41" s="144">
        <f t="shared" si="4"/>
        <v>3.1520609558234581E-6</v>
      </c>
      <c r="AU41" s="144">
        <f t="shared" si="4"/>
        <v>1.6278162288718652E-4</v>
      </c>
      <c r="AV41" s="144">
        <f t="shared" si="4"/>
        <v>1.047421494732086E-7</v>
      </c>
      <c r="AW41" s="158">
        <f t="shared" si="4"/>
        <v>4.0411985787927955E-5</v>
      </c>
      <c r="AX41" s="144"/>
      <c r="AY41" s="159">
        <f t="shared" si="5"/>
        <v>2.4398759524347415</v>
      </c>
      <c r="AZ41" s="144">
        <f t="shared" si="5"/>
        <v>2.6616828572015363</v>
      </c>
      <c r="BA41" s="144">
        <f t="shared" si="5"/>
        <v>0.63041219116469149</v>
      </c>
      <c r="BB41" s="144">
        <f t="shared" si="5"/>
        <v>32.556324577437309</v>
      </c>
      <c r="BC41" s="144">
        <f t="shared" si="5"/>
        <v>2.0948429894641723E-2</v>
      </c>
      <c r="BD41" s="159">
        <f t="shared" si="5"/>
        <v>8.0823971575855911</v>
      </c>
      <c r="BE41" s="144"/>
      <c r="BF41" s="160">
        <f t="shared" si="2"/>
        <v>2.5450346059846778E-6</v>
      </c>
      <c r="BG41" s="144">
        <f t="shared" si="6"/>
        <v>9.2546712944897429E-8</v>
      </c>
      <c r="BH41" s="144">
        <f t="shared" si="6"/>
        <v>2.1919431886796328E-8</v>
      </c>
      <c r="BI41" s="144">
        <f t="shared" si="6"/>
        <v>1.1319834055574955E-6</v>
      </c>
      <c r="BJ41" s="144">
        <f t="shared" si="6"/>
        <v>7.2837690743669271E-10</v>
      </c>
      <c r="BK41" s="160">
        <f t="shared" si="6"/>
        <v>2.8102494916925096E-7</v>
      </c>
      <c r="BL41" s="144"/>
    </row>
    <row r="42" spans="1:64">
      <c r="A42" s="163"/>
      <c r="B42" s="163"/>
      <c r="C42" s="163"/>
      <c r="D42" s="163"/>
      <c r="E42" s="163"/>
      <c r="F42" s="163"/>
      <c r="G42" s="163"/>
      <c r="H42" s="163"/>
      <c r="I42" s="163"/>
      <c r="J42" s="163"/>
      <c r="K42" s="163"/>
      <c r="L42" s="163"/>
      <c r="M42" s="163"/>
      <c r="N42" s="163"/>
      <c r="X42" s="53" t="s">
        <v>158</v>
      </c>
      <c r="Y42" s="53" t="s">
        <v>159</v>
      </c>
      <c r="Z42" s="155" t="s">
        <v>340</v>
      </c>
      <c r="AA42" s="53">
        <v>0.20325199999999999</v>
      </c>
      <c r="AB42" s="53">
        <v>34.716146999999999</v>
      </c>
      <c r="AC42" s="53" t="s">
        <v>351</v>
      </c>
      <c r="AD42" s="53" t="s">
        <v>330</v>
      </c>
      <c r="AE42" s="116" t="s">
        <v>347</v>
      </c>
      <c r="AF42" s="154" t="s">
        <v>371</v>
      </c>
      <c r="AG42" s="116" t="s">
        <v>687</v>
      </c>
      <c r="AH42" s="53" t="s">
        <v>364</v>
      </c>
      <c r="AI42" s="53" t="s">
        <v>685</v>
      </c>
      <c r="AJ42" s="53" t="s">
        <v>690</v>
      </c>
      <c r="AK42" s="156">
        <v>27.1</v>
      </c>
      <c r="AL42" s="157">
        <v>9.6</v>
      </c>
      <c r="AM42" s="162">
        <v>10.0997</v>
      </c>
      <c r="AN42" s="157">
        <v>237.3</v>
      </c>
      <c r="AO42" s="156">
        <v>0.121</v>
      </c>
      <c r="AP42" s="157">
        <v>112.46</v>
      </c>
      <c r="AQ42" s="157"/>
      <c r="AR42" s="158">
        <f t="shared" si="4"/>
        <v>1.6697130886611489E-5</v>
      </c>
      <c r="AS42" s="144">
        <f t="shared" si="4"/>
        <v>5.9148507937811918E-6</v>
      </c>
      <c r="AT42" s="144">
        <f t="shared" si="4"/>
        <v>6.2227311002033229E-6</v>
      </c>
      <c r="AU42" s="144">
        <f t="shared" si="4"/>
        <v>1.4620771805877884E-4</v>
      </c>
      <c r="AV42" s="144">
        <f t="shared" si="4"/>
        <v>7.4551765213283769E-8</v>
      </c>
      <c r="AW42" s="158">
        <f t="shared" si="4"/>
        <v>6.929001252798258E-5</v>
      </c>
      <c r="AX42" s="144"/>
      <c r="AY42" s="159">
        <f t="shared" si="5"/>
        <v>3.3394261773222977</v>
      </c>
      <c r="AZ42" s="144">
        <f t="shared" si="5"/>
        <v>1.1829701587562382</v>
      </c>
      <c r="BA42" s="144">
        <f t="shared" si="5"/>
        <v>1.2445462200406645</v>
      </c>
      <c r="BB42" s="144">
        <f t="shared" si="5"/>
        <v>29.241543611755766</v>
      </c>
      <c r="BC42" s="144">
        <f t="shared" si="5"/>
        <v>1.4910353042656754E-2</v>
      </c>
      <c r="BD42" s="159">
        <f t="shared" si="5"/>
        <v>13.858002505596515</v>
      </c>
      <c r="BE42" s="144"/>
      <c r="BF42" s="160">
        <f t="shared" si="2"/>
        <v>3.4833554455648884E-6</v>
      </c>
      <c r="BG42" s="144">
        <f t="shared" si="6"/>
        <v>4.1131872419954402E-8</v>
      </c>
      <c r="BH42" s="144">
        <f t="shared" si="6"/>
        <v>4.3272872070813918E-8</v>
      </c>
      <c r="BI42" s="144">
        <f t="shared" si="6"/>
        <v>1.0167284713807481E-6</v>
      </c>
      <c r="BJ42" s="144">
        <f t="shared" si="6"/>
        <v>5.184329752931753E-10</v>
      </c>
      <c r="BK42" s="160">
        <f t="shared" si="6"/>
        <v>4.8184274711959083E-7</v>
      </c>
      <c r="BL42" s="144"/>
    </row>
    <row r="43" spans="1:64">
      <c r="A43" s="163"/>
      <c r="B43" s="163"/>
      <c r="C43" s="163"/>
      <c r="D43" s="163"/>
      <c r="E43" s="163"/>
      <c r="F43" s="163"/>
      <c r="G43" s="163"/>
      <c r="H43" s="163"/>
      <c r="I43" s="163"/>
      <c r="J43" s="163"/>
      <c r="K43" s="163"/>
      <c r="L43" s="163"/>
      <c r="M43" s="163"/>
      <c r="N43" s="163"/>
      <c r="X43" s="53" t="s">
        <v>161</v>
      </c>
      <c r="Y43" s="53" t="s">
        <v>162</v>
      </c>
      <c r="Z43" s="155" t="s">
        <v>343</v>
      </c>
      <c r="AA43" s="53">
        <v>0.18987899999999999</v>
      </c>
      <c r="AB43" s="53">
        <v>34.735692999999998</v>
      </c>
      <c r="AC43" s="53" t="s">
        <v>352</v>
      </c>
      <c r="AD43" s="53" t="s">
        <v>330</v>
      </c>
      <c r="AE43" s="116" t="s">
        <v>347</v>
      </c>
      <c r="AF43" s="154" t="s">
        <v>371</v>
      </c>
      <c r="AG43" s="116" t="s">
        <v>687</v>
      </c>
      <c r="AH43" s="53" t="s">
        <v>364</v>
      </c>
      <c r="AI43" s="53" t="s">
        <v>685</v>
      </c>
      <c r="AJ43" s="53" t="s">
        <v>690</v>
      </c>
      <c r="AK43" s="156">
        <v>23.4</v>
      </c>
      <c r="AL43" s="157">
        <v>40.200000000000003</v>
      </c>
      <c r="AM43" s="162">
        <v>4.7550999999999997</v>
      </c>
      <c r="AN43" s="157">
        <v>152.9</v>
      </c>
      <c r="AO43" s="156">
        <v>0.28599999999999998</v>
      </c>
      <c r="AP43" s="157">
        <v>58.27</v>
      </c>
      <c r="AQ43" s="157"/>
      <c r="AR43" s="158">
        <f t="shared" si="4"/>
        <v>1.4417448809841655E-5</v>
      </c>
      <c r="AS43" s="144">
        <f t="shared" si="4"/>
        <v>2.4768437698958743E-5</v>
      </c>
      <c r="AT43" s="144">
        <f t="shared" si="4"/>
        <v>2.9297611468238481E-6</v>
      </c>
      <c r="AU43" s="144">
        <f t="shared" si="4"/>
        <v>9.4206321496785844E-5</v>
      </c>
      <c r="AV43" s="144">
        <f t="shared" si="4"/>
        <v>1.7621326323139801E-7</v>
      </c>
      <c r="AW43" s="158">
        <f t="shared" si="4"/>
        <v>3.5901912057669793E-5</v>
      </c>
      <c r="AX43" s="144"/>
      <c r="AY43" s="159">
        <f t="shared" si="5"/>
        <v>2.8834897619683311</v>
      </c>
      <c r="AZ43" s="144">
        <f t="shared" si="5"/>
        <v>4.9536875397917477</v>
      </c>
      <c r="BA43" s="144">
        <f t="shared" si="5"/>
        <v>0.58595222936476965</v>
      </c>
      <c r="BB43" s="144">
        <f t="shared" si="5"/>
        <v>18.841264299357171</v>
      </c>
      <c r="BC43" s="144">
        <f t="shared" si="5"/>
        <v>3.5242652646279599E-2</v>
      </c>
      <c r="BD43" s="159">
        <f t="shared" si="5"/>
        <v>7.1803824115339605</v>
      </c>
      <c r="BE43" s="144"/>
      <c r="BF43" s="160">
        <f t="shared" si="2"/>
        <v>3.0077681707091658E-6</v>
      </c>
      <c r="BG43" s="144">
        <f t="shared" si="6"/>
        <v>1.722397157585591E-7</v>
      </c>
      <c r="BH43" s="144">
        <f t="shared" si="6"/>
        <v>2.0373559015013043E-8</v>
      </c>
      <c r="BI43" s="144">
        <f t="shared" si="6"/>
        <v>6.5511075968864885E-7</v>
      </c>
      <c r="BJ43" s="144">
        <f t="shared" si="6"/>
        <v>1.2253870325111419E-9</v>
      </c>
      <c r="BK43" s="160">
        <f t="shared" si="6"/>
        <v>2.496618964490358E-7</v>
      </c>
      <c r="BL43" s="144"/>
    </row>
    <row r="44" spans="1:64">
      <c r="A44" s="163"/>
      <c r="B44" s="163"/>
      <c r="C44" s="163"/>
      <c r="D44" s="163"/>
      <c r="E44" s="163"/>
      <c r="F44" s="163"/>
      <c r="G44" s="163"/>
      <c r="H44" s="163"/>
      <c r="I44" s="163"/>
      <c r="J44" s="163"/>
      <c r="K44" s="163"/>
      <c r="L44" s="163"/>
      <c r="M44" s="163"/>
      <c r="N44" s="163"/>
      <c r="X44" s="53" t="s">
        <v>163</v>
      </c>
      <c r="Y44" s="39" t="s">
        <v>164</v>
      </c>
      <c r="Z44" s="155" t="s">
        <v>343</v>
      </c>
      <c r="AA44" s="53">
        <v>0.18987899999999999</v>
      </c>
      <c r="AB44" s="53">
        <v>34.735692999999998</v>
      </c>
      <c r="AC44" s="53" t="s">
        <v>352</v>
      </c>
      <c r="AD44" s="53" t="s">
        <v>330</v>
      </c>
      <c r="AE44" s="116" t="s">
        <v>347</v>
      </c>
      <c r="AF44" s="154" t="s">
        <v>371</v>
      </c>
      <c r="AG44" s="116" t="s">
        <v>687</v>
      </c>
      <c r="AH44" s="53" t="s">
        <v>366</v>
      </c>
      <c r="AI44" s="53" t="s">
        <v>684</v>
      </c>
      <c r="AJ44" s="53" t="s">
        <v>683</v>
      </c>
      <c r="AK44" s="156">
        <v>43.3</v>
      </c>
      <c r="AL44" s="157">
        <v>30.5</v>
      </c>
      <c r="AM44" s="162">
        <v>1.1142999999999998</v>
      </c>
      <c r="AN44" s="157">
        <v>195.3</v>
      </c>
      <c r="AO44" s="156">
        <v>0.27700000000000002</v>
      </c>
      <c r="AP44" s="157">
        <v>62.01</v>
      </c>
      <c r="AQ44" s="157"/>
      <c r="AR44" s="158">
        <f t="shared" si="4"/>
        <v>2.6678441601117247E-5</v>
      </c>
      <c r="AS44" s="144">
        <f t="shared" si="4"/>
        <v>1.8791973876075659E-5</v>
      </c>
      <c r="AT44" s="144">
        <f t="shared" si="4"/>
        <v>6.8655398328233129E-7</v>
      </c>
      <c r="AU44" s="144">
        <f t="shared" si="4"/>
        <v>1.2033024583598611E-4</v>
      </c>
      <c r="AV44" s="144">
        <f t="shared" si="4"/>
        <v>1.7066809061222817E-7</v>
      </c>
      <c r="AW44" s="158">
        <f t="shared" si="4"/>
        <v>3.8206239346080383E-5</v>
      </c>
      <c r="AX44" s="144"/>
      <c r="AY44" s="159">
        <f t="shared" si="5"/>
        <v>5.3356883202234497</v>
      </c>
      <c r="AZ44" s="144">
        <f t="shared" si="5"/>
        <v>3.7583947752151321</v>
      </c>
      <c r="BA44" s="144">
        <f t="shared" si="5"/>
        <v>0.13731079665646628</v>
      </c>
      <c r="BB44" s="144">
        <f t="shared" si="5"/>
        <v>24.066049167197225</v>
      </c>
      <c r="BC44" s="144">
        <f t="shared" si="5"/>
        <v>3.4133618122445628E-2</v>
      </c>
      <c r="BD44" s="159">
        <f t="shared" si="5"/>
        <v>7.6412478692160768</v>
      </c>
      <c r="BE44" s="144"/>
      <c r="BF44" s="160">
        <f t="shared" si="2"/>
        <v>5.5656564868250785E-6</v>
      </c>
      <c r="BG44" s="144">
        <f t="shared" si="6"/>
        <v>1.3067938633423015E-7</v>
      </c>
      <c r="BH44" s="144">
        <f t="shared" si="6"/>
        <v>4.774296399745333E-9</v>
      </c>
      <c r="BI44" s="144">
        <f t="shared" si="6"/>
        <v>8.3677652954344741E-7</v>
      </c>
      <c r="BJ44" s="144">
        <f t="shared" si="6"/>
        <v>1.1868259021174346E-9</v>
      </c>
      <c r="BK44" s="160">
        <f t="shared" si="6"/>
        <v>2.6568618841264299E-7</v>
      </c>
      <c r="BL44" s="144"/>
    </row>
    <row r="45" spans="1:64">
      <c r="A45" s="163"/>
      <c r="B45" s="163"/>
      <c r="C45" s="163"/>
      <c r="D45" s="163"/>
      <c r="E45" s="163"/>
      <c r="F45" s="163"/>
      <c r="G45" s="163"/>
      <c r="H45" s="163"/>
      <c r="I45" s="163"/>
      <c r="J45" s="163"/>
      <c r="K45" s="163"/>
      <c r="L45" s="163"/>
      <c r="M45" s="163"/>
      <c r="N45" s="163"/>
      <c r="X45" s="53" t="s">
        <v>165</v>
      </c>
      <c r="Y45" s="39" t="s">
        <v>166</v>
      </c>
      <c r="Z45" s="155" t="s">
        <v>343</v>
      </c>
      <c r="AA45" s="53">
        <v>0.18987899999999999</v>
      </c>
      <c r="AB45" s="53">
        <v>34.735692999999998</v>
      </c>
      <c r="AC45" s="53" t="s">
        <v>352</v>
      </c>
      <c r="AD45" s="53" t="s">
        <v>330</v>
      </c>
      <c r="AE45" s="116" t="s">
        <v>347</v>
      </c>
      <c r="AF45" s="154" t="s">
        <v>371</v>
      </c>
      <c r="AG45" s="116" t="s">
        <v>687</v>
      </c>
      <c r="AH45" s="53" t="s">
        <v>367</v>
      </c>
      <c r="AI45" s="53" t="s">
        <v>684</v>
      </c>
      <c r="AJ45" s="53" t="s">
        <v>683</v>
      </c>
      <c r="AK45" s="156">
        <v>23.8</v>
      </c>
      <c r="AL45" s="157">
        <v>27.9</v>
      </c>
      <c r="AM45" s="162">
        <v>0.27560000000000001</v>
      </c>
      <c r="AN45" s="157">
        <v>196.5</v>
      </c>
      <c r="AO45" s="156">
        <v>0.32900000000000001</v>
      </c>
      <c r="AP45" s="157">
        <v>62.32</v>
      </c>
      <c r="AQ45" s="157"/>
      <c r="AR45" s="158">
        <f t="shared" si="4"/>
        <v>1.4663900926249204E-5</v>
      </c>
      <c r="AS45" s="144">
        <f t="shared" si="4"/>
        <v>1.7190035119426586E-5</v>
      </c>
      <c r="AT45" s="144">
        <f t="shared" si="4"/>
        <v>1.6980550820480168E-7</v>
      </c>
      <c r="AU45" s="144">
        <f t="shared" si="4"/>
        <v>1.2106960218520876E-4</v>
      </c>
      <c r="AV45" s="144">
        <f t="shared" si="4"/>
        <v>2.0270686574520958E-7</v>
      </c>
      <c r="AW45" s="158">
        <f t="shared" si="4"/>
        <v>3.8397239736296229E-5</v>
      </c>
      <c r="AX45" s="144"/>
      <c r="AY45" s="159">
        <f t="shared" si="5"/>
        <v>2.932780185249841</v>
      </c>
      <c r="AZ45" s="144">
        <f t="shared" si="5"/>
        <v>3.4380070238853175</v>
      </c>
      <c r="BA45" s="144">
        <f t="shared" si="5"/>
        <v>3.3961101640960348E-2</v>
      </c>
      <c r="BB45" s="144">
        <f t="shared" si="5"/>
        <v>24.213920437041754</v>
      </c>
      <c r="BC45" s="144">
        <f t="shared" si="5"/>
        <v>4.0541373149041916E-2</v>
      </c>
      <c r="BD45" s="159">
        <f t="shared" si="5"/>
        <v>7.6794479472592485</v>
      </c>
      <c r="BE45" s="144"/>
      <c r="BF45" s="160">
        <f t="shared" si="2"/>
        <v>3.0591830112341086E-6</v>
      </c>
      <c r="BG45" s="144">
        <f t="shared" si="6"/>
        <v>1.1953950422049247E-7</v>
      </c>
      <c r="BH45" s="144">
        <f t="shared" si="6"/>
        <v>1.1808275040561909E-9</v>
      </c>
      <c r="BI45" s="144">
        <f t="shared" si="6"/>
        <v>8.4191801359594184E-7</v>
      </c>
      <c r="BJ45" s="144">
        <f t="shared" si="6"/>
        <v>1.4096235443921878E-9</v>
      </c>
      <c r="BK45" s="160">
        <f t="shared" si="6"/>
        <v>2.6701440512620399E-7</v>
      </c>
      <c r="BL45" s="144"/>
    </row>
    <row r="46" spans="1:64">
      <c r="A46" s="163"/>
      <c r="B46" s="163"/>
      <c r="C46" s="163"/>
      <c r="D46" s="163"/>
      <c r="E46" s="163"/>
      <c r="F46" s="163"/>
      <c r="G46" s="163"/>
      <c r="H46" s="163"/>
      <c r="I46" s="163"/>
      <c r="J46" s="163"/>
      <c r="K46" s="163"/>
      <c r="L46" s="163"/>
      <c r="M46" s="163"/>
      <c r="N46" s="163"/>
      <c r="X46" s="53" t="s">
        <v>167</v>
      </c>
      <c r="Y46" s="39" t="s">
        <v>168</v>
      </c>
      <c r="Z46" s="155" t="s">
        <v>343</v>
      </c>
      <c r="AA46" s="53">
        <v>0.187274</v>
      </c>
      <c r="AB46" s="53">
        <v>34.735595000000004</v>
      </c>
      <c r="AC46" s="53" t="s">
        <v>353</v>
      </c>
      <c r="AD46" s="53" t="s">
        <v>330</v>
      </c>
      <c r="AE46" s="116" t="s">
        <v>347</v>
      </c>
      <c r="AF46" s="154" t="s">
        <v>371</v>
      </c>
      <c r="AG46" s="116" t="s">
        <v>687</v>
      </c>
      <c r="AH46" s="53" t="s">
        <v>361</v>
      </c>
      <c r="AI46" s="53" t="s">
        <v>685</v>
      </c>
      <c r="AJ46" s="53" t="s">
        <v>690</v>
      </c>
      <c r="AK46" s="156">
        <v>216.6</v>
      </c>
      <c r="AL46" s="157">
        <v>31.9</v>
      </c>
      <c r="AM46" s="162">
        <v>4.4250999999999996</v>
      </c>
      <c r="AN46" s="157">
        <v>224</v>
      </c>
      <c r="AO46" s="156">
        <v>0.29299999999999998</v>
      </c>
      <c r="AP46" s="157">
        <v>71.64</v>
      </c>
      <c r="AQ46" s="157"/>
      <c r="AR46" s="158">
        <f t="shared" si="4"/>
        <v>1.3345382103468811E-4</v>
      </c>
      <c r="AS46" s="144">
        <f t="shared" si="4"/>
        <v>1.9654556283502083E-5</v>
      </c>
      <c r="AT46" s="144">
        <f t="shared" si="4"/>
        <v>2.7264381507876191E-6</v>
      </c>
      <c r="AU46" s="144">
        <f t="shared" si="4"/>
        <v>1.380131851882278E-4</v>
      </c>
      <c r="AV46" s="144">
        <f t="shared" si="4"/>
        <v>1.8052617526853008E-7</v>
      </c>
      <c r="AW46" s="158">
        <f t="shared" si="4"/>
        <v>4.4139574048592141E-5</v>
      </c>
      <c r="AX46" s="144"/>
      <c r="AY46" s="159">
        <f t="shared" si="5"/>
        <v>26.690764206937626</v>
      </c>
      <c r="AZ46" s="144">
        <f t="shared" si="5"/>
        <v>3.930911256700417</v>
      </c>
      <c r="BA46" s="144">
        <f t="shared" si="5"/>
        <v>0.54528763015752391</v>
      </c>
      <c r="BB46" s="144">
        <f t="shared" si="5"/>
        <v>27.602637037645561</v>
      </c>
      <c r="BC46" s="144">
        <f t="shared" si="5"/>
        <v>3.6105235053706025E-2</v>
      </c>
      <c r="BD46" s="159">
        <f t="shared" si="5"/>
        <v>8.827914809718429</v>
      </c>
      <c r="BE46" s="144"/>
      <c r="BF46" s="160">
        <f t="shared" si="2"/>
        <v>2.7841136144256635E-5</v>
      </c>
      <c r="BG46" s="144">
        <f t="shared" si="6"/>
        <v>1.3667778439547353E-7</v>
      </c>
      <c r="BH46" s="144">
        <f t="shared" si="6"/>
        <v>1.8959650900577103E-8</v>
      </c>
      <c r="BI46" s="144">
        <f t="shared" si="6"/>
        <v>9.5974368979893617E-7</v>
      </c>
      <c r="BJ46" s="144">
        <f t="shared" si="6"/>
        <v>1.2553790228173584E-9</v>
      </c>
      <c r="BK46" s="160">
        <f t="shared" si="6"/>
        <v>3.069465979339098E-7</v>
      </c>
      <c r="BL46" s="144"/>
    </row>
    <row r="47" spans="1:64">
      <c r="A47" s="163"/>
      <c r="B47" s="163"/>
      <c r="C47" s="163"/>
      <c r="D47" s="163"/>
      <c r="E47" s="163"/>
      <c r="F47" s="163"/>
      <c r="G47" s="163"/>
      <c r="H47" s="163"/>
      <c r="I47" s="163"/>
      <c r="J47" s="163"/>
      <c r="K47" s="163"/>
      <c r="L47" s="163"/>
      <c r="M47" s="163"/>
      <c r="N47" s="163"/>
      <c r="X47" s="53" t="s">
        <v>169</v>
      </c>
      <c r="Y47" s="39" t="s">
        <v>170</v>
      </c>
      <c r="Z47" s="155" t="s">
        <v>343</v>
      </c>
      <c r="AA47" s="53">
        <v>0.18729499999999999</v>
      </c>
      <c r="AB47" s="53">
        <v>34.736308999999999</v>
      </c>
      <c r="AC47" s="53" t="s">
        <v>353</v>
      </c>
      <c r="AD47" s="53" t="s">
        <v>330</v>
      </c>
      <c r="AE47" s="116" t="s">
        <v>347</v>
      </c>
      <c r="AF47" s="154" t="s">
        <v>371</v>
      </c>
      <c r="AG47" s="116" t="s">
        <v>687</v>
      </c>
      <c r="AH47" s="53" t="s">
        <v>366</v>
      </c>
      <c r="AI47" s="53" t="s">
        <v>684</v>
      </c>
      <c r="AJ47" s="53" t="s">
        <v>683</v>
      </c>
      <c r="AK47" s="156">
        <v>49.2</v>
      </c>
      <c r="AL47" s="157">
        <v>24.9</v>
      </c>
      <c r="AM47" s="162">
        <v>0.35620000000000002</v>
      </c>
      <c r="AN47" s="157">
        <v>189</v>
      </c>
      <c r="AO47" s="156">
        <v>0.24</v>
      </c>
      <c r="AP47" s="157">
        <v>65.5</v>
      </c>
      <c r="AQ47" s="157"/>
      <c r="AR47" s="158">
        <f t="shared" si="4"/>
        <v>3.0313610318128605E-5</v>
      </c>
      <c r="AS47" s="144">
        <f t="shared" si="4"/>
        <v>1.5341644246369964E-5</v>
      </c>
      <c r="AT47" s="144">
        <f t="shared" si="4"/>
        <v>2.19465609660923E-7</v>
      </c>
      <c r="AU47" s="144">
        <f t="shared" si="4"/>
        <v>1.164486250025672E-4</v>
      </c>
      <c r="AV47" s="144">
        <f t="shared" si="4"/>
        <v>1.4787126984452979E-7</v>
      </c>
      <c r="AW47" s="158">
        <f t="shared" si="4"/>
        <v>4.0356534061736252E-5</v>
      </c>
      <c r="AX47" s="144"/>
      <c r="AY47" s="159">
        <f t="shared" si="5"/>
        <v>6.0627220636257215</v>
      </c>
      <c r="AZ47" s="144">
        <f t="shared" si="5"/>
        <v>3.0683288492739931</v>
      </c>
      <c r="BA47" s="144">
        <f t="shared" si="5"/>
        <v>4.3893121932184594E-2</v>
      </c>
      <c r="BB47" s="144">
        <f t="shared" si="5"/>
        <v>23.289725000513442</v>
      </c>
      <c r="BC47" s="144">
        <f t="shared" si="5"/>
        <v>2.9574253968905957E-2</v>
      </c>
      <c r="BD47" s="159">
        <f t="shared" si="5"/>
        <v>8.0713068123472507</v>
      </c>
      <c r="BE47" s="144"/>
      <c r="BF47" s="160">
        <f t="shared" si="2"/>
        <v>6.3240253845679903E-6</v>
      </c>
      <c r="BG47" s="144">
        <f t="shared" si="6"/>
        <v>1.0668579408925673E-7</v>
      </c>
      <c r="BH47" s="144">
        <f t="shared" si="6"/>
        <v>1.5261638495820583E-9</v>
      </c>
      <c r="BI47" s="144">
        <f t="shared" si="6"/>
        <v>8.097837382678523E-7</v>
      </c>
      <c r="BJ47" s="144">
        <f t="shared" si="6"/>
        <v>1.0282968104988601E-9</v>
      </c>
      <c r="BK47" s="160">
        <f t="shared" si="6"/>
        <v>2.8063933786531391E-7</v>
      </c>
      <c r="BL47" s="144"/>
    </row>
    <row r="48" spans="1:64">
      <c r="A48" s="163"/>
      <c r="B48" s="163"/>
      <c r="C48" s="163"/>
      <c r="D48" s="163"/>
      <c r="E48" s="163"/>
      <c r="F48" s="163"/>
      <c r="G48" s="163"/>
      <c r="H48" s="163"/>
      <c r="I48" s="163"/>
      <c r="J48" s="163"/>
      <c r="K48" s="163"/>
      <c r="L48" s="163"/>
      <c r="M48" s="163"/>
      <c r="N48" s="163"/>
      <c r="X48" s="53" t="s">
        <v>171</v>
      </c>
      <c r="Y48" s="39" t="s">
        <v>172</v>
      </c>
      <c r="Z48" s="155" t="s">
        <v>343</v>
      </c>
      <c r="AA48" s="53">
        <v>0.187274</v>
      </c>
      <c r="AB48" s="53">
        <v>34.735595000000004</v>
      </c>
      <c r="AC48" s="53" t="s">
        <v>353</v>
      </c>
      <c r="AD48" s="53" t="s">
        <v>330</v>
      </c>
      <c r="AE48" s="116" t="s">
        <v>347</v>
      </c>
      <c r="AF48" s="154" t="s">
        <v>371</v>
      </c>
      <c r="AG48" s="116" t="s">
        <v>687</v>
      </c>
      <c r="AH48" s="53" t="s">
        <v>364</v>
      </c>
      <c r="AI48" s="53" t="s">
        <v>685</v>
      </c>
      <c r="AJ48" s="53" t="s">
        <v>690</v>
      </c>
      <c r="AK48" s="156">
        <v>74</v>
      </c>
      <c r="AL48" s="157">
        <v>40.200000000000003</v>
      </c>
      <c r="AM48" s="162">
        <v>0.30880000000000002</v>
      </c>
      <c r="AN48" s="157">
        <v>169.1</v>
      </c>
      <c r="AO48" s="156">
        <v>0.253</v>
      </c>
      <c r="AP48" s="157">
        <v>119.61</v>
      </c>
      <c r="AQ48" s="157"/>
      <c r="AR48" s="158">
        <f t="shared" si="4"/>
        <v>4.5593641535396687E-5</v>
      </c>
      <c r="AS48" s="144">
        <f t="shared" si="4"/>
        <v>2.4768437698958743E-5</v>
      </c>
      <c r="AT48" s="144">
        <f t="shared" si="4"/>
        <v>1.9026103386662831E-7</v>
      </c>
      <c r="AU48" s="144">
        <f t="shared" si="4"/>
        <v>1.041876322112916E-4</v>
      </c>
      <c r="AV48" s="144">
        <f t="shared" si="4"/>
        <v>1.5588096362777515E-7</v>
      </c>
      <c r="AW48" s="158">
        <f t="shared" si="4"/>
        <v>7.3695344108767527E-5</v>
      </c>
      <c r="AX48" s="144"/>
      <c r="AY48" s="159">
        <f t="shared" si="5"/>
        <v>9.118728307079337</v>
      </c>
      <c r="AZ48" s="144">
        <f t="shared" si="5"/>
        <v>4.9536875397917477</v>
      </c>
      <c r="BA48" s="144">
        <f t="shared" si="5"/>
        <v>3.8052206773325666E-2</v>
      </c>
      <c r="BB48" s="144">
        <f t="shared" si="5"/>
        <v>20.837526442258323</v>
      </c>
      <c r="BC48" s="144">
        <f t="shared" si="5"/>
        <v>3.1176192725555035E-2</v>
      </c>
      <c r="BD48" s="159">
        <f t="shared" si="5"/>
        <v>14.739068821753504</v>
      </c>
      <c r="BE48" s="144"/>
      <c r="BF48" s="160">
        <f t="shared" si="2"/>
        <v>9.5117454971144554E-6</v>
      </c>
      <c r="BG48" s="144">
        <f t="shared" si="6"/>
        <v>1.722397157585591E-7</v>
      </c>
      <c r="BH48" s="144">
        <f t="shared" si="6"/>
        <v>1.3230752295085333E-9</v>
      </c>
      <c r="BI48" s="144">
        <f t="shared" si="6"/>
        <v>7.2452079439732193E-7</v>
      </c>
      <c r="BJ48" s="144">
        <f t="shared" si="6"/>
        <v>1.0839962210675484E-9</v>
      </c>
      <c r="BK48" s="160">
        <f t="shared" si="6"/>
        <v>5.1247742293236941E-7</v>
      </c>
      <c r="BL48" s="144"/>
    </row>
    <row r="49" spans="1:64">
      <c r="A49" s="163"/>
      <c r="B49" s="163"/>
      <c r="C49" s="163"/>
      <c r="D49" s="163"/>
      <c r="E49" s="163"/>
      <c r="F49" s="163"/>
      <c r="G49" s="163"/>
      <c r="H49" s="163"/>
      <c r="I49" s="163"/>
      <c r="J49" s="163"/>
      <c r="K49" s="163"/>
      <c r="L49" s="163"/>
      <c r="M49" s="163"/>
      <c r="N49" s="163"/>
      <c r="X49" s="53" t="s">
        <v>173</v>
      </c>
      <c r="Y49" s="39" t="s">
        <v>174</v>
      </c>
      <c r="Z49" s="155" t="s">
        <v>343</v>
      </c>
      <c r="AA49" s="53">
        <v>0.18729000000000001</v>
      </c>
      <c r="AB49" s="53">
        <v>34.736308999999999</v>
      </c>
      <c r="AC49" s="53" t="s">
        <v>353</v>
      </c>
      <c r="AD49" s="53" t="s">
        <v>330</v>
      </c>
      <c r="AE49" s="116" t="s">
        <v>347</v>
      </c>
      <c r="AF49" s="154" t="s">
        <v>371</v>
      </c>
      <c r="AG49" s="116" t="s">
        <v>687</v>
      </c>
      <c r="AH49" s="53" t="s">
        <v>361</v>
      </c>
      <c r="AI49" s="53" t="s">
        <v>685</v>
      </c>
      <c r="AJ49" s="53" t="s">
        <v>690</v>
      </c>
      <c r="AK49" s="156">
        <v>263.2</v>
      </c>
      <c r="AL49" s="157">
        <v>30</v>
      </c>
      <c r="AM49" s="162">
        <v>1.2711999999999999</v>
      </c>
      <c r="AN49" s="157">
        <v>192.9</v>
      </c>
      <c r="AO49" s="156">
        <v>0.22500000000000001</v>
      </c>
      <c r="AP49" s="157">
        <v>60.94</v>
      </c>
      <c r="AQ49" s="157"/>
      <c r="AR49" s="158">
        <f t="shared" si="4"/>
        <v>1.6216549259616769E-4</v>
      </c>
      <c r="AS49" s="144">
        <f t="shared" si="4"/>
        <v>1.8483908730566225E-5</v>
      </c>
      <c r="AT49" s="144">
        <f t="shared" si="4"/>
        <v>7.8322482594319271E-7</v>
      </c>
      <c r="AU49" s="144">
        <f t="shared" si="4"/>
        <v>1.1885153313754081E-4</v>
      </c>
      <c r="AV49" s="144">
        <f t="shared" si="4"/>
        <v>1.3862931547924668E-7</v>
      </c>
      <c r="AW49" s="158">
        <f t="shared" si="4"/>
        <v>3.7546979934690185E-5</v>
      </c>
      <c r="AX49" s="144"/>
      <c r="AY49" s="159">
        <f t="shared" si="5"/>
        <v>32.433098519233532</v>
      </c>
      <c r="AZ49" s="144">
        <f t="shared" si="5"/>
        <v>3.6967817461132446</v>
      </c>
      <c r="BA49" s="144">
        <f t="shared" si="5"/>
        <v>0.15664496518863855</v>
      </c>
      <c r="BB49" s="144">
        <f t="shared" si="5"/>
        <v>23.770306627508162</v>
      </c>
      <c r="BC49" s="144">
        <f t="shared" si="5"/>
        <v>2.7725863095849335E-2</v>
      </c>
      <c r="BD49" s="159">
        <f t="shared" si="5"/>
        <v>7.5093959869380376</v>
      </c>
      <c r="BE49" s="144"/>
      <c r="BF49" s="160">
        <f t="shared" si="2"/>
        <v>3.3830965065412498E-5</v>
      </c>
      <c r="BG49" s="144">
        <f t="shared" si="6"/>
        <v>1.2853710131235754E-7</v>
      </c>
      <c r="BH49" s="144">
        <f t="shared" si="6"/>
        <v>5.4465454396089619E-9</v>
      </c>
      <c r="BI49" s="144">
        <f t="shared" si="6"/>
        <v>8.2649356143845886E-7</v>
      </c>
      <c r="BJ49" s="144">
        <f t="shared" si="6"/>
        <v>9.6402825984268135E-10</v>
      </c>
      <c r="BK49" s="160">
        <f t="shared" si="6"/>
        <v>2.6110169846583561E-7</v>
      </c>
      <c r="BL49" s="144"/>
    </row>
    <row r="50" spans="1:64">
      <c r="A50" s="163"/>
      <c r="B50" s="163"/>
      <c r="C50" s="163"/>
      <c r="D50" s="163"/>
      <c r="E50" s="163"/>
      <c r="F50" s="163"/>
      <c r="G50" s="163"/>
      <c r="H50" s="163"/>
      <c r="I50" s="163"/>
      <c r="J50" s="163"/>
      <c r="K50" s="163"/>
      <c r="L50" s="163"/>
      <c r="M50" s="163"/>
      <c r="N50" s="163"/>
      <c r="X50" s="53" t="s">
        <v>175</v>
      </c>
      <c r="Y50" s="39" t="s">
        <v>176</v>
      </c>
      <c r="Z50" s="155" t="s">
        <v>343</v>
      </c>
      <c r="AA50" s="53">
        <v>0.187274</v>
      </c>
      <c r="AB50" s="53">
        <v>34.735595000000004</v>
      </c>
      <c r="AC50" s="53" t="s">
        <v>353</v>
      </c>
      <c r="AD50" s="53" t="s">
        <v>330</v>
      </c>
      <c r="AE50" s="116" t="s">
        <v>347</v>
      </c>
      <c r="AF50" s="154" t="s">
        <v>371</v>
      </c>
      <c r="AG50" s="116" t="s">
        <v>687</v>
      </c>
      <c r="AH50" s="53" t="s">
        <v>367</v>
      </c>
      <c r="AI50" s="53" t="s">
        <v>684</v>
      </c>
      <c r="AJ50" s="53" t="s">
        <v>683</v>
      </c>
      <c r="AK50" s="156">
        <v>209.7</v>
      </c>
      <c r="AL50" s="157">
        <v>37.1</v>
      </c>
      <c r="AM50" s="162">
        <v>0.51829999999999998</v>
      </c>
      <c r="AN50" s="157">
        <v>195.9</v>
      </c>
      <c r="AO50" s="156">
        <v>0.25900000000000001</v>
      </c>
      <c r="AP50" s="157">
        <v>66.92</v>
      </c>
      <c r="AQ50" s="157"/>
      <c r="AR50" s="158">
        <f t="shared" si="4"/>
        <v>1.292025220266579E-4</v>
      </c>
      <c r="AS50" s="144">
        <f t="shared" si="4"/>
        <v>2.2858433796800229E-5</v>
      </c>
      <c r="AT50" s="144">
        <f t="shared" si="4"/>
        <v>3.1934032983508245E-7</v>
      </c>
      <c r="AU50" s="144">
        <f t="shared" si="4"/>
        <v>1.2069992401059744E-4</v>
      </c>
      <c r="AV50" s="144">
        <f t="shared" si="4"/>
        <v>1.5957774537388839E-7</v>
      </c>
      <c r="AW50" s="158">
        <f t="shared" si="4"/>
        <v>4.1231439074983049E-5</v>
      </c>
      <c r="AX50" s="144"/>
      <c r="AY50" s="159">
        <f t="shared" si="5"/>
        <v>25.840504405331579</v>
      </c>
      <c r="AZ50" s="144">
        <f t="shared" si="5"/>
        <v>4.5716867593600456</v>
      </c>
      <c r="BA50" s="144">
        <f t="shared" si="5"/>
        <v>6.3868065967016496E-2</v>
      </c>
      <c r="BB50" s="144">
        <f t="shared" si="5"/>
        <v>24.139984802119489</v>
      </c>
      <c r="BC50" s="144">
        <f t="shared" si="5"/>
        <v>3.1915549074777678E-2</v>
      </c>
      <c r="BD50" s="159">
        <f t="shared" si="5"/>
        <v>8.246287814996613</v>
      </c>
      <c r="BE50" s="144"/>
      <c r="BF50" s="160">
        <f t="shared" si="2"/>
        <v>2.6954230145201375E-5</v>
      </c>
      <c r="BG50" s="144">
        <f t="shared" si="6"/>
        <v>1.5895754862294881E-7</v>
      </c>
      <c r="BH50" s="144">
        <f t="shared" si="6"/>
        <v>2.2206926536731635E-9</v>
      </c>
      <c r="BI50" s="144">
        <f t="shared" si="6"/>
        <v>8.3934727156969457E-7</v>
      </c>
      <c r="BJ50" s="144">
        <f t="shared" si="6"/>
        <v>1.1097036413300203E-9</v>
      </c>
      <c r="BK50" s="160">
        <f t="shared" si="6"/>
        <v>2.8672342732743219E-7</v>
      </c>
      <c r="BL50" s="144"/>
    </row>
    <row r="51" spans="1:64">
      <c r="A51" s="163"/>
      <c r="B51" s="163"/>
      <c r="C51" s="163"/>
      <c r="D51" s="163"/>
      <c r="E51" s="163"/>
      <c r="F51" s="163"/>
      <c r="G51" s="163"/>
      <c r="H51" s="163"/>
      <c r="I51" s="163"/>
      <c r="J51" s="163"/>
      <c r="K51" s="163"/>
      <c r="L51" s="163"/>
      <c r="M51" s="163"/>
      <c r="N51" s="163"/>
      <c r="X51" s="53" t="s">
        <v>177</v>
      </c>
      <c r="Y51" s="39" t="s">
        <v>178</v>
      </c>
      <c r="Z51" s="155" t="s">
        <v>343</v>
      </c>
      <c r="AA51" s="53">
        <v>0.18890100000000001</v>
      </c>
      <c r="AB51" s="53">
        <v>34.740020999999999</v>
      </c>
      <c r="AC51" s="53" t="s">
        <v>354</v>
      </c>
      <c r="AD51" s="53" t="s">
        <v>330</v>
      </c>
      <c r="AE51" s="116" t="s">
        <v>347</v>
      </c>
      <c r="AF51" s="154" t="s">
        <v>371</v>
      </c>
      <c r="AG51" s="116" t="s">
        <v>687</v>
      </c>
      <c r="AH51" s="53" t="s">
        <v>364</v>
      </c>
      <c r="AI51" s="53" t="s">
        <v>685</v>
      </c>
      <c r="AJ51" s="53" t="s">
        <v>690</v>
      </c>
      <c r="AK51" s="156">
        <v>24.7</v>
      </c>
      <c r="AL51" s="157">
        <v>21</v>
      </c>
      <c r="AM51" s="162">
        <v>1.937705</v>
      </c>
      <c r="AN51" s="157">
        <v>278</v>
      </c>
      <c r="AO51" s="156">
        <v>9.7000000000000003E-2</v>
      </c>
      <c r="AP51" s="157">
        <v>138.27000000000001</v>
      </c>
      <c r="AQ51" s="157"/>
      <c r="AR51" s="158">
        <f t="shared" si="4"/>
        <v>1.521841818816619E-5</v>
      </c>
      <c r="AS51" s="144">
        <f t="shared" si="4"/>
        <v>1.2938736111396358E-5</v>
      </c>
      <c r="AT51" s="144">
        <f t="shared" si="4"/>
        <v>1.1938787455587275E-6</v>
      </c>
      <c r="AU51" s="144">
        <f t="shared" si="4"/>
        <v>1.7128422090324698E-4</v>
      </c>
      <c r="AV51" s="144">
        <f t="shared" si="4"/>
        <v>5.9764638228830798E-8</v>
      </c>
      <c r="AW51" s="158">
        <f t="shared" si="4"/>
        <v>8.5192335339179731E-5</v>
      </c>
      <c r="AX51" s="144"/>
      <c r="AY51" s="159">
        <f t="shared" si="5"/>
        <v>3.0436836376332383</v>
      </c>
      <c r="AZ51" s="144">
        <f t="shared" si="5"/>
        <v>2.5877472222792712</v>
      </c>
      <c r="BA51" s="144">
        <f t="shared" si="5"/>
        <v>0.23877574911174548</v>
      </c>
      <c r="BB51" s="144">
        <f t="shared" si="5"/>
        <v>34.256844180649402</v>
      </c>
      <c r="BC51" s="144">
        <f t="shared" si="5"/>
        <v>1.1952927645766158E-2</v>
      </c>
      <c r="BD51" s="159">
        <f t="shared" si="5"/>
        <v>17.038467067835946</v>
      </c>
      <c r="BE51" s="144"/>
      <c r="BF51" s="160">
        <f t="shared" si="2"/>
        <v>3.174866402415231E-6</v>
      </c>
      <c r="BG51" s="144">
        <f t="shared" si="6"/>
        <v>8.9975970918650253E-8</v>
      </c>
      <c r="BH51" s="144">
        <f t="shared" si="6"/>
        <v>8.3022327966153906E-9</v>
      </c>
      <c r="BI51" s="144">
        <f t="shared" si="6"/>
        <v>1.1911104721611794E-6</v>
      </c>
      <c r="BJ51" s="144">
        <f t="shared" si="6"/>
        <v>4.1560329424328937E-10</v>
      </c>
      <c r="BK51" s="160">
        <f t="shared" si="6"/>
        <v>5.9242749994865578E-7</v>
      </c>
      <c r="BL51" s="144"/>
    </row>
    <row r="52" spans="1:64">
      <c r="A52" s="163"/>
      <c r="B52" s="163"/>
      <c r="C52" s="163"/>
      <c r="D52" s="163"/>
      <c r="E52" s="163"/>
      <c r="F52" s="163"/>
      <c r="G52" s="163"/>
      <c r="H52" s="163"/>
      <c r="I52" s="163"/>
      <c r="J52" s="163"/>
      <c r="K52" s="163"/>
      <c r="L52" s="163"/>
      <c r="M52" s="163"/>
      <c r="N52" s="163"/>
      <c r="X52" s="53" t="s">
        <v>179</v>
      </c>
      <c r="Y52" s="39" t="s">
        <v>180</v>
      </c>
      <c r="Z52" s="155" t="s">
        <v>343</v>
      </c>
      <c r="AA52" s="53">
        <v>0.18871499999999999</v>
      </c>
      <c r="AB52" s="53">
        <v>34.740102</v>
      </c>
      <c r="AC52" s="53" t="s">
        <v>354</v>
      </c>
      <c r="AD52" s="53" t="s">
        <v>330</v>
      </c>
      <c r="AE52" s="116" t="s">
        <v>347</v>
      </c>
      <c r="AF52" s="154" t="s">
        <v>371</v>
      </c>
      <c r="AG52" s="116" t="s">
        <v>687</v>
      </c>
      <c r="AH52" s="53" t="s">
        <v>367</v>
      </c>
      <c r="AI52" s="53" t="s">
        <v>684</v>
      </c>
      <c r="AJ52" s="53" t="s">
        <v>683</v>
      </c>
      <c r="AK52" s="156">
        <v>10.6</v>
      </c>
      <c r="AL52" s="157">
        <v>21</v>
      </c>
      <c r="AM52" s="162">
        <v>0.385405</v>
      </c>
      <c r="AN52" s="157">
        <v>471.8</v>
      </c>
      <c r="AO52" s="156">
        <v>0.159</v>
      </c>
      <c r="AP52" s="157">
        <v>136.09</v>
      </c>
      <c r="AQ52" s="157"/>
      <c r="AR52" s="158">
        <f t="shared" si="4"/>
        <v>6.5309810848000652E-6</v>
      </c>
      <c r="AS52" s="144">
        <f t="shared" si="4"/>
        <v>1.2938736111396358E-5</v>
      </c>
      <c r="AT52" s="144">
        <f t="shared" si="4"/>
        <v>2.3745969481012922E-7</v>
      </c>
      <c r="AU52" s="144">
        <f t="shared" si="4"/>
        <v>2.9069027130270483E-4</v>
      </c>
      <c r="AV52" s="144">
        <f t="shared" si="4"/>
        <v>9.7964716272000973E-8</v>
      </c>
      <c r="AW52" s="158">
        <f t="shared" si="4"/>
        <v>8.3849171304758576E-5</v>
      </c>
      <c r="AX52" s="144"/>
      <c r="AY52" s="159">
        <f t="shared" si="5"/>
        <v>1.3061962169600132</v>
      </c>
      <c r="AZ52" s="144">
        <f t="shared" si="5"/>
        <v>2.5877472222792712</v>
      </c>
      <c r="BA52" s="144">
        <f t="shared" si="5"/>
        <v>4.7491938962025838E-2</v>
      </c>
      <c r="BB52" s="144">
        <f t="shared" si="5"/>
        <v>58.138054260540962</v>
      </c>
      <c r="BC52" s="144">
        <f t="shared" si="5"/>
        <v>1.9592943254400197E-2</v>
      </c>
      <c r="BD52" s="159">
        <f t="shared" si="5"/>
        <v>16.769834260951718</v>
      </c>
      <c r="BE52" s="144"/>
      <c r="BF52" s="160">
        <f t="shared" si="2"/>
        <v>1.3624932739109894E-6</v>
      </c>
      <c r="BG52" s="144">
        <f t="shared" si="6"/>
        <v>8.9975970918650253E-8</v>
      </c>
      <c r="BH52" s="144">
        <f t="shared" si="6"/>
        <v>1.6512947177096386E-9</v>
      </c>
      <c r="BI52" s="144">
        <f t="shared" si="6"/>
        <v>2.021460146639009E-6</v>
      </c>
      <c r="BJ52" s="144">
        <f t="shared" si="6"/>
        <v>6.8124663695549499E-10</v>
      </c>
      <c r="BK52" s="160">
        <f t="shared" si="6"/>
        <v>5.8308713725329113E-7</v>
      </c>
      <c r="BL52" s="144"/>
    </row>
    <row r="53" spans="1:64">
      <c r="A53" s="163"/>
      <c r="B53" s="163"/>
      <c r="C53" s="163"/>
      <c r="D53" s="163"/>
      <c r="E53" s="163"/>
      <c r="F53" s="163"/>
      <c r="G53" s="163"/>
      <c r="H53" s="163"/>
      <c r="I53" s="163"/>
      <c r="J53" s="163"/>
      <c r="K53" s="163"/>
      <c r="L53" s="163"/>
      <c r="M53" s="163"/>
      <c r="N53" s="163"/>
      <c r="X53" s="53" t="s">
        <v>181</v>
      </c>
      <c r="Y53" s="39" t="s">
        <v>182</v>
      </c>
      <c r="Z53" s="155" t="s">
        <v>343</v>
      </c>
      <c r="AA53" s="53">
        <v>0.18934699999999999</v>
      </c>
      <c r="AB53" s="53">
        <v>34.740495000000003</v>
      </c>
      <c r="AC53" s="53" t="s">
        <v>354</v>
      </c>
      <c r="AD53" s="53" t="s">
        <v>330</v>
      </c>
      <c r="AE53" s="116" t="s">
        <v>347</v>
      </c>
      <c r="AF53" s="154" t="s">
        <v>371</v>
      </c>
      <c r="AG53" s="116" t="s">
        <v>687</v>
      </c>
      <c r="AH53" s="53" t="s">
        <v>361</v>
      </c>
      <c r="AI53" s="53" t="s">
        <v>685</v>
      </c>
      <c r="AJ53" s="53" t="s">
        <v>690</v>
      </c>
      <c r="AK53" s="156">
        <v>102.2</v>
      </c>
      <c r="AL53" s="157">
        <v>28.6</v>
      </c>
      <c r="AM53" s="162">
        <v>0.16346500000000003</v>
      </c>
      <c r="AN53" s="157">
        <v>241.4</v>
      </c>
      <c r="AO53" s="156">
        <v>0.14099999999999999</v>
      </c>
      <c r="AP53" s="157">
        <v>146.26</v>
      </c>
      <c r="AQ53" s="157"/>
      <c r="AR53" s="158">
        <f t="shared" si="4"/>
        <v>6.2968515742128933E-5</v>
      </c>
      <c r="AS53" s="144">
        <f t="shared" si="4"/>
        <v>1.7621326323139798E-5</v>
      </c>
      <c r="AT53" s="144">
        <f t="shared" si="4"/>
        <v>1.0071573802140028E-7</v>
      </c>
      <c r="AU53" s="144">
        <f t="shared" si="4"/>
        <v>1.4873385225195622E-4</v>
      </c>
      <c r="AV53" s="144">
        <f t="shared" si="4"/>
        <v>8.6874371033661232E-8</v>
      </c>
      <c r="AW53" s="158">
        <f t="shared" si="4"/>
        <v>9.0115216364420521E-5</v>
      </c>
      <c r="AX53" s="144"/>
      <c r="AY53" s="159">
        <f t="shared" si="5"/>
        <v>12.593703148425787</v>
      </c>
      <c r="AZ53" s="144">
        <f t="shared" si="5"/>
        <v>3.5242652646279602</v>
      </c>
      <c r="BA53" s="144">
        <f t="shared" si="5"/>
        <v>2.0143147604280053E-2</v>
      </c>
      <c r="BB53" s="144">
        <f t="shared" si="5"/>
        <v>29.746770450391242</v>
      </c>
      <c r="BC53" s="144">
        <f t="shared" si="5"/>
        <v>1.7374874206732251E-2</v>
      </c>
      <c r="BD53" s="159">
        <f t="shared" si="5"/>
        <v>18.023043272884102</v>
      </c>
      <c r="BE53" s="144"/>
      <c r="BF53" s="160">
        <f t="shared" si="2"/>
        <v>1.3136491754122932E-5</v>
      </c>
      <c r="BG53" s="144">
        <f t="shared" si="6"/>
        <v>1.2253870325111418E-7</v>
      </c>
      <c r="BH53" s="144">
        <f t="shared" si="6"/>
        <v>7.0037724220081744E-10</v>
      </c>
      <c r="BI53" s="144">
        <f t="shared" si="6"/>
        <v>1.0342952085601035E-6</v>
      </c>
      <c r="BJ53" s="144">
        <f t="shared" si="6"/>
        <v>6.0412437616808028E-10</v>
      </c>
      <c r="BK53" s="160">
        <f t="shared" si="6"/>
        <v>6.2666121459818026E-7</v>
      </c>
      <c r="BL53" s="144"/>
    </row>
    <row r="54" spans="1:64">
      <c r="A54" s="163"/>
      <c r="B54" s="163"/>
      <c r="C54" s="163"/>
      <c r="D54" s="163"/>
      <c r="E54" s="163"/>
      <c r="F54" s="163"/>
      <c r="G54" s="163"/>
      <c r="H54" s="163"/>
      <c r="I54" s="163"/>
      <c r="J54" s="163"/>
      <c r="K54" s="163"/>
      <c r="L54" s="163"/>
      <c r="M54" s="163"/>
      <c r="N54" s="163"/>
      <c r="X54" s="53" t="s">
        <v>183</v>
      </c>
      <c r="Y54" s="39" t="s">
        <v>184</v>
      </c>
      <c r="Z54" s="155" t="s">
        <v>343</v>
      </c>
      <c r="AA54" s="53">
        <v>0.19486300000000001</v>
      </c>
      <c r="AB54" s="53">
        <v>34.750653</v>
      </c>
      <c r="AC54" s="53" t="s">
        <v>355</v>
      </c>
      <c r="AD54" s="53" t="s">
        <v>330</v>
      </c>
      <c r="AE54" s="116" t="s">
        <v>347</v>
      </c>
      <c r="AF54" s="154" t="s">
        <v>371</v>
      </c>
      <c r="AG54" s="116" t="s">
        <v>687</v>
      </c>
      <c r="AH54" s="53" t="s">
        <v>366</v>
      </c>
      <c r="AI54" s="53" t="s">
        <v>684</v>
      </c>
      <c r="AJ54" s="53" t="s">
        <v>683</v>
      </c>
      <c r="AK54" s="156">
        <v>190.9</v>
      </c>
      <c r="AL54" s="157">
        <v>50.4</v>
      </c>
      <c r="AM54" s="162">
        <v>6.8764050000000001</v>
      </c>
      <c r="AN54" s="157">
        <v>106.8</v>
      </c>
      <c r="AO54" s="156">
        <v>0.308</v>
      </c>
      <c r="AP54" s="157">
        <v>25.82</v>
      </c>
      <c r="AQ54" s="157"/>
      <c r="AR54" s="158">
        <f t="shared" si="4"/>
        <v>1.1761927255550307E-4</v>
      </c>
      <c r="AS54" s="144">
        <f t="shared" si="4"/>
        <v>3.1052966667351255E-5</v>
      </c>
      <c r="AT54" s="144">
        <f t="shared" si="4"/>
        <v>4.2367614138136407E-6</v>
      </c>
      <c r="AU54" s="144">
        <f t="shared" si="4"/>
        <v>6.5802715080815759E-5</v>
      </c>
      <c r="AV54" s="144">
        <f t="shared" si="4"/>
        <v>1.8976812963381321E-7</v>
      </c>
      <c r="AW54" s="158">
        <f t="shared" si="4"/>
        <v>1.5908484114107327E-5</v>
      </c>
      <c r="AX54" s="144"/>
      <c r="AY54" s="159">
        <f t="shared" si="5"/>
        <v>23.523854511100613</v>
      </c>
      <c r="AZ54" s="144">
        <f t="shared" si="5"/>
        <v>6.2105933334702508</v>
      </c>
      <c r="BA54" s="144">
        <f t="shared" si="5"/>
        <v>0.84735228276272823</v>
      </c>
      <c r="BB54" s="144">
        <f t="shared" si="5"/>
        <v>13.160543016163151</v>
      </c>
      <c r="BC54" s="144">
        <f t="shared" si="5"/>
        <v>3.7953625926762644E-2</v>
      </c>
      <c r="BD54" s="159">
        <f t="shared" si="5"/>
        <v>3.1816968228214662</v>
      </c>
      <c r="BE54" s="144"/>
      <c r="BF54" s="160">
        <f t="shared" si="2"/>
        <v>2.4537732640529044E-5</v>
      </c>
      <c r="BG54" s="144">
        <f t="shared" si="6"/>
        <v>2.1594233020476057E-7</v>
      </c>
      <c r="BH54" s="144">
        <f t="shared" si="6"/>
        <v>2.946243887166007E-8</v>
      </c>
      <c r="BI54" s="144">
        <f t="shared" si="6"/>
        <v>4.5759208067199273E-7</v>
      </c>
      <c r="BJ54" s="144">
        <f t="shared" si="6"/>
        <v>1.319647573473537E-9</v>
      </c>
      <c r="BK54" s="160">
        <f t="shared" si="6"/>
        <v>1.1062759852950236E-7</v>
      </c>
      <c r="BL54" s="144"/>
    </row>
    <row r="55" spans="1:64">
      <c r="A55" s="163"/>
      <c r="B55" s="163"/>
      <c r="C55" s="163"/>
      <c r="D55" s="163"/>
      <c r="E55" s="163"/>
      <c r="F55" s="163"/>
      <c r="G55" s="163"/>
      <c r="H55" s="163"/>
      <c r="I55" s="163"/>
      <c r="J55" s="163"/>
      <c r="K55" s="163"/>
      <c r="L55" s="163"/>
      <c r="M55" s="163"/>
      <c r="N55" s="163"/>
      <c r="X55" s="53" t="s">
        <v>185</v>
      </c>
      <c r="Y55" s="39" t="s">
        <v>186</v>
      </c>
      <c r="Z55" s="155" t="s">
        <v>343</v>
      </c>
      <c r="AA55" s="53">
        <v>0.19508500000000001</v>
      </c>
      <c r="AB55" s="53">
        <v>34.751396</v>
      </c>
      <c r="AC55" s="53" t="s">
        <v>355</v>
      </c>
      <c r="AD55" s="53" t="s">
        <v>330</v>
      </c>
      <c r="AE55" s="116" t="s">
        <v>347</v>
      </c>
      <c r="AF55" s="154" t="s">
        <v>371</v>
      </c>
      <c r="AG55" s="116" t="s">
        <v>687</v>
      </c>
      <c r="AH55" s="53" t="s">
        <v>367</v>
      </c>
      <c r="AI55" s="53" t="s">
        <v>684</v>
      </c>
      <c r="AJ55" s="53" t="s">
        <v>683</v>
      </c>
      <c r="AK55" s="156">
        <v>103.2</v>
      </c>
      <c r="AL55" s="157">
        <v>38.799999999999997</v>
      </c>
      <c r="AM55" s="162">
        <v>16.768075</v>
      </c>
      <c r="AN55" s="157">
        <v>102.1</v>
      </c>
      <c r="AO55" s="156">
        <v>0.26300000000000001</v>
      </c>
      <c r="AP55" s="157">
        <v>44.34</v>
      </c>
      <c r="AQ55" s="157"/>
      <c r="AR55" s="158">
        <f t="shared" si="4"/>
        <v>6.3584646033147815E-5</v>
      </c>
      <c r="AS55" s="144">
        <f t="shared" si="4"/>
        <v>2.3905855291532309E-5</v>
      </c>
      <c r="AT55" s="144">
        <f t="shared" si="4"/>
        <v>1.0331318929576308E-5</v>
      </c>
      <c r="AU55" s="144">
        <f t="shared" si="4"/>
        <v>6.2906902713027047E-5</v>
      </c>
      <c r="AV55" s="144">
        <f t="shared" si="4"/>
        <v>1.6204226653796389E-7</v>
      </c>
      <c r="AW55" s="158">
        <f t="shared" si="4"/>
        <v>2.7319217103776875E-5</v>
      </c>
      <c r="AX55" s="144"/>
      <c r="AY55" s="159">
        <f t="shared" si="5"/>
        <v>12.716929206629562</v>
      </c>
      <c r="AZ55" s="144">
        <f t="shared" si="5"/>
        <v>4.7811710583064633</v>
      </c>
      <c r="BA55" s="144">
        <f t="shared" si="5"/>
        <v>2.0662637859152615</v>
      </c>
      <c r="BB55" s="144">
        <f t="shared" si="5"/>
        <v>12.581380542605409</v>
      </c>
      <c r="BC55" s="144">
        <f t="shared" si="5"/>
        <v>3.2408453307592781E-2</v>
      </c>
      <c r="BD55" s="159">
        <f t="shared" si="5"/>
        <v>5.4638434207553761</v>
      </c>
      <c r="BE55" s="144"/>
      <c r="BF55" s="160">
        <f t="shared" si="2"/>
        <v>1.3265028855435295E-5</v>
      </c>
      <c r="BG55" s="144">
        <f t="shared" si="6"/>
        <v>1.6624131769731572E-7</v>
      </c>
      <c r="BH55" s="144">
        <f t="shared" si="6"/>
        <v>7.1843991836273642E-8</v>
      </c>
      <c r="BI55" s="144">
        <f t="shared" si="6"/>
        <v>4.3745460146639011E-7</v>
      </c>
      <c r="BJ55" s="144">
        <f t="shared" si="6"/>
        <v>1.126841921505001E-9</v>
      </c>
      <c r="BK55" s="160">
        <f t="shared" si="6"/>
        <v>1.8997783573966447E-7</v>
      </c>
      <c r="BL55" s="144"/>
    </row>
    <row r="56" spans="1:64">
      <c r="A56" s="163"/>
      <c r="B56" s="163"/>
      <c r="C56" s="163"/>
      <c r="D56" s="163"/>
      <c r="E56" s="163"/>
      <c r="F56" s="163"/>
      <c r="G56" s="163"/>
      <c r="H56" s="163"/>
      <c r="I56" s="163"/>
      <c r="J56" s="163"/>
      <c r="K56" s="163"/>
      <c r="L56" s="163"/>
      <c r="M56" s="163"/>
      <c r="N56" s="163"/>
      <c r="X56" s="53" t="s">
        <v>187</v>
      </c>
      <c r="Y56" s="39" t="s">
        <v>188</v>
      </c>
      <c r="Z56" s="155" t="s">
        <v>343</v>
      </c>
      <c r="AA56" s="53">
        <v>0.19523199999999999</v>
      </c>
      <c r="AB56" s="53">
        <v>34.751345000000001</v>
      </c>
      <c r="AC56" s="53" t="s">
        <v>355</v>
      </c>
      <c r="AD56" s="53" t="s">
        <v>330</v>
      </c>
      <c r="AE56" s="116" t="s">
        <v>347</v>
      </c>
      <c r="AF56" s="154" t="s">
        <v>371</v>
      </c>
      <c r="AG56" s="116" t="s">
        <v>687</v>
      </c>
      <c r="AH56" s="53" t="s">
        <v>361</v>
      </c>
      <c r="AI56" s="53" t="s">
        <v>685</v>
      </c>
      <c r="AJ56" s="53" t="s">
        <v>690</v>
      </c>
      <c r="AK56" s="156">
        <v>417.1</v>
      </c>
      <c r="AL56" s="157">
        <v>196.9</v>
      </c>
      <c r="AM56" s="162">
        <v>0.17497499999999999</v>
      </c>
      <c r="AN56" s="157">
        <v>101.1</v>
      </c>
      <c r="AO56" s="156">
        <v>0.68400000000000005</v>
      </c>
      <c r="AP56" s="157">
        <v>46.71</v>
      </c>
      <c r="AQ56" s="157"/>
      <c r="AR56" s="158">
        <f t="shared" si="4"/>
        <v>2.5698794438397236E-4</v>
      </c>
      <c r="AS56" s="144">
        <f t="shared" si="4"/>
        <v>1.2131605430161632E-4</v>
      </c>
      <c r="AT56" s="144">
        <f t="shared" si="4"/>
        <v>1.078073976710275E-7</v>
      </c>
      <c r="AU56" s="144">
        <f t="shared" si="4"/>
        <v>6.2290772422008179E-5</v>
      </c>
      <c r="AV56" s="144">
        <f t="shared" si="4"/>
        <v>4.2143311905690994E-7</v>
      </c>
      <c r="AW56" s="158">
        <f t="shared" si="4"/>
        <v>2.8779445893491607E-5</v>
      </c>
      <c r="AX56" s="144"/>
      <c r="AY56" s="159">
        <f t="shared" si="5"/>
        <v>51.39758887679448</v>
      </c>
      <c r="AZ56" s="144">
        <f t="shared" si="5"/>
        <v>24.263210860323262</v>
      </c>
      <c r="BA56" s="144">
        <f t="shared" si="5"/>
        <v>2.1561479534205501E-2</v>
      </c>
      <c r="BB56" s="144">
        <f t="shared" si="5"/>
        <v>12.458154484401636</v>
      </c>
      <c r="BC56" s="144">
        <f t="shared" si="5"/>
        <v>8.4286623811381994E-2</v>
      </c>
      <c r="BD56" s="159">
        <f t="shared" si="5"/>
        <v>5.7558891786983217</v>
      </c>
      <c r="BE56" s="144"/>
      <c r="BF56" s="160">
        <f t="shared" si="2"/>
        <v>5.361282495738432E-5</v>
      </c>
      <c r="BG56" s="144">
        <f t="shared" si="6"/>
        <v>8.4363184161343963E-7</v>
      </c>
      <c r="BH56" s="144">
        <f t="shared" si="6"/>
        <v>7.4969264340432519E-10</v>
      </c>
      <c r="BI56" s="144">
        <f t="shared" si="6"/>
        <v>4.3317003142264478E-7</v>
      </c>
      <c r="BJ56" s="144">
        <f t="shared" si="6"/>
        <v>2.9306459099217518E-9</v>
      </c>
      <c r="BK56" s="160">
        <f t="shared" si="6"/>
        <v>2.0013226674334068E-7</v>
      </c>
      <c r="BL56" s="144"/>
    </row>
    <row r="57" spans="1:64">
      <c r="A57" s="163"/>
      <c r="B57" s="163"/>
      <c r="C57" s="163"/>
      <c r="D57" s="163"/>
      <c r="E57" s="163"/>
      <c r="F57" s="163"/>
      <c r="G57" s="163"/>
      <c r="H57" s="163"/>
      <c r="I57" s="163"/>
      <c r="J57" s="163"/>
      <c r="K57" s="163"/>
      <c r="L57" s="163"/>
      <c r="M57" s="163"/>
      <c r="N57" s="163"/>
      <c r="X57" s="53" t="s">
        <v>189</v>
      </c>
      <c r="Y57" s="39" t="s">
        <v>190</v>
      </c>
      <c r="Z57" s="155" t="s">
        <v>343</v>
      </c>
      <c r="AA57" s="53">
        <v>0.19523199999999999</v>
      </c>
      <c r="AB57" s="53">
        <v>34.751345000000001</v>
      </c>
      <c r="AC57" s="53" t="s">
        <v>355</v>
      </c>
      <c r="AD57" s="53" t="s">
        <v>330</v>
      </c>
      <c r="AE57" s="116" t="s">
        <v>347</v>
      </c>
      <c r="AF57" s="154" t="s">
        <v>371</v>
      </c>
      <c r="AG57" s="116" t="s">
        <v>687</v>
      </c>
      <c r="AH57" s="53" t="s">
        <v>364</v>
      </c>
      <c r="AI57" s="53" t="s">
        <v>685</v>
      </c>
      <c r="AJ57" s="53" t="s">
        <v>690</v>
      </c>
      <c r="AK57" s="156">
        <v>424.9</v>
      </c>
      <c r="AL57" s="157">
        <v>258.89999999999998</v>
      </c>
      <c r="AM57" s="162">
        <v>1.7446950000000001</v>
      </c>
      <c r="AN57" s="157">
        <v>179.7</v>
      </c>
      <c r="AO57" s="156">
        <v>1.3129999999999999</v>
      </c>
      <c r="AP57" s="157">
        <v>94.92</v>
      </c>
      <c r="AQ57" s="157"/>
      <c r="AR57" s="158">
        <f t="shared" si="4"/>
        <v>2.6179376065391959E-4</v>
      </c>
      <c r="AS57" s="144">
        <f t="shared" si="4"/>
        <v>1.5951613234478645E-4</v>
      </c>
      <c r="AT57" s="144">
        <f t="shared" si="4"/>
        <v>1.0749594380891747E-6</v>
      </c>
      <c r="AU57" s="144">
        <f t="shared" si="4"/>
        <v>1.1071861329609168E-4</v>
      </c>
      <c r="AV57" s="144">
        <f t="shared" si="4"/>
        <v>8.0897907210778156E-7</v>
      </c>
      <c r="AW57" s="158">
        <f t="shared" si="4"/>
        <v>5.8483087223511531E-5</v>
      </c>
      <c r="AX57" s="144"/>
      <c r="AY57" s="159">
        <f t="shared" si="5"/>
        <v>52.35875213078392</v>
      </c>
      <c r="AZ57" s="144">
        <f t="shared" si="5"/>
        <v>31.903226468957303</v>
      </c>
      <c r="BA57" s="144">
        <f t="shared" si="5"/>
        <v>0.21499188761783497</v>
      </c>
      <c r="BB57" s="144">
        <f t="shared" si="5"/>
        <v>22.143722659218337</v>
      </c>
      <c r="BC57" s="144">
        <f t="shared" si="5"/>
        <v>0.16179581442155636</v>
      </c>
      <c r="BD57" s="159">
        <f t="shared" si="5"/>
        <v>11.696617444702307</v>
      </c>
      <c r="BE57" s="144"/>
      <c r="BF57" s="160">
        <f t="shared" si="2"/>
        <v>5.4615414347620713E-5</v>
      </c>
      <c r="BG57" s="144">
        <f t="shared" si="6"/>
        <v>1.1092751843256453E-6</v>
      </c>
      <c r="BH57" s="144">
        <f t="shared" si="6"/>
        <v>7.4752679324721216E-9</v>
      </c>
      <c r="BI57" s="144">
        <f t="shared" si="6"/>
        <v>7.6993723686102149E-7</v>
      </c>
      <c r="BJ57" s="144">
        <f t="shared" si="6"/>
        <v>5.625640467437513E-9</v>
      </c>
      <c r="BK57" s="160">
        <f t="shared" si="6"/>
        <v>4.066913885522991E-7</v>
      </c>
      <c r="BL57" s="144"/>
    </row>
    <row r="58" spans="1:64">
      <c r="A58" s="163"/>
      <c r="B58" s="163"/>
      <c r="C58" s="163"/>
      <c r="D58" s="163"/>
      <c r="E58" s="163"/>
      <c r="F58" s="163"/>
      <c r="G58" s="163"/>
      <c r="H58" s="163"/>
      <c r="I58" s="163"/>
      <c r="J58" s="163"/>
      <c r="K58" s="163"/>
      <c r="L58" s="163"/>
      <c r="M58" s="163"/>
      <c r="N58" s="163"/>
      <c r="X58" s="53" t="s">
        <v>191</v>
      </c>
      <c r="Y58" s="39" t="s">
        <v>192</v>
      </c>
      <c r="Z58" s="155" t="s">
        <v>343</v>
      </c>
      <c r="AA58" s="53">
        <v>0.19523199999999999</v>
      </c>
      <c r="AB58" s="53">
        <v>34.751345000000001</v>
      </c>
      <c r="AC58" s="53" t="s">
        <v>355</v>
      </c>
      <c r="AD58" s="53" t="s">
        <v>330</v>
      </c>
      <c r="AE58" s="116" t="s">
        <v>347</v>
      </c>
      <c r="AF58" s="154" t="s">
        <v>371</v>
      </c>
      <c r="AG58" s="116" t="s">
        <v>687</v>
      </c>
      <c r="AH58" s="53" t="s">
        <v>365</v>
      </c>
      <c r="AI58" s="53" t="s">
        <v>685</v>
      </c>
      <c r="AJ58" s="53" t="s">
        <v>691</v>
      </c>
      <c r="AK58" s="156">
        <v>1211.4000000000001</v>
      </c>
      <c r="AL58" s="157">
        <v>224.2</v>
      </c>
      <c r="AM58" s="162">
        <v>3.4227149999999997</v>
      </c>
      <c r="AN58" s="157">
        <v>273.5</v>
      </c>
      <c r="AO58" s="156">
        <v>0.79800000000000004</v>
      </c>
      <c r="AP58" s="157">
        <v>45.78</v>
      </c>
      <c r="AQ58" s="157"/>
      <c r="AR58" s="158">
        <f t="shared" si="4"/>
        <v>7.4638023454026421E-4</v>
      </c>
      <c r="AS58" s="144">
        <f t="shared" si="4"/>
        <v>1.3813641124643157E-4</v>
      </c>
      <c r="AT58" s="144">
        <f t="shared" si="4"/>
        <v>2.1088383890246654E-6</v>
      </c>
      <c r="AU58" s="144">
        <f t="shared" si="4"/>
        <v>1.6851163459366208E-4</v>
      </c>
      <c r="AV58" s="144">
        <f t="shared" si="4"/>
        <v>4.9167197223306161E-7</v>
      </c>
      <c r="AW58" s="158">
        <f t="shared" si="4"/>
        <v>2.8206444722844055E-5</v>
      </c>
      <c r="AX58" s="144"/>
      <c r="AY58" s="159">
        <f t="shared" si="5"/>
        <v>149.27604690805282</v>
      </c>
      <c r="AZ58" s="144">
        <f t="shared" si="5"/>
        <v>27.627282249286317</v>
      </c>
      <c r="BA58" s="144">
        <f t="shared" si="5"/>
        <v>0.42176767780493307</v>
      </c>
      <c r="BB58" s="144">
        <f t="shared" si="5"/>
        <v>33.702326918732417</v>
      </c>
      <c r="BC58" s="144">
        <f t="shared" si="5"/>
        <v>9.8334394446612308E-2</v>
      </c>
      <c r="BD58" s="159">
        <f t="shared" si="5"/>
        <v>5.6412889445688119</v>
      </c>
      <c r="BE58" s="144"/>
      <c r="BF58" s="160">
        <f t="shared" si="2"/>
        <v>1.5570984452978993E-4</v>
      </c>
      <c r="BG58" s="144">
        <f t="shared" si="6"/>
        <v>9.6060060380768523E-7</v>
      </c>
      <c r="BH58" s="144">
        <f t="shared" si="6"/>
        <v>1.4664862157277523E-8</v>
      </c>
      <c r="BI58" s="144">
        <f t="shared" si="6"/>
        <v>1.1718299069643261E-6</v>
      </c>
      <c r="BJ58" s="144">
        <f t="shared" si="6"/>
        <v>3.4190868949087098E-9</v>
      </c>
      <c r="BK58" s="160">
        <f t="shared" si="6"/>
        <v>1.9614761660265756E-7</v>
      </c>
      <c r="BL58" s="144"/>
    </row>
    <row r="59" spans="1:64">
      <c r="X59" s="53" t="s">
        <v>193</v>
      </c>
      <c r="Y59" s="39" t="s">
        <v>194</v>
      </c>
      <c r="Z59" s="155" t="s">
        <v>341</v>
      </c>
      <c r="AA59" s="53">
        <v>0.22437199999999999</v>
      </c>
      <c r="AB59" s="53">
        <v>34.800359999999998</v>
      </c>
      <c r="AC59" s="53" t="s">
        <v>356</v>
      </c>
      <c r="AD59" s="53" t="s">
        <v>330</v>
      </c>
      <c r="AE59" s="116" t="s">
        <v>347</v>
      </c>
      <c r="AF59" s="154" t="s">
        <v>371</v>
      </c>
      <c r="AG59" s="116" t="s">
        <v>687</v>
      </c>
      <c r="AH59" s="53" t="s">
        <v>364</v>
      </c>
      <c r="AI59" s="53" t="s">
        <v>685</v>
      </c>
      <c r="AJ59" s="53" t="s">
        <v>690</v>
      </c>
      <c r="AK59" s="156">
        <v>442.1</v>
      </c>
      <c r="AL59" s="157">
        <v>265.5</v>
      </c>
      <c r="AM59" s="162">
        <v>2.1389849999999999</v>
      </c>
      <c r="AN59" s="157">
        <v>178.7</v>
      </c>
      <c r="AO59" s="156">
        <v>1.39</v>
      </c>
      <c r="AP59" s="157">
        <v>91.52</v>
      </c>
      <c r="AQ59" s="157"/>
      <c r="AR59" s="158">
        <f t="shared" si="4"/>
        <v>2.7239120165944422E-4</v>
      </c>
      <c r="AS59" s="144">
        <f t="shared" si="4"/>
        <v>1.6358259226551106E-4</v>
      </c>
      <c r="AT59" s="144">
        <f t="shared" si="4"/>
        <v>1.3178934505350062E-6</v>
      </c>
      <c r="AU59" s="144">
        <f t="shared" si="4"/>
        <v>1.101024830050728E-4</v>
      </c>
      <c r="AV59" s="144">
        <f t="shared" si="4"/>
        <v>8.56421104516235E-7</v>
      </c>
      <c r="AW59" s="158">
        <f t="shared" si="4"/>
        <v>5.6388244234047357E-5</v>
      </c>
      <c r="AX59" s="144"/>
      <c r="AY59" s="159">
        <f t="shared" si="5"/>
        <v>54.478240331888848</v>
      </c>
      <c r="AZ59" s="144">
        <f t="shared" si="5"/>
        <v>32.716518453102218</v>
      </c>
      <c r="BA59" s="144">
        <f t="shared" si="5"/>
        <v>0.2635786901070013</v>
      </c>
      <c r="BB59" s="144">
        <f t="shared" si="5"/>
        <v>22.02049660101456</v>
      </c>
      <c r="BC59" s="144">
        <f t="shared" si="5"/>
        <v>0.17128422090324696</v>
      </c>
      <c r="BD59" s="159">
        <f t="shared" si="5"/>
        <v>11.277648846809472</v>
      </c>
      <c r="BE59" s="144"/>
      <c r="BF59" s="160">
        <f t="shared" si="2"/>
        <v>5.6826252490193258E-5</v>
      </c>
      <c r="BG59" s="144">
        <f t="shared" si="6"/>
        <v>1.1375533466143641E-6</v>
      </c>
      <c r="BH59" s="144">
        <f t="shared" si="6"/>
        <v>9.1646310550204325E-9</v>
      </c>
      <c r="BI59" s="144">
        <f t="shared" si="6"/>
        <v>7.6565266681727611E-7</v>
      </c>
      <c r="BJ59" s="144">
        <f t="shared" si="6"/>
        <v>5.9555523608058972E-9</v>
      </c>
      <c r="BK59" s="160">
        <f t="shared" si="6"/>
        <v>3.9212385040356534E-7</v>
      </c>
      <c r="BL59" s="144"/>
    </row>
    <row r="60" spans="1:64">
      <c r="X60" s="53" t="s">
        <v>195</v>
      </c>
      <c r="Y60" s="39" t="s">
        <v>196</v>
      </c>
      <c r="Z60" s="155" t="s">
        <v>341</v>
      </c>
      <c r="AA60" s="53">
        <v>0.22437199999999999</v>
      </c>
      <c r="AB60" s="53">
        <v>34.800359999999998</v>
      </c>
      <c r="AC60" s="53" t="s">
        <v>356</v>
      </c>
      <c r="AD60" s="53" t="s">
        <v>330</v>
      </c>
      <c r="AE60" s="116" t="s">
        <v>347</v>
      </c>
      <c r="AF60" s="154" t="s">
        <v>371</v>
      </c>
      <c r="AG60" s="116" t="s">
        <v>687</v>
      </c>
      <c r="AH60" s="53" t="s">
        <v>367</v>
      </c>
      <c r="AI60" s="53" t="s">
        <v>684</v>
      </c>
      <c r="AJ60" s="53" t="s">
        <v>683</v>
      </c>
      <c r="AK60" s="156">
        <v>39.299999999999997</v>
      </c>
      <c r="AL60" s="157">
        <v>18.100000000000001</v>
      </c>
      <c r="AM60" s="162">
        <v>0.24368499999999998</v>
      </c>
      <c r="AN60" s="157">
        <v>319.7</v>
      </c>
      <c r="AO60" s="156">
        <v>0.17399999999999999</v>
      </c>
      <c r="AP60" s="157">
        <v>76.709999999999994</v>
      </c>
      <c r="AQ60" s="157"/>
      <c r="AR60" s="158">
        <f t="shared" si="4"/>
        <v>2.421392043704175E-5</v>
      </c>
      <c r="AS60" s="144">
        <f t="shared" si="4"/>
        <v>1.1151958267441623E-5</v>
      </c>
      <c r="AT60" s="144">
        <f t="shared" si="4"/>
        <v>1.501417099669343E-7</v>
      </c>
      <c r="AU60" s="144">
        <f t="shared" si="4"/>
        <v>1.9697685403873407E-4</v>
      </c>
      <c r="AV60" s="144">
        <f t="shared" si="4"/>
        <v>1.0720667063728408E-7</v>
      </c>
      <c r="AW60" s="158">
        <f t="shared" si="4"/>
        <v>4.7263354624057819E-5</v>
      </c>
      <c r="AX60" s="144"/>
      <c r="AY60" s="159">
        <f t="shared" si="5"/>
        <v>4.8427840874083508</v>
      </c>
      <c r="AZ60" s="144">
        <f t="shared" si="5"/>
        <v>2.2303916534883244</v>
      </c>
      <c r="BA60" s="144">
        <f t="shared" si="5"/>
        <v>3.0028341993386866E-2</v>
      </c>
      <c r="BB60" s="144">
        <f t="shared" si="5"/>
        <v>39.395370807746815</v>
      </c>
      <c r="BC60" s="144">
        <f t="shared" si="5"/>
        <v>2.1441334127456815E-2</v>
      </c>
      <c r="BD60" s="159">
        <f t="shared" si="5"/>
        <v>9.4526709248115655</v>
      </c>
      <c r="BE60" s="144"/>
      <c r="BF60" s="160">
        <f t="shared" si="2"/>
        <v>5.051508081575651E-6</v>
      </c>
      <c r="BG60" s="144">
        <f t="shared" si="6"/>
        <v>7.7550717791789058E-8</v>
      </c>
      <c r="BH60" s="144">
        <f t="shared" si="6"/>
        <v>1.0440854511100616E-9</v>
      </c>
      <c r="BI60" s="144">
        <f t="shared" si="6"/>
        <v>1.3697770429853565E-6</v>
      </c>
      <c r="BJ60" s="144">
        <f t="shared" si="6"/>
        <v>7.4551518761167336E-10</v>
      </c>
      <c r="BK60" s="160">
        <f t="shared" si="6"/>
        <v>3.2866936805569816E-7</v>
      </c>
      <c r="BL60" s="144"/>
    </row>
    <row r="61" spans="1:64">
      <c r="X61" s="53" t="s">
        <v>197</v>
      </c>
      <c r="Y61" s="39" t="s">
        <v>198</v>
      </c>
      <c r="Z61" s="155" t="s">
        <v>341</v>
      </c>
      <c r="AA61" s="53">
        <v>0.224914</v>
      </c>
      <c r="AB61" s="53">
        <v>34.799691000000003</v>
      </c>
      <c r="AC61" s="53" t="s">
        <v>356</v>
      </c>
      <c r="AD61" s="53" t="s">
        <v>330</v>
      </c>
      <c r="AE61" s="116" t="s">
        <v>347</v>
      </c>
      <c r="AF61" s="154" t="s">
        <v>371</v>
      </c>
      <c r="AG61" s="116" t="s">
        <v>687</v>
      </c>
      <c r="AH61" s="53" t="s">
        <v>366</v>
      </c>
      <c r="AI61" s="53" t="s">
        <v>684</v>
      </c>
      <c r="AJ61" s="53" t="s">
        <v>683</v>
      </c>
      <c r="AK61" s="156">
        <v>36.799999999999997</v>
      </c>
      <c r="AL61" s="157">
        <v>8.5</v>
      </c>
      <c r="AM61" s="162">
        <v>5.1894999999999997E-2</v>
      </c>
      <c r="AN61" s="157">
        <v>190.6</v>
      </c>
      <c r="AO61" s="156">
        <v>8.5000000000000006E-2</v>
      </c>
      <c r="AP61" s="157">
        <v>95.66</v>
      </c>
      <c r="AQ61" s="157"/>
      <c r="AR61" s="158">
        <f t="shared" si="4"/>
        <v>2.2673594709494562E-5</v>
      </c>
      <c r="AS61" s="144">
        <f t="shared" si="4"/>
        <v>5.2371074736604296E-6</v>
      </c>
      <c r="AT61" s="144">
        <f t="shared" si="4"/>
        <v>3.1974081452424466E-8</v>
      </c>
      <c r="AU61" s="144">
        <f t="shared" si="4"/>
        <v>1.174344334681974E-4</v>
      </c>
      <c r="AV61" s="144">
        <f t="shared" si="4"/>
        <v>5.2371074736604299E-8</v>
      </c>
      <c r="AW61" s="158">
        <f t="shared" si="4"/>
        <v>5.8939023638865495E-5</v>
      </c>
      <c r="AX61" s="144"/>
      <c r="AY61" s="159">
        <f t="shared" si="5"/>
        <v>4.5347189418989133</v>
      </c>
      <c r="AZ61" s="144">
        <f t="shared" si="5"/>
        <v>1.0474214947320861</v>
      </c>
      <c r="BA61" s="144">
        <f t="shared" si="5"/>
        <v>6.394816290484895E-3</v>
      </c>
      <c r="BB61" s="144">
        <f t="shared" si="5"/>
        <v>23.48688669363948</v>
      </c>
      <c r="BC61" s="144">
        <f t="shared" si="5"/>
        <v>1.0474214947320861E-2</v>
      </c>
      <c r="BD61" s="159">
        <f t="shared" si="5"/>
        <v>11.787804727773098</v>
      </c>
      <c r="BE61" s="144"/>
      <c r="BF61" s="160">
        <f t="shared" si="2"/>
        <v>4.7301653282947552E-6</v>
      </c>
      <c r="BG61" s="144">
        <f t="shared" si="6"/>
        <v>3.641884537183463E-8</v>
      </c>
      <c r="BH61" s="144">
        <f t="shared" si="6"/>
        <v>2.2234776242015978E-10</v>
      </c>
      <c r="BI61" s="144">
        <f t="shared" si="6"/>
        <v>8.1663905033784474E-7</v>
      </c>
      <c r="BJ61" s="144">
        <f t="shared" si="6"/>
        <v>3.6418845371834636E-10</v>
      </c>
      <c r="BK61" s="160">
        <f t="shared" si="6"/>
        <v>4.0986197038467069E-7</v>
      </c>
      <c r="BL61" s="144"/>
    </row>
    <row r="62" spans="1:64">
      <c r="X62" s="53" t="s">
        <v>199</v>
      </c>
      <c r="Y62" s="39" t="s">
        <v>200</v>
      </c>
      <c r="Z62" s="155" t="s">
        <v>341</v>
      </c>
      <c r="AA62" s="53">
        <v>0.224914</v>
      </c>
      <c r="AB62" s="53">
        <v>34.799691000000003</v>
      </c>
      <c r="AC62" s="53" t="s">
        <v>356</v>
      </c>
      <c r="AD62" s="53" t="s">
        <v>330</v>
      </c>
      <c r="AE62" s="116" t="s">
        <v>347</v>
      </c>
      <c r="AF62" s="154" t="s">
        <v>371</v>
      </c>
      <c r="AG62" s="116" t="s">
        <v>687</v>
      </c>
      <c r="AH62" s="53" t="s">
        <v>367</v>
      </c>
      <c r="AI62" s="53" t="s">
        <v>684</v>
      </c>
      <c r="AJ62" s="53" t="s">
        <v>683</v>
      </c>
      <c r="AK62" s="156">
        <v>45.5</v>
      </c>
      <c r="AL62" s="157">
        <v>8.6</v>
      </c>
      <c r="AM62" s="162">
        <v>7.5795000000000001E-2</v>
      </c>
      <c r="AN62" s="157">
        <v>210.8</v>
      </c>
      <c r="AO62" s="156">
        <v>7.1999999999999995E-2</v>
      </c>
      <c r="AP62" s="157">
        <v>93.97</v>
      </c>
      <c r="AQ62" s="157"/>
      <c r="AR62" s="158">
        <f t="shared" si="4"/>
        <v>2.8033928241358771E-5</v>
      </c>
      <c r="AS62" s="144">
        <f t="shared" si="4"/>
        <v>5.2987205027623168E-6</v>
      </c>
      <c r="AT62" s="144">
        <f t="shared" si="4"/>
        <v>4.6699595407775572E-8</v>
      </c>
      <c r="AU62" s="144">
        <f t="shared" si="4"/>
        <v>1.2988026534677867E-4</v>
      </c>
      <c r="AV62" s="144">
        <f t="shared" si="4"/>
        <v>4.4361380953358927E-8</v>
      </c>
      <c r="AW62" s="158">
        <f t="shared" si="4"/>
        <v>5.7897763447043598E-5</v>
      </c>
      <c r="AX62" s="144"/>
      <c r="AY62" s="159">
        <f t="shared" si="5"/>
        <v>5.6067856482717549</v>
      </c>
      <c r="AZ62" s="144">
        <f t="shared" si="5"/>
        <v>1.0597441005524635</v>
      </c>
      <c r="BA62" s="144">
        <f t="shared" si="5"/>
        <v>9.3399190815551137E-3</v>
      </c>
      <c r="BB62" s="144">
        <f t="shared" si="5"/>
        <v>25.976053069355732</v>
      </c>
      <c r="BC62" s="144">
        <f t="shared" si="5"/>
        <v>8.8722761906717875E-3</v>
      </c>
      <c r="BD62" s="159">
        <f t="shared" si="5"/>
        <v>11.57955268940872</v>
      </c>
      <c r="BE62" s="144"/>
      <c r="BF62" s="160">
        <f t="shared" si="2"/>
        <v>5.8484381097122665E-6</v>
      </c>
      <c r="BG62" s="144">
        <f t="shared" si="6"/>
        <v>3.6847302376209163E-8</v>
      </c>
      <c r="BH62" s="144">
        <f t="shared" si="6"/>
        <v>3.2474898646567132E-10</v>
      </c>
      <c r="BI62" s="144">
        <f t="shared" si="6"/>
        <v>9.0318736522149901E-7</v>
      </c>
      <c r="BJ62" s="144">
        <f t="shared" si="6"/>
        <v>3.0848904314965805E-10</v>
      </c>
      <c r="BK62" s="160">
        <f t="shared" si="6"/>
        <v>4.0262104701074115E-7</v>
      </c>
      <c r="BL62" s="144"/>
    </row>
    <row r="63" spans="1:64">
      <c r="X63" s="53" t="s">
        <v>201</v>
      </c>
      <c r="Y63" s="39" t="s">
        <v>202</v>
      </c>
      <c r="Z63" s="155" t="s">
        <v>341</v>
      </c>
      <c r="AA63" s="53">
        <v>0.21770700000000001</v>
      </c>
      <c r="AB63" s="53">
        <v>34.802644000000001</v>
      </c>
      <c r="AC63" s="53" t="s">
        <v>356</v>
      </c>
      <c r="AD63" s="53" t="s">
        <v>330</v>
      </c>
      <c r="AE63" s="116" t="s">
        <v>347</v>
      </c>
      <c r="AF63" s="154" t="s">
        <v>371</v>
      </c>
      <c r="AG63" s="116" t="s">
        <v>687</v>
      </c>
      <c r="AH63" s="53" t="s">
        <v>365</v>
      </c>
      <c r="AI63" s="53" t="s">
        <v>685</v>
      </c>
      <c r="AJ63" s="53" t="s">
        <v>691</v>
      </c>
      <c r="AK63" s="156">
        <v>51.4</v>
      </c>
      <c r="AL63" s="157">
        <v>27.8</v>
      </c>
      <c r="AM63" s="162">
        <v>0.35456499999999996</v>
      </c>
      <c r="AN63" s="157">
        <v>67.099999999999994</v>
      </c>
      <c r="AO63" s="156">
        <v>0.127</v>
      </c>
      <c r="AP63" s="157">
        <v>9.07</v>
      </c>
      <c r="AQ63" s="157"/>
      <c r="AR63" s="158">
        <f t="shared" si="4"/>
        <v>3.166909695837013E-5</v>
      </c>
      <c r="AS63" s="144">
        <f t="shared" si="4"/>
        <v>1.71284220903247E-5</v>
      </c>
      <c r="AT63" s="144">
        <f t="shared" si="4"/>
        <v>2.184582366351071E-7</v>
      </c>
      <c r="AU63" s="144">
        <f t="shared" si="4"/>
        <v>4.1342342527366447E-5</v>
      </c>
      <c r="AV63" s="144">
        <f t="shared" si="4"/>
        <v>7.8248546959397012E-8</v>
      </c>
      <c r="AW63" s="158">
        <f t="shared" si="4"/>
        <v>5.5883017395411888E-6</v>
      </c>
      <c r="AX63" s="144"/>
      <c r="AY63" s="159">
        <f t="shared" si="5"/>
        <v>6.3338193916740257</v>
      </c>
      <c r="AZ63" s="144">
        <f t="shared" si="5"/>
        <v>3.42568441806494</v>
      </c>
      <c r="BA63" s="144">
        <f t="shared" si="5"/>
        <v>4.3691647327021417E-2</v>
      </c>
      <c r="BB63" s="144">
        <f t="shared" si="5"/>
        <v>8.2684685054732903</v>
      </c>
      <c r="BC63" s="144">
        <f t="shared" si="5"/>
        <v>1.5649709391879402E-2</v>
      </c>
      <c r="BD63" s="159">
        <f t="shared" si="5"/>
        <v>1.1176603479082377</v>
      </c>
      <c r="BE63" s="144"/>
      <c r="BF63" s="160">
        <f t="shared" si="2"/>
        <v>6.6068070074551749E-6</v>
      </c>
      <c r="BG63" s="144">
        <f t="shared" si="6"/>
        <v>1.1911104721611797E-7</v>
      </c>
      <c r="BH63" s="144">
        <f t="shared" si="6"/>
        <v>1.5191585775605348E-9</v>
      </c>
      <c r="BI63" s="144">
        <f t="shared" si="6"/>
        <v>2.8749464993530629E-7</v>
      </c>
      <c r="BJ63" s="144">
        <f t="shared" si="6"/>
        <v>5.4414039555564684E-10</v>
      </c>
      <c r="BK63" s="160">
        <f t="shared" si="6"/>
        <v>3.886105029676943E-8</v>
      </c>
      <c r="BL63" s="144"/>
    </row>
    <row r="64" spans="1:64">
      <c r="X64" s="53" t="s">
        <v>203</v>
      </c>
      <c r="Y64" s="39" t="s">
        <v>204</v>
      </c>
      <c r="Z64" s="155" t="s">
        <v>341</v>
      </c>
      <c r="AA64" s="53">
        <v>0.21768199999999999</v>
      </c>
      <c r="AB64" s="53">
        <v>34.802346</v>
      </c>
      <c r="AC64" s="53" t="s">
        <v>356</v>
      </c>
      <c r="AD64" s="53" t="s">
        <v>330</v>
      </c>
      <c r="AE64" s="116" t="s">
        <v>347</v>
      </c>
      <c r="AF64" s="154" t="s">
        <v>371</v>
      </c>
      <c r="AG64" s="116" t="s">
        <v>687</v>
      </c>
      <c r="AH64" s="53" t="s">
        <v>367</v>
      </c>
      <c r="AI64" s="53" t="s">
        <v>684</v>
      </c>
      <c r="AJ64" s="53" t="s">
        <v>683</v>
      </c>
      <c r="AK64" s="156">
        <v>11.5</v>
      </c>
      <c r="AL64" s="157">
        <v>17.100000000000001</v>
      </c>
      <c r="AM64" s="162">
        <v>0.45981499999999997</v>
      </c>
      <c r="AN64" s="157">
        <v>55.5</v>
      </c>
      <c r="AO64" s="156">
        <v>9.2999999999999999E-2</v>
      </c>
      <c r="AP64" s="157">
        <v>15.18</v>
      </c>
      <c r="AQ64" s="157"/>
      <c r="AR64" s="158">
        <f t="shared" si="4"/>
        <v>7.0854983467170522E-6</v>
      </c>
      <c r="AS64" s="144">
        <f t="shared" si="4"/>
        <v>1.0535827976422748E-5</v>
      </c>
      <c r="AT64" s="144">
        <f t="shared" si="4"/>
        <v>2.8330594976484358E-7</v>
      </c>
      <c r="AU64" s="144">
        <f t="shared" si="4"/>
        <v>3.4195231151547515E-5</v>
      </c>
      <c r="AV64" s="144">
        <f t="shared" si="4"/>
        <v>5.7300117064755303E-8</v>
      </c>
      <c r="AW64" s="158">
        <f t="shared" si="4"/>
        <v>9.3528578176665087E-6</v>
      </c>
      <c r="AX64" s="144"/>
      <c r="AY64" s="159">
        <f t="shared" si="5"/>
        <v>1.4170996693434106</v>
      </c>
      <c r="AZ64" s="144">
        <f t="shared" si="5"/>
        <v>2.1071655952845494</v>
      </c>
      <c r="BA64" s="144">
        <f t="shared" si="5"/>
        <v>5.6661189952968712E-2</v>
      </c>
      <c r="BB64" s="144">
        <f t="shared" si="5"/>
        <v>6.8390462303095028</v>
      </c>
      <c r="BC64" s="144">
        <f t="shared" si="5"/>
        <v>1.1460023412951059E-2</v>
      </c>
      <c r="BD64" s="159">
        <f t="shared" si="5"/>
        <v>1.870571563533302</v>
      </c>
      <c r="BE64" s="144"/>
      <c r="BF64" s="160">
        <f t="shared" si="2"/>
        <v>1.4781766650921113E-6</v>
      </c>
      <c r="BG64" s="144">
        <f t="shared" si="6"/>
        <v>7.3266147748043786E-8</v>
      </c>
      <c r="BH64" s="144">
        <f t="shared" si="6"/>
        <v>1.9701095746647224E-9</v>
      </c>
      <c r="BI64" s="144">
        <f t="shared" si="6"/>
        <v>2.3779363742786143E-7</v>
      </c>
      <c r="BJ64" s="144">
        <f t="shared" si="6"/>
        <v>3.9846501406830826E-10</v>
      </c>
      <c r="BK64" s="160">
        <f t="shared" si="6"/>
        <v>6.5039773264052915E-8</v>
      </c>
      <c r="BL64" s="144"/>
    </row>
    <row r="65" spans="24:64">
      <c r="X65" s="53" t="s">
        <v>205</v>
      </c>
      <c r="Y65" s="39" t="s">
        <v>206</v>
      </c>
      <c r="Z65" s="155" t="s">
        <v>341</v>
      </c>
      <c r="AA65" s="53">
        <v>0.21768199999999999</v>
      </c>
      <c r="AB65" s="53">
        <v>34.802346</v>
      </c>
      <c r="AC65" s="53" t="s">
        <v>356</v>
      </c>
      <c r="AD65" s="53" t="s">
        <v>330</v>
      </c>
      <c r="AE65" s="116" t="s">
        <v>347</v>
      </c>
      <c r="AF65" s="154" t="s">
        <v>371</v>
      </c>
      <c r="AG65" s="116" t="s">
        <v>687</v>
      </c>
      <c r="AH65" s="53" t="s">
        <v>361</v>
      </c>
      <c r="AI65" s="53" t="s">
        <v>685</v>
      </c>
      <c r="AJ65" s="53" t="s">
        <v>690</v>
      </c>
      <c r="AK65" s="156">
        <v>44.5</v>
      </c>
      <c r="AL65" s="157">
        <v>36.299999999999997</v>
      </c>
      <c r="AM65" s="162">
        <v>1.5039950000000002</v>
      </c>
      <c r="AN65" s="157">
        <v>112.5</v>
      </c>
      <c r="AO65" s="156">
        <v>0.11600000000000001</v>
      </c>
      <c r="AP65" s="157">
        <v>17.73</v>
      </c>
      <c r="AQ65" s="157"/>
      <c r="AR65" s="158">
        <f t="shared" si="4"/>
        <v>2.74177979503399E-5</v>
      </c>
      <c r="AS65" s="144">
        <f t="shared" si="4"/>
        <v>2.2365529563985125E-5</v>
      </c>
      <c r="AT65" s="144">
        <f t="shared" si="4"/>
        <v>9.2665687704093161E-7</v>
      </c>
      <c r="AU65" s="144">
        <f t="shared" si="4"/>
        <v>6.931465773962334E-5</v>
      </c>
      <c r="AV65" s="144">
        <f t="shared" si="4"/>
        <v>7.14711137581894E-8</v>
      </c>
      <c r="AW65" s="158">
        <f t="shared" si="4"/>
        <v>1.0923990059764637E-5</v>
      </c>
      <c r="AX65" s="144"/>
      <c r="AY65" s="159">
        <f t="shared" si="5"/>
        <v>5.4835595900679799</v>
      </c>
      <c r="AZ65" s="144">
        <f t="shared" si="5"/>
        <v>4.4731059127970259</v>
      </c>
      <c r="BA65" s="144">
        <f t="shared" si="5"/>
        <v>0.18533137540818634</v>
      </c>
      <c r="BB65" s="144">
        <f t="shared" si="5"/>
        <v>13.862931547924667</v>
      </c>
      <c r="BC65" s="144">
        <f t="shared" si="5"/>
        <v>1.4294222751637883E-2</v>
      </c>
      <c r="BD65" s="159">
        <f t="shared" si="5"/>
        <v>2.1847980119529278</v>
      </c>
      <c r="BE65" s="144"/>
      <c r="BF65" s="160">
        <f t="shared" si="2"/>
        <v>5.71990100839991E-6</v>
      </c>
      <c r="BG65" s="144">
        <f t="shared" si="6"/>
        <v>1.5552989258795256E-7</v>
      </c>
      <c r="BH65" s="144">
        <f t="shared" si="6"/>
        <v>6.4439719229426399E-9</v>
      </c>
      <c r="BI65" s="144">
        <f t="shared" si="6"/>
        <v>4.8201412992134072E-7</v>
      </c>
      <c r="BJ65" s="144">
        <f t="shared" si="6"/>
        <v>4.9701012507444911E-10</v>
      </c>
      <c r="BK65" s="160">
        <f t="shared" si="6"/>
        <v>7.5965426875603292E-8</v>
      </c>
      <c r="BL65" s="144"/>
    </row>
    <row r="66" spans="24:64">
      <c r="X66" s="53" t="s">
        <v>207</v>
      </c>
      <c r="Y66" s="39" t="s">
        <v>208</v>
      </c>
      <c r="Z66" s="155" t="s">
        <v>341</v>
      </c>
      <c r="AA66" s="53">
        <v>0.21768199999999999</v>
      </c>
      <c r="AB66" s="53">
        <v>34.802346</v>
      </c>
      <c r="AC66" s="53" t="s">
        <v>356</v>
      </c>
      <c r="AD66" s="53" t="s">
        <v>330</v>
      </c>
      <c r="AE66" s="116" t="s">
        <v>347</v>
      </c>
      <c r="AF66" s="154" t="s">
        <v>371</v>
      </c>
      <c r="AG66" s="116" t="s">
        <v>687</v>
      </c>
      <c r="AH66" s="53" t="s">
        <v>366</v>
      </c>
      <c r="AI66" s="53" t="s">
        <v>684</v>
      </c>
      <c r="AJ66" s="53" t="s">
        <v>683</v>
      </c>
      <c r="AK66" s="156">
        <v>57.9</v>
      </c>
      <c r="AL66" s="157">
        <v>28.7</v>
      </c>
      <c r="AM66" s="162">
        <v>0.55713499999999994</v>
      </c>
      <c r="AN66" s="157">
        <v>72.599999999999994</v>
      </c>
      <c r="AO66" s="156">
        <v>0.36799999999999999</v>
      </c>
      <c r="AP66" s="157">
        <v>12.14</v>
      </c>
      <c r="AQ66" s="157"/>
      <c r="AR66" s="158">
        <f t="shared" si="4"/>
        <v>3.5673943849992807E-5</v>
      </c>
      <c r="AS66" s="144">
        <f t="shared" si="4"/>
        <v>1.7682939352241687E-5</v>
      </c>
      <c r="AT66" s="144">
        <f t="shared" si="4"/>
        <v>3.4326774968680038E-7</v>
      </c>
      <c r="AU66" s="144">
        <f t="shared" si="4"/>
        <v>4.473105912797025E-5</v>
      </c>
      <c r="AV66" s="144">
        <f t="shared" si="4"/>
        <v>2.2673594709494564E-7</v>
      </c>
      <c r="AW66" s="158">
        <f t="shared" si="4"/>
        <v>7.4798217329691315E-6</v>
      </c>
      <c r="AX66" s="144"/>
      <c r="AY66" s="159">
        <f t="shared" si="5"/>
        <v>7.1347887699985622</v>
      </c>
      <c r="AZ66" s="144">
        <f t="shared" si="5"/>
        <v>3.5365878704483373</v>
      </c>
      <c r="BA66" s="144">
        <f t="shared" si="5"/>
        <v>6.8653549937360073E-2</v>
      </c>
      <c r="BB66" s="144">
        <f t="shared" si="5"/>
        <v>8.9462118255940517</v>
      </c>
      <c r="BC66" s="144">
        <f t="shared" si="5"/>
        <v>4.5347189418989138E-2</v>
      </c>
      <c r="BD66" s="159">
        <f t="shared" si="5"/>
        <v>1.4959643465938264</v>
      </c>
      <c r="BE66" s="144"/>
      <c r="BF66" s="160">
        <f t="shared" si="2"/>
        <v>7.4422981659855016E-6</v>
      </c>
      <c r="BG66" s="144">
        <f t="shared" si="6"/>
        <v>1.2296716025548869E-7</v>
      </c>
      <c r="BH66" s="144">
        <f t="shared" si="6"/>
        <v>2.3870839313220095E-9</v>
      </c>
      <c r="BI66" s="144">
        <f t="shared" si="6"/>
        <v>3.1105978517590513E-7</v>
      </c>
      <c r="BJ66" s="144">
        <f t="shared" si="6"/>
        <v>1.5767217760982521E-9</v>
      </c>
      <c r="BK66" s="160">
        <f t="shared" si="6"/>
        <v>5.2014680331067337E-8</v>
      </c>
      <c r="BL66" s="144"/>
    </row>
    <row r="67" spans="24:64">
      <c r="X67" s="53" t="s">
        <v>209</v>
      </c>
      <c r="Y67" s="39" t="s">
        <v>210</v>
      </c>
      <c r="Z67" s="155" t="s">
        <v>341</v>
      </c>
      <c r="AA67" s="53">
        <v>0.16381399999999999</v>
      </c>
      <c r="AB67" s="53">
        <v>34.761139</v>
      </c>
      <c r="AC67" s="53" t="s">
        <v>357</v>
      </c>
      <c r="AD67" s="53" t="s">
        <v>330</v>
      </c>
      <c r="AE67" s="116" t="s">
        <v>347</v>
      </c>
      <c r="AF67" s="154" t="s">
        <v>371</v>
      </c>
      <c r="AG67" s="116" t="s">
        <v>687</v>
      </c>
      <c r="AH67" s="53" t="s">
        <v>361</v>
      </c>
      <c r="AI67" s="53" t="s">
        <v>685</v>
      </c>
      <c r="AJ67" s="53" t="s">
        <v>690</v>
      </c>
      <c r="AK67" s="156">
        <v>57.8</v>
      </c>
      <c r="AL67" s="157">
        <v>18.600000000000001</v>
      </c>
      <c r="AM67" s="162">
        <v>0.13077499999999997</v>
      </c>
      <c r="AN67" s="157">
        <v>207.7</v>
      </c>
      <c r="AO67" s="156">
        <v>9.2999999999999999E-2</v>
      </c>
      <c r="AP67" s="157">
        <v>66.37</v>
      </c>
      <c r="AQ67" s="157"/>
      <c r="AR67" s="158">
        <f t="shared" si="4"/>
        <v>3.5612330820890922E-5</v>
      </c>
      <c r="AS67" s="144">
        <f t="shared" si="4"/>
        <v>1.1460023412951059E-5</v>
      </c>
      <c r="AT67" s="144">
        <f t="shared" si="4"/>
        <v>8.0574438807993243E-8</v>
      </c>
      <c r="AU67" s="144">
        <f t="shared" si="4"/>
        <v>1.2797026144462014E-4</v>
      </c>
      <c r="AV67" s="144">
        <f t="shared" si="4"/>
        <v>5.7300117064755303E-8</v>
      </c>
      <c r="AW67" s="158">
        <f t="shared" si="4"/>
        <v>4.0892567414922672E-5</v>
      </c>
      <c r="AX67" s="144"/>
      <c r="AY67" s="159">
        <f t="shared" si="5"/>
        <v>7.122466164178185</v>
      </c>
      <c r="AZ67" s="144">
        <f t="shared" si="5"/>
        <v>2.2920046825902118</v>
      </c>
      <c r="BA67" s="144">
        <f t="shared" si="5"/>
        <v>1.611488776159865E-2</v>
      </c>
      <c r="BB67" s="144">
        <f t="shared" si="5"/>
        <v>25.594052288924033</v>
      </c>
      <c r="BC67" s="144">
        <f t="shared" si="5"/>
        <v>1.1460023412951059E-2</v>
      </c>
      <c r="BD67" s="159">
        <f t="shared" si="5"/>
        <v>8.1785134829845365</v>
      </c>
      <c r="BE67" s="144"/>
      <c r="BF67" s="160">
        <f t="shared" si="2"/>
        <v>7.4294444558542636E-6</v>
      </c>
      <c r="BG67" s="144">
        <f t="shared" si="6"/>
        <v>7.969300281366168E-8</v>
      </c>
      <c r="BH67" s="144">
        <f t="shared" si="6"/>
        <v>5.6031464747078509E-10</v>
      </c>
      <c r="BI67" s="144">
        <f t="shared" si="6"/>
        <v>8.8990519808588856E-7</v>
      </c>
      <c r="BJ67" s="144">
        <f t="shared" si="6"/>
        <v>3.9846501406830826E-10</v>
      </c>
      <c r="BK67" s="160">
        <f t="shared" si="6"/>
        <v>2.8436691380337229E-7</v>
      </c>
      <c r="BL67" s="144"/>
    </row>
    <row r="68" spans="24:64">
      <c r="X68" s="53" t="s">
        <v>211</v>
      </c>
      <c r="Y68" s="39" t="s">
        <v>212</v>
      </c>
      <c r="Z68" s="155" t="s">
        <v>341</v>
      </c>
      <c r="AA68" s="53">
        <v>0.16381399999999999</v>
      </c>
      <c r="AB68" s="53">
        <v>34.761139</v>
      </c>
      <c r="AC68" s="53" t="s">
        <v>357</v>
      </c>
      <c r="AD68" s="53" t="s">
        <v>330</v>
      </c>
      <c r="AE68" s="116" t="s">
        <v>347</v>
      </c>
      <c r="AF68" s="154" t="s">
        <v>371</v>
      </c>
      <c r="AG68" s="116" t="s">
        <v>687</v>
      </c>
      <c r="AH68" s="53" t="s">
        <v>367</v>
      </c>
      <c r="AI68" s="53" t="s">
        <v>684</v>
      </c>
      <c r="AJ68" s="53" t="s">
        <v>683</v>
      </c>
      <c r="AK68" s="156">
        <v>55</v>
      </c>
      <c r="AL68" s="157">
        <v>23.5</v>
      </c>
      <c r="AM68" s="162">
        <v>0.46534500000000001</v>
      </c>
      <c r="AN68" s="157">
        <v>135.19999999999999</v>
      </c>
      <c r="AO68" s="156">
        <v>0.06</v>
      </c>
      <c r="AP68" s="157">
        <v>40.54</v>
      </c>
      <c r="AQ68" s="157"/>
      <c r="AR68" s="158">
        <f t="shared" si="4"/>
        <v>3.3887166006038074E-5</v>
      </c>
      <c r="AS68" s="144">
        <f t="shared" si="4"/>
        <v>1.447906183894354E-5</v>
      </c>
      <c r="AT68" s="144">
        <f t="shared" si="4"/>
        <v>2.8671315027417794E-7</v>
      </c>
      <c r="AU68" s="144">
        <f t="shared" si="4"/>
        <v>8.3300815345751749E-5</v>
      </c>
      <c r="AV68" s="144">
        <f t="shared" si="4"/>
        <v>3.6967817461132448E-8</v>
      </c>
      <c r="AW68" s="158">
        <f t="shared" si="4"/>
        <v>2.4977921997905156E-5</v>
      </c>
      <c r="AX68" s="144"/>
      <c r="AY68" s="159">
        <f t="shared" si="5"/>
        <v>6.7774332012076153</v>
      </c>
      <c r="AZ68" s="144">
        <f t="shared" si="5"/>
        <v>2.8958123677887082</v>
      </c>
      <c r="BA68" s="144">
        <f t="shared" si="5"/>
        <v>5.73426300548356E-2</v>
      </c>
      <c r="BB68" s="144">
        <f t="shared" si="5"/>
        <v>16.660163069150357</v>
      </c>
      <c r="BC68" s="144">
        <f t="shared" si="5"/>
        <v>7.3935634922264893E-3</v>
      </c>
      <c r="BD68" s="159">
        <f t="shared" si="5"/>
        <v>4.9955843995810314</v>
      </c>
      <c r="BE68" s="144"/>
      <c r="BF68" s="160">
        <f t="shared" si="2"/>
        <v>7.0695405721796617E-6</v>
      </c>
      <c r="BG68" s="144">
        <f t="shared" si="6"/>
        <v>1.0068739602801338E-7</v>
      </c>
      <c r="BH68" s="144">
        <f t="shared" si="6"/>
        <v>1.9938032470066332E-9</v>
      </c>
      <c r="BI68" s="144">
        <f t="shared" si="6"/>
        <v>5.7927386991435775E-7</v>
      </c>
      <c r="BJ68" s="144">
        <f t="shared" si="6"/>
        <v>2.5707420262471503E-10</v>
      </c>
      <c r="BK68" s="160">
        <f t="shared" si="6"/>
        <v>1.7369646957343247E-7</v>
      </c>
      <c r="BL68" s="144"/>
    </row>
    <row r="69" spans="24:64">
      <c r="X69" s="53" t="s">
        <v>213</v>
      </c>
      <c r="Y69" s="39" t="s">
        <v>214</v>
      </c>
      <c r="Z69" s="155" t="s">
        <v>341</v>
      </c>
      <c r="AA69" s="53">
        <v>0.16381399999999999</v>
      </c>
      <c r="AB69" s="53">
        <v>34.761139</v>
      </c>
      <c r="AC69" s="53" t="s">
        <v>357</v>
      </c>
      <c r="AD69" s="53" t="s">
        <v>330</v>
      </c>
      <c r="AE69" s="116" t="s">
        <v>347</v>
      </c>
      <c r="AF69" s="154" t="s">
        <v>371</v>
      </c>
      <c r="AG69" s="116" t="s">
        <v>687</v>
      </c>
      <c r="AH69" s="53" t="s">
        <v>365</v>
      </c>
      <c r="AI69" s="53" t="s">
        <v>685</v>
      </c>
      <c r="AJ69" s="53" t="s">
        <v>691</v>
      </c>
      <c r="AK69" s="156">
        <v>19.3</v>
      </c>
      <c r="AL69" s="157">
        <v>17.399999999999999</v>
      </c>
      <c r="AM69" s="162">
        <v>7.3565000000000005E-2</v>
      </c>
      <c r="AN69" s="157">
        <v>141.69999999999999</v>
      </c>
      <c r="AO69" s="156">
        <v>4.4999999999999998E-2</v>
      </c>
      <c r="AP69" s="157">
        <v>54.66</v>
      </c>
      <c r="AQ69" s="157"/>
      <c r="AR69" s="158">
        <f t="shared" si="4"/>
        <v>1.1891314616664271E-5</v>
      </c>
      <c r="AS69" s="144">
        <f t="shared" si="4"/>
        <v>1.0720667063728408E-5</v>
      </c>
      <c r="AT69" s="144">
        <f t="shared" si="4"/>
        <v>4.5325624858803474E-8</v>
      </c>
      <c r="AU69" s="144">
        <f t="shared" si="4"/>
        <v>8.730566223737444E-5</v>
      </c>
      <c r="AV69" s="144">
        <f t="shared" si="4"/>
        <v>2.7725863095849337E-8</v>
      </c>
      <c r="AW69" s="158">
        <f t="shared" si="4"/>
        <v>3.3677681707091658E-5</v>
      </c>
      <c r="AX69" s="144"/>
      <c r="AY69" s="159">
        <f t="shared" si="5"/>
        <v>2.3782629233328541</v>
      </c>
      <c r="AZ69" s="144">
        <f t="shared" si="5"/>
        <v>2.1441334127456821</v>
      </c>
      <c r="BA69" s="144">
        <f t="shared" si="5"/>
        <v>9.0651249717606953E-3</v>
      </c>
      <c r="BB69" s="144">
        <f t="shared" si="5"/>
        <v>17.461132447474892</v>
      </c>
      <c r="BC69" s="144">
        <f t="shared" si="5"/>
        <v>5.5451726191698657E-3</v>
      </c>
      <c r="BD69" s="159">
        <f t="shared" si="5"/>
        <v>6.7355363414183307</v>
      </c>
      <c r="BE69" s="144"/>
      <c r="BF69" s="160">
        <f t="shared" si="2"/>
        <v>2.4807660553285E-6</v>
      </c>
      <c r="BG69" s="144">
        <f t="shared" si="6"/>
        <v>7.4551518761167355E-8</v>
      </c>
      <c r="BH69" s="144">
        <f t="shared" si="6"/>
        <v>3.1519439526811944E-10</v>
      </c>
      <c r="BI69" s="144">
        <f t="shared" si="6"/>
        <v>6.0712357519870191E-7</v>
      </c>
      <c r="BJ69" s="144">
        <f t="shared" si="6"/>
        <v>1.9280565196853627E-10</v>
      </c>
      <c r="BK69" s="160">
        <f t="shared" si="6"/>
        <v>2.3419459859111543E-7</v>
      </c>
      <c r="BL69" s="144"/>
    </row>
    <row r="70" spans="24:64">
      <c r="X70" s="53" t="s">
        <v>215</v>
      </c>
      <c r="Y70" s="39" t="s">
        <v>216</v>
      </c>
      <c r="Z70" s="155" t="s">
        <v>341</v>
      </c>
      <c r="AA70" s="53">
        <v>0.16381399999999999</v>
      </c>
      <c r="AB70" s="53">
        <v>34.761139</v>
      </c>
      <c r="AC70" s="53" t="s">
        <v>357</v>
      </c>
      <c r="AD70" s="53" t="s">
        <v>330</v>
      </c>
      <c r="AE70" s="116" t="s">
        <v>347</v>
      </c>
      <c r="AF70" s="154" t="s">
        <v>371</v>
      </c>
      <c r="AG70" s="116" t="s">
        <v>687</v>
      </c>
      <c r="AH70" s="53" t="s">
        <v>364</v>
      </c>
      <c r="AI70" s="53" t="s">
        <v>685</v>
      </c>
      <c r="AJ70" s="53" t="s">
        <v>690</v>
      </c>
      <c r="AK70" s="156">
        <v>8.6999999999999993</v>
      </c>
      <c r="AL70" s="157">
        <v>6.8</v>
      </c>
      <c r="AM70" s="162">
        <v>0.16572500000000001</v>
      </c>
      <c r="AN70" s="157">
        <v>208.7</v>
      </c>
      <c r="AO70" s="156">
        <v>3.1E-2</v>
      </c>
      <c r="AP70" s="157">
        <v>44.84</v>
      </c>
      <c r="AQ70" s="157"/>
      <c r="AR70" s="158">
        <f t="shared" si="4"/>
        <v>5.3603335318642039E-6</v>
      </c>
      <c r="AS70" s="144">
        <f t="shared" si="4"/>
        <v>4.1896859789283435E-6</v>
      </c>
      <c r="AT70" s="144">
        <f t="shared" si="4"/>
        <v>1.0210819247910293E-7</v>
      </c>
      <c r="AU70" s="144">
        <f t="shared" si="4"/>
        <v>1.2858639173563902E-4</v>
      </c>
      <c r="AV70" s="144">
        <f t="shared" si="4"/>
        <v>1.9100039021585094E-8</v>
      </c>
      <c r="AW70" s="158">
        <f t="shared" si="4"/>
        <v>2.7627282249286316E-5</v>
      </c>
      <c r="AX70" s="144"/>
      <c r="AY70" s="159">
        <f t="shared" si="5"/>
        <v>1.0720667063728411</v>
      </c>
      <c r="AZ70" s="144">
        <f t="shared" si="5"/>
        <v>0.83793719578566883</v>
      </c>
      <c r="BA70" s="144">
        <f t="shared" si="5"/>
        <v>2.0421638495820581E-2</v>
      </c>
      <c r="BB70" s="144">
        <f t="shared" si="5"/>
        <v>25.717278347127806</v>
      </c>
      <c r="BC70" s="144">
        <f t="shared" si="5"/>
        <v>3.8200078043170195E-3</v>
      </c>
      <c r="BD70" s="159">
        <f t="shared" si="5"/>
        <v>5.5254564498572636</v>
      </c>
      <c r="BE70" s="144"/>
      <c r="BF70" s="160">
        <f t="shared" si="2"/>
        <v>1.1182727814175102E-6</v>
      </c>
      <c r="BG70" s="144">
        <f t="shared" si="6"/>
        <v>2.9135076297467704E-8</v>
      </c>
      <c r="BH70" s="144">
        <f t="shared" si="6"/>
        <v>7.1006037049968173E-10</v>
      </c>
      <c r="BI70" s="144">
        <f t="shared" si="6"/>
        <v>8.9418976812963394E-7</v>
      </c>
      <c r="BJ70" s="144">
        <f t="shared" si="6"/>
        <v>1.3282167135610278E-10</v>
      </c>
      <c r="BK70" s="160">
        <f t="shared" si="6"/>
        <v>1.9212012076153706E-7</v>
      </c>
      <c r="BL70" s="144"/>
    </row>
    <row r="71" spans="24:64">
      <c r="X71" s="53" t="s">
        <v>217</v>
      </c>
      <c r="Y71" s="39" t="s">
        <v>218</v>
      </c>
      <c r="Z71" s="155" t="s">
        <v>341</v>
      </c>
      <c r="AA71" s="53">
        <v>0.17374600000000001</v>
      </c>
      <c r="AB71" s="53">
        <v>34.768698000000001</v>
      </c>
      <c r="AC71" s="53" t="s">
        <v>358</v>
      </c>
      <c r="AD71" s="53" t="s">
        <v>330</v>
      </c>
      <c r="AE71" s="116" t="s">
        <v>347</v>
      </c>
      <c r="AF71" s="154" t="s">
        <v>371</v>
      </c>
      <c r="AG71" s="116" t="s">
        <v>687</v>
      </c>
      <c r="AH71" s="53" t="s">
        <v>365</v>
      </c>
      <c r="AI71" s="53" t="s">
        <v>685</v>
      </c>
      <c r="AJ71" s="53" t="s">
        <v>691</v>
      </c>
      <c r="AK71" s="156">
        <v>251.9</v>
      </c>
      <c r="AL71" s="157">
        <v>11.6</v>
      </c>
      <c r="AM71" s="162">
        <v>0.30123499999999998</v>
      </c>
      <c r="AN71" s="157">
        <v>427.2</v>
      </c>
      <c r="AO71" s="156">
        <v>0.14899999999999999</v>
      </c>
      <c r="AP71" s="157">
        <v>173.06</v>
      </c>
      <c r="AQ71" s="157"/>
      <c r="AR71" s="158">
        <f t="shared" si="4"/>
        <v>1.5520322030765439E-4</v>
      </c>
      <c r="AS71" s="144">
        <f t="shared" si="4"/>
        <v>7.1471113758189394E-6</v>
      </c>
      <c r="AT71" s="144">
        <f t="shared" si="4"/>
        <v>1.856000082150705E-7</v>
      </c>
      <c r="AU71" s="144">
        <f t="shared" si="4"/>
        <v>2.6321086032326304E-4</v>
      </c>
      <c r="AV71" s="144">
        <f t="shared" si="4"/>
        <v>9.1803413361812209E-8</v>
      </c>
      <c r="AW71" s="158">
        <f t="shared" si="4"/>
        <v>1.0662750816372636E-4</v>
      </c>
      <c r="AX71" s="144"/>
      <c r="AY71" s="159">
        <f t="shared" si="5"/>
        <v>31.040644061530877</v>
      </c>
      <c r="AZ71" s="144">
        <f t="shared" si="5"/>
        <v>1.4294222751637879</v>
      </c>
      <c r="BA71" s="144">
        <f t="shared" si="5"/>
        <v>3.71200016430141E-2</v>
      </c>
      <c r="BB71" s="144">
        <f t="shared" si="5"/>
        <v>52.642172064652605</v>
      </c>
      <c r="BC71" s="144">
        <f t="shared" si="5"/>
        <v>1.836068267236245E-2</v>
      </c>
      <c r="BD71" s="159">
        <f t="shared" si="5"/>
        <v>21.325501632745272</v>
      </c>
      <c r="BE71" s="144"/>
      <c r="BF71" s="160">
        <f t="shared" si="2"/>
        <v>3.2378495820582861E-5</v>
      </c>
      <c r="BG71" s="144">
        <f t="shared" si="6"/>
        <v>4.9701012507444905E-8</v>
      </c>
      <c r="BH71" s="144">
        <f t="shared" si="6"/>
        <v>1.2906624571276004E-9</v>
      </c>
      <c r="BI71" s="144">
        <f t="shared" si="6"/>
        <v>1.8303683226879709E-6</v>
      </c>
      <c r="BJ71" s="144">
        <f t="shared" si="6"/>
        <v>6.3840093651804229E-10</v>
      </c>
      <c r="BK71" s="160">
        <f t="shared" si="6"/>
        <v>7.4148769177055301E-7</v>
      </c>
      <c r="BL71" s="144"/>
    </row>
    <row r="72" spans="24:64">
      <c r="X72" s="53" t="s">
        <v>219</v>
      </c>
      <c r="Y72" s="39" t="s">
        <v>220</v>
      </c>
      <c r="Z72" s="155" t="s">
        <v>341</v>
      </c>
      <c r="AA72" s="53">
        <v>0.17374600000000001</v>
      </c>
      <c r="AB72" s="53">
        <v>34.768698000000001</v>
      </c>
      <c r="AC72" s="53" t="s">
        <v>358</v>
      </c>
      <c r="AD72" s="53" t="s">
        <v>330</v>
      </c>
      <c r="AE72" s="116" t="s">
        <v>347</v>
      </c>
      <c r="AF72" s="154" t="s">
        <v>371</v>
      </c>
      <c r="AG72" s="116" t="s">
        <v>687</v>
      </c>
      <c r="AH72" s="53" t="s">
        <v>364</v>
      </c>
      <c r="AI72" s="53" t="s">
        <v>685</v>
      </c>
      <c r="AJ72" s="53" t="s">
        <v>690</v>
      </c>
      <c r="AK72" s="156">
        <v>97.4</v>
      </c>
      <c r="AL72" s="157">
        <v>91.6</v>
      </c>
      <c r="AM72" s="162">
        <v>8.9385000000000006E-2</v>
      </c>
      <c r="AN72" s="157">
        <v>280.2</v>
      </c>
      <c r="AO72" s="156">
        <v>7.5999999999999998E-2</v>
      </c>
      <c r="AP72" s="157">
        <v>65.91</v>
      </c>
      <c r="AQ72" s="157"/>
      <c r="AR72" s="158">
        <f t="shared" ref="AR72:AW103" si="7">(AK72*100*350*30*0.000001)/(70*66.7*365)</f>
        <v>6.0011090345238335E-5</v>
      </c>
      <c r="AS72" s="144">
        <f t="shared" si="7"/>
        <v>5.6437534657328863E-5</v>
      </c>
      <c r="AT72" s="144">
        <f t="shared" si="7"/>
        <v>5.5072806062722072E-8</v>
      </c>
      <c r="AU72" s="144">
        <f t="shared" si="7"/>
        <v>1.7263970754348852E-4</v>
      </c>
      <c r="AV72" s="144">
        <f t="shared" si="7"/>
        <v>4.6825902117434428E-8</v>
      </c>
      <c r="AW72" s="158">
        <f t="shared" si="7"/>
        <v>4.0609147481053991E-5</v>
      </c>
      <c r="AX72" s="144"/>
      <c r="AY72" s="159">
        <f t="shared" ref="AY72:BD103" si="8">(AK72*20*350*30)/(70*66.7*365)</f>
        <v>12.002218069047668</v>
      </c>
      <c r="AZ72" s="144">
        <f t="shared" si="8"/>
        <v>11.287506931465774</v>
      </c>
      <c r="BA72" s="144">
        <f t="shared" si="8"/>
        <v>1.1014561212544413E-2</v>
      </c>
      <c r="BB72" s="144">
        <f t="shared" si="8"/>
        <v>34.527941508697708</v>
      </c>
      <c r="BC72" s="144">
        <f t="shared" si="8"/>
        <v>9.3651804234868869E-3</v>
      </c>
      <c r="BD72" s="159">
        <f t="shared" si="8"/>
        <v>8.1218294962107969</v>
      </c>
      <c r="BE72" s="144"/>
      <c r="BF72" s="160">
        <f t="shared" ref="BF72:BF119" si="9">(AK72*5700*0.61*0.2*0.03*350*30*0.000001)/(70*66.7*365)</f>
        <v>1.2519513667823623E-5</v>
      </c>
      <c r="BG72" s="144">
        <f t="shared" ref="BG72:BK103" si="10">(AL72*5700*0.61*0.2*0.001*350*30*0.000001)/(70*66.7*365)</f>
        <v>3.9246661600706492E-7</v>
      </c>
      <c r="BH72" s="144">
        <f t="shared" si="10"/>
        <v>3.8297629336016933E-10</v>
      </c>
      <c r="BI72" s="144">
        <f t="shared" si="10"/>
        <v>1.2005365262574194E-6</v>
      </c>
      <c r="BJ72" s="144">
        <f t="shared" si="10"/>
        <v>3.2562732332463905E-10</v>
      </c>
      <c r="BK72" s="160">
        <f t="shared" si="10"/>
        <v>2.8239601158324944E-7</v>
      </c>
      <c r="BL72" s="144"/>
    </row>
    <row r="73" spans="24:64">
      <c r="X73" s="53" t="s">
        <v>221</v>
      </c>
      <c r="Y73" s="39" t="s">
        <v>222</v>
      </c>
      <c r="Z73" s="155" t="s">
        <v>341</v>
      </c>
      <c r="AA73" s="53">
        <v>0.17374600000000001</v>
      </c>
      <c r="AB73" s="53">
        <v>34.768698000000001</v>
      </c>
      <c r="AC73" s="53" t="s">
        <v>358</v>
      </c>
      <c r="AD73" s="53" t="s">
        <v>330</v>
      </c>
      <c r="AE73" s="116" t="s">
        <v>347</v>
      </c>
      <c r="AF73" s="154" t="s">
        <v>371</v>
      </c>
      <c r="AG73" s="116" t="s">
        <v>687</v>
      </c>
      <c r="AH73" s="53" t="s">
        <v>361</v>
      </c>
      <c r="AI73" s="53" t="s">
        <v>685</v>
      </c>
      <c r="AJ73" s="53" t="s">
        <v>690</v>
      </c>
      <c r="AK73" s="156">
        <v>145.30000000000001</v>
      </c>
      <c r="AL73" s="157">
        <v>29</v>
      </c>
      <c r="AM73" s="162">
        <v>0.450735</v>
      </c>
      <c r="AN73" s="157">
        <v>574.79999999999995</v>
      </c>
      <c r="AO73" s="156">
        <v>0.14499999999999999</v>
      </c>
      <c r="AP73" s="157">
        <v>357.86</v>
      </c>
      <c r="AQ73" s="157"/>
      <c r="AR73" s="158">
        <f t="shared" si="7"/>
        <v>8.9523731285042426E-5</v>
      </c>
      <c r="AS73" s="144">
        <f t="shared" si="7"/>
        <v>1.786777843954735E-5</v>
      </c>
      <c r="AT73" s="144">
        <f t="shared" si="7"/>
        <v>2.7771148672239221E-7</v>
      </c>
      <c r="AU73" s="144">
        <f t="shared" si="7"/>
        <v>3.5415169127764876E-4</v>
      </c>
      <c r="AV73" s="144">
        <f t="shared" si="7"/>
        <v>8.9338892197736727E-8</v>
      </c>
      <c r="AW73" s="158">
        <f t="shared" si="7"/>
        <v>2.2048838594401429E-4</v>
      </c>
      <c r="AX73" s="144"/>
      <c r="AY73" s="159">
        <f t="shared" si="8"/>
        <v>17.904746257008483</v>
      </c>
      <c r="AZ73" s="144">
        <f t="shared" si="8"/>
        <v>3.5735556879094701</v>
      </c>
      <c r="BA73" s="144">
        <f t="shared" si="8"/>
        <v>5.554229734447845E-2</v>
      </c>
      <c r="BB73" s="144">
        <f t="shared" si="8"/>
        <v>70.830338255529767</v>
      </c>
      <c r="BC73" s="144">
        <f t="shared" si="8"/>
        <v>1.7867778439547351E-2</v>
      </c>
      <c r="BD73" s="159">
        <f t="shared" si="8"/>
        <v>44.097677188802869</v>
      </c>
      <c r="BE73" s="144"/>
      <c r="BF73" s="160">
        <f t="shared" si="9"/>
        <v>1.8676440820685546E-5</v>
      </c>
      <c r="BG73" s="144">
        <f t="shared" si="10"/>
        <v>1.2425253126861229E-7</v>
      </c>
      <c r="BH73" s="144">
        <f t="shared" si="10"/>
        <v>1.931205678667516E-9</v>
      </c>
      <c r="BI73" s="144">
        <f t="shared" si="10"/>
        <v>2.4627708611447694E-6</v>
      </c>
      <c r="BJ73" s="144">
        <f t="shared" si="10"/>
        <v>6.2126265634306113E-10</v>
      </c>
      <c r="BK73" s="160">
        <f t="shared" si="10"/>
        <v>1.5332762358546754E-6</v>
      </c>
      <c r="BL73" s="144"/>
    </row>
    <row r="74" spans="24:64">
      <c r="X74" s="53" t="s">
        <v>223</v>
      </c>
      <c r="Y74" s="39" t="s">
        <v>224</v>
      </c>
      <c r="Z74" s="155" t="s">
        <v>341</v>
      </c>
      <c r="AA74" s="53">
        <v>0.17374600000000001</v>
      </c>
      <c r="AB74" s="53">
        <v>34.768698000000001</v>
      </c>
      <c r="AC74" s="53" t="s">
        <v>358</v>
      </c>
      <c r="AD74" s="53" t="s">
        <v>330</v>
      </c>
      <c r="AE74" s="116" t="s">
        <v>347</v>
      </c>
      <c r="AF74" s="154" t="s">
        <v>371</v>
      </c>
      <c r="AG74" s="116" t="s">
        <v>687</v>
      </c>
      <c r="AH74" s="53" t="s">
        <v>366</v>
      </c>
      <c r="AI74" s="53" t="s">
        <v>684</v>
      </c>
      <c r="AJ74" s="53" t="s">
        <v>683</v>
      </c>
      <c r="AK74" s="156">
        <v>42.2</v>
      </c>
      <c r="AL74" s="157">
        <v>24.2</v>
      </c>
      <c r="AM74" s="162">
        <v>1.6044850000000002</v>
      </c>
      <c r="AN74" s="157">
        <v>648.6</v>
      </c>
      <c r="AO74" s="156">
        <v>0.16800000000000001</v>
      </c>
      <c r="AP74" s="157">
        <v>375.29</v>
      </c>
      <c r="AQ74" s="157"/>
      <c r="AR74" s="158">
        <f t="shared" si="7"/>
        <v>2.6000698280996486E-5</v>
      </c>
      <c r="AS74" s="144">
        <f t="shared" si="7"/>
        <v>1.4910353042656754E-5</v>
      </c>
      <c r="AT74" s="144">
        <f t="shared" si="7"/>
        <v>9.8857180998541829E-7</v>
      </c>
      <c r="AU74" s="144">
        <f t="shared" si="7"/>
        <v>3.9962210675484176E-4</v>
      </c>
      <c r="AV74" s="144">
        <f t="shared" si="7"/>
        <v>1.0350988889117085E-7</v>
      </c>
      <c r="AW74" s="158">
        <f t="shared" si="7"/>
        <v>2.3122753691647325E-4</v>
      </c>
      <c r="AX74" s="144"/>
      <c r="AY74" s="159">
        <f t="shared" si="8"/>
        <v>5.2001396561992976</v>
      </c>
      <c r="AZ74" s="144">
        <f t="shared" si="8"/>
        <v>2.9820706085313509</v>
      </c>
      <c r="BA74" s="144">
        <f t="shared" si="8"/>
        <v>0.19771436199708367</v>
      </c>
      <c r="BB74" s="144">
        <f t="shared" si="8"/>
        <v>79.924421350968345</v>
      </c>
      <c r="BC74" s="144">
        <f t="shared" si="8"/>
        <v>2.0701977778234171E-2</v>
      </c>
      <c r="BD74" s="159">
        <f t="shared" si="8"/>
        <v>46.245507383294651</v>
      </c>
      <c r="BE74" s="144"/>
      <c r="BF74" s="160">
        <f t="shared" si="9"/>
        <v>5.4242656753814875E-6</v>
      </c>
      <c r="BG74" s="144">
        <f t="shared" si="10"/>
        <v>1.0368659505863507E-7</v>
      </c>
      <c r="BH74" s="144">
        <f t="shared" si="10"/>
        <v>6.8745283666385979E-9</v>
      </c>
      <c r="BI74" s="144">
        <f t="shared" si="10"/>
        <v>2.7789721303731692E-6</v>
      </c>
      <c r="BJ74" s="144">
        <f t="shared" si="10"/>
        <v>7.1980776734920224E-10</v>
      </c>
      <c r="BK74" s="160">
        <f t="shared" si="10"/>
        <v>1.6079562917171553E-6</v>
      </c>
      <c r="BL74" s="144"/>
    </row>
    <row r="75" spans="24:64">
      <c r="X75" s="53" t="s">
        <v>225</v>
      </c>
      <c r="Y75" s="39" t="s">
        <v>226</v>
      </c>
      <c r="Z75" s="155" t="s">
        <v>341</v>
      </c>
      <c r="AA75" s="53">
        <v>0.17394000000000001</v>
      </c>
      <c r="AB75" s="53">
        <v>34.769052000000002</v>
      </c>
      <c r="AC75" s="53" t="s">
        <v>358</v>
      </c>
      <c r="AD75" s="53" t="s">
        <v>330</v>
      </c>
      <c r="AE75" s="116" t="s">
        <v>347</v>
      </c>
      <c r="AF75" s="154" t="s">
        <v>371</v>
      </c>
      <c r="AG75" s="116" t="s">
        <v>687</v>
      </c>
      <c r="AH75" s="53" t="s">
        <v>367</v>
      </c>
      <c r="AI75" s="53" t="s">
        <v>684</v>
      </c>
      <c r="AJ75" s="53" t="s">
        <v>683</v>
      </c>
      <c r="AK75" s="156">
        <v>31.3</v>
      </c>
      <c r="AL75" s="157">
        <v>38.799999999999997</v>
      </c>
      <c r="AM75" s="162">
        <v>1.0580050000000001</v>
      </c>
      <c r="AN75" s="157">
        <v>748.3</v>
      </c>
      <c r="AO75" s="156">
        <v>0.29799999999999999</v>
      </c>
      <c r="AP75" s="157">
        <v>459.85</v>
      </c>
      <c r="AQ75" s="157"/>
      <c r="AR75" s="158">
        <f t="shared" si="7"/>
        <v>1.928487810889076E-5</v>
      </c>
      <c r="AS75" s="144">
        <f t="shared" si="7"/>
        <v>2.3905855291532309E-5</v>
      </c>
      <c r="AT75" s="144">
        <f t="shared" si="7"/>
        <v>6.5186892854942379E-7</v>
      </c>
      <c r="AU75" s="144">
        <f t="shared" si="7"/>
        <v>4.6105029676942345E-4</v>
      </c>
      <c r="AV75" s="144">
        <f t="shared" si="7"/>
        <v>1.8360682672362442E-7</v>
      </c>
      <c r="AW75" s="158">
        <f t="shared" si="7"/>
        <v>2.8332751432502923E-4</v>
      </c>
      <c r="AX75" s="144"/>
      <c r="AY75" s="159">
        <f t="shared" si="8"/>
        <v>3.8569756217781519</v>
      </c>
      <c r="AZ75" s="144">
        <f t="shared" si="8"/>
        <v>4.7811710583064633</v>
      </c>
      <c r="BA75" s="144">
        <f t="shared" si="8"/>
        <v>0.13037378570988478</v>
      </c>
      <c r="BB75" s="144">
        <f t="shared" si="8"/>
        <v>92.210059353884702</v>
      </c>
      <c r="BC75" s="144">
        <f t="shared" si="8"/>
        <v>3.67213653447249E-2</v>
      </c>
      <c r="BD75" s="159">
        <f t="shared" si="8"/>
        <v>56.665502865005855</v>
      </c>
      <c r="BE75" s="144"/>
      <c r="BF75" s="160">
        <f t="shared" si="9"/>
        <v>4.0232112710767901E-6</v>
      </c>
      <c r="BG75" s="144">
        <f t="shared" si="10"/>
        <v>1.6624131769731572E-7</v>
      </c>
      <c r="BH75" s="144">
        <f t="shared" si="10"/>
        <v>4.533096529132695E-9</v>
      </c>
      <c r="BI75" s="144">
        <f t="shared" si="10"/>
        <v>3.2061437637345713E-6</v>
      </c>
      <c r="BJ75" s="144">
        <f t="shared" si="10"/>
        <v>1.2768018730360846E-9</v>
      </c>
      <c r="BK75" s="160">
        <f t="shared" si="10"/>
        <v>1.9702595346162537E-6</v>
      </c>
      <c r="BL75" s="144"/>
    </row>
    <row r="76" spans="24:64">
      <c r="X76" s="53" t="s">
        <v>227</v>
      </c>
      <c r="Y76" s="39" t="s">
        <v>228</v>
      </c>
      <c r="Z76" s="155" t="s">
        <v>341</v>
      </c>
      <c r="AA76" s="53">
        <v>0.10542700000000001</v>
      </c>
      <c r="AB76" s="53">
        <v>34.698397999999997</v>
      </c>
      <c r="AC76" s="53" t="s">
        <v>359</v>
      </c>
      <c r="AD76" s="53" t="s">
        <v>334</v>
      </c>
      <c r="AE76" s="116" t="s">
        <v>347</v>
      </c>
      <c r="AF76" s="154" t="s">
        <v>371</v>
      </c>
      <c r="AG76" s="116" t="s">
        <v>687</v>
      </c>
      <c r="AH76" s="53" t="s">
        <v>364</v>
      </c>
      <c r="AI76" s="53" t="s">
        <v>685</v>
      </c>
      <c r="AJ76" s="53" t="s">
        <v>690</v>
      </c>
      <c r="AK76" s="156">
        <v>847.1</v>
      </c>
      <c r="AL76" s="157">
        <v>290.39999999999998</v>
      </c>
      <c r="AM76" s="162">
        <v>3.3985000000000001E-2</v>
      </c>
      <c r="AN76" s="157">
        <v>250.7</v>
      </c>
      <c r="AO76" s="156">
        <v>0.753</v>
      </c>
      <c r="AP76" s="157">
        <v>124.68</v>
      </c>
      <c r="AQ76" s="157"/>
      <c r="AR76" s="158">
        <f t="shared" si="7"/>
        <v>5.2192396952208825E-4</v>
      </c>
      <c r="AS76" s="144">
        <f t="shared" si="7"/>
        <v>1.78924236511881E-4</v>
      </c>
      <c r="AT76" s="144">
        <f t="shared" si="7"/>
        <v>2.0939187940276442E-8</v>
      </c>
      <c r="AU76" s="144">
        <f t="shared" si="7"/>
        <v>1.5446386395843176E-4</v>
      </c>
      <c r="AV76" s="144">
        <f t="shared" si="7"/>
        <v>4.6394610913721218E-7</v>
      </c>
      <c r="AW76" s="158">
        <f t="shared" si="7"/>
        <v>7.6819124684233218E-5</v>
      </c>
      <c r="AX76" s="144"/>
      <c r="AY76" s="159">
        <f t="shared" si="8"/>
        <v>104.38479390441765</v>
      </c>
      <c r="AZ76" s="144">
        <f t="shared" si="8"/>
        <v>35.784847302376207</v>
      </c>
      <c r="BA76" s="144">
        <f t="shared" si="8"/>
        <v>4.1878375880552874E-3</v>
      </c>
      <c r="BB76" s="144">
        <f t="shared" si="8"/>
        <v>30.892772791686347</v>
      </c>
      <c r="BC76" s="144">
        <f t="shared" si="8"/>
        <v>9.2789221827442439E-2</v>
      </c>
      <c r="BD76" s="159">
        <f t="shared" si="8"/>
        <v>15.363824936846648</v>
      </c>
      <c r="BE76" s="144"/>
      <c r="BF76" s="160">
        <f t="shared" si="9"/>
        <v>1.0888377852169804E-4</v>
      </c>
      <c r="BG76" s="144">
        <f t="shared" si="10"/>
        <v>1.2442391407036205E-6</v>
      </c>
      <c r="BH76" s="144">
        <f t="shared" si="10"/>
        <v>1.4561111293668237E-10</v>
      </c>
      <c r="BI76" s="144">
        <f t="shared" si="10"/>
        <v>1.0741417099669345E-6</v>
      </c>
      <c r="BJ76" s="144">
        <f t="shared" si="10"/>
        <v>3.2262812429401741E-9</v>
      </c>
      <c r="BK76" s="160">
        <f t="shared" si="10"/>
        <v>5.3420019305415787E-7</v>
      </c>
      <c r="BL76" s="144"/>
    </row>
    <row r="77" spans="24:64">
      <c r="X77" s="53" t="s">
        <v>229</v>
      </c>
      <c r="Y77" s="39" t="s">
        <v>230</v>
      </c>
      <c r="Z77" s="155" t="s">
        <v>341</v>
      </c>
      <c r="AA77" s="53">
        <v>0.10542700000000001</v>
      </c>
      <c r="AB77" s="53">
        <v>34.698397999999997</v>
      </c>
      <c r="AC77" s="53" t="s">
        <v>359</v>
      </c>
      <c r="AD77" s="53" t="s">
        <v>334</v>
      </c>
      <c r="AE77" s="116" t="s">
        <v>347</v>
      </c>
      <c r="AF77" s="154" t="s">
        <v>371</v>
      </c>
      <c r="AG77" s="116" t="s">
        <v>687</v>
      </c>
      <c r="AH77" s="53" t="s">
        <v>361</v>
      </c>
      <c r="AI77" s="53" t="s">
        <v>685</v>
      </c>
      <c r="AJ77" s="53" t="s">
        <v>690</v>
      </c>
      <c r="AK77" s="156">
        <v>575.70000000000005</v>
      </c>
      <c r="AL77" s="157">
        <v>140.19999999999999</v>
      </c>
      <c r="AM77" s="162">
        <v>0.159215</v>
      </c>
      <c r="AN77" s="157">
        <v>248.5</v>
      </c>
      <c r="AO77" s="156">
        <v>0.45800000000000002</v>
      </c>
      <c r="AP77" s="157">
        <v>105.19</v>
      </c>
      <c r="AQ77" s="157"/>
      <c r="AR77" s="158">
        <f t="shared" si="7"/>
        <v>3.5470620853956592E-4</v>
      </c>
      <c r="AS77" s="144">
        <f t="shared" si="7"/>
        <v>8.6381466800846118E-5</v>
      </c>
      <c r="AT77" s="144">
        <f t="shared" si="7"/>
        <v>9.8097184284570037E-8</v>
      </c>
      <c r="AU77" s="144">
        <f t="shared" si="7"/>
        <v>1.5310837731819023E-4</v>
      </c>
      <c r="AV77" s="144">
        <f t="shared" si="7"/>
        <v>2.8218767328664436E-7</v>
      </c>
      <c r="AW77" s="158">
        <f t="shared" si="7"/>
        <v>6.4810745312275368E-5</v>
      </c>
      <c r="AX77" s="144"/>
      <c r="AY77" s="159">
        <f t="shared" si="8"/>
        <v>70.941241707913164</v>
      </c>
      <c r="AZ77" s="144">
        <f t="shared" si="8"/>
        <v>17.27629336016923</v>
      </c>
      <c r="BA77" s="144">
        <f t="shared" si="8"/>
        <v>1.9619436856914006E-2</v>
      </c>
      <c r="BB77" s="144">
        <f t="shared" si="8"/>
        <v>30.621675463638045</v>
      </c>
      <c r="BC77" s="144">
        <f t="shared" si="8"/>
        <v>5.6437534657328869E-2</v>
      </c>
      <c r="BD77" s="159">
        <f t="shared" si="8"/>
        <v>12.962149062455076</v>
      </c>
      <c r="BE77" s="144"/>
      <c r="BF77" s="160">
        <f t="shared" si="9"/>
        <v>7.3998809225524215E-5</v>
      </c>
      <c r="BG77" s="144">
        <f t="shared" si="10"/>
        <v>6.0069672013308411E-7</v>
      </c>
      <c r="BH77" s="144">
        <f t="shared" si="10"/>
        <v>6.8216781951490018E-10</v>
      </c>
      <c r="BI77" s="144">
        <f t="shared" si="10"/>
        <v>1.0647156558706949E-6</v>
      </c>
      <c r="BJ77" s="144">
        <f t="shared" si="10"/>
        <v>1.9623330800353246E-9</v>
      </c>
      <c r="BK77" s="160">
        <f t="shared" si="10"/>
        <v>4.5069392290156292E-7</v>
      </c>
      <c r="BL77" s="144"/>
    </row>
    <row r="78" spans="24:64">
      <c r="X78" s="53" t="s">
        <v>231</v>
      </c>
      <c r="Y78" s="39" t="s">
        <v>232</v>
      </c>
      <c r="Z78" s="155" t="s">
        <v>341</v>
      </c>
      <c r="AA78" s="53">
        <v>0.105117</v>
      </c>
      <c r="AB78" s="53">
        <v>34.698954000000001</v>
      </c>
      <c r="AC78" s="53" t="s">
        <v>359</v>
      </c>
      <c r="AD78" s="53" t="s">
        <v>334</v>
      </c>
      <c r="AE78" s="116" t="s">
        <v>347</v>
      </c>
      <c r="AF78" s="154" t="s">
        <v>371</v>
      </c>
      <c r="AG78" s="116" t="s">
        <v>687</v>
      </c>
      <c r="AH78" s="53" t="s">
        <v>366</v>
      </c>
      <c r="AI78" s="53" t="s">
        <v>684</v>
      </c>
      <c r="AJ78" s="53" t="s">
        <v>683</v>
      </c>
      <c r="AK78" s="156">
        <v>1347.5</v>
      </c>
      <c r="AL78" s="157">
        <v>148.9</v>
      </c>
      <c r="AM78" s="162">
        <v>1.294535</v>
      </c>
      <c r="AN78" s="157">
        <v>191.6</v>
      </c>
      <c r="AO78" s="156">
        <v>0.67700000000000005</v>
      </c>
      <c r="AP78" s="157">
        <v>72.87</v>
      </c>
      <c r="AQ78" s="157"/>
      <c r="AR78" s="158">
        <f t="shared" si="7"/>
        <v>8.3023556714793291E-4</v>
      </c>
      <c r="AS78" s="144">
        <f t="shared" si="7"/>
        <v>9.1741800332710357E-5</v>
      </c>
      <c r="AT78" s="144">
        <f t="shared" si="7"/>
        <v>7.9760222628411817E-7</v>
      </c>
      <c r="AU78" s="144">
        <f t="shared" si="7"/>
        <v>1.1805056375921627E-4</v>
      </c>
      <c r="AV78" s="144">
        <f t="shared" si="7"/>
        <v>4.1712020701977777E-7</v>
      </c>
      <c r="AW78" s="158">
        <f t="shared" si="7"/>
        <v>4.4897414306545357E-5</v>
      </c>
      <c r="AX78" s="144"/>
      <c r="AY78" s="159">
        <f t="shared" si="8"/>
        <v>166.04711342958657</v>
      </c>
      <c r="AZ78" s="144">
        <f t="shared" si="8"/>
        <v>18.348360066542071</v>
      </c>
      <c r="BA78" s="144">
        <f t="shared" si="8"/>
        <v>0.15952044525682363</v>
      </c>
      <c r="BB78" s="144">
        <f t="shared" si="8"/>
        <v>23.610112751843257</v>
      </c>
      <c r="BC78" s="144">
        <f t="shared" si="8"/>
        <v>8.3424041403955554E-2</v>
      </c>
      <c r="BD78" s="159">
        <f t="shared" si="8"/>
        <v>8.9794828613090729</v>
      </c>
      <c r="BE78" s="144"/>
      <c r="BF78" s="160">
        <f t="shared" si="9"/>
        <v>1.7320374401840177E-4</v>
      </c>
      <c r="BG78" s="144">
        <f t="shared" si="10"/>
        <v>6.3797247951366787E-7</v>
      </c>
      <c r="BH78" s="144">
        <f t="shared" si="10"/>
        <v>5.5465258815797575E-9</v>
      </c>
      <c r="BI78" s="144">
        <f t="shared" si="10"/>
        <v>8.209236203815898E-7</v>
      </c>
      <c r="BJ78" s="144">
        <f t="shared" si="10"/>
        <v>2.9006539196155351E-9</v>
      </c>
      <c r="BK78" s="160">
        <f t="shared" si="10"/>
        <v>3.1221661908771645E-7</v>
      </c>
      <c r="BL78" s="144"/>
    </row>
    <row r="79" spans="24:64">
      <c r="X79" s="53" t="s">
        <v>233</v>
      </c>
      <c r="Y79" s="39" t="s">
        <v>234</v>
      </c>
      <c r="Z79" s="155" t="s">
        <v>341</v>
      </c>
      <c r="AA79" s="53">
        <v>0.105117</v>
      </c>
      <c r="AB79" s="53">
        <v>34.698954000000001</v>
      </c>
      <c r="AC79" s="53" t="s">
        <v>359</v>
      </c>
      <c r="AD79" s="53" t="s">
        <v>334</v>
      </c>
      <c r="AE79" s="116" t="s">
        <v>347</v>
      </c>
      <c r="AF79" s="154" t="s">
        <v>371</v>
      </c>
      <c r="AG79" s="116" t="s">
        <v>687</v>
      </c>
      <c r="AH79" s="53" t="s">
        <v>367</v>
      </c>
      <c r="AI79" s="53" t="s">
        <v>684</v>
      </c>
      <c r="AJ79" s="53" t="s">
        <v>683</v>
      </c>
      <c r="AK79" s="156">
        <v>435.3</v>
      </c>
      <c r="AL79" s="157">
        <v>52</v>
      </c>
      <c r="AM79" s="162">
        <v>0.83558500000000002</v>
      </c>
      <c r="AN79" s="157">
        <v>177.4</v>
      </c>
      <c r="AO79" s="156">
        <v>0.22500000000000001</v>
      </c>
      <c r="AP79" s="157">
        <v>56.1</v>
      </c>
      <c r="AQ79" s="157"/>
      <c r="AR79" s="158">
        <f t="shared" si="7"/>
        <v>2.682015156805159E-4</v>
      </c>
      <c r="AS79" s="144">
        <f t="shared" si="7"/>
        <v>3.2038775132981449E-5</v>
      </c>
      <c r="AT79" s="144">
        <f t="shared" si="7"/>
        <v>5.14829229221006E-7</v>
      </c>
      <c r="AU79" s="144">
        <f t="shared" si="7"/>
        <v>1.0930151362674826E-4</v>
      </c>
      <c r="AV79" s="144">
        <f t="shared" si="7"/>
        <v>1.3862931547924668E-7</v>
      </c>
      <c r="AW79" s="158">
        <f t="shared" si="7"/>
        <v>3.4564909326158835E-5</v>
      </c>
      <c r="AX79" s="144"/>
      <c r="AY79" s="159">
        <f t="shared" si="8"/>
        <v>53.640303136103178</v>
      </c>
      <c r="AZ79" s="144">
        <f t="shared" si="8"/>
        <v>6.4077550265962913</v>
      </c>
      <c r="BA79" s="144">
        <f t="shared" si="8"/>
        <v>0.1029658458442012</v>
      </c>
      <c r="BB79" s="144">
        <f t="shared" si="8"/>
        <v>21.860302725349655</v>
      </c>
      <c r="BC79" s="144">
        <f t="shared" si="8"/>
        <v>2.7725863095849335E-2</v>
      </c>
      <c r="BD79" s="159">
        <f t="shared" si="8"/>
        <v>6.9129818652317674</v>
      </c>
      <c r="BE79" s="144"/>
      <c r="BF79" s="160">
        <f t="shared" si="9"/>
        <v>5.5952200201269227E-5</v>
      </c>
      <c r="BG79" s="144">
        <f t="shared" si="10"/>
        <v>2.2279764227475304E-7</v>
      </c>
      <c r="BH79" s="144">
        <f t="shared" si="10"/>
        <v>3.5801224600028753E-9</v>
      </c>
      <c r="BI79" s="144">
        <f t="shared" si="10"/>
        <v>7.6008272576040747E-7</v>
      </c>
      <c r="BJ79" s="144">
        <f t="shared" si="10"/>
        <v>9.6402825984268135E-10</v>
      </c>
      <c r="BK79" s="160">
        <f t="shared" si="10"/>
        <v>2.4036437945410852E-7</v>
      </c>
      <c r="BL79" s="144"/>
    </row>
    <row r="80" spans="24:64">
      <c r="X80" s="53" t="s">
        <v>235</v>
      </c>
      <c r="Y80" s="39" t="s">
        <v>236</v>
      </c>
      <c r="Z80" s="155" t="s">
        <v>341</v>
      </c>
      <c r="AA80" s="53">
        <v>0.105629</v>
      </c>
      <c r="AB80" s="53">
        <v>34.699337</v>
      </c>
      <c r="AC80" s="53" t="s">
        <v>359</v>
      </c>
      <c r="AD80" s="53" t="s">
        <v>334</v>
      </c>
      <c r="AE80" s="116" t="s">
        <v>347</v>
      </c>
      <c r="AF80" s="154" t="s">
        <v>371</v>
      </c>
      <c r="AG80" s="116" t="s">
        <v>687</v>
      </c>
      <c r="AH80" s="53" t="s">
        <v>361</v>
      </c>
      <c r="AI80" s="53" t="s">
        <v>685</v>
      </c>
      <c r="AJ80" s="53" t="s">
        <v>690</v>
      </c>
      <c r="AK80" s="156">
        <v>3405.1</v>
      </c>
      <c r="AL80" s="157">
        <v>141.1</v>
      </c>
      <c r="AM80" s="162">
        <v>9.0802549999999993</v>
      </c>
      <c r="AN80" s="157">
        <v>237.8</v>
      </c>
      <c r="AO80" s="156">
        <v>0.95899999999999996</v>
      </c>
      <c r="AP80" s="157">
        <v>98.85</v>
      </c>
      <c r="AQ80" s="157"/>
      <c r="AR80" s="158">
        <f t="shared" si="7"/>
        <v>2.0979852539483681E-3</v>
      </c>
      <c r="AS80" s="144">
        <f t="shared" si="7"/>
        <v>8.6935984062763141E-5</v>
      </c>
      <c r="AT80" s="144">
        <f t="shared" si="7"/>
        <v>5.5946201556755868E-6</v>
      </c>
      <c r="AU80" s="144">
        <f t="shared" si="7"/>
        <v>1.4651578320428826E-4</v>
      </c>
      <c r="AV80" s="144">
        <f t="shared" si="7"/>
        <v>5.9086894908710034E-7</v>
      </c>
      <c r="AW80" s="158">
        <f t="shared" si="7"/>
        <v>6.0904479267215702E-5</v>
      </c>
      <c r="AX80" s="144"/>
      <c r="AY80" s="159">
        <f t="shared" si="8"/>
        <v>419.59705078967363</v>
      </c>
      <c r="AZ80" s="144">
        <f t="shared" si="8"/>
        <v>17.387196812552627</v>
      </c>
      <c r="BA80" s="144">
        <f t="shared" si="8"/>
        <v>1.1189240311351172</v>
      </c>
      <c r="BB80" s="144">
        <f t="shared" si="8"/>
        <v>29.303156640857654</v>
      </c>
      <c r="BC80" s="144">
        <f t="shared" si="8"/>
        <v>0.11817378981742006</v>
      </c>
      <c r="BD80" s="159">
        <f t="shared" si="8"/>
        <v>12.180895853443142</v>
      </c>
      <c r="BE80" s="144"/>
      <c r="BF80" s="160">
        <f t="shared" si="9"/>
        <v>4.3768168367870852E-4</v>
      </c>
      <c r="BG80" s="144">
        <f t="shared" si="10"/>
        <v>6.0455283317245496E-7</v>
      </c>
      <c r="BH80" s="144">
        <f t="shared" si="10"/>
        <v>3.8904988562568029E-8</v>
      </c>
      <c r="BI80" s="144">
        <f t="shared" si="10"/>
        <v>1.0188707564026205E-6</v>
      </c>
      <c r="BJ80" s="144">
        <f t="shared" si="10"/>
        <v>4.1089026719516961E-9</v>
      </c>
      <c r="BK80" s="160">
        <f t="shared" si="10"/>
        <v>4.2352974882421814E-7</v>
      </c>
      <c r="BL80" s="144"/>
    </row>
    <row r="81" spans="24:64">
      <c r="X81" s="53" t="s">
        <v>237</v>
      </c>
      <c r="Y81" s="39" t="s">
        <v>238</v>
      </c>
      <c r="Z81" s="155" t="s">
        <v>341</v>
      </c>
      <c r="AA81" s="53">
        <v>0.105629</v>
      </c>
      <c r="AB81" s="53">
        <v>34.699337</v>
      </c>
      <c r="AC81" s="53" t="s">
        <v>359</v>
      </c>
      <c r="AD81" s="53" t="s">
        <v>334</v>
      </c>
      <c r="AE81" s="116" t="s">
        <v>347</v>
      </c>
      <c r="AF81" s="154" t="s">
        <v>371</v>
      </c>
      <c r="AG81" s="116" t="s">
        <v>687</v>
      </c>
      <c r="AH81" s="53" t="s">
        <v>368</v>
      </c>
      <c r="AI81" s="53" t="s">
        <v>684</v>
      </c>
      <c r="AJ81" s="53" t="s">
        <v>683</v>
      </c>
      <c r="AK81" s="156">
        <v>1615.5</v>
      </c>
      <c r="AL81" s="157">
        <v>99.2</v>
      </c>
      <c r="AM81" s="74">
        <v>2.3111900000000003</v>
      </c>
      <c r="AN81" s="157">
        <v>148.19999999999999</v>
      </c>
      <c r="AO81" s="156">
        <v>0.53200000000000003</v>
      </c>
      <c r="AP81" s="157">
        <v>58.89</v>
      </c>
      <c r="AQ81" s="157"/>
      <c r="AR81" s="158">
        <f t="shared" si="7"/>
        <v>9.9535848514099097E-4</v>
      </c>
      <c r="AS81" s="144">
        <f t="shared" si="7"/>
        <v>6.1120124869072314E-5</v>
      </c>
      <c r="AT81" s="144">
        <f t="shared" si="7"/>
        <v>1.4239941672999121E-6</v>
      </c>
      <c r="AU81" s="144">
        <f t="shared" si="7"/>
        <v>9.1310509128997118E-5</v>
      </c>
      <c r="AV81" s="144">
        <f t="shared" si="7"/>
        <v>3.2778131482204102E-7</v>
      </c>
      <c r="AW81" s="158">
        <f t="shared" si="7"/>
        <v>3.6283912838101499E-5</v>
      </c>
      <c r="AX81" s="144"/>
      <c r="AY81" s="159">
        <f t="shared" si="8"/>
        <v>199.07169702819823</v>
      </c>
      <c r="AZ81" s="144">
        <f t="shared" si="8"/>
        <v>12.224024973814462</v>
      </c>
      <c r="BA81" s="144">
        <f t="shared" si="8"/>
        <v>0.28479883345998236</v>
      </c>
      <c r="BB81" s="144">
        <f t="shared" si="8"/>
        <v>18.26210182579943</v>
      </c>
      <c r="BC81" s="144">
        <f t="shared" si="8"/>
        <v>6.555626296440821E-2</v>
      </c>
      <c r="BD81" s="159">
        <f t="shared" si="8"/>
        <v>7.2567825676202995</v>
      </c>
      <c r="BE81" s="144"/>
      <c r="BF81" s="160">
        <f t="shared" si="9"/>
        <v>2.0765168717011353E-4</v>
      </c>
      <c r="BG81" s="144">
        <f t="shared" si="10"/>
        <v>4.2502934833952877E-7</v>
      </c>
      <c r="BH81" s="144">
        <f t="shared" si="10"/>
        <v>9.9024554394035868E-9</v>
      </c>
      <c r="BI81" s="144">
        <f t="shared" si="10"/>
        <v>6.3497328048304596E-7</v>
      </c>
      <c r="BJ81" s="144">
        <f t="shared" si="10"/>
        <v>2.2793912632724735E-9</v>
      </c>
      <c r="BK81" s="160">
        <f t="shared" si="10"/>
        <v>2.523183298761578E-7</v>
      </c>
      <c r="BL81" s="144"/>
    </row>
    <row r="82" spans="24:64">
      <c r="X82" s="53" t="s">
        <v>239</v>
      </c>
      <c r="Y82" s="39" t="s">
        <v>240</v>
      </c>
      <c r="Z82" s="155" t="s">
        <v>341</v>
      </c>
      <c r="AA82" s="53">
        <v>0.10542700000000001</v>
      </c>
      <c r="AB82" s="53">
        <v>34.698397999999997</v>
      </c>
      <c r="AC82" s="53" t="s">
        <v>359</v>
      </c>
      <c r="AD82" s="53" t="s">
        <v>334</v>
      </c>
      <c r="AE82" s="116" t="s">
        <v>347</v>
      </c>
      <c r="AF82" s="154" t="s">
        <v>371</v>
      </c>
      <c r="AG82" s="116" t="s">
        <v>687</v>
      </c>
      <c r="AH82" s="53" t="s">
        <v>365</v>
      </c>
      <c r="AI82" s="53" t="s">
        <v>685</v>
      </c>
      <c r="AJ82" s="53" t="s">
        <v>691</v>
      </c>
      <c r="AK82" s="156">
        <v>4071.7</v>
      </c>
      <c r="AL82" s="157">
        <v>224.7</v>
      </c>
      <c r="AM82" s="74">
        <v>5.1827399999999999</v>
      </c>
      <c r="AN82" s="157">
        <v>186.3</v>
      </c>
      <c r="AO82" s="156">
        <v>2.0920000000000001</v>
      </c>
      <c r="AP82" s="157">
        <v>56.3</v>
      </c>
      <c r="AQ82" s="157"/>
      <c r="AR82" s="158">
        <f t="shared" si="7"/>
        <v>2.5086977059415498E-3</v>
      </c>
      <c r="AS82" s="144">
        <f t="shared" si="7"/>
        <v>1.3844447639194102E-4</v>
      </c>
      <c r="AT82" s="144">
        <f t="shared" si="7"/>
        <v>3.1932431044751595E-6</v>
      </c>
      <c r="AU82" s="144">
        <f t="shared" si="7"/>
        <v>1.1478507321681624E-4</v>
      </c>
      <c r="AV82" s="144">
        <f t="shared" si="7"/>
        <v>1.2889445688114848E-6</v>
      </c>
      <c r="AW82" s="158">
        <f t="shared" si="7"/>
        <v>3.4688135384362613E-5</v>
      </c>
      <c r="AX82" s="144"/>
      <c r="AY82" s="159">
        <f t="shared" si="8"/>
        <v>501.73954118830994</v>
      </c>
      <c r="AZ82" s="144">
        <f t="shared" si="8"/>
        <v>27.688895278388202</v>
      </c>
      <c r="BA82" s="144">
        <f t="shared" si="8"/>
        <v>0.63864862089503183</v>
      </c>
      <c r="BB82" s="144">
        <f t="shared" si="8"/>
        <v>22.957014643363252</v>
      </c>
      <c r="BC82" s="144">
        <f t="shared" si="8"/>
        <v>0.25778891376229696</v>
      </c>
      <c r="BD82" s="159">
        <f t="shared" si="8"/>
        <v>6.9376270768725226</v>
      </c>
      <c r="BE82" s="144"/>
      <c r="BF82" s="160">
        <f t="shared" si="9"/>
        <v>5.2336451541352611E-4</v>
      </c>
      <c r="BG82" s="144">
        <f t="shared" si="10"/>
        <v>9.6274288882955765E-7</v>
      </c>
      <c r="BH82" s="144">
        <f t="shared" si="10"/>
        <v>2.2205812548520256E-8</v>
      </c>
      <c r="BI82" s="144">
        <f t="shared" si="10"/>
        <v>7.9821539914974017E-7</v>
      </c>
      <c r="BJ82" s="144">
        <f t="shared" si="10"/>
        <v>8.9633205315150654E-9</v>
      </c>
      <c r="BK82" s="160">
        <f t="shared" si="10"/>
        <v>2.4122129346285762E-7</v>
      </c>
      <c r="BL82" s="144"/>
    </row>
    <row r="83" spans="24:64">
      <c r="X83" s="53" t="s">
        <v>241</v>
      </c>
      <c r="Y83" s="39" t="s">
        <v>242</v>
      </c>
      <c r="Z83" s="155" t="s">
        <v>341</v>
      </c>
      <c r="AA83" s="53">
        <v>0.105629</v>
      </c>
      <c r="AB83" s="53">
        <v>34.699337</v>
      </c>
      <c r="AC83" s="53" t="s">
        <v>359</v>
      </c>
      <c r="AD83" s="53" t="s">
        <v>334</v>
      </c>
      <c r="AE83" s="116" t="s">
        <v>347</v>
      </c>
      <c r="AF83" s="154" t="s">
        <v>371</v>
      </c>
      <c r="AG83" s="116" t="s">
        <v>687</v>
      </c>
      <c r="AH83" s="53" t="s">
        <v>367</v>
      </c>
      <c r="AI83" s="53" t="s">
        <v>684</v>
      </c>
      <c r="AJ83" s="53" t="s">
        <v>683</v>
      </c>
      <c r="AK83" s="156">
        <v>668.9</v>
      </c>
      <c r="AL83" s="157">
        <v>153.9</v>
      </c>
      <c r="AM83" s="74">
        <v>2.6561400000000002</v>
      </c>
      <c r="AN83" s="157">
        <v>197.5</v>
      </c>
      <c r="AO83" s="156">
        <v>1.0369999999999999</v>
      </c>
      <c r="AP83" s="157">
        <v>54.39</v>
      </c>
      <c r="AQ83" s="157"/>
      <c r="AR83" s="158">
        <f t="shared" si="7"/>
        <v>4.1212955166252486E-4</v>
      </c>
      <c r="AS83" s="144">
        <f t="shared" si="7"/>
        <v>9.4822451787804726E-5</v>
      </c>
      <c r="AT83" s="144">
        <f t="shared" si="7"/>
        <v>1.6365283111868724E-6</v>
      </c>
      <c r="AU83" s="144">
        <f t="shared" si="7"/>
        <v>1.2168573247622765E-4</v>
      </c>
      <c r="AV83" s="144">
        <f t="shared" si="7"/>
        <v>6.3892711178657228E-7</v>
      </c>
      <c r="AW83" s="158">
        <f t="shared" si="7"/>
        <v>3.3511326528516565E-5</v>
      </c>
      <c r="AX83" s="144"/>
      <c r="AY83" s="159">
        <f t="shared" si="8"/>
        <v>82.425910332504984</v>
      </c>
      <c r="AZ83" s="144">
        <f t="shared" si="8"/>
        <v>18.964490357560944</v>
      </c>
      <c r="BA83" s="144">
        <f t="shared" si="8"/>
        <v>0.32730566223737456</v>
      </c>
      <c r="BB83" s="144">
        <f t="shared" si="8"/>
        <v>24.337146495245527</v>
      </c>
      <c r="BC83" s="144">
        <f t="shared" si="8"/>
        <v>0.12778542235731447</v>
      </c>
      <c r="BD83" s="159">
        <f t="shared" si="8"/>
        <v>6.702265305703313</v>
      </c>
      <c r="BE83" s="144"/>
      <c r="BF83" s="160">
        <f t="shared" si="9"/>
        <v>8.5978467067835941E-5</v>
      </c>
      <c r="BG83" s="144">
        <f t="shared" si="10"/>
        <v>6.5939532973239391E-7</v>
      </c>
      <c r="BH83" s="144">
        <f t="shared" si="10"/>
        <v>1.1380417875993511E-8</v>
      </c>
      <c r="BI83" s="144">
        <f t="shared" si="10"/>
        <v>8.46202583639687E-7</v>
      </c>
      <c r="BJ83" s="144">
        <f t="shared" si="10"/>
        <v>4.4430991353638247E-9</v>
      </c>
      <c r="BK83" s="160">
        <f t="shared" si="10"/>
        <v>2.3303776467930424E-7</v>
      </c>
      <c r="BL83" s="144"/>
    </row>
    <row r="84" spans="24:64">
      <c r="X84" s="53" t="s">
        <v>243</v>
      </c>
      <c r="Y84" s="39" t="s">
        <v>244</v>
      </c>
      <c r="Z84" s="155" t="s">
        <v>341</v>
      </c>
      <c r="AA84" s="53">
        <v>0.105629</v>
      </c>
      <c r="AB84" s="53">
        <v>34.699337</v>
      </c>
      <c r="AC84" s="53" t="s">
        <v>359</v>
      </c>
      <c r="AD84" s="53" t="s">
        <v>334</v>
      </c>
      <c r="AE84" s="116" t="s">
        <v>347</v>
      </c>
      <c r="AF84" s="154" t="s">
        <v>371</v>
      </c>
      <c r="AG84" s="116" t="s">
        <v>687</v>
      </c>
      <c r="AH84" s="53" t="s">
        <v>361</v>
      </c>
      <c r="AI84" s="53" t="s">
        <v>685</v>
      </c>
      <c r="AJ84" s="53" t="s">
        <v>690</v>
      </c>
      <c r="AK84" s="156">
        <v>1730.2</v>
      </c>
      <c r="AL84" s="157">
        <v>115.1</v>
      </c>
      <c r="AM84" s="74">
        <v>2.89608</v>
      </c>
      <c r="AN84" s="157">
        <v>224.1</v>
      </c>
      <c r="AO84" s="156">
        <v>1.1439999999999999</v>
      </c>
      <c r="AP84" s="157">
        <v>83.07</v>
      </c>
      <c r="AQ84" s="157"/>
      <c r="AR84" s="158">
        <f t="shared" si="7"/>
        <v>1.0660286295208559E-3</v>
      </c>
      <c r="AS84" s="144">
        <f t="shared" si="7"/>
        <v>7.0916596496272403E-5</v>
      </c>
      <c r="AT84" s="144">
        <f t="shared" si="7"/>
        <v>1.7843626132139409E-6</v>
      </c>
      <c r="AU84" s="144">
        <f t="shared" si="7"/>
        <v>1.3807479821732968E-4</v>
      </c>
      <c r="AV84" s="144">
        <f t="shared" si="7"/>
        <v>7.0485305292559205E-7</v>
      </c>
      <c r="AW84" s="158">
        <f t="shared" si="7"/>
        <v>5.1181943274937872E-5</v>
      </c>
      <c r="AX84" s="144"/>
      <c r="AY84" s="159">
        <f t="shared" si="8"/>
        <v>213.2057259041712</v>
      </c>
      <c r="AZ84" s="144">
        <f t="shared" si="8"/>
        <v>14.183319299254482</v>
      </c>
      <c r="BA84" s="144">
        <f t="shared" si="8"/>
        <v>0.35687252264278818</v>
      </c>
      <c r="BB84" s="144">
        <f t="shared" si="8"/>
        <v>27.614959643465937</v>
      </c>
      <c r="BC84" s="144">
        <f t="shared" si="8"/>
        <v>0.14097061058511839</v>
      </c>
      <c r="BD84" s="159">
        <f t="shared" si="8"/>
        <v>10.236388654987575</v>
      </c>
      <c r="BE84" s="144"/>
      <c r="BF84" s="160">
        <f t="shared" si="9"/>
        <v>2.2239489269064089E-4</v>
      </c>
      <c r="BG84" s="144">
        <f t="shared" si="10"/>
        <v>4.9315401203507832E-7</v>
      </c>
      <c r="BH84" s="144">
        <f t="shared" si="10"/>
        <v>1.2408457612289746E-8</v>
      </c>
      <c r="BI84" s="144">
        <f t="shared" si="10"/>
        <v>9.6017214680331049E-7</v>
      </c>
      <c r="BJ84" s="144">
        <f t="shared" si="10"/>
        <v>4.9015481300445677E-9</v>
      </c>
      <c r="BK84" s="160">
        <f t="shared" si="10"/>
        <v>3.559192335339179E-7</v>
      </c>
      <c r="BL84" s="144"/>
    </row>
    <row r="85" spans="24:64">
      <c r="X85" s="53" t="s">
        <v>245</v>
      </c>
      <c r="Y85" s="39" t="s">
        <v>246</v>
      </c>
      <c r="Z85" s="155" t="s">
        <v>341</v>
      </c>
      <c r="AA85" s="53">
        <v>0.105629</v>
      </c>
      <c r="AB85" s="53">
        <v>34.699337</v>
      </c>
      <c r="AC85" s="53" t="s">
        <v>359</v>
      </c>
      <c r="AD85" s="53" t="s">
        <v>334</v>
      </c>
      <c r="AE85" s="116" t="s">
        <v>347</v>
      </c>
      <c r="AF85" s="154" t="s">
        <v>371</v>
      </c>
      <c r="AG85" s="116" t="s">
        <v>687</v>
      </c>
      <c r="AH85" s="53" t="s">
        <v>365</v>
      </c>
      <c r="AI85" s="53" t="s">
        <v>685</v>
      </c>
      <c r="AJ85" s="53" t="s">
        <v>691</v>
      </c>
      <c r="AK85" s="156">
        <v>95239.4</v>
      </c>
      <c r="AL85" s="157">
        <v>6453.5</v>
      </c>
      <c r="AM85" s="74">
        <v>144.67769999999999</v>
      </c>
      <c r="AN85" s="157">
        <v>385.2</v>
      </c>
      <c r="AO85" s="156">
        <v>14.455</v>
      </c>
      <c r="AP85" s="157">
        <v>641.96</v>
      </c>
      <c r="AQ85" s="157"/>
      <c r="AR85" s="158">
        <f t="shared" si="7"/>
        <v>5.8679879238462955E-2</v>
      </c>
      <c r="AS85" s="144">
        <f t="shared" si="7"/>
        <v>3.9761968330903038E-3</v>
      </c>
      <c r="AT85" s="144">
        <f t="shared" si="7"/>
        <v>8.9140313404941353E-5</v>
      </c>
      <c r="AU85" s="144">
        <f t="shared" si="7"/>
        <v>2.373333881004703E-4</v>
      </c>
      <c r="AV85" s="144">
        <f t="shared" si="7"/>
        <v>8.9061633566778254E-6</v>
      </c>
      <c r="AW85" s="158">
        <f t="shared" si="7"/>
        <v>3.9553100162247642E-4</v>
      </c>
      <c r="AX85" s="144"/>
      <c r="AY85" s="159">
        <f t="shared" si="8"/>
        <v>11735.975847692593</v>
      </c>
      <c r="AZ85" s="144">
        <f t="shared" si="8"/>
        <v>795.23936661806079</v>
      </c>
      <c r="BA85" s="144">
        <f t="shared" si="8"/>
        <v>17.828062680988271</v>
      </c>
      <c r="BB85" s="144">
        <f t="shared" si="8"/>
        <v>47.46667762009406</v>
      </c>
      <c r="BC85" s="144">
        <f t="shared" si="8"/>
        <v>1.7812326713355653</v>
      </c>
      <c r="BD85" s="159">
        <f t="shared" si="8"/>
        <v>79.10620032449529</v>
      </c>
      <c r="BE85" s="144"/>
      <c r="BF85" s="160">
        <f t="shared" si="9"/>
        <v>1.2241796406728143E-2</v>
      </c>
      <c r="BG85" s="144">
        <f t="shared" si="10"/>
        <v>2.7650472777309978E-5</v>
      </c>
      <c r="BH85" s="144">
        <f t="shared" si="10"/>
        <v>6.1988173941796229E-7</v>
      </c>
      <c r="BI85" s="144">
        <f t="shared" si="10"/>
        <v>1.6504163808506706E-6</v>
      </c>
      <c r="BJ85" s="144">
        <f t="shared" si="10"/>
        <v>6.1933459982337593E-8</v>
      </c>
      <c r="BK85" s="160">
        <f t="shared" si="10"/>
        <v>2.7505225852827013E-6</v>
      </c>
      <c r="BL85" s="144"/>
    </row>
    <row r="86" spans="24:64">
      <c r="X86" s="53" t="s">
        <v>247</v>
      </c>
      <c r="Y86" s="39" t="s">
        <v>248</v>
      </c>
      <c r="Z86" s="155" t="s">
        <v>341</v>
      </c>
      <c r="AA86" s="53">
        <v>0.105629</v>
      </c>
      <c r="AB86" s="53">
        <v>34.699337</v>
      </c>
      <c r="AC86" s="53" t="s">
        <v>359</v>
      </c>
      <c r="AD86" s="53" t="s">
        <v>334</v>
      </c>
      <c r="AE86" s="116" t="s">
        <v>347</v>
      </c>
      <c r="AF86" s="154" t="s">
        <v>371</v>
      </c>
      <c r="AG86" s="116" t="s">
        <v>687</v>
      </c>
      <c r="AH86" s="53" t="s">
        <v>364</v>
      </c>
      <c r="AI86" s="53" t="s">
        <v>685</v>
      </c>
      <c r="AJ86" s="53" t="s">
        <v>690</v>
      </c>
      <c r="AK86" s="156">
        <v>420.1</v>
      </c>
      <c r="AL86" s="157">
        <v>71.3</v>
      </c>
      <c r="AM86" s="74">
        <v>9.3579999999999997E-2</v>
      </c>
      <c r="AN86" s="157">
        <v>257</v>
      </c>
      <c r="AO86" s="156">
        <v>0.23699999999999999</v>
      </c>
      <c r="AP86" s="157">
        <v>103.2</v>
      </c>
      <c r="AQ86" s="157"/>
      <c r="AR86" s="158">
        <f t="shared" si="7"/>
        <v>2.5883633525702898E-4</v>
      </c>
      <c r="AS86" s="144">
        <f t="shared" si="7"/>
        <v>4.3930089749645725E-5</v>
      </c>
      <c r="AT86" s="144">
        <f t="shared" si="7"/>
        <v>5.7657472633546237E-8</v>
      </c>
      <c r="AU86" s="144">
        <f t="shared" si="7"/>
        <v>1.5834548479185063E-4</v>
      </c>
      <c r="AV86" s="144">
        <f t="shared" si="7"/>
        <v>1.4602287897147317E-7</v>
      </c>
      <c r="AW86" s="158">
        <f t="shared" si="7"/>
        <v>6.3584646033147815E-5</v>
      </c>
      <c r="AX86" s="144"/>
      <c r="AY86" s="159">
        <f t="shared" si="8"/>
        <v>51.767267051405803</v>
      </c>
      <c r="AZ86" s="144">
        <f t="shared" si="8"/>
        <v>8.7860179499291444</v>
      </c>
      <c r="BA86" s="144">
        <f t="shared" si="8"/>
        <v>1.1531494526709247E-2</v>
      </c>
      <c r="BB86" s="144">
        <f t="shared" si="8"/>
        <v>31.66909695837013</v>
      </c>
      <c r="BC86" s="144">
        <f t="shared" si="8"/>
        <v>2.9204575794294634E-2</v>
      </c>
      <c r="BD86" s="159">
        <f t="shared" si="8"/>
        <v>12.716929206629562</v>
      </c>
      <c r="BE86" s="144"/>
      <c r="BF86" s="160">
        <f t="shared" si="9"/>
        <v>5.399843626132138E-5</v>
      </c>
      <c r="BG86" s="144">
        <f t="shared" si="10"/>
        <v>3.0548984411903643E-7</v>
      </c>
      <c r="BH86" s="144">
        <f t="shared" si="10"/>
        <v>4.0095006469368047E-10</v>
      </c>
      <c r="BI86" s="144">
        <f t="shared" si="10"/>
        <v>1.1011345012425295E-6</v>
      </c>
      <c r="BJ86" s="144">
        <f t="shared" si="10"/>
        <v>1.0154431003676244E-9</v>
      </c>
      <c r="BK86" s="160">
        <f t="shared" si="10"/>
        <v>4.4216762851450991E-7</v>
      </c>
      <c r="BL86" s="144"/>
    </row>
    <row r="87" spans="24:64">
      <c r="X87" s="53" t="s">
        <v>249</v>
      </c>
      <c r="Y87" s="39" t="s">
        <v>250</v>
      </c>
      <c r="Z87" s="155" t="s">
        <v>341</v>
      </c>
      <c r="AA87" s="53">
        <v>0.105629</v>
      </c>
      <c r="AB87" s="53">
        <v>34.699337</v>
      </c>
      <c r="AC87" s="53" t="s">
        <v>359</v>
      </c>
      <c r="AD87" s="53" t="s">
        <v>334</v>
      </c>
      <c r="AE87" s="116" t="s">
        <v>347</v>
      </c>
      <c r="AF87" s="154" t="s">
        <v>371</v>
      </c>
      <c r="AG87" s="116" t="s">
        <v>687</v>
      </c>
      <c r="AH87" s="53" t="s">
        <v>366</v>
      </c>
      <c r="AI87" s="53" t="s">
        <v>684</v>
      </c>
      <c r="AJ87" s="53" t="s">
        <v>683</v>
      </c>
      <c r="AK87" s="156">
        <v>8567.4</v>
      </c>
      <c r="AL87" s="157">
        <v>181.4</v>
      </c>
      <c r="AM87" s="74">
        <v>5.7652700000000001</v>
      </c>
      <c r="AN87" s="157">
        <v>120.8</v>
      </c>
      <c r="AO87" s="156">
        <v>1.0309999999999999</v>
      </c>
      <c r="AP87" s="157">
        <v>61.82</v>
      </c>
      <c r="AQ87" s="157"/>
      <c r="AR87" s="158">
        <f t="shared" si="7"/>
        <v>5.2786346552751023E-3</v>
      </c>
      <c r="AS87" s="144">
        <f t="shared" si="7"/>
        <v>1.1176603479082376E-4</v>
      </c>
      <c r="AT87" s="144">
        <f t="shared" si="7"/>
        <v>3.5521574829023842E-6</v>
      </c>
      <c r="AU87" s="144">
        <f t="shared" si="7"/>
        <v>7.4428539155079983E-5</v>
      </c>
      <c r="AV87" s="144">
        <f t="shared" si="7"/>
        <v>6.3523033004045915E-7</v>
      </c>
      <c r="AW87" s="158">
        <f t="shared" si="7"/>
        <v>3.8089174590786802E-5</v>
      </c>
      <c r="AX87" s="144"/>
      <c r="AY87" s="159">
        <f t="shared" si="8"/>
        <v>1055.7269310550205</v>
      </c>
      <c r="AZ87" s="144">
        <f t="shared" si="8"/>
        <v>22.353206958164755</v>
      </c>
      <c r="BA87" s="144">
        <f t="shared" si="8"/>
        <v>0.71043149658047688</v>
      </c>
      <c r="BB87" s="144">
        <f t="shared" si="8"/>
        <v>14.885707831015999</v>
      </c>
      <c r="BC87" s="144">
        <f t="shared" si="8"/>
        <v>0.12704606600809182</v>
      </c>
      <c r="BD87" s="159">
        <f t="shared" si="8"/>
        <v>7.617834918157361</v>
      </c>
      <c r="BE87" s="144"/>
      <c r="BF87" s="160">
        <f t="shared" si="9"/>
        <v>1.1012287617834919E-3</v>
      </c>
      <c r="BG87" s="144">
        <f t="shared" si="10"/>
        <v>7.7722100593538856E-7</v>
      </c>
      <c r="BH87" s="144">
        <f t="shared" si="10"/>
        <v>2.4701703136103173E-8</v>
      </c>
      <c r="BI87" s="144">
        <f t="shared" si="10"/>
        <v>5.1757606128442637E-7</v>
      </c>
      <c r="BJ87" s="144">
        <f t="shared" si="10"/>
        <v>4.4173917151013533E-9</v>
      </c>
      <c r="BK87" s="160">
        <f t="shared" si="10"/>
        <v>2.6487212010433135E-7</v>
      </c>
      <c r="BL87" s="144"/>
    </row>
    <row r="88" spans="24:64">
      <c r="X88" s="53" t="s">
        <v>251</v>
      </c>
      <c r="Y88" s="39" t="s">
        <v>252</v>
      </c>
      <c r="Z88" s="155" t="s">
        <v>341</v>
      </c>
      <c r="AA88" s="53">
        <v>0.105494</v>
      </c>
      <c r="AB88" s="53">
        <v>34.699541000000004</v>
      </c>
      <c r="AC88" s="53" t="s">
        <v>359</v>
      </c>
      <c r="AD88" s="53" t="s">
        <v>334</v>
      </c>
      <c r="AE88" s="116" t="s">
        <v>347</v>
      </c>
      <c r="AF88" s="154" t="s">
        <v>371</v>
      </c>
      <c r="AG88" s="39" t="s">
        <v>688</v>
      </c>
      <c r="AH88" s="53" t="s">
        <v>369</v>
      </c>
      <c r="AI88" s="53" t="s">
        <v>685</v>
      </c>
      <c r="AJ88" s="53" t="s">
        <v>691</v>
      </c>
      <c r="AK88" s="156">
        <v>3694.8</v>
      </c>
      <c r="AL88" s="157">
        <v>204.5</v>
      </c>
      <c r="AM88" s="74">
        <v>7.8705299999999996</v>
      </c>
      <c r="AN88" s="157">
        <v>188.7</v>
      </c>
      <c r="AO88" s="156">
        <v>2.1360000000000001</v>
      </c>
      <c r="AP88" s="157">
        <v>57.71</v>
      </c>
      <c r="AQ88" s="157"/>
      <c r="AR88" s="158">
        <f t="shared" si="7"/>
        <v>2.2764781992565359E-3</v>
      </c>
      <c r="AS88" s="144">
        <f t="shared" si="7"/>
        <v>1.2599864451335975E-4</v>
      </c>
      <c r="AT88" s="144">
        <f t="shared" si="7"/>
        <v>4.8492719393727786E-6</v>
      </c>
      <c r="AU88" s="144">
        <f t="shared" si="7"/>
        <v>1.1626378591526155E-4</v>
      </c>
      <c r="AV88" s="144">
        <f t="shared" si="7"/>
        <v>1.3160543016163153E-6</v>
      </c>
      <c r="AW88" s="158">
        <f t="shared" si="7"/>
        <v>3.555687909469922E-5</v>
      </c>
      <c r="AX88" s="144"/>
      <c r="AY88" s="159">
        <f t="shared" si="8"/>
        <v>455.29563985130721</v>
      </c>
      <c r="AZ88" s="144">
        <f t="shared" si="8"/>
        <v>25.19972890267195</v>
      </c>
      <c r="BA88" s="144">
        <f t="shared" si="8"/>
        <v>0.96985438787455591</v>
      </c>
      <c r="BB88" s="144">
        <f t="shared" si="8"/>
        <v>23.25275718305231</v>
      </c>
      <c r="BC88" s="144">
        <f t="shared" si="8"/>
        <v>0.26321086032326302</v>
      </c>
      <c r="BD88" s="159">
        <f t="shared" si="8"/>
        <v>7.1113758189398455</v>
      </c>
      <c r="BE88" s="144"/>
      <c r="BF88" s="160">
        <f t="shared" si="9"/>
        <v>4.7491888192889852E-4</v>
      </c>
      <c r="BG88" s="144">
        <f t="shared" si="10"/>
        <v>8.761945739459038E-7</v>
      </c>
      <c r="BH88" s="144">
        <f t="shared" si="10"/>
        <v>3.3721837066398311E-8</v>
      </c>
      <c r="BI88" s="144">
        <f t="shared" si="10"/>
        <v>8.0849836725472883E-7</v>
      </c>
      <c r="BJ88" s="144">
        <f t="shared" si="10"/>
        <v>9.1518416134398559E-9</v>
      </c>
      <c r="BK88" s="160">
        <f t="shared" si="10"/>
        <v>2.4726253722453843E-7</v>
      </c>
      <c r="BL88" s="144"/>
    </row>
    <row r="89" spans="24:64">
      <c r="X89" s="53" t="s">
        <v>253</v>
      </c>
      <c r="Y89" s="39" t="s">
        <v>254</v>
      </c>
      <c r="Z89" s="155" t="s">
        <v>341</v>
      </c>
      <c r="AA89" s="53">
        <v>0.105494</v>
      </c>
      <c r="AB89" s="53">
        <v>34.699541000000004</v>
      </c>
      <c r="AC89" s="53" t="s">
        <v>359</v>
      </c>
      <c r="AD89" s="53" t="s">
        <v>334</v>
      </c>
      <c r="AE89" s="116" t="s">
        <v>347</v>
      </c>
      <c r="AF89" s="154" t="s">
        <v>371</v>
      </c>
      <c r="AG89" s="116" t="s">
        <v>687</v>
      </c>
      <c r="AH89" s="53" t="s">
        <v>365</v>
      </c>
      <c r="AI89" s="53" t="s">
        <v>685</v>
      </c>
      <c r="AJ89" s="53" t="s">
        <v>691</v>
      </c>
      <c r="AK89" s="156">
        <v>2492.6</v>
      </c>
      <c r="AL89" s="157">
        <v>262.10000000000002</v>
      </c>
      <c r="AM89" s="74">
        <v>70.893924999999996</v>
      </c>
      <c r="AN89" s="157">
        <v>205.9</v>
      </c>
      <c r="AO89" s="156">
        <v>2.2000000000000002</v>
      </c>
      <c r="AP89" s="157">
        <v>72.430000000000007</v>
      </c>
      <c r="AQ89" s="157"/>
      <c r="AR89" s="158">
        <f t="shared" si="7"/>
        <v>1.5357663633936457E-3</v>
      </c>
      <c r="AS89" s="144">
        <f t="shared" si="7"/>
        <v>1.6148774927604692E-4</v>
      </c>
      <c r="AT89" s="144">
        <f t="shared" si="7"/>
        <v>4.3679894641720237E-5</v>
      </c>
      <c r="AU89" s="144">
        <f t="shared" si="7"/>
        <v>1.2686122692078617E-4</v>
      </c>
      <c r="AV89" s="144">
        <f t="shared" si="7"/>
        <v>1.3554866402415234E-6</v>
      </c>
      <c r="AW89" s="158">
        <f t="shared" si="7"/>
        <v>4.4626316978497062E-5</v>
      </c>
      <c r="AX89" s="144"/>
      <c r="AY89" s="159">
        <f t="shared" si="8"/>
        <v>307.15327267872914</v>
      </c>
      <c r="AZ89" s="144">
        <f t="shared" si="8"/>
        <v>32.297549855209382</v>
      </c>
      <c r="BA89" s="144">
        <f t="shared" si="8"/>
        <v>8.7359789283440463</v>
      </c>
      <c r="BB89" s="144">
        <f t="shared" si="8"/>
        <v>25.372245384157235</v>
      </c>
      <c r="BC89" s="144">
        <f t="shared" si="8"/>
        <v>0.27109732804830461</v>
      </c>
      <c r="BD89" s="159">
        <f t="shared" si="8"/>
        <v>8.9252633956994121</v>
      </c>
      <c r="BE89" s="144"/>
      <c r="BF89" s="160">
        <f t="shared" si="9"/>
        <v>3.2039157873118239E-4</v>
      </c>
      <c r="BG89" s="144">
        <f t="shared" si="10"/>
        <v>1.1229858084656306E-6</v>
      </c>
      <c r="BH89" s="144">
        <f t="shared" si="10"/>
        <v>3.037499873385225E-7</v>
      </c>
      <c r="BI89" s="144">
        <f t="shared" si="10"/>
        <v>8.8219297200714697E-7</v>
      </c>
      <c r="BJ89" s="144">
        <f t="shared" si="10"/>
        <v>9.4260540962395511E-9</v>
      </c>
      <c r="BK89" s="160">
        <f t="shared" si="10"/>
        <v>3.103314082684686E-7</v>
      </c>
      <c r="BL89" s="144"/>
    </row>
    <row r="90" spans="24:64">
      <c r="X90" s="53" t="s">
        <v>255</v>
      </c>
      <c r="Y90" s="39" t="s">
        <v>256</v>
      </c>
      <c r="Z90" s="155" t="s">
        <v>342</v>
      </c>
      <c r="AA90" s="53">
        <v>0.10229199999999999</v>
      </c>
      <c r="AB90" s="53">
        <v>34.713501999999998</v>
      </c>
      <c r="AC90" s="53" t="s">
        <v>335</v>
      </c>
      <c r="AD90" s="53" t="s">
        <v>334</v>
      </c>
      <c r="AE90" s="116" t="s">
        <v>347</v>
      </c>
      <c r="AF90" s="154" t="s">
        <v>371</v>
      </c>
      <c r="AG90" s="116" t="s">
        <v>687</v>
      </c>
      <c r="AH90" s="53" t="s">
        <v>365</v>
      </c>
      <c r="AI90" s="53" t="s">
        <v>685</v>
      </c>
      <c r="AJ90" s="53" t="s">
        <v>691</v>
      </c>
      <c r="AK90" s="156">
        <v>10005.1</v>
      </c>
      <c r="AL90" s="157">
        <v>24.2</v>
      </c>
      <c r="AM90" s="74">
        <v>0.89992500000000009</v>
      </c>
      <c r="AN90" s="157">
        <v>137.4</v>
      </c>
      <c r="AO90" s="156">
        <v>0.32400000000000001</v>
      </c>
      <c r="AP90" s="157">
        <v>76.260000000000005</v>
      </c>
      <c r="AQ90" s="157"/>
      <c r="AR90" s="158">
        <f t="shared" si="7"/>
        <v>6.1644451746729369E-3</v>
      </c>
      <c r="AS90" s="144">
        <f t="shared" si="7"/>
        <v>1.4910353042656754E-5</v>
      </c>
      <c r="AT90" s="144">
        <f t="shared" si="7"/>
        <v>5.5447105214516034E-7</v>
      </c>
      <c r="AU90" s="144">
        <f t="shared" si="7"/>
        <v>8.4656301985993297E-5</v>
      </c>
      <c r="AV90" s="144">
        <f t="shared" si="7"/>
        <v>1.9962621429011522E-7</v>
      </c>
      <c r="AW90" s="158">
        <f t="shared" si="7"/>
        <v>4.6986095993099348E-5</v>
      </c>
      <c r="AX90" s="144"/>
      <c r="AY90" s="159">
        <f t="shared" si="8"/>
        <v>1232.8890349345875</v>
      </c>
      <c r="AZ90" s="144">
        <f t="shared" si="8"/>
        <v>2.9820706085313509</v>
      </c>
      <c r="BA90" s="144">
        <f t="shared" si="8"/>
        <v>0.11089421042903205</v>
      </c>
      <c r="BB90" s="144">
        <f t="shared" si="8"/>
        <v>16.93126039719866</v>
      </c>
      <c r="BC90" s="144">
        <f t="shared" si="8"/>
        <v>3.9925242858023041E-2</v>
      </c>
      <c r="BD90" s="159">
        <f t="shared" si="8"/>
        <v>9.3972191986198688</v>
      </c>
      <c r="BE90" s="144"/>
      <c r="BF90" s="160">
        <f t="shared" si="9"/>
        <v>1.2860265523402679E-3</v>
      </c>
      <c r="BG90" s="144">
        <f t="shared" si="10"/>
        <v>1.0368659505863507E-7</v>
      </c>
      <c r="BH90" s="144">
        <f t="shared" si="10"/>
        <v>3.8557916966174448E-9</v>
      </c>
      <c r="BI90" s="144">
        <f t="shared" si="10"/>
        <v>5.8869992401059745E-7</v>
      </c>
      <c r="BJ90" s="144">
        <f t="shared" si="10"/>
        <v>1.3882006941734612E-9</v>
      </c>
      <c r="BK90" s="160">
        <f t="shared" si="10"/>
        <v>3.267413115360129E-7</v>
      </c>
      <c r="BL90" s="144"/>
    </row>
    <row r="91" spans="24:64">
      <c r="X91" s="53" t="s">
        <v>257</v>
      </c>
      <c r="Y91" s="39" t="s">
        <v>258</v>
      </c>
      <c r="Z91" s="155" t="s">
        <v>342</v>
      </c>
      <c r="AA91" s="53">
        <v>0.10229199999999999</v>
      </c>
      <c r="AB91" s="53">
        <v>34.713501999999998</v>
      </c>
      <c r="AC91" s="53" t="s">
        <v>335</v>
      </c>
      <c r="AD91" s="53" t="s">
        <v>334</v>
      </c>
      <c r="AE91" s="116" t="s">
        <v>347</v>
      </c>
      <c r="AF91" s="154" t="s">
        <v>371</v>
      </c>
      <c r="AG91" s="116" t="s">
        <v>687</v>
      </c>
      <c r="AH91" s="53" t="s">
        <v>361</v>
      </c>
      <c r="AI91" s="53" t="s">
        <v>685</v>
      </c>
      <c r="AJ91" s="53" t="s">
        <v>690</v>
      </c>
      <c r="AK91" s="156">
        <v>5348.2</v>
      </c>
      <c r="AL91" s="157">
        <v>105.9</v>
      </c>
      <c r="AM91" s="74">
        <v>88.313275000000004</v>
      </c>
      <c r="AN91" s="157">
        <v>128.30000000000001</v>
      </c>
      <c r="AO91" s="156">
        <v>0.90300000000000002</v>
      </c>
      <c r="AP91" s="157">
        <v>81.83</v>
      </c>
      <c r="AQ91" s="157"/>
      <c r="AR91" s="158">
        <f t="shared" si="7"/>
        <v>3.2951880224271423E-3</v>
      </c>
      <c r="AS91" s="144">
        <f t="shared" si="7"/>
        <v>6.5248197818898763E-5</v>
      </c>
      <c r="AT91" s="144">
        <f t="shared" si="7"/>
        <v>5.4412483826579868E-5</v>
      </c>
      <c r="AU91" s="144">
        <f t="shared" si="7"/>
        <v>7.904951633772157E-5</v>
      </c>
      <c r="AV91" s="144">
        <f t="shared" si="7"/>
        <v>5.563656527900433E-7</v>
      </c>
      <c r="AW91" s="158">
        <f t="shared" si="7"/>
        <v>5.0417941714074466E-5</v>
      </c>
      <c r="AX91" s="144"/>
      <c r="AY91" s="159">
        <f t="shared" si="8"/>
        <v>659.03760448542857</v>
      </c>
      <c r="AZ91" s="144">
        <f t="shared" si="8"/>
        <v>13.049639563779754</v>
      </c>
      <c r="BA91" s="144">
        <f t="shared" si="8"/>
        <v>10.882496765315972</v>
      </c>
      <c r="BB91" s="144">
        <f t="shared" si="8"/>
        <v>15.809903267544311</v>
      </c>
      <c r="BC91" s="144">
        <f t="shared" si="8"/>
        <v>0.11127313055800868</v>
      </c>
      <c r="BD91" s="159">
        <f t="shared" si="8"/>
        <v>10.083588342814894</v>
      </c>
      <c r="BE91" s="144"/>
      <c r="BF91" s="160">
        <f t="shared" si="9"/>
        <v>6.8744212523875027E-4</v>
      </c>
      <c r="BG91" s="144">
        <f t="shared" si="10"/>
        <v>4.5373596763262209E-7</v>
      </c>
      <c r="BH91" s="144">
        <f t="shared" si="10"/>
        <v>3.7838441253003642E-7</v>
      </c>
      <c r="BI91" s="144">
        <f t="shared" si="10"/>
        <v>5.4971033661251569E-7</v>
      </c>
      <c r="BJ91" s="144">
        <f t="shared" si="10"/>
        <v>3.8689667495019619E-9</v>
      </c>
      <c r="BK91" s="160">
        <f t="shared" si="10"/>
        <v>3.5060636667967389E-7</v>
      </c>
      <c r="BL91" s="144"/>
    </row>
    <row r="92" spans="24:64">
      <c r="X92" s="53" t="s">
        <v>259</v>
      </c>
      <c r="Y92" s="39" t="s">
        <v>260</v>
      </c>
      <c r="Z92" s="155" t="s">
        <v>342</v>
      </c>
      <c r="AA92" s="53">
        <v>0.10333000000000001</v>
      </c>
      <c r="AB92" s="53">
        <v>34.713628999999997</v>
      </c>
      <c r="AC92" s="53" t="s">
        <v>335</v>
      </c>
      <c r="AD92" s="53" t="s">
        <v>334</v>
      </c>
      <c r="AE92" s="116" t="s">
        <v>347</v>
      </c>
      <c r="AF92" s="154" t="s">
        <v>371</v>
      </c>
      <c r="AG92" s="116" t="s">
        <v>687</v>
      </c>
      <c r="AH92" s="53" t="s">
        <v>365</v>
      </c>
      <c r="AI92" s="53" t="s">
        <v>685</v>
      </c>
      <c r="AJ92" s="53" t="s">
        <v>691</v>
      </c>
      <c r="AK92" s="156">
        <v>7897.1</v>
      </c>
      <c r="AL92" s="157">
        <v>68.900000000000006</v>
      </c>
      <c r="AM92" s="74">
        <v>15.309225000000001</v>
      </c>
      <c r="AN92" s="157">
        <v>73.599999999999994</v>
      </c>
      <c r="AO92" s="156">
        <v>0.78400000000000003</v>
      </c>
      <c r="AP92" s="157">
        <v>50.31</v>
      </c>
      <c r="AQ92" s="157"/>
      <c r="AR92" s="158">
        <f t="shared" si="7"/>
        <v>4.865642521205151E-3</v>
      </c>
      <c r="AS92" s="144">
        <f t="shared" si="7"/>
        <v>4.2451377051200433E-5</v>
      </c>
      <c r="AT92" s="144">
        <f t="shared" si="7"/>
        <v>9.4324772545234229E-6</v>
      </c>
      <c r="AU92" s="144">
        <f t="shared" si="7"/>
        <v>4.5347189418989125E-5</v>
      </c>
      <c r="AV92" s="144">
        <f t="shared" si="7"/>
        <v>4.8304614815879737E-7</v>
      </c>
      <c r="AW92" s="158">
        <f t="shared" si="7"/>
        <v>3.0997514941159559E-5</v>
      </c>
      <c r="AX92" s="144"/>
      <c r="AY92" s="159">
        <f t="shared" si="8"/>
        <v>973.12850424103021</v>
      </c>
      <c r="AZ92" s="144">
        <f t="shared" si="8"/>
        <v>8.4902754102400859</v>
      </c>
      <c r="BA92" s="144">
        <f t="shared" si="8"/>
        <v>1.886495450904685</v>
      </c>
      <c r="BB92" s="144">
        <f t="shared" si="8"/>
        <v>9.0694378837978267</v>
      </c>
      <c r="BC92" s="144">
        <f t="shared" si="8"/>
        <v>9.6609229631759469E-2</v>
      </c>
      <c r="BD92" s="159">
        <f t="shared" si="8"/>
        <v>6.1995029882319113</v>
      </c>
      <c r="BE92" s="144"/>
      <c r="BF92" s="160">
        <f t="shared" si="9"/>
        <v>1.0150703427738185E-3</v>
      </c>
      <c r="BG92" s="144">
        <f t="shared" si="10"/>
        <v>2.9520687601404778E-7</v>
      </c>
      <c r="BH92" s="144">
        <f t="shared" si="10"/>
        <v>6.5593446827955886E-8</v>
      </c>
      <c r="BI92" s="144">
        <f t="shared" si="10"/>
        <v>3.1534435521965035E-7</v>
      </c>
      <c r="BJ92" s="144">
        <f t="shared" si="10"/>
        <v>3.3591029142962761E-9</v>
      </c>
      <c r="BK92" s="160">
        <f t="shared" si="10"/>
        <v>2.1555671890082355E-7</v>
      </c>
      <c r="BL92" s="144"/>
    </row>
    <row r="93" spans="24:64">
      <c r="X93" s="53" t="s">
        <v>261</v>
      </c>
      <c r="Y93" s="39" t="s">
        <v>262</v>
      </c>
      <c r="Z93" s="155" t="s">
        <v>342</v>
      </c>
      <c r="AA93" s="53">
        <v>0.10229199999999999</v>
      </c>
      <c r="AB93" s="53">
        <v>34.713501999999998</v>
      </c>
      <c r="AC93" s="53" t="s">
        <v>335</v>
      </c>
      <c r="AD93" s="53" t="s">
        <v>334</v>
      </c>
      <c r="AE93" s="116" t="s">
        <v>347</v>
      </c>
      <c r="AF93" s="154" t="s">
        <v>371</v>
      </c>
      <c r="AG93" s="116" t="s">
        <v>687</v>
      </c>
      <c r="AH93" s="53" t="s">
        <v>364</v>
      </c>
      <c r="AI93" s="53" t="s">
        <v>685</v>
      </c>
      <c r="AJ93" s="53" t="s">
        <v>690</v>
      </c>
      <c r="AK93" s="156">
        <v>10325.700000000001</v>
      </c>
      <c r="AL93" s="157">
        <v>26.6</v>
      </c>
      <c r="AM93" s="74">
        <v>8.342625</v>
      </c>
      <c r="AN93" s="157">
        <v>167.4</v>
      </c>
      <c r="AO93" s="156">
        <v>0.38100000000000001</v>
      </c>
      <c r="AP93" s="157">
        <v>78.48</v>
      </c>
      <c r="AQ93" s="157"/>
      <c r="AR93" s="158">
        <f t="shared" si="7"/>
        <v>6.3619765459735885E-3</v>
      </c>
      <c r="AS93" s="144">
        <f t="shared" si="7"/>
        <v>1.6389065741102051E-5</v>
      </c>
      <c r="AT93" s="144">
        <f t="shared" si="7"/>
        <v>5.1401439691113339E-6</v>
      </c>
      <c r="AU93" s="144">
        <f t="shared" si="7"/>
        <v>1.0314021071655952E-4</v>
      </c>
      <c r="AV93" s="144">
        <f t="shared" si="7"/>
        <v>2.3474564087819102E-7</v>
      </c>
      <c r="AW93" s="158">
        <f t="shared" si="7"/>
        <v>4.8353905239161242E-5</v>
      </c>
      <c r="AX93" s="144"/>
      <c r="AY93" s="159">
        <f t="shared" si="8"/>
        <v>1272.3953091947178</v>
      </c>
      <c r="AZ93" s="144">
        <f t="shared" si="8"/>
        <v>3.2778131482204103</v>
      </c>
      <c r="BA93" s="144">
        <f t="shared" si="8"/>
        <v>1.028028793822267</v>
      </c>
      <c r="BB93" s="144">
        <f t="shared" si="8"/>
        <v>20.628042143311905</v>
      </c>
      <c r="BC93" s="144">
        <f t="shared" si="8"/>
        <v>4.6949128175638205E-2</v>
      </c>
      <c r="BD93" s="159">
        <f t="shared" si="8"/>
        <v>9.6707810478322482</v>
      </c>
      <c r="BE93" s="144"/>
      <c r="BF93" s="160">
        <f t="shared" si="9"/>
        <v>1.3272355470210103E-3</v>
      </c>
      <c r="BG93" s="144">
        <f t="shared" si="10"/>
        <v>1.1396956316362367E-7</v>
      </c>
      <c r="BH93" s="144">
        <f t="shared" si="10"/>
        <v>3.5744561161200226E-8</v>
      </c>
      <c r="BI93" s="144">
        <f t="shared" si="10"/>
        <v>7.1723702532295486E-7</v>
      </c>
      <c r="BJ93" s="144">
        <f t="shared" si="10"/>
        <v>1.6324211866669404E-9</v>
      </c>
      <c r="BK93" s="160">
        <f t="shared" si="10"/>
        <v>3.3625305703312728E-7</v>
      </c>
      <c r="BL93" s="144"/>
    </row>
    <row r="94" spans="24:64">
      <c r="X94" s="53" t="s">
        <v>263</v>
      </c>
      <c r="Y94" s="39" t="s">
        <v>264</v>
      </c>
      <c r="Z94" s="155" t="s">
        <v>342</v>
      </c>
      <c r="AA94" s="53">
        <v>0.1033</v>
      </c>
      <c r="AB94" s="53">
        <v>34.713628999999997</v>
      </c>
      <c r="AC94" s="53" t="s">
        <v>335</v>
      </c>
      <c r="AD94" s="53" t="s">
        <v>334</v>
      </c>
      <c r="AE94" s="116" t="s">
        <v>347</v>
      </c>
      <c r="AF94" s="154" t="s">
        <v>371</v>
      </c>
      <c r="AG94" s="116" t="s">
        <v>687</v>
      </c>
      <c r="AH94" s="53" t="s">
        <v>366</v>
      </c>
      <c r="AI94" s="53" t="s">
        <v>684</v>
      </c>
      <c r="AJ94" s="53" t="s">
        <v>683</v>
      </c>
      <c r="AK94" s="156">
        <v>994</v>
      </c>
      <c r="AL94" s="157">
        <v>38</v>
      </c>
      <c r="AM94" s="74">
        <v>5.6278050000000004</v>
      </c>
      <c r="AN94" s="157">
        <v>99.7</v>
      </c>
      <c r="AO94" s="156">
        <v>0.26500000000000001</v>
      </c>
      <c r="AP94" s="157">
        <v>33.380000000000003</v>
      </c>
      <c r="AQ94" s="157"/>
      <c r="AR94" s="158">
        <f t="shared" si="7"/>
        <v>6.1243350927276091E-4</v>
      </c>
      <c r="AS94" s="144">
        <f t="shared" si="7"/>
        <v>2.3412951058717215E-5</v>
      </c>
      <c r="AT94" s="144">
        <f t="shared" si="7"/>
        <v>3.4674611324474751E-6</v>
      </c>
      <c r="AU94" s="144">
        <f t="shared" si="7"/>
        <v>6.1428190014581755E-5</v>
      </c>
      <c r="AV94" s="144">
        <f t="shared" si="7"/>
        <v>1.6327452712000164E-7</v>
      </c>
      <c r="AW94" s="158">
        <f t="shared" si="7"/>
        <v>2.0566429114210022E-5</v>
      </c>
      <c r="AX94" s="144"/>
      <c r="AY94" s="159">
        <f t="shared" si="8"/>
        <v>122.48670185455218</v>
      </c>
      <c r="AZ94" s="144">
        <f t="shared" si="8"/>
        <v>4.6825902117434435</v>
      </c>
      <c r="BA94" s="144">
        <f t="shared" si="8"/>
        <v>0.69349222648949504</v>
      </c>
      <c r="BB94" s="144">
        <f t="shared" si="8"/>
        <v>12.28563800291635</v>
      </c>
      <c r="BC94" s="144">
        <f t="shared" si="8"/>
        <v>3.2654905424000333E-2</v>
      </c>
      <c r="BD94" s="159">
        <f t="shared" si="8"/>
        <v>4.1132858228420037</v>
      </c>
      <c r="BE94" s="144"/>
      <c r="BF94" s="160">
        <f t="shared" si="9"/>
        <v>1.277658787044834E-4</v>
      </c>
      <c r="BG94" s="144">
        <f t="shared" si="10"/>
        <v>1.628136616623195E-7</v>
      </c>
      <c r="BH94" s="144">
        <f t="shared" si="10"/>
        <v>2.411272471503975E-8</v>
      </c>
      <c r="BI94" s="144">
        <f t="shared" si="10"/>
        <v>4.2717163336140146E-7</v>
      </c>
      <c r="BJ94" s="144">
        <f t="shared" si="10"/>
        <v>1.1354110615924915E-9</v>
      </c>
      <c r="BK94" s="160">
        <f t="shared" si="10"/>
        <v>1.4301894806021649E-7</v>
      </c>
      <c r="BL94" s="144"/>
    </row>
    <row r="95" spans="24:64">
      <c r="X95" s="53" t="s">
        <v>265</v>
      </c>
      <c r="Y95" s="39" t="s">
        <v>266</v>
      </c>
      <c r="Z95" s="155" t="s">
        <v>342</v>
      </c>
      <c r="AA95" s="53">
        <v>0.15733900000000001</v>
      </c>
      <c r="AB95" s="53">
        <v>34.817802</v>
      </c>
      <c r="AC95" s="53" t="s">
        <v>679</v>
      </c>
      <c r="AD95" s="53" t="s">
        <v>334</v>
      </c>
      <c r="AE95" s="116" t="s">
        <v>347</v>
      </c>
      <c r="AF95" s="154" t="s">
        <v>371</v>
      </c>
      <c r="AG95" s="116" t="s">
        <v>687</v>
      </c>
      <c r="AH95" s="53" t="s">
        <v>364</v>
      </c>
      <c r="AI95" s="53" t="s">
        <v>685</v>
      </c>
      <c r="AJ95" s="53" t="s">
        <v>690</v>
      </c>
      <c r="AK95" s="156">
        <v>632.29999999999995</v>
      </c>
      <c r="AL95" s="157">
        <v>36.6</v>
      </c>
      <c r="AM95" s="74">
        <v>0.45077499999999998</v>
      </c>
      <c r="AN95" s="157">
        <v>123.9</v>
      </c>
      <c r="AO95" s="156">
        <v>0.29599999999999999</v>
      </c>
      <c r="AP95" s="157">
        <v>99.52</v>
      </c>
      <c r="AQ95" s="157"/>
      <c r="AR95" s="158">
        <f t="shared" si="7"/>
        <v>3.8957918301123402E-4</v>
      </c>
      <c r="AS95" s="144">
        <f t="shared" si="7"/>
        <v>2.2550368651290792E-5</v>
      </c>
      <c r="AT95" s="144">
        <f t="shared" si="7"/>
        <v>2.7773613193403296E-7</v>
      </c>
      <c r="AU95" s="144">
        <f t="shared" si="7"/>
        <v>7.6338543057238501E-5</v>
      </c>
      <c r="AV95" s="144">
        <f t="shared" si="7"/>
        <v>1.8237456614158672E-7</v>
      </c>
      <c r="AW95" s="158">
        <f t="shared" si="7"/>
        <v>6.1317286562198351E-5</v>
      </c>
      <c r="AX95" s="144"/>
      <c r="AY95" s="159">
        <f t="shared" si="8"/>
        <v>77.915836602246827</v>
      </c>
      <c r="AZ95" s="144">
        <f t="shared" si="8"/>
        <v>4.5100737302581582</v>
      </c>
      <c r="BA95" s="144">
        <f t="shared" si="8"/>
        <v>5.5547226386806585E-2</v>
      </c>
      <c r="BB95" s="144">
        <f t="shared" si="8"/>
        <v>15.2677086114477</v>
      </c>
      <c r="BC95" s="144">
        <f t="shared" si="8"/>
        <v>3.6474913228317349E-2</v>
      </c>
      <c r="BD95" s="159">
        <f t="shared" si="8"/>
        <v>12.263457312439671</v>
      </c>
      <c r="BE95" s="144"/>
      <c r="BF95" s="160">
        <f t="shared" si="9"/>
        <v>8.1274009159803648E-5</v>
      </c>
      <c r="BG95" s="144">
        <f t="shared" si="10"/>
        <v>1.568152636010762E-7</v>
      </c>
      <c r="BH95" s="144">
        <f t="shared" si="10"/>
        <v>1.9313770614692656E-9</v>
      </c>
      <c r="BI95" s="144">
        <f t="shared" si="10"/>
        <v>5.308582284200365E-7</v>
      </c>
      <c r="BJ95" s="144">
        <f t="shared" si="10"/>
        <v>1.2682327329485941E-9</v>
      </c>
      <c r="BK95" s="160">
        <f t="shared" si="10"/>
        <v>4.2640041075352735E-7</v>
      </c>
      <c r="BL95" s="144"/>
    </row>
    <row r="96" spans="24:64">
      <c r="X96" s="53" t="s">
        <v>267</v>
      </c>
      <c r="Y96" s="39" t="s">
        <v>268</v>
      </c>
      <c r="Z96" s="155" t="s">
        <v>342</v>
      </c>
      <c r="AA96" s="53">
        <v>0.15733900000000001</v>
      </c>
      <c r="AB96" s="53">
        <v>34.817802</v>
      </c>
      <c r="AC96" s="53" t="s">
        <v>360</v>
      </c>
      <c r="AD96" s="53" t="s">
        <v>334</v>
      </c>
      <c r="AE96" s="116" t="s">
        <v>347</v>
      </c>
      <c r="AF96" s="154" t="s">
        <v>371</v>
      </c>
      <c r="AG96" s="116" t="s">
        <v>687</v>
      </c>
      <c r="AH96" s="53" t="s">
        <v>365</v>
      </c>
      <c r="AI96" s="53" t="s">
        <v>685</v>
      </c>
      <c r="AJ96" s="53" t="s">
        <v>691</v>
      </c>
      <c r="AK96" s="156">
        <v>27.3</v>
      </c>
      <c r="AL96" s="157">
        <v>8.1999999999999993</v>
      </c>
      <c r="AM96" s="74">
        <v>1.075005</v>
      </c>
      <c r="AN96" s="157">
        <v>245.1</v>
      </c>
      <c r="AO96" s="156">
        <v>3.5000000000000003E-2</v>
      </c>
      <c r="AP96" s="157">
        <v>13.43</v>
      </c>
      <c r="AQ96" s="157"/>
      <c r="AR96" s="158">
        <f t="shared" si="7"/>
        <v>1.6820356944815263E-5</v>
      </c>
      <c r="AS96" s="144">
        <f t="shared" si="7"/>
        <v>5.0522683863547664E-6</v>
      </c>
      <c r="AT96" s="144">
        <f t="shared" si="7"/>
        <v>6.6234314349674481E-7</v>
      </c>
      <c r="AU96" s="144">
        <f t="shared" si="7"/>
        <v>1.5101353432872601E-4</v>
      </c>
      <c r="AV96" s="144">
        <f t="shared" si="7"/>
        <v>2.1564560185660596E-8</v>
      </c>
      <c r="AW96" s="158">
        <f t="shared" si="7"/>
        <v>8.274629808383479E-6</v>
      </c>
      <c r="AX96" s="144"/>
      <c r="AY96" s="159">
        <f t="shared" si="8"/>
        <v>3.3640713889630529</v>
      </c>
      <c r="AZ96" s="144">
        <f t="shared" si="8"/>
        <v>1.0104536772709536</v>
      </c>
      <c r="BA96" s="144">
        <f t="shared" si="8"/>
        <v>0.13246862869934894</v>
      </c>
      <c r="BB96" s="144">
        <f t="shared" si="8"/>
        <v>30.20270686574521</v>
      </c>
      <c r="BC96" s="144">
        <f t="shared" si="8"/>
        <v>4.3129120371321198E-3</v>
      </c>
      <c r="BD96" s="159">
        <f t="shared" si="8"/>
        <v>1.6549259616766963</v>
      </c>
      <c r="BE96" s="144"/>
      <c r="BF96" s="160">
        <f t="shared" si="9"/>
        <v>3.5090628658273596E-6</v>
      </c>
      <c r="BG96" s="144">
        <f t="shared" si="10"/>
        <v>3.5133474358711055E-8</v>
      </c>
      <c r="BH96" s="144">
        <f t="shared" si="10"/>
        <v>4.6059342198763632E-9</v>
      </c>
      <c r="BI96" s="144">
        <f t="shared" si="10"/>
        <v>1.050148117721961E-6</v>
      </c>
      <c r="BJ96" s="144">
        <f t="shared" si="10"/>
        <v>1.4995995153108381E-10</v>
      </c>
      <c r="BK96" s="160">
        <f t="shared" si="10"/>
        <v>5.754177568749871E-8</v>
      </c>
      <c r="BL96" s="144"/>
    </row>
    <row r="97" spans="24:64">
      <c r="X97" s="53" t="s">
        <v>269</v>
      </c>
      <c r="Y97" s="39" t="s">
        <v>270</v>
      </c>
      <c r="Z97" s="155" t="s">
        <v>342</v>
      </c>
      <c r="AA97" s="53">
        <v>0.15733900000000001</v>
      </c>
      <c r="AB97" s="53">
        <v>34.817802</v>
      </c>
      <c r="AC97" s="53" t="s">
        <v>679</v>
      </c>
      <c r="AD97" s="53" t="s">
        <v>334</v>
      </c>
      <c r="AE97" s="116" t="s">
        <v>347</v>
      </c>
      <c r="AF97" s="154" t="s">
        <v>371</v>
      </c>
      <c r="AG97" s="116" t="s">
        <v>687</v>
      </c>
      <c r="AH97" s="53" t="s">
        <v>361</v>
      </c>
      <c r="AI97" s="53" t="s">
        <v>685</v>
      </c>
      <c r="AJ97" s="53" t="s">
        <v>690</v>
      </c>
      <c r="AK97" s="156">
        <v>507.7</v>
      </c>
      <c r="AL97" s="157">
        <v>28.1</v>
      </c>
      <c r="AM97" s="74">
        <v>3.6753849999999999</v>
      </c>
      <c r="AN97" s="157">
        <v>133.69999999999999</v>
      </c>
      <c r="AO97" s="156">
        <v>0.185</v>
      </c>
      <c r="AP97" s="157">
        <v>27.95</v>
      </c>
      <c r="AQ97" s="157"/>
      <c r="AR97" s="158">
        <f t="shared" si="7"/>
        <v>3.1280934875028234E-4</v>
      </c>
      <c r="AS97" s="144">
        <f t="shared" si="7"/>
        <v>1.7313261177630364E-5</v>
      </c>
      <c r="AT97" s="144">
        <f t="shared" si="7"/>
        <v>2.2645160296564045E-6</v>
      </c>
      <c r="AU97" s="144">
        <f t="shared" si="7"/>
        <v>8.2376619909223453E-5</v>
      </c>
      <c r="AV97" s="144">
        <f t="shared" si="7"/>
        <v>1.1398410383849171E-7</v>
      </c>
      <c r="AW97" s="158">
        <f t="shared" si="7"/>
        <v>1.7220841633977532E-5</v>
      </c>
      <c r="AX97" s="144"/>
      <c r="AY97" s="159">
        <f t="shared" si="8"/>
        <v>62.561869750056481</v>
      </c>
      <c r="AZ97" s="144">
        <f t="shared" si="8"/>
        <v>3.4626522355260727</v>
      </c>
      <c r="BA97" s="144">
        <f t="shared" si="8"/>
        <v>0.45290320593128092</v>
      </c>
      <c r="BB97" s="144">
        <f t="shared" si="8"/>
        <v>16.475323981844696</v>
      </c>
      <c r="BC97" s="144">
        <f t="shared" si="8"/>
        <v>2.2796820767698341E-2</v>
      </c>
      <c r="BD97" s="159">
        <f t="shared" si="8"/>
        <v>3.4441683267955066</v>
      </c>
      <c r="BE97" s="144"/>
      <c r="BF97" s="160">
        <f t="shared" si="9"/>
        <v>6.5258286336283911E-5</v>
      </c>
      <c r="BG97" s="144">
        <f t="shared" si="10"/>
        <v>1.2039641822924155E-7</v>
      </c>
      <c r="BH97" s="144">
        <f t="shared" si="10"/>
        <v>1.5747444470230636E-8</v>
      </c>
      <c r="BI97" s="144">
        <f t="shared" si="10"/>
        <v>5.7284701484873995E-7</v>
      </c>
      <c r="BJ97" s="144">
        <f t="shared" si="10"/>
        <v>7.9264545809287139E-10</v>
      </c>
      <c r="BK97" s="160">
        <f t="shared" si="10"/>
        <v>1.1975373272267976E-7</v>
      </c>
      <c r="BL97" s="144"/>
    </row>
    <row r="98" spans="24:64">
      <c r="X98" s="53" t="s">
        <v>271</v>
      </c>
      <c r="Y98" s="39" t="s">
        <v>272</v>
      </c>
      <c r="Z98" s="155" t="s">
        <v>342</v>
      </c>
      <c r="AA98" s="53">
        <v>0.156809</v>
      </c>
      <c r="AB98" s="53">
        <v>34.818221000000001</v>
      </c>
      <c r="AC98" s="53" t="s">
        <v>679</v>
      </c>
      <c r="AD98" s="53" t="s">
        <v>334</v>
      </c>
      <c r="AE98" s="116" t="s">
        <v>347</v>
      </c>
      <c r="AF98" s="154" t="s">
        <v>371</v>
      </c>
      <c r="AG98" s="116" t="s">
        <v>687</v>
      </c>
      <c r="AH98" s="53" t="s">
        <v>361</v>
      </c>
      <c r="AI98" s="53" t="s">
        <v>685</v>
      </c>
      <c r="AJ98" s="53" t="s">
        <v>690</v>
      </c>
      <c r="AK98" s="156">
        <v>197.5</v>
      </c>
      <c r="AL98" s="157">
        <v>36.4</v>
      </c>
      <c r="AM98" s="74">
        <v>0.92200500000000007</v>
      </c>
      <c r="AN98" s="157">
        <v>80.2</v>
      </c>
      <c r="AO98" s="156">
        <v>8.7999999999999995E-2</v>
      </c>
      <c r="AP98" s="157">
        <v>24.18</v>
      </c>
      <c r="AQ98" s="157"/>
      <c r="AR98" s="158">
        <f t="shared" si="7"/>
        <v>1.2168573247622765E-4</v>
      </c>
      <c r="AS98" s="144">
        <f t="shared" si="7"/>
        <v>2.2427142593087017E-5</v>
      </c>
      <c r="AT98" s="144">
        <f t="shared" si="7"/>
        <v>5.6807520897085706E-7</v>
      </c>
      <c r="AU98" s="144">
        <f t="shared" si="7"/>
        <v>4.9413649339713702E-5</v>
      </c>
      <c r="AV98" s="144">
        <f t="shared" si="7"/>
        <v>5.4219465609660914E-8</v>
      </c>
      <c r="AW98" s="158">
        <f t="shared" si="7"/>
        <v>1.4898030436836376E-5</v>
      </c>
      <c r="AX98" s="144"/>
      <c r="AY98" s="159">
        <f t="shared" si="8"/>
        <v>24.337146495245527</v>
      </c>
      <c r="AZ98" s="144">
        <f t="shared" si="8"/>
        <v>4.4854285186174039</v>
      </c>
      <c r="BA98" s="144">
        <f t="shared" si="8"/>
        <v>0.11361504179417142</v>
      </c>
      <c r="BB98" s="144">
        <f t="shared" si="8"/>
        <v>9.8827298679427411</v>
      </c>
      <c r="BC98" s="144">
        <f t="shared" si="8"/>
        <v>1.0843893121932182E-2</v>
      </c>
      <c r="BD98" s="159">
        <f t="shared" si="8"/>
        <v>2.9796060873672752</v>
      </c>
      <c r="BE98" s="144"/>
      <c r="BF98" s="160">
        <f t="shared" si="9"/>
        <v>2.5386077509190608E-5</v>
      </c>
      <c r="BG98" s="144">
        <f t="shared" si="10"/>
        <v>1.5595834959232712E-7</v>
      </c>
      <c r="BH98" s="144">
        <f t="shared" si="10"/>
        <v>3.9503950031833401E-9</v>
      </c>
      <c r="BI98" s="144">
        <f t="shared" si="10"/>
        <v>3.4362251750836909E-7</v>
      </c>
      <c r="BJ98" s="144">
        <f t="shared" si="10"/>
        <v>3.7704216384958202E-10</v>
      </c>
      <c r="BK98" s="160">
        <f t="shared" si="10"/>
        <v>1.0360090365776017E-7</v>
      </c>
      <c r="BL98" s="144"/>
    </row>
    <row r="99" spans="24:64">
      <c r="X99" s="53" t="s">
        <v>273</v>
      </c>
      <c r="Y99" s="39" t="s">
        <v>274</v>
      </c>
      <c r="Z99" s="155" t="s">
        <v>342</v>
      </c>
      <c r="AA99" s="53">
        <v>0.156809</v>
      </c>
      <c r="AB99" s="53">
        <v>34.818221000000001</v>
      </c>
      <c r="AC99" s="53" t="s">
        <v>679</v>
      </c>
      <c r="AD99" s="53" t="s">
        <v>334</v>
      </c>
      <c r="AE99" s="116" t="s">
        <v>347</v>
      </c>
      <c r="AF99" s="154" t="s">
        <v>371</v>
      </c>
      <c r="AG99" s="116" t="s">
        <v>687</v>
      </c>
      <c r="AH99" s="53" t="s">
        <v>365</v>
      </c>
      <c r="AI99" s="53" t="s">
        <v>685</v>
      </c>
      <c r="AJ99" s="53" t="s">
        <v>691</v>
      </c>
      <c r="AK99" s="156">
        <v>1283.7</v>
      </c>
      <c r="AL99" s="157">
        <v>40.5</v>
      </c>
      <c r="AM99" s="74">
        <v>0.257525</v>
      </c>
      <c r="AN99" s="157">
        <v>170.1</v>
      </c>
      <c r="AO99" s="156">
        <v>0.17199999999999999</v>
      </c>
      <c r="AP99" s="157">
        <v>17.170000000000002</v>
      </c>
      <c r="AQ99" s="157"/>
      <c r="AR99" s="158">
        <f t="shared" si="7"/>
        <v>7.9092645458092874E-4</v>
      </c>
      <c r="AS99" s="144">
        <f t="shared" si="7"/>
        <v>2.49532767862644E-5</v>
      </c>
      <c r="AT99" s="144">
        <f t="shared" si="7"/>
        <v>1.5866895319463554E-7</v>
      </c>
      <c r="AU99" s="144">
        <f t="shared" si="7"/>
        <v>1.0480376250231048E-4</v>
      </c>
      <c r="AV99" s="144">
        <f t="shared" si="7"/>
        <v>1.0597441005524635E-7</v>
      </c>
      <c r="AW99" s="158">
        <f t="shared" si="7"/>
        <v>1.0578957096794072E-5</v>
      </c>
      <c r="AX99" s="144"/>
      <c r="AY99" s="159">
        <f t="shared" si="8"/>
        <v>158.18529091618575</v>
      </c>
      <c r="AZ99" s="144">
        <f t="shared" si="8"/>
        <v>4.99065535725288</v>
      </c>
      <c r="BA99" s="144">
        <f t="shared" si="8"/>
        <v>3.173379063892711E-2</v>
      </c>
      <c r="BB99" s="144">
        <f t="shared" si="8"/>
        <v>20.960752500462096</v>
      </c>
      <c r="BC99" s="144">
        <f t="shared" si="8"/>
        <v>2.1194882011049264E-2</v>
      </c>
      <c r="BD99" s="159">
        <f t="shared" si="8"/>
        <v>2.1157914193588141</v>
      </c>
      <c r="BE99" s="144"/>
      <c r="BF99" s="160">
        <f t="shared" si="9"/>
        <v>1.6500307695467334E-4</v>
      </c>
      <c r="BG99" s="144">
        <f t="shared" si="10"/>
        <v>1.7352508677168265E-7</v>
      </c>
      <c r="BH99" s="144">
        <f t="shared" si="10"/>
        <v>1.1033839005154956E-9</v>
      </c>
      <c r="BI99" s="144">
        <f t="shared" si="10"/>
        <v>7.2880536444106709E-7</v>
      </c>
      <c r="BJ99" s="144">
        <f t="shared" si="10"/>
        <v>7.3694604752418319E-10</v>
      </c>
      <c r="BK99" s="160">
        <f t="shared" si="10"/>
        <v>7.3566067651105971E-8</v>
      </c>
      <c r="BL99" s="144"/>
    </row>
    <row r="100" spans="24:64">
      <c r="X100" s="53" t="s">
        <v>275</v>
      </c>
      <c r="Y100" s="39" t="s">
        <v>276</v>
      </c>
      <c r="Z100" s="155" t="s">
        <v>342</v>
      </c>
      <c r="AA100" s="53">
        <v>0.156809</v>
      </c>
      <c r="AB100" s="53">
        <v>34.818221000000001</v>
      </c>
      <c r="AC100" s="53" t="s">
        <v>679</v>
      </c>
      <c r="AD100" s="53" t="s">
        <v>334</v>
      </c>
      <c r="AE100" s="116" t="s">
        <v>347</v>
      </c>
      <c r="AF100" s="154" t="s">
        <v>371</v>
      </c>
      <c r="AG100" s="116" t="s">
        <v>687</v>
      </c>
      <c r="AH100" s="53" t="s">
        <v>364</v>
      </c>
      <c r="AI100" s="53" t="s">
        <v>685</v>
      </c>
      <c r="AJ100" s="53" t="s">
        <v>690</v>
      </c>
      <c r="AK100" s="156">
        <v>56.7</v>
      </c>
      <c r="AL100" s="157">
        <v>10.8</v>
      </c>
      <c r="AM100" s="74">
        <v>0.136435</v>
      </c>
      <c r="AN100" s="157">
        <v>103.2</v>
      </c>
      <c r="AO100" s="156">
        <v>1.2E-2</v>
      </c>
      <c r="AP100" s="157">
        <v>5.39</v>
      </c>
      <c r="AQ100" s="157"/>
      <c r="AR100" s="158">
        <f t="shared" si="7"/>
        <v>3.4934587500770161E-5</v>
      </c>
      <c r="AS100" s="144">
        <f t="shared" si="7"/>
        <v>6.6542071430038404E-6</v>
      </c>
      <c r="AT100" s="144">
        <f t="shared" si="7"/>
        <v>8.406173625516007E-8</v>
      </c>
      <c r="AU100" s="144">
        <f t="shared" si="7"/>
        <v>6.3584646033147815E-5</v>
      </c>
      <c r="AV100" s="144">
        <f t="shared" si="7"/>
        <v>7.3935634922264897E-9</v>
      </c>
      <c r="AW100" s="158">
        <f t="shared" si="7"/>
        <v>3.3209422685917311E-6</v>
      </c>
      <c r="AX100" s="144"/>
      <c r="AY100" s="159">
        <f t="shared" si="8"/>
        <v>6.9869175001540329</v>
      </c>
      <c r="AZ100" s="144">
        <f t="shared" si="8"/>
        <v>1.3308414286007682</v>
      </c>
      <c r="BA100" s="144">
        <f t="shared" si="8"/>
        <v>1.6812347251032016E-2</v>
      </c>
      <c r="BB100" s="144">
        <f t="shared" si="8"/>
        <v>12.716929206629562</v>
      </c>
      <c r="BC100" s="144">
        <f t="shared" si="8"/>
        <v>1.478712698445298E-3</v>
      </c>
      <c r="BD100" s="159">
        <f t="shared" si="8"/>
        <v>0.66418845371834634</v>
      </c>
      <c r="BE100" s="144"/>
      <c r="BF100" s="160">
        <f t="shared" si="9"/>
        <v>7.2880536444106701E-6</v>
      </c>
      <c r="BG100" s="144">
        <f t="shared" si="10"/>
        <v>4.6273356472448714E-8</v>
      </c>
      <c r="BH100" s="144">
        <f t="shared" si="10"/>
        <v>5.8456531391838328E-10</v>
      </c>
      <c r="BI100" s="144">
        <f t="shared" si="10"/>
        <v>4.4216762851450991E-7</v>
      </c>
      <c r="BJ100" s="144">
        <f t="shared" si="10"/>
        <v>5.1414840524943017E-11</v>
      </c>
      <c r="BK100" s="160">
        <f t="shared" si="10"/>
        <v>2.30938325357869E-8</v>
      </c>
      <c r="BL100" s="144"/>
    </row>
    <row r="101" spans="24:64">
      <c r="X101" s="53" t="s">
        <v>277</v>
      </c>
      <c r="Y101" s="39" t="s">
        <v>278</v>
      </c>
      <c r="Z101" s="155" t="s">
        <v>342</v>
      </c>
      <c r="AA101" s="53">
        <v>0.156392</v>
      </c>
      <c r="AB101" s="53">
        <v>34.817486000000002</v>
      </c>
      <c r="AC101" s="53" t="s">
        <v>679</v>
      </c>
      <c r="AD101" s="53" t="s">
        <v>334</v>
      </c>
      <c r="AE101" s="116" t="s">
        <v>347</v>
      </c>
      <c r="AF101" s="154" t="s">
        <v>371</v>
      </c>
      <c r="AG101" s="116" t="s">
        <v>687</v>
      </c>
      <c r="AH101" s="53" t="s">
        <v>367</v>
      </c>
      <c r="AI101" s="53" t="s">
        <v>684</v>
      </c>
      <c r="AJ101" s="53" t="s">
        <v>683</v>
      </c>
      <c r="AK101" s="156">
        <v>15.7</v>
      </c>
      <c r="AL101" s="157">
        <v>24.4</v>
      </c>
      <c r="AM101" s="74">
        <v>0.22564500000000001</v>
      </c>
      <c r="AN101" s="157">
        <v>115.1</v>
      </c>
      <c r="AO101" s="156">
        <v>5.6000000000000001E-2</v>
      </c>
      <c r="AP101" s="157">
        <v>36.33</v>
      </c>
      <c r="AQ101" s="157"/>
      <c r="AR101" s="158">
        <f t="shared" si="7"/>
        <v>9.6732455689963226E-6</v>
      </c>
      <c r="AS101" s="144">
        <f t="shared" si="7"/>
        <v>1.5033579100860527E-5</v>
      </c>
      <c r="AT101" s="144">
        <f t="shared" si="7"/>
        <v>1.3902671951695385E-7</v>
      </c>
      <c r="AU101" s="144">
        <f t="shared" si="7"/>
        <v>7.0916596496272403E-5</v>
      </c>
      <c r="AV101" s="144">
        <f t="shared" si="7"/>
        <v>3.4503296297056952E-8</v>
      </c>
      <c r="AW101" s="158">
        <f t="shared" si="7"/>
        <v>2.2384013472715695E-5</v>
      </c>
      <c r="AX101" s="144"/>
      <c r="AY101" s="159">
        <f t="shared" si="8"/>
        <v>1.9346491137992647</v>
      </c>
      <c r="AZ101" s="144">
        <f t="shared" si="8"/>
        <v>3.0067158201721056</v>
      </c>
      <c r="BA101" s="144">
        <f t="shared" si="8"/>
        <v>2.7805343903390772E-2</v>
      </c>
      <c r="BB101" s="144">
        <f t="shared" si="8"/>
        <v>14.183319299254482</v>
      </c>
      <c r="BC101" s="144">
        <f t="shared" si="8"/>
        <v>6.9006592594113916E-3</v>
      </c>
      <c r="BD101" s="159">
        <f t="shared" si="8"/>
        <v>4.4768026945431387</v>
      </c>
      <c r="BE101" s="144"/>
      <c r="BF101" s="160">
        <f t="shared" si="9"/>
        <v>2.0180324906040132E-6</v>
      </c>
      <c r="BG101" s="144">
        <f t="shared" si="10"/>
        <v>1.0454350906738412E-7</v>
      </c>
      <c r="BH101" s="144">
        <f t="shared" si="10"/>
        <v>9.6679180752089703E-10</v>
      </c>
      <c r="BI101" s="144">
        <f t="shared" si="10"/>
        <v>4.9315401203507832E-7</v>
      </c>
      <c r="BJ101" s="144">
        <f t="shared" si="10"/>
        <v>2.3993592244973403E-10</v>
      </c>
      <c r="BK101" s="160">
        <f t="shared" si="10"/>
        <v>1.5565842968926493E-7</v>
      </c>
      <c r="BL101" s="144"/>
    </row>
    <row r="102" spans="24:64">
      <c r="X102" s="53" t="s">
        <v>279</v>
      </c>
      <c r="Y102" s="39" t="s">
        <v>280</v>
      </c>
      <c r="Z102" s="155" t="s">
        <v>342</v>
      </c>
      <c r="AA102" s="53">
        <v>0.156392</v>
      </c>
      <c r="AB102" s="53">
        <v>34.817486000000002</v>
      </c>
      <c r="AC102" s="53" t="s">
        <v>679</v>
      </c>
      <c r="AD102" s="53" t="s">
        <v>334</v>
      </c>
      <c r="AE102" s="116" t="s">
        <v>347</v>
      </c>
      <c r="AF102" s="154" t="s">
        <v>371</v>
      </c>
      <c r="AG102" s="116" t="s">
        <v>687</v>
      </c>
      <c r="AH102" s="53" t="s">
        <v>361</v>
      </c>
      <c r="AI102" s="53" t="s">
        <v>685</v>
      </c>
      <c r="AJ102" s="53" t="s">
        <v>690</v>
      </c>
      <c r="AK102" s="156">
        <v>1662.2</v>
      </c>
      <c r="AL102" s="157">
        <v>63.9</v>
      </c>
      <c r="AM102" s="74">
        <v>4.1999950000000004</v>
      </c>
      <c r="AN102" s="157">
        <v>190.4</v>
      </c>
      <c r="AO102" s="156">
        <v>0.219</v>
      </c>
      <c r="AP102" s="157">
        <v>16.37</v>
      </c>
      <c r="AQ102" s="157"/>
      <c r="AR102" s="158">
        <f t="shared" si="7"/>
        <v>1.0241317697315725E-3</v>
      </c>
      <c r="AS102" s="144">
        <f t="shared" si="7"/>
        <v>3.9370725596106058E-5</v>
      </c>
      <c r="AT102" s="144">
        <f t="shared" si="7"/>
        <v>2.5877441416278163E-6</v>
      </c>
      <c r="AU102" s="144">
        <f t="shared" si="7"/>
        <v>1.1731120740999363E-4</v>
      </c>
      <c r="AV102" s="144">
        <f t="shared" si="7"/>
        <v>1.3493253373313341E-7</v>
      </c>
      <c r="AW102" s="158">
        <f t="shared" si="7"/>
        <v>1.0086052863978968E-5</v>
      </c>
      <c r="AX102" s="144"/>
      <c r="AY102" s="159">
        <f t="shared" si="8"/>
        <v>204.82635394631453</v>
      </c>
      <c r="AZ102" s="144">
        <f t="shared" si="8"/>
        <v>7.8741451192212111</v>
      </c>
      <c r="BA102" s="144">
        <f t="shared" si="8"/>
        <v>0.51754882832556326</v>
      </c>
      <c r="BB102" s="144">
        <f t="shared" si="8"/>
        <v>23.462241481998728</v>
      </c>
      <c r="BC102" s="144">
        <f t="shared" si="8"/>
        <v>2.6986506746626688E-2</v>
      </c>
      <c r="BD102" s="159">
        <f t="shared" si="8"/>
        <v>2.0172105727957943</v>
      </c>
      <c r="BE102" s="144"/>
      <c r="BF102" s="160">
        <f t="shared" si="9"/>
        <v>2.136543698014006E-4</v>
      </c>
      <c r="BG102" s="144">
        <f t="shared" si="10"/>
        <v>2.7378402579532153E-7</v>
      </c>
      <c r="BH102" s="144">
        <f t="shared" si="10"/>
        <v>1.7995172760879838E-8</v>
      </c>
      <c r="BI102" s="144">
        <f t="shared" si="10"/>
        <v>8.1578213632909589E-7</v>
      </c>
      <c r="BJ102" s="144">
        <f t="shared" si="10"/>
        <v>9.3832083958020991E-10</v>
      </c>
      <c r="BK102" s="160">
        <f t="shared" si="10"/>
        <v>7.0138411616109754E-8</v>
      </c>
      <c r="BL102" s="144"/>
    </row>
    <row r="103" spans="24:64">
      <c r="X103" s="53" t="s">
        <v>281</v>
      </c>
      <c r="Y103" s="39" t="s">
        <v>282</v>
      </c>
      <c r="Z103" s="155" t="s">
        <v>342</v>
      </c>
      <c r="AA103" s="53">
        <v>0.156392</v>
      </c>
      <c r="AB103" s="53">
        <v>34.817486000000002</v>
      </c>
      <c r="AC103" s="53" t="s">
        <v>679</v>
      </c>
      <c r="AD103" s="53" t="s">
        <v>334</v>
      </c>
      <c r="AE103" s="116" t="s">
        <v>347</v>
      </c>
      <c r="AF103" s="154" t="s">
        <v>371</v>
      </c>
      <c r="AG103" s="116" t="s">
        <v>687</v>
      </c>
      <c r="AH103" s="53" t="s">
        <v>365</v>
      </c>
      <c r="AI103" s="53" t="s">
        <v>685</v>
      </c>
      <c r="AJ103" s="53" t="s">
        <v>691</v>
      </c>
      <c r="AK103" s="156">
        <v>531.9</v>
      </c>
      <c r="AL103" s="157">
        <v>29.6</v>
      </c>
      <c r="AM103" s="74">
        <v>3.6206849999999999</v>
      </c>
      <c r="AN103" s="157">
        <v>75.7</v>
      </c>
      <c r="AO103" s="156">
        <v>0.14199999999999999</v>
      </c>
      <c r="AP103" s="157">
        <v>7.12</v>
      </c>
      <c r="AQ103" s="157"/>
      <c r="AR103" s="158">
        <f t="shared" si="7"/>
        <v>3.2771970179293916E-4</v>
      </c>
      <c r="AS103" s="144">
        <f t="shared" si="7"/>
        <v>1.8237456614158673E-5</v>
      </c>
      <c r="AT103" s="144">
        <f t="shared" si="7"/>
        <v>2.2308137027376719E-6</v>
      </c>
      <c r="AU103" s="144">
        <f t="shared" si="7"/>
        <v>4.6641063030128774E-5</v>
      </c>
      <c r="AV103" s="144">
        <f t="shared" si="7"/>
        <v>8.7490501324680119E-8</v>
      </c>
      <c r="AW103" s="158">
        <f t="shared" si="7"/>
        <v>4.386847672054384E-6</v>
      </c>
      <c r="AX103" s="144"/>
      <c r="AY103" s="159">
        <f t="shared" si="8"/>
        <v>65.543940358587832</v>
      </c>
      <c r="AZ103" s="144">
        <f t="shared" si="8"/>
        <v>3.6474913228317347</v>
      </c>
      <c r="BA103" s="144">
        <f t="shared" si="8"/>
        <v>0.44616274054753452</v>
      </c>
      <c r="BB103" s="144">
        <f t="shared" si="8"/>
        <v>9.3282126060257546</v>
      </c>
      <c r="BC103" s="144">
        <f t="shared" si="8"/>
        <v>1.7498100264936024E-2</v>
      </c>
      <c r="BD103" s="159">
        <f t="shared" si="8"/>
        <v>0.87736953441087673</v>
      </c>
      <c r="BE103" s="144"/>
      <c r="BF103" s="160">
        <f t="shared" si="9"/>
        <v>6.8368884188042966E-5</v>
      </c>
      <c r="BG103" s="144">
        <f t="shared" si="10"/>
        <v>1.2682327329485943E-7</v>
      </c>
      <c r="BH103" s="144">
        <f t="shared" si="10"/>
        <v>1.5513078488837775E-8</v>
      </c>
      <c r="BI103" s="144">
        <f t="shared" si="10"/>
        <v>3.2434195231151552E-7</v>
      </c>
      <c r="BJ103" s="144">
        <f t="shared" si="10"/>
        <v>6.0840894621182572E-10</v>
      </c>
      <c r="BK103" s="160">
        <f t="shared" si="10"/>
        <v>3.0506138711466184E-8</v>
      </c>
      <c r="BL103" s="144"/>
    </row>
    <row r="104" spans="24:64">
      <c r="X104" s="53" t="s">
        <v>283</v>
      </c>
      <c r="Y104" s="39" t="s">
        <v>284</v>
      </c>
      <c r="Z104" s="155" t="s">
        <v>342</v>
      </c>
      <c r="AA104" s="53">
        <v>0.156392</v>
      </c>
      <c r="AB104" s="53">
        <v>34.817486000000002</v>
      </c>
      <c r="AC104" s="53" t="s">
        <v>679</v>
      </c>
      <c r="AD104" s="53" t="s">
        <v>334</v>
      </c>
      <c r="AE104" s="116" t="s">
        <v>347</v>
      </c>
      <c r="AF104" s="154" t="s">
        <v>371</v>
      </c>
      <c r="AG104" s="116" t="s">
        <v>687</v>
      </c>
      <c r="AH104" s="53" t="s">
        <v>364</v>
      </c>
      <c r="AI104" s="53" t="s">
        <v>685</v>
      </c>
      <c r="AJ104" s="53" t="s">
        <v>690</v>
      </c>
      <c r="AK104" s="156">
        <v>1360.6</v>
      </c>
      <c r="AL104" s="157">
        <v>45</v>
      </c>
      <c r="AM104" s="74">
        <v>0.20890500000000001</v>
      </c>
      <c r="AN104" s="157">
        <v>208</v>
      </c>
      <c r="AO104" s="156">
        <v>0.25</v>
      </c>
      <c r="AP104" s="157">
        <v>12.19</v>
      </c>
      <c r="AQ104" s="157"/>
      <c r="AR104" s="158">
        <f t="shared" ref="AR104:AW119" si="11">(AK104*100*350*30*0.000001)/(70*66.7*365)</f>
        <v>8.3830687396028005E-4</v>
      </c>
      <c r="AS104" s="144">
        <f t="shared" si="11"/>
        <v>2.7725863095849334E-5</v>
      </c>
      <c r="AT104" s="144">
        <f t="shared" si="11"/>
        <v>1.2871269844529789E-7</v>
      </c>
      <c r="AU104" s="144">
        <f t="shared" si="11"/>
        <v>1.281551005319258E-4</v>
      </c>
      <c r="AV104" s="144">
        <f t="shared" si="11"/>
        <v>1.5403257275471853E-7</v>
      </c>
      <c r="AW104" s="158">
        <f t="shared" si="11"/>
        <v>7.5106282475200759E-6</v>
      </c>
      <c r="AX104" s="144"/>
      <c r="AY104" s="159">
        <f t="shared" ref="AY104:BD119" si="12">(AK104*20*350*30)/(70*66.7*365)</f>
        <v>167.66137479205602</v>
      </c>
      <c r="AZ104" s="144">
        <f t="shared" si="12"/>
        <v>5.5451726191698674</v>
      </c>
      <c r="BA104" s="144">
        <f t="shared" si="12"/>
        <v>2.5742539689059585E-2</v>
      </c>
      <c r="BB104" s="144">
        <f t="shared" si="12"/>
        <v>25.631020106385165</v>
      </c>
      <c r="BC104" s="144">
        <f t="shared" si="12"/>
        <v>3.0806514550943707E-2</v>
      </c>
      <c r="BD104" s="159">
        <f t="shared" si="12"/>
        <v>1.5021256495040152</v>
      </c>
      <c r="BE104" s="144"/>
      <c r="BF104" s="160">
        <f t="shared" si="9"/>
        <v>1.7488758004559357E-4</v>
      </c>
      <c r="BG104" s="144">
        <f t="shared" ref="BG104:BK119" si="13">(AL104*5700*0.61*0.2*0.001*350*30*0.000001)/(70*66.7*365)</f>
        <v>1.9280565196853627E-7</v>
      </c>
      <c r="BH104" s="144">
        <f t="shared" si="13"/>
        <v>8.9506810498860169E-10</v>
      </c>
      <c r="BI104" s="144">
        <f t="shared" si="13"/>
        <v>8.9119056909901214E-7</v>
      </c>
      <c r="BJ104" s="144">
        <f t="shared" si="13"/>
        <v>1.0711425109363129E-9</v>
      </c>
      <c r="BK104" s="160">
        <f t="shared" si="13"/>
        <v>5.2228908833254601E-8</v>
      </c>
      <c r="BL104" s="144"/>
    </row>
    <row r="105" spans="24:64">
      <c r="X105" s="53" t="s">
        <v>285</v>
      </c>
      <c r="Y105" s="39" t="s">
        <v>286</v>
      </c>
      <c r="Z105" s="155" t="s">
        <v>342</v>
      </c>
      <c r="AA105" s="53">
        <v>0.156392</v>
      </c>
      <c r="AB105" s="53">
        <v>34.817486000000002</v>
      </c>
      <c r="AC105" s="53" t="s">
        <v>679</v>
      </c>
      <c r="AD105" s="53" t="s">
        <v>334</v>
      </c>
      <c r="AE105" s="116" t="s">
        <v>347</v>
      </c>
      <c r="AF105" s="154" t="s">
        <v>371</v>
      </c>
      <c r="AG105" s="116" t="s">
        <v>687</v>
      </c>
      <c r="AH105" s="53" t="s">
        <v>366</v>
      </c>
      <c r="AI105" s="53" t="s">
        <v>684</v>
      </c>
      <c r="AJ105" s="53" t="s">
        <v>683</v>
      </c>
      <c r="AK105" s="156">
        <v>34.4</v>
      </c>
      <c r="AL105" s="157">
        <v>25</v>
      </c>
      <c r="AM105" s="74">
        <v>0.78137500000000004</v>
      </c>
      <c r="AN105" s="157">
        <v>128.5</v>
      </c>
      <c r="AO105" s="156">
        <v>9.0999999999999998E-2</v>
      </c>
      <c r="AP105" s="157">
        <v>30.54</v>
      </c>
      <c r="AQ105" s="157"/>
      <c r="AR105" s="158">
        <f t="shared" si="11"/>
        <v>2.1194882011049267E-5</v>
      </c>
      <c r="AS105" s="144">
        <f t="shared" si="11"/>
        <v>1.5403257275471853E-5</v>
      </c>
      <c r="AT105" s="144">
        <f t="shared" si="11"/>
        <v>4.8142880614487276E-7</v>
      </c>
      <c r="AU105" s="144">
        <f t="shared" si="11"/>
        <v>7.9172742395925314E-5</v>
      </c>
      <c r="AV105" s="144">
        <f t="shared" si="11"/>
        <v>5.6067856482717542E-8</v>
      </c>
      <c r="AW105" s="158">
        <f t="shared" si="11"/>
        <v>1.8816619087716415E-5</v>
      </c>
      <c r="AX105" s="144"/>
      <c r="AY105" s="159">
        <f t="shared" si="12"/>
        <v>4.2389764022098539</v>
      </c>
      <c r="AZ105" s="144">
        <f t="shared" si="12"/>
        <v>3.0806514550943707</v>
      </c>
      <c r="BA105" s="144">
        <f t="shared" si="12"/>
        <v>9.6285761228974559E-2</v>
      </c>
      <c r="BB105" s="144">
        <f t="shared" si="12"/>
        <v>15.834548479185065</v>
      </c>
      <c r="BC105" s="144">
        <f t="shared" si="12"/>
        <v>1.1213571296543509E-2</v>
      </c>
      <c r="BD105" s="159">
        <f t="shared" si="12"/>
        <v>3.7633238175432826</v>
      </c>
      <c r="BE105" s="144"/>
      <c r="BF105" s="160">
        <f t="shared" si="9"/>
        <v>4.4216762851450991E-6</v>
      </c>
      <c r="BG105" s="144">
        <f t="shared" si="13"/>
        <v>1.0711425109363129E-7</v>
      </c>
      <c r="BH105" s="144">
        <f t="shared" si="13"/>
        <v>3.3478559179314459E-9</v>
      </c>
      <c r="BI105" s="144">
        <f t="shared" si="13"/>
        <v>5.5056725062126475E-7</v>
      </c>
      <c r="BJ105" s="144">
        <f t="shared" si="13"/>
        <v>3.8989587398081774E-10</v>
      </c>
      <c r="BK105" s="160">
        <f t="shared" si="13"/>
        <v>1.3085076913597996E-7</v>
      </c>
      <c r="BL105" s="144"/>
    </row>
    <row r="106" spans="24:64">
      <c r="X106" s="41" t="s">
        <v>287</v>
      </c>
      <c r="Y106" s="154" t="s">
        <v>98</v>
      </c>
      <c r="Z106" s="155" t="s">
        <v>339</v>
      </c>
      <c r="AA106" s="53">
        <v>0.258245</v>
      </c>
      <c r="AB106" s="53">
        <v>34.717754999999997</v>
      </c>
      <c r="AC106" s="53" t="s">
        <v>332</v>
      </c>
      <c r="AD106" s="53" t="s">
        <v>330</v>
      </c>
      <c r="AE106" s="116" t="s">
        <v>347</v>
      </c>
      <c r="AF106" s="154" t="s">
        <v>371</v>
      </c>
      <c r="AG106" s="116" t="s">
        <v>687</v>
      </c>
      <c r="AH106" s="41" t="s">
        <v>366</v>
      </c>
      <c r="AI106" s="53" t="s">
        <v>684</v>
      </c>
      <c r="AJ106" s="53" t="s">
        <v>683</v>
      </c>
      <c r="AK106" s="156">
        <v>8.3000000000000007</v>
      </c>
      <c r="AL106" s="157">
        <v>19.7</v>
      </c>
      <c r="AM106" s="74">
        <v>0.45</v>
      </c>
      <c r="AN106" s="157">
        <v>1330.5</v>
      </c>
      <c r="AO106" s="156">
        <v>9.6000000000000002E-2</v>
      </c>
      <c r="AP106" s="157">
        <v>281.38</v>
      </c>
      <c r="AQ106" s="157"/>
      <c r="AR106" s="158">
        <f t="shared" si="11"/>
        <v>5.1138814154566561E-6</v>
      </c>
      <c r="AS106" s="144">
        <f t="shared" si="11"/>
        <v>1.2137766733071819E-5</v>
      </c>
      <c r="AT106" s="144">
        <f t="shared" si="11"/>
        <v>2.7725863095849337E-7</v>
      </c>
      <c r="AU106" s="144">
        <f t="shared" si="11"/>
        <v>8.197613522006119E-4</v>
      </c>
      <c r="AV106" s="144">
        <f t="shared" si="11"/>
        <v>5.9148507937811917E-8</v>
      </c>
      <c r="AW106" s="158">
        <f t="shared" si="11"/>
        <v>1.733667412868908E-4</v>
      </c>
      <c r="AX106" s="144"/>
      <c r="AY106" s="159">
        <f t="shared" si="12"/>
        <v>1.022776283091331</v>
      </c>
      <c r="AZ106" s="144">
        <f t="shared" si="12"/>
        <v>2.4275533466143639</v>
      </c>
      <c r="BA106" s="144">
        <f t="shared" si="12"/>
        <v>5.5451726191698671E-2</v>
      </c>
      <c r="BB106" s="144">
        <f t="shared" si="12"/>
        <v>163.95227044012239</v>
      </c>
      <c r="BC106" s="144">
        <f t="shared" si="12"/>
        <v>1.1829701587562384E-2</v>
      </c>
      <c r="BD106" s="159">
        <f t="shared" si="12"/>
        <v>34.673348257378166</v>
      </c>
      <c r="BE106" s="144"/>
      <c r="BF106" s="160">
        <f t="shared" si="9"/>
        <v>1.0668579408925675E-6</v>
      </c>
      <c r="BG106" s="144">
        <f t="shared" si="13"/>
        <v>8.4406029861781426E-8</v>
      </c>
      <c r="BH106" s="144">
        <f t="shared" si="13"/>
        <v>1.9280565196853627E-9</v>
      </c>
      <c r="BI106" s="144">
        <f t="shared" si="13"/>
        <v>5.7006204432030573E-6</v>
      </c>
      <c r="BJ106" s="144">
        <f t="shared" si="13"/>
        <v>4.1131872419954413E-10</v>
      </c>
      <c r="BK106" s="160">
        <f t="shared" si="13"/>
        <v>1.2055923189090385E-6</v>
      </c>
      <c r="BL106" s="144"/>
    </row>
    <row r="107" spans="24:64">
      <c r="X107" s="41" t="s">
        <v>289</v>
      </c>
      <c r="Y107" s="53" t="s">
        <v>110</v>
      </c>
      <c r="Z107" s="155" t="s">
        <v>339</v>
      </c>
      <c r="AA107" s="53">
        <v>0.26076500000000002</v>
      </c>
      <c r="AB107" s="53">
        <v>34.720081</v>
      </c>
      <c r="AC107" s="53" t="s">
        <v>332</v>
      </c>
      <c r="AD107" s="53" t="s">
        <v>330</v>
      </c>
      <c r="AE107" s="116" t="s">
        <v>347</v>
      </c>
      <c r="AF107" s="154" t="s">
        <v>371</v>
      </c>
      <c r="AG107" s="116" t="s">
        <v>687</v>
      </c>
      <c r="AH107" s="41" t="s">
        <v>361</v>
      </c>
      <c r="AI107" s="53" t="s">
        <v>685</v>
      </c>
      <c r="AJ107" s="53" t="s">
        <v>690</v>
      </c>
      <c r="AK107" s="156">
        <v>105.8</v>
      </c>
      <c r="AL107" s="157">
        <v>25.1</v>
      </c>
      <c r="AM107" s="74">
        <v>4.9800000000000004</v>
      </c>
      <c r="AN107" s="157">
        <v>987.2</v>
      </c>
      <c r="AO107" s="156">
        <v>0.111</v>
      </c>
      <c r="AP107" s="157">
        <v>240.73</v>
      </c>
      <c r="AQ107" s="157"/>
      <c r="AR107" s="158">
        <f t="shared" si="11"/>
        <v>6.5186584789796878E-5</v>
      </c>
      <c r="AS107" s="144">
        <f t="shared" si="11"/>
        <v>1.5464870304573742E-5</v>
      </c>
      <c r="AT107" s="144">
        <f t="shared" si="11"/>
        <v>3.0683288492739938E-6</v>
      </c>
      <c r="AU107" s="144">
        <f t="shared" si="11"/>
        <v>6.0824382329383248E-4</v>
      </c>
      <c r="AV107" s="144">
        <f t="shared" si="11"/>
        <v>6.8390462303095031E-8</v>
      </c>
      <c r="AW107" s="158">
        <f t="shared" si="11"/>
        <v>1.4832104495697356E-4</v>
      </c>
      <c r="AX107" s="144"/>
      <c r="AY107" s="159">
        <f t="shared" si="12"/>
        <v>13.037316957959376</v>
      </c>
      <c r="AZ107" s="144">
        <f t="shared" si="12"/>
        <v>3.0929740609147482</v>
      </c>
      <c r="BA107" s="144">
        <f t="shared" si="12"/>
        <v>0.61366576985479859</v>
      </c>
      <c r="BB107" s="144">
        <f t="shared" si="12"/>
        <v>121.64876465876651</v>
      </c>
      <c r="BC107" s="144">
        <f t="shared" si="12"/>
        <v>1.3678092460619008E-2</v>
      </c>
      <c r="BD107" s="159">
        <f t="shared" si="12"/>
        <v>29.664208991394709</v>
      </c>
      <c r="BE107" s="144"/>
      <c r="BF107" s="160">
        <f t="shared" si="9"/>
        <v>1.3599225318847425E-5</v>
      </c>
      <c r="BG107" s="144">
        <f t="shared" si="13"/>
        <v>1.0754270809800579E-7</v>
      </c>
      <c r="BH107" s="144">
        <f t="shared" si="13"/>
        <v>2.133715881785135E-8</v>
      </c>
      <c r="BI107" s="144">
        <f t="shared" si="13"/>
        <v>4.2297275471853118E-6</v>
      </c>
      <c r="BJ107" s="144">
        <f t="shared" si="13"/>
        <v>4.7558727485572281E-10</v>
      </c>
      <c r="BK107" s="160">
        <f t="shared" si="13"/>
        <v>1.031424546630794E-6</v>
      </c>
      <c r="BL107" s="144"/>
    </row>
    <row r="108" spans="24:64">
      <c r="X108" s="41" t="s">
        <v>290</v>
      </c>
      <c r="Y108" s="53" t="s">
        <v>133</v>
      </c>
      <c r="Z108" s="155" t="s">
        <v>339</v>
      </c>
      <c r="AA108" s="53">
        <v>0.31578899999999999</v>
      </c>
      <c r="AB108" s="53">
        <v>34.648187999999998</v>
      </c>
      <c r="AC108" s="53" t="s">
        <v>350</v>
      </c>
      <c r="AD108" s="53" t="s">
        <v>330</v>
      </c>
      <c r="AE108" s="116" t="s">
        <v>347</v>
      </c>
      <c r="AF108" s="154" t="s">
        <v>371</v>
      </c>
      <c r="AG108" s="116" t="s">
        <v>687</v>
      </c>
      <c r="AH108" s="41" t="s">
        <v>367</v>
      </c>
      <c r="AI108" s="53" t="s">
        <v>684</v>
      </c>
      <c r="AJ108" s="53" t="s">
        <v>683</v>
      </c>
      <c r="AK108" s="156">
        <v>1.4</v>
      </c>
      <c r="AL108" s="157">
        <v>16.899999999999999</v>
      </c>
      <c r="AM108" s="74">
        <v>0.06</v>
      </c>
      <c r="AN108" s="157">
        <v>47.3</v>
      </c>
      <c r="AO108" s="156">
        <v>0.04</v>
      </c>
      <c r="AP108" s="157">
        <v>18.7</v>
      </c>
      <c r="AQ108" s="157"/>
      <c r="AR108" s="158">
        <f t="shared" si="11"/>
        <v>8.6258240742642374E-7</v>
      </c>
      <c r="AS108" s="144">
        <f t="shared" si="11"/>
        <v>1.0412601918218969E-5</v>
      </c>
      <c r="AT108" s="144">
        <f t="shared" si="11"/>
        <v>3.6967817461132448E-8</v>
      </c>
      <c r="AU108" s="144">
        <f t="shared" si="11"/>
        <v>2.9142962765192747E-5</v>
      </c>
      <c r="AV108" s="144">
        <f t="shared" si="11"/>
        <v>2.4645211640754962E-8</v>
      </c>
      <c r="AW108" s="158">
        <f t="shared" si="11"/>
        <v>1.1521636442052944E-5</v>
      </c>
      <c r="AX108" s="144"/>
      <c r="AY108" s="159">
        <f t="shared" si="12"/>
        <v>0.17251648148528476</v>
      </c>
      <c r="AZ108" s="144">
        <f t="shared" si="12"/>
        <v>2.0825203836437947</v>
      </c>
      <c r="BA108" s="144">
        <f t="shared" si="12"/>
        <v>7.3935634922264893E-3</v>
      </c>
      <c r="BB108" s="144">
        <f t="shared" si="12"/>
        <v>5.8285925530385496</v>
      </c>
      <c r="BC108" s="144">
        <f t="shared" si="12"/>
        <v>4.9290423281509932E-3</v>
      </c>
      <c r="BD108" s="159">
        <f t="shared" si="12"/>
        <v>2.3043272884105894</v>
      </c>
      <c r="BE108" s="144"/>
      <c r="BF108" s="160">
        <f t="shared" si="9"/>
        <v>1.7995194183730048E-7</v>
      </c>
      <c r="BG108" s="144">
        <f t="shared" si="13"/>
        <v>7.2409233739294719E-8</v>
      </c>
      <c r="BH108" s="144">
        <f t="shared" si="13"/>
        <v>2.5707420262471503E-10</v>
      </c>
      <c r="BI108" s="144">
        <f t="shared" si="13"/>
        <v>2.0266016306915039E-7</v>
      </c>
      <c r="BJ108" s="144">
        <f t="shared" si="13"/>
        <v>1.7138280174981E-10</v>
      </c>
      <c r="BK108" s="160">
        <f t="shared" si="13"/>
        <v>8.0121459818036208E-8</v>
      </c>
      <c r="BL108" s="144"/>
    </row>
    <row r="109" spans="24:64">
      <c r="X109" s="41" t="s">
        <v>291</v>
      </c>
      <c r="Y109" s="53" t="s">
        <v>162</v>
      </c>
      <c r="Z109" s="155" t="s">
        <v>343</v>
      </c>
      <c r="AA109" s="53">
        <v>0.18987899999999999</v>
      </c>
      <c r="AB109" s="53">
        <v>34.735692999999998</v>
      </c>
      <c r="AC109" s="53" t="s">
        <v>352</v>
      </c>
      <c r="AD109" s="53" t="s">
        <v>330</v>
      </c>
      <c r="AE109" s="116" t="s">
        <v>347</v>
      </c>
      <c r="AF109" s="154" t="s">
        <v>371</v>
      </c>
      <c r="AG109" s="116" t="s">
        <v>687</v>
      </c>
      <c r="AH109" s="41" t="s">
        <v>364</v>
      </c>
      <c r="AI109" s="53" t="s">
        <v>685</v>
      </c>
      <c r="AJ109" s="53" t="s">
        <v>690</v>
      </c>
      <c r="AK109" s="156">
        <v>20.8</v>
      </c>
      <c r="AL109" s="157">
        <v>37.6</v>
      </c>
      <c r="AM109" s="74">
        <v>4.76</v>
      </c>
      <c r="AN109" s="157">
        <v>142.19999999999999</v>
      </c>
      <c r="AO109" s="156">
        <v>0.249</v>
      </c>
      <c r="AP109" s="157">
        <v>52.58</v>
      </c>
      <c r="AQ109" s="157"/>
      <c r="AR109" s="158">
        <f t="shared" si="11"/>
        <v>1.2815510053192582E-5</v>
      </c>
      <c r="AS109" s="144">
        <f t="shared" si="11"/>
        <v>2.3166498942309667E-5</v>
      </c>
      <c r="AT109" s="144">
        <f t="shared" si="11"/>
        <v>2.9327801852498405E-6</v>
      </c>
      <c r="AU109" s="144">
        <f t="shared" si="11"/>
        <v>8.7613727382883881E-5</v>
      </c>
      <c r="AV109" s="144">
        <f t="shared" si="11"/>
        <v>1.5341644246369965E-7</v>
      </c>
      <c r="AW109" s="158">
        <f t="shared" si="11"/>
        <v>3.2396130701772396E-5</v>
      </c>
      <c r="AX109" s="144"/>
      <c r="AY109" s="159">
        <f t="shared" si="12"/>
        <v>2.5631020106385165</v>
      </c>
      <c r="AZ109" s="144">
        <f t="shared" si="12"/>
        <v>4.6332997884619331</v>
      </c>
      <c r="BA109" s="144">
        <f t="shared" si="12"/>
        <v>0.58655603704996806</v>
      </c>
      <c r="BB109" s="144">
        <f t="shared" si="12"/>
        <v>17.52274547657678</v>
      </c>
      <c r="BC109" s="144">
        <f t="shared" si="12"/>
        <v>3.0683288492739935E-2</v>
      </c>
      <c r="BD109" s="159">
        <f t="shared" si="12"/>
        <v>6.4792261403544789</v>
      </c>
      <c r="BE109" s="144"/>
      <c r="BF109" s="160">
        <f t="shared" si="9"/>
        <v>2.6735717072970363E-6</v>
      </c>
      <c r="BG109" s="144">
        <f t="shared" si="13"/>
        <v>1.6109983364482142E-7</v>
      </c>
      <c r="BH109" s="144">
        <f t="shared" si="13"/>
        <v>2.0394553408227395E-8</v>
      </c>
      <c r="BI109" s="144">
        <f t="shared" si="13"/>
        <v>6.0926586022057455E-7</v>
      </c>
      <c r="BJ109" s="144">
        <f t="shared" si="13"/>
        <v>1.0668579408925673E-9</v>
      </c>
      <c r="BK109" s="160">
        <f t="shared" si="13"/>
        <v>2.252826929001253E-7</v>
      </c>
      <c r="BL109" s="144"/>
    </row>
    <row r="110" spans="24:64">
      <c r="X110" s="41" t="s">
        <v>292</v>
      </c>
      <c r="Y110" s="39" t="s">
        <v>188</v>
      </c>
      <c r="Z110" s="155" t="s">
        <v>343</v>
      </c>
      <c r="AA110" s="53">
        <v>0.19523199999999999</v>
      </c>
      <c r="AB110" s="53">
        <v>34.751345000000001</v>
      </c>
      <c r="AC110" s="53" t="s">
        <v>355</v>
      </c>
      <c r="AD110" s="53" t="s">
        <v>330</v>
      </c>
      <c r="AE110" s="116" t="s">
        <v>347</v>
      </c>
      <c r="AF110" s="154" t="s">
        <v>371</v>
      </c>
      <c r="AG110" s="116" t="s">
        <v>687</v>
      </c>
      <c r="AH110" s="41" t="s">
        <v>361</v>
      </c>
      <c r="AI110" s="53" t="s">
        <v>685</v>
      </c>
      <c r="AJ110" s="53" t="s">
        <v>690</v>
      </c>
      <c r="AK110" s="156">
        <v>408.2</v>
      </c>
      <c r="AL110" s="157">
        <v>197.6</v>
      </c>
      <c r="AM110" s="74">
        <v>0.17</v>
      </c>
      <c r="AN110" s="157">
        <v>102</v>
      </c>
      <c r="AO110" s="156">
        <v>0.73899999999999999</v>
      </c>
      <c r="AP110" s="157">
        <v>47.07</v>
      </c>
      <c r="AQ110" s="157"/>
      <c r="AR110" s="158">
        <f t="shared" si="11"/>
        <v>2.5150438479390442E-4</v>
      </c>
      <c r="AS110" s="144">
        <f t="shared" si="11"/>
        <v>1.2174734550532952E-4</v>
      </c>
      <c r="AT110" s="144">
        <f t="shared" si="11"/>
        <v>1.047421494732086E-7</v>
      </c>
      <c r="AU110" s="144">
        <f t="shared" si="11"/>
        <v>6.2845289683925162E-5</v>
      </c>
      <c r="AV110" s="144">
        <f t="shared" si="11"/>
        <v>4.55320285062948E-7</v>
      </c>
      <c r="AW110" s="158">
        <f t="shared" si="11"/>
        <v>2.9001252798258403E-5</v>
      </c>
      <c r="AX110" s="144"/>
      <c r="AY110" s="159">
        <f t="shared" si="12"/>
        <v>50.300876958780883</v>
      </c>
      <c r="AZ110" s="144">
        <f t="shared" si="12"/>
        <v>24.349469101065907</v>
      </c>
      <c r="BA110" s="144">
        <f t="shared" si="12"/>
        <v>2.0948429894641723E-2</v>
      </c>
      <c r="BB110" s="144">
        <f t="shared" si="12"/>
        <v>12.569057936785033</v>
      </c>
      <c r="BC110" s="144">
        <f t="shared" si="12"/>
        <v>9.10640570125896E-2</v>
      </c>
      <c r="BD110" s="159">
        <f t="shared" si="12"/>
        <v>5.8002505596516807</v>
      </c>
      <c r="BE110" s="144"/>
      <c r="BF110" s="160">
        <f t="shared" si="9"/>
        <v>5.2468844755704339E-5</v>
      </c>
      <c r="BG110" s="144">
        <f t="shared" si="13"/>
        <v>8.4663104064406153E-7</v>
      </c>
      <c r="BH110" s="144">
        <f t="shared" si="13"/>
        <v>7.2837690743669271E-10</v>
      </c>
      <c r="BI110" s="144">
        <f t="shared" si="13"/>
        <v>4.3702614446201558E-7</v>
      </c>
      <c r="BJ110" s="144">
        <f t="shared" si="13"/>
        <v>3.1662972623277407E-9</v>
      </c>
      <c r="BK110" s="160">
        <f t="shared" si="13"/>
        <v>2.0167471195908892E-7</v>
      </c>
      <c r="BL110" s="144"/>
    </row>
    <row r="111" spans="24:64">
      <c r="X111" s="41" t="s">
        <v>293</v>
      </c>
      <c r="Y111" s="39" t="s">
        <v>206</v>
      </c>
      <c r="Z111" s="155" t="s">
        <v>341</v>
      </c>
      <c r="AA111" s="53">
        <v>0.21768199999999999</v>
      </c>
      <c r="AB111" s="53">
        <v>34.802346</v>
      </c>
      <c r="AC111" s="53" t="s">
        <v>356</v>
      </c>
      <c r="AD111" s="53" t="s">
        <v>330</v>
      </c>
      <c r="AE111" s="116" t="s">
        <v>347</v>
      </c>
      <c r="AF111" s="154" t="s">
        <v>371</v>
      </c>
      <c r="AG111" s="116" t="s">
        <v>687</v>
      </c>
      <c r="AH111" s="41" t="s">
        <v>361</v>
      </c>
      <c r="AI111" s="53" t="s">
        <v>685</v>
      </c>
      <c r="AJ111" s="53" t="s">
        <v>690</v>
      </c>
      <c r="AK111" s="156">
        <v>44.8</v>
      </c>
      <c r="AL111" s="157">
        <v>36.5</v>
      </c>
      <c r="AM111" s="74">
        <v>1.56</v>
      </c>
      <c r="AN111" s="157">
        <v>112.1</v>
      </c>
      <c r="AO111" s="156">
        <v>0.121</v>
      </c>
      <c r="AP111" s="157">
        <v>17.72</v>
      </c>
      <c r="AQ111" s="157"/>
      <c r="AR111" s="158">
        <f t="shared" si="11"/>
        <v>2.760263703764556E-5</v>
      </c>
      <c r="AS111" s="144">
        <f t="shared" si="11"/>
        <v>2.2488755622188903E-5</v>
      </c>
      <c r="AT111" s="144">
        <f t="shared" si="11"/>
        <v>9.6116325398944354E-7</v>
      </c>
      <c r="AU111" s="144">
        <f t="shared" si="11"/>
        <v>6.9068205623215784E-5</v>
      </c>
      <c r="AV111" s="144">
        <f t="shared" si="11"/>
        <v>7.4551765213283769E-8</v>
      </c>
      <c r="AW111" s="158">
        <f t="shared" si="11"/>
        <v>1.0917828756854449E-5</v>
      </c>
      <c r="AX111" s="144"/>
      <c r="AY111" s="159">
        <f t="shared" si="12"/>
        <v>5.5205274075291122</v>
      </c>
      <c r="AZ111" s="144">
        <f t="shared" si="12"/>
        <v>4.497751124437781</v>
      </c>
      <c r="BA111" s="144">
        <f t="shared" si="12"/>
        <v>0.19223265079788876</v>
      </c>
      <c r="BB111" s="144">
        <f t="shared" si="12"/>
        <v>13.813641124643159</v>
      </c>
      <c r="BC111" s="144">
        <f t="shared" si="12"/>
        <v>1.4910353042656754E-2</v>
      </c>
      <c r="BD111" s="159">
        <f t="shared" si="12"/>
        <v>2.1835657513708897</v>
      </c>
      <c r="BE111" s="144"/>
      <c r="BF111" s="160">
        <f t="shared" si="9"/>
        <v>5.7584621387936153E-6</v>
      </c>
      <c r="BG111" s="144">
        <f t="shared" si="13"/>
        <v>1.5638680659670167E-7</v>
      </c>
      <c r="BH111" s="144">
        <f t="shared" si="13"/>
        <v>6.683929268242591E-9</v>
      </c>
      <c r="BI111" s="144">
        <f t="shared" si="13"/>
        <v>4.8030030190384261E-7</v>
      </c>
      <c r="BJ111" s="144">
        <f t="shared" si="13"/>
        <v>5.184329752931753E-10</v>
      </c>
      <c r="BK111" s="160">
        <f t="shared" si="13"/>
        <v>7.5922581175165831E-8</v>
      </c>
      <c r="BL111" s="144"/>
    </row>
    <row r="112" spans="24:64">
      <c r="X112" s="41" t="s">
        <v>294</v>
      </c>
      <c r="Y112" s="39" t="s">
        <v>240</v>
      </c>
      <c r="Z112" s="155" t="s">
        <v>341</v>
      </c>
      <c r="AA112" s="53">
        <v>0.10542700000000001</v>
      </c>
      <c r="AB112" s="53">
        <v>34.698397999999997</v>
      </c>
      <c r="AC112" s="53" t="s">
        <v>359</v>
      </c>
      <c r="AD112" s="53" t="s">
        <v>334</v>
      </c>
      <c r="AE112" s="116" t="s">
        <v>347</v>
      </c>
      <c r="AF112" s="154" t="s">
        <v>371</v>
      </c>
      <c r="AG112" s="116" t="s">
        <v>687</v>
      </c>
      <c r="AH112" s="41" t="s">
        <v>365</v>
      </c>
      <c r="AI112" s="53" t="s">
        <v>685</v>
      </c>
      <c r="AJ112" s="53" t="s">
        <v>691</v>
      </c>
      <c r="AK112" s="156">
        <v>4062.8</v>
      </c>
      <c r="AL112" s="157">
        <v>230.1</v>
      </c>
      <c r="AM112" s="74">
        <v>5.18</v>
      </c>
      <c r="AN112" s="157">
        <v>183</v>
      </c>
      <c r="AO112" s="156">
        <v>2.093</v>
      </c>
      <c r="AP112" s="157">
        <v>57.05</v>
      </c>
      <c r="AQ112" s="157"/>
      <c r="AR112" s="158">
        <f t="shared" si="11"/>
        <v>2.5032141463514814E-3</v>
      </c>
      <c r="AS112" s="144">
        <f t="shared" si="11"/>
        <v>1.4177157996344292E-4</v>
      </c>
      <c r="AT112" s="144">
        <f t="shared" si="11"/>
        <v>3.1915549074777682E-6</v>
      </c>
      <c r="AU112" s="144">
        <f t="shared" si="11"/>
        <v>1.1275184325645395E-4</v>
      </c>
      <c r="AV112" s="144">
        <f t="shared" si="11"/>
        <v>1.2895606991025034E-6</v>
      </c>
      <c r="AW112" s="158">
        <f t="shared" si="11"/>
        <v>3.5150233102626767E-5</v>
      </c>
      <c r="AX112" s="144"/>
      <c r="AY112" s="159">
        <f t="shared" si="12"/>
        <v>500.64282927029637</v>
      </c>
      <c r="AZ112" s="144">
        <f t="shared" si="12"/>
        <v>28.354315992688587</v>
      </c>
      <c r="BA112" s="144">
        <f t="shared" si="12"/>
        <v>0.63831098149555354</v>
      </c>
      <c r="BB112" s="144">
        <f t="shared" si="12"/>
        <v>22.550368651290793</v>
      </c>
      <c r="BC112" s="144">
        <f t="shared" si="12"/>
        <v>0.25791213982050071</v>
      </c>
      <c r="BD112" s="159">
        <f t="shared" si="12"/>
        <v>7.0300466205253533</v>
      </c>
      <c r="BE112" s="144"/>
      <c r="BF112" s="160">
        <f t="shared" si="9"/>
        <v>5.2222053521184609E-4</v>
      </c>
      <c r="BG112" s="144">
        <f t="shared" si="13"/>
        <v>9.8587956706578233E-7</v>
      </c>
      <c r="BH112" s="144">
        <f t="shared" si="13"/>
        <v>2.2194072826600398E-8</v>
      </c>
      <c r="BI112" s="144">
        <f t="shared" si="13"/>
        <v>7.8407631800538088E-7</v>
      </c>
      <c r="BJ112" s="144">
        <f t="shared" si="13"/>
        <v>8.9676051015588098E-9</v>
      </c>
      <c r="BK112" s="160">
        <f t="shared" si="13"/>
        <v>2.4443472099566658E-7</v>
      </c>
      <c r="BL112" s="144"/>
    </row>
    <row r="113" spans="24:64">
      <c r="X113" s="41" t="s">
        <v>295</v>
      </c>
      <c r="Y113" s="39" t="s">
        <v>260</v>
      </c>
      <c r="Z113" s="155" t="s">
        <v>342</v>
      </c>
      <c r="AA113" s="53">
        <v>0.10333000000000001</v>
      </c>
      <c r="AB113" s="53">
        <v>34.713628999999997</v>
      </c>
      <c r="AC113" s="53" t="s">
        <v>335</v>
      </c>
      <c r="AD113" s="53" t="s">
        <v>334</v>
      </c>
      <c r="AE113" s="116" t="s">
        <v>347</v>
      </c>
      <c r="AF113" s="154" t="s">
        <v>371</v>
      </c>
      <c r="AG113" s="116" t="s">
        <v>687</v>
      </c>
      <c r="AH113" s="41" t="s">
        <v>365</v>
      </c>
      <c r="AI113" s="53" t="s">
        <v>685</v>
      </c>
      <c r="AJ113" s="53" t="s">
        <v>691</v>
      </c>
      <c r="AK113" s="156">
        <v>7890.2</v>
      </c>
      <c r="AL113" s="157">
        <v>69.099999999999994</v>
      </c>
      <c r="AM113" s="74">
        <v>15.3</v>
      </c>
      <c r="AN113" s="157">
        <v>76.099999999999994</v>
      </c>
      <c r="AO113" s="156">
        <v>0.83499999999999996</v>
      </c>
      <c r="AP113" s="157">
        <v>50.85</v>
      </c>
      <c r="AQ113" s="157"/>
      <c r="AR113" s="158">
        <f t="shared" si="11"/>
        <v>4.8613912221971197E-3</v>
      </c>
      <c r="AS113" s="144">
        <f t="shared" si="11"/>
        <v>4.257460310940419E-5</v>
      </c>
      <c r="AT113" s="144">
        <f t="shared" si="11"/>
        <v>9.4267934525887722E-6</v>
      </c>
      <c r="AU113" s="144">
        <f t="shared" si="11"/>
        <v>4.6887515146536316E-5</v>
      </c>
      <c r="AV113" s="144">
        <f t="shared" si="11"/>
        <v>5.1446879300075988E-7</v>
      </c>
      <c r="AW113" s="158">
        <f t="shared" si="11"/>
        <v>3.1330225298309746E-5</v>
      </c>
      <c r="AX113" s="144"/>
      <c r="AY113" s="159">
        <f t="shared" si="12"/>
        <v>972.27824443942416</v>
      </c>
      <c r="AZ113" s="144">
        <f t="shared" si="12"/>
        <v>8.5149206218808402</v>
      </c>
      <c r="BA113" s="144">
        <f t="shared" si="12"/>
        <v>1.8853586905177548</v>
      </c>
      <c r="BB113" s="144">
        <f t="shared" si="12"/>
        <v>9.377503029307265</v>
      </c>
      <c r="BC113" s="144">
        <f t="shared" si="12"/>
        <v>0.10289375860015199</v>
      </c>
      <c r="BD113" s="159">
        <f t="shared" si="12"/>
        <v>6.2660450596619501</v>
      </c>
      <c r="BE113" s="144"/>
      <c r="BF113" s="160">
        <f t="shared" si="9"/>
        <v>1.0141834367747632E-3</v>
      </c>
      <c r="BG113" s="144">
        <f t="shared" si="13"/>
        <v>2.9606379002279684E-7</v>
      </c>
      <c r="BH113" s="144">
        <f t="shared" si="13"/>
        <v>6.5553921669302337E-8</v>
      </c>
      <c r="BI113" s="144">
        <f t="shared" si="13"/>
        <v>3.2605578032901358E-7</v>
      </c>
      <c r="BJ113" s="144">
        <f t="shared" si="13"/>
        <v>3.5776159865272849E-9</v>
      </c>
      <c r="BK113" s="160">
        <f t="shared" si="13"/>
        <v>2.17870386724446E-7</v>
      </c>
      <c r="BL113" s="144"/>
    </row>
    <row r="114" spans="24:64">
      <c r="X114" s="41" t="s">
        <v>296</v>
      </c>
      <c r="Y114" s="39" t="s">
        <v>282</v>
      </c>
      <c r="Z114" s="155" t="s">
        <v>342</v>
      </c>
      <c r="AA114" s="53">
        <v>0.156392</v>
      </c>
      <c r="AB114" s="53">
        <v>34.817486000000002</v>
      </c>
      <c r="AC114" s="53" t="s">
        <v>360</v>
      </c>
      <c r="AD114" s="53" t="s">
        <v>330</v>
      </c>
      <c r="AE114" s="116" t="s">
        <v>347</v>
      </c>
      <c r="AF114" s="154" t="s">
        <v>371</v>
      </c>
      <c r="AG114" s="116" t="s">
        <v>687</v>
      </c>
      <c r="AH114" s="41" t="s">
        <v>365</v>
      </c>
      <c r="AI114" s="53" t="s">
        <v>685</v>
      </c>
      <c r="AJ114" s="53" t="s">
        <v>691</v>
      </c>
      <c r="AK114" s="156">
        <v>514.4</v>
      </c>
      <c r="AL114" s="157">
        <v>30.4</v>
      </c>
      <c r="AM114" s="74">
        <v>3.62</v>
      </c>
      <c r="AN114" s="157">
        <v>78.400000000000006</v>
      </c>
      <c r="AO114" s="156">
        <v>0.13500000000000001</v>
      </c>
      <c r="AP114" s="157">
        <v>7.08</v>
      </c>
      <c r="AQ114" s="157"/>
      <c r="AR114" s="158">
        <f t="shared" si="11"/>
        <v>3.1693742170010885E-4</v>
      </c>
      <c r="AS114" s="144">
        <f t="shared" si="11"/>
        <v>1.8730360846973774E-5</v>
      </c>
      <c r="AT114" s="144">
        <f t="shared" si="11"/>
        <v>2.2303916534883242E-6</v>
      </c>
      <c r="AU114" s="144">
        <f t="shared" si="11"/>
        <v>4.8304614815879736E-5</v>
      </c>
      <c r="AV114" s="144">
        <f t="shared" si="11"/>
        <v>8.3177589287548002E-8</v>
      </c>
      <c r="AW114" s="158">
        <f t="shared" si="11"/>
        <v>4.3622024604136286E-6</v>
      </c>
      <c r="AX114" s="144"/>
      <c r="AY114" s="159">
        <f t="shared" si="12"/>
        <v>63.387484340021771</v>
      </c>
      <c r="AZ114" s="144">
        <f t="shared" si="12"/>
        <v>3.7460721693947545</v>
      </c>
      <c r="BA114" s="144">
        <f t="shared" si="12"/>
        <v>0.44607833069766495</v>
      </c>
      <c r="BB114" s="144">
        <f t="shared" si="12"/>
        <v>9.6609229631759455</v>
      </c>
      <c r="BC114" s="144">
        <f t="shared" si="12"/>
        <v>1.6635517857509604E-2</v>
      </c>
      <c r="BD114" s="159">
        <f t="shared" si="12"/>
        <v>0.87244049208272578</v>
      </c>
      <c r="BE114" s="144"/>
      <c r="BF114" s="160">
        <f t="shared" si="9"/>
        <v>6.6119484915076716E-5</v>
      </c>
      <c r="BG114" s="144">
        <f t="shared" si="13"/>
        <v>1.3025092932985565E-7</v>
      </c>
      <c r="BH114" s="144">
        <f t="shared" si="13"/>
        <v>1.5510143558357806E-8</v>
      </c>
      <c r="BI114" s="144">
        <f t="shared" si="13"/>
        <v>3.359102914296277E-7</v>
      </c>
      <c r="BJ114" s="144">
        <f t="shared" si="13"/>
        <v>5.7841695590560885E-10</v>
      </c>
      <c r="BK114" s="160">
        <f t="shared" si="13"/>
        <v>3.0334755909716381E-8</v>
      </c>
      <c r="BL114" s="144"/>
    </row>
    <row r="115" spans="24:64">
      <c r="X115" s="53" t="s">
        <v>305</v>
      </c>
      <c r="Y115" s="53" t="s">
        <v>90</v>
      </c>
      <c r="Z115" s="165">
        <v>43887</v>
      </c>
      <c r="AA115" s="166">
        <v>0.258245</v>
      </c>
      <c r="AB115" s="166">
        <v>34.717759999999998</v>
      </c>
      <c r="AC115" s="166" t="s">
        <v>332</v>
      </c>
      <c r="AD115" s="165" t="s">
        <v>330</v>
      </c>
      <c r="AE115" s="116" t="s">
        <v>347</v>
      </c>
      <c r="AF115" s="154" t="s">
        <v>371</v>
      </c>
      <c r="AG115" s="116" t="s">
        <v>687</v>
      </c>
      <c r="AH115" s="165" t="s">
        <v>364</v>
      </c>
      <c r="AI115" s="53" t="s">
        <v>685</v>
      </c>
      <c r="AJ115" s="53" t="s">
        <v>690</v>
      </c>
      <c r="AK115" s="167">
        <v>10.6</v>
      </c>
      <c r="AL115" s="157">
        <v>5.76</v>
      </c>
      <c r="AM115" s="75">
        <v>1.65222</v>
      </c>
      <c r="AN115" s="157">
        <v>173.5</v>
      </c>
      <c r="AO115" s="156">
        <v>3.2000000000000001E-2</v>
      </c>
      <c r="AP115" s="157">
        <v>50</v>
      </c>
      <c r="AQ115" s="157"/>
      <c r="AR115" s="158">
        <f t="shared" si="11"/>
        <v>6.5309810848000652E-6</v>
      </c>
      <c r="AS115" s="144">
        <f t="shared" si="11"/>
        <v>3.5489104762687152E-6</v>
      </c>
      <c r="AT115" s="144">
        <f t="shared" si="11"/>
        <v>1.0179827894272044E-6</v>
      </c>
      <c r="AU115" s="144">
        <f t="shared" si="11"/>
        <v>1.0689860549177464E-4</v>
      </c>
      <c r="AV115" s="144">
        <f t="shared" si="11"/>
        <v>1.9716169312603971E-8</v>
      </c>
      <c r="AW115" s="158">
        <f t="shared" si="11"/>
        <v>3.0806514550943706E-5</v>
      </c>
      <c r="AX115" s="144"/>
      <c r="AY115" s="159">
        <f t="shared" si="12"/>
        <v>1.3061962169600132</v>
      </c>
      <c r="AZ115" s="144">
        <f t="shared" si="12"/>
        <v>0.70978209525374281</v>
      </c>
      <c r="BA115" s="144">
        <f t="shared" si="12"/>
        <v>0.20359655788544084</v>
      </c>
      <c r="BB115" s="144">
        <f t="shared" si="12"/>
        <v>21.379721098354931</v>
      </c>
      <c r="BC115" s="144">
        <f t="shared" si="12"/>
        <v>3.9432338625207944E-3</v>
      </c>
      <c r="BD115" s="159">
        <f t="shared" si="12"/>
        <v>6.1613029101887413</v>
      </c>
      <c r="BE115" s="144"/>
      <c r="BF115" s="160">
        <f t="shared" si="9"/>
        <v>1.3624932739109894E-6</v>
      </c>
      <c r="BG115" s="144">
        <f t="shared" si="13"/>
        <v>2.4679123451972643E-8</v>
      </c>
      <c r="BH115" s="144">
        <f t="shared" si="13"/>
        <v>7.0790523176767787E-9</v>
      </c>
      <c r="BI115" s="144">
        <f t="shared" si="13"/>
        <v>7.4337290258980091E-7</v>
      </c>
      <c r="BJ115" s="144">
        <f t="shared" si="13"/>
        <v>1.3710624139984802E-10</v>
      </c>
      <c r="BK115" s="160">
        <f t="shared" si="13"/>
        <v>2.1422850218726257E-7</v>
      </c>
      <c r="BL115" s="144"/>
    </row>
    <row r="116" spans="24:64">
      <c r="X116" s="53" t="s">
        <v>307</v>
      </c>
      <c r="Y116" s="53" t="s">
        <v>137</v>
      </c>
      <c r="Z116" s="165">
        <v>43888</v>
      </c>
      <c r="AA116" s="166">
        <v>0.25163200000000002</v>
      </c>
      <c r="AB116" s="166">
        <v>34.723950000000002</v>
      </c>
      <c r="AC116" s="166" t="s">
        <v>333</v>
      </c>
      <c r="AD116" s="165" t="s">
        <v>330</v>
      </c>
      <c r="AE116" s="116" t="s">
        <v>347</v>
      </c>
      <c r="AF116" s="154" t="s">
        <v>371</v>
      </c>
      <c r="AG116" s="55" t="s">
        <v>689</v>
      </c>
      <c r="AH116" s="165" t="s">
        <v>369</v>
      </c>
      <c r="AI116" s="53" t="s">
        <v>685</v>
      </c>
      <c r="AJ116" s="53" t="s">
        <v>691</v>
      </c>
      <c r="AK116" s="156">
        <v>2456.5</v>
      </c>
      <c r="AL116" s="157">
        <v>93.53</v>
      </c>
      <c r="AM116" s="75">
        <v>2.9848599999999998</v>
      </c>
      <c r="AN116" s="157">
        <v>200.5</v>
      </c>
      <c r="AO116" s="156">
        <v>5.0279999999999996</v>
      </c>
      <c r="AP116" s="157">
        <v>57.3</v>
      </c>
      <c r="AQ116" s="157"/>
      <c r="AR116" s="158">
        <f t="shared" si="11"/>
        <v>1.5135240598878642E-3</v>
      </c>
      <c r="AS116" s="144">
        <f t="shared" si="11"/>
        <v>5.762666611899529E-5</v>
      </c>
      <c r="AT116" s="144">
        <f t="shared" si="11"/>
        <v>1.8390626604505961E-6</v>
      </c>
      <c r="AU116" s="144">
        <f t="shared" si="11"/>
        <v>1.2353412334928425E-4</v>
      </c>
      <c r="AV116" s="144">
        <f t="shared" si="11"/>
        <v>3.0979031032428985E-6</v>
      </c>
      <c r="AW116" s="158">
        <f t="shared" si="11"/>
        <v>3.5304265675381488E-5</v>
      </c>
      <c r="AX116" s="144"/>
      <c r="AY116" s="159">
        <f t="shared" si="12"/>
        <v>302.70481197757283</v>
      </c>
      <c r="AZ116" s="144">
        <f t="shared" si="12"/>
        <v>11.525333223799059</v>
      </c>
      <c r="BA116" s="144">
        <f t="shared" si="12"/>
        <v>0.36781253209011922</v>
      </c>
      <c r="BB116" s="144">
        <f t="shared" si="12"/>
        <v>24.706824669856854</v>
      </c>
      <c r="BC116" s="144">
        <f t="shared" si="12"/>
        <v>0.61958062064857966</v>
      </c>
      <c r="BD116" s="159">
        <f t="shared" si="12"/>
        <v>7.0608531350762975</v>
      </c>
      <c r="BE116" s="144"/>
      <c r="BF116" s="160">
        <f t="shared" si="9"/>
        <v>3.1575138937380622E-4</v>
      </c>
      <c r="BG116" s="144">
        <f t="shared" si="13"/>
        <v>4.0073583619149335E-7</v>
      </c>
      <c r="BH116" s="144">
        <f t="shared" si="13"/>
        <v>1.2788841740773447E-8</v>
      </c>
      <c r="BI116" s="144">
        <f t="shared" si="13"/>
        <v>8.5905629377092282E-7</v>
      </c>
      <c r="BJ116" s="144">
        <f t="shared" si="13"/>
        <v>2.1542818179951119E-8</v>
      </c>
      <c r="BK116" s="160">
        <f t="shared" si="13"/>
        <v>2.455058635066029E-7</v>
      </c>
      <c r="BL116" s="144"/>
    </row>
    <row r="117" spans="24:64">
      <c r="X117" s="53" t="s">
        <v>308</v>
      </c>
      <c r="Y117" s="53" t="s">
        <v>309</v>
      </c>
      <c r="Z117" s="165">
        <v>43888</v>
      </c>
      <c r="AA117" s="166">
        <v>0.25193900000000002</v>
      </c>
      <c r="AB117" s="166">
        <v>34.723799999999997</v>
      </c>
      <c r="AC117" s="166" t="s">
        <v>333</v>
      </c>
      <c r="AD117" s="165" t="s">
        <v>330</v>
      </c>
      <c r="AE117" s="116" t="s">
        <v>347</v>
      </c>
      <c r="AF117" s="154" t="s">
        <v>371</v>
      </c>
      <c r="AG117" s="116" t="s">
        <v>687</v>
      </c>
      <c r="AH117" s="165" t="s">
        <v>367</v>
      </c>
      <c r="AI117" s="53" t="s">
        <v>684</v>
      </c>
      <c r="AJ117" s="53" t="s">
        <v>683</v>
      </c>
      <c r="AK117" s="167">
        <v>8</v>
      </c>
      <c r="AL117" s="157">
        <v>16.100000000000001</v>
      </c>
      <c r="AM117" s="75">
        <v>4.1962899999999994</v>
      </c>
      <c r="AN117" s="157">
        <v>299.60000000000002</v>
      </c>
      <c r="AO117" s="156">
        <v>0.28499999999999998</v>
      </c>
      <c r="AP117" s="157">
        <v>110.8</v>
      </c>
      <c r="AQ117" s="157"/>
      <c r="AR117" s="158">
        <f t="shared" si="11"/>
        <v>4.9290423281509929E-6</v>
      </c>
      <c r="AS117" s="144">
        <f t="shared" si="11"/>
        <v>9.9196976854038764E-6</v>
      </c>
      <c r="AT117" s="144">
        <f t="shared" si="11"/>
        <v>2.5854613788995913E-6</v>
      </c>
      <c r="AU117" s="144">
        <f t="shared" si="11"/>
        <v>1.8459263518925471E-4</v>
      </c>
      <c r="AV117" s="144">
        <f t="shared" si="11"/>
        <v>1.7559713294037906E-7</v>
      </c>
      <c r="AW117" s="158">
        <f t="shared" si="11"/>
        <v>6.8267236244891246E-5</v>
      </c>
      <c r="AX117" s="144"/>
      <c r="AY117" s="159">
        <f t="shared" si="12"/>
        <v>0.98580846563019864</v>
      </c>
      <c r="AZ117" s="144">
        <f t="shared" si="12"/>
        <v>1.9839395370807746</v>
      </c>
      <c r="BA117" s="144">
        <f t="shared" si="12"/>
        <v>0.51709227577991812</v>
      </c>
      <c r="BB117" s="144">
        <f t="shared" si="12"/>
        <v>36.918527037850936</v>
      </c>
      <c r="BC117" s="144">
        <f t="shared" si="12"/>
        <v>3.5119426588075819E-2</v>
      </c>
      <c r="BD117" s="159">
        <f t="shared" si="12"/>
        <v>13.653447248978251</v>
      </c>
      <c r="BE117" s="144"/>
      <c r="BF117" s="160">
        <f t="shared" si="9"/>
        <v>1.0282968104988603E-6</v>
      </c>
      <c r="BG117" s="144">
        <f t="shared" si="13"/>
        <v>6.8981577704298555E-8</v>
      </c>
      <c r="BH117" s="144">
        <f t="shared" si="13"/>
        <v>1.7979298428867754E-8</v>
      </c>
      <c r="BI117" s="144">
        <f t="shared" si="13"/>
        <v>1.283657185106077E-6</v>
      </c>
      <c r="BJ117" s="144">
        <f t="shared" si="13"/>
        <v>1.2211024624673961E-9</v>
      </c>
      <c r="BK117" s="160">
        <f t="shared" si="13"/>
        <v>4.7473036084697376E-7</v>
      </c>
      <c r="BL117" s="144"/>
    </row>
    <row r="118" spans="24:64">
      <c r="X118" s="53" t="s">
        <v>310</v>
      </c>
      <c r="Y118" s="53" t="s">
        <v>260</v>
      </c>
      <c r="Z118" s="165">
        <v>43891</v>
      </c>
      <c r="AA118" s="166">
        <v>0.10333000000000001</v>
      </c>
      <c r="AB118" s="166">
        <v>34.713630000000002</v>
      </c>
      <c r="AC118" s="166" t="s">
        <v>344</v>
      </c>
      <c r="AD118" s="166" t="s">
        <v>334</v>
      </c>
      <c r="AE118" s="116" t="s">
        <v>347</v>
      </c>
      <c r="AF118" s="154" t="s">
        <v>371</v>
      </c>
      <c r="AG118" s="116" t="s">
        <v>687</v>
      </c>
      <c r="AH118" s="165" t="s">
        <v>365</v>
      </c>
      <c r="AI118" s="53" t="s">
        <v>685</v>
      </c>
      <c r="AJ118" s="53" t="s">
        <v>691</v>
      </c>
      <c r="AK118" s="156">
        <v>8705.7000000000007</v>
      </c>
      <c r="AL118" s="157">
        <v>69.150000000000006</v>
      </c>
      <c r="AM118" s="75">
        <v>16.282150000000001</v>
      </c>
      <c r="AN118" s="157">
        <v>81.3</v>
      </c>
      <c r="AO118" s="156">
        <v>0.78600000000000003</v>
      </c>
      <c r="AP118" s="157">
        <v>49.9</v>
      </c>
      <c r="AQ118" s="157"/>
      <c r="AR118" s="158">
        <f t="shared" si="11"/>
        <v>5.3638454745230137E-3</v>
      </c>
      <c r="AS118" s="144">
        <f t="shared" si="11"/>
        <v>4.2605409623955154E-5</v>
      </c>
      <c r="AT118" s="144">
        <f t="shared" si="11"/>
        <v>1.0031925817912962E-5</v>
      </c>
      <c r="AU118" s="144">
        <f t="shared" si="11"/>
        <v>5.0091392659834462E-5</v>
      </c>
      <c r="AV118" s="144">
        <f t="shared" si="11"/>
        <v>4.8427840874083512E-7</v>
      </c>
      <c r="AW118" s="158">
        <f t="shared" si="11"/>
        <v>3.0744901521841814E-5</v>
      </c>
      <c r="AX118" s="144"/>
      <c r="AY118" s="159">
        <f t="shared" si="12"/>
        <v>1072.7690949046025</v>
      </c>
      <c r="AZ118" s="144">
        <f t="shared" si="12"/>
        <v>8.5210819247910283</v>
      </c>
      <c r="BA118" s="144">
        <f t="shared" si="12"/>
        <v>2.0063851635825927</v>
      </c>
      <c r="BB118" s="144">
        <f t="shared" si="12"/>
        <v>10.018278531966894</v>
      </c>
      <c r="BC118" s="144">
        <f t="shared" si="12"/>
        <v>9.6855681748167013E-2</v>
      </c>
      <c r="BD118" s="159">
        <f t="shared" si="12"/>
        <v>6.1489803043683642</v>
      </c>
      <c r="BE118" s="144"/>
      <c r="BF118" s="160">
        <f t="shared" si="9"/>
        <v>1.119005442894991E-3</v>
      </c>
      <c r="BG118" s="144">
        <f t="shared" si="13"/>
        <v>2.962780185249841E-7</v>
      </c>
      <c r="BH118" s="144">
        <f t="shared" si="13"/>
        <v>6.9762012137766749E-8</v>
      </c>
      <c r="BI118" s="144">
        <f t="shared" si="13"/>
        <v>3.4833554455648888E-7</v>
      </c>
      <c r="BJ118" s="144">
        <f t="shared" si="13"/>
        <v>3.3676720543837674E-9</v>
      </c>
      <c r="BK118" s="160">
        <f t="shared" si="13"/>
        <v>2.1380004518288802E-7</v>
      </c>
      <c r="BL118" s="144"/>
    </row>
    <row r="119" spans="24:64">
      <c r="X119" s="53" t="s">
        <v>311</v>
      </c>
      <c r="Y119" s="53" t="s">
        <v>312</v>
      </c>
      <c r="Z119" s="165">
        <v>43891</v>
      </c>
      <c r="AA119" s="166">
        <v>0.1033</v>
      </c>
      <c r="AB119" s="166">
        <v>34.713630000000002</v>
      </c>
      <c r="AC119" s="166" t="s">
        <v>344</v>
      </c>
      <c r="AD119" s="166" t="s">
        <v>334</v>
      </c>
      <c r="AE119" s="116" t="s">
        <v>347</v>
      </c>
      <c r="AF119" s="154" t="s">
        <v>371</v>
      </c>
      <c r="AG119" s="116" t="s">
        <v>687</v>
      </c>
      <c r="AH119" s="165" t="s">
        <v>367</v>
      </c>
      <c r="AI119" s="53" t="s">
        <v>684</v>
      </c>
      <c r="AJ119" s="53" t="s">
        <v>683</v>
      </c>
      <c r="AK119" s="156">
        <v>55.7</v>
      </c>
      <c r="AL119" s="157">
        <v>28.79</v>
      </c>
      <c r="AM119" s="75">
        <v>0.90408999999999995</v>
      </c>
      <c r="AN119" s="157">
        <v>146.69999999999999</v>
      </c>
      <c r="AO119" s="156">
        <v>0.27200000000000002</v>
      </c>
      <c r="AP119" s="157">
        <v>71.900000000000006</v>
      </c>
      <c r="AQ119" s="157"/>
      <c r="AR119" s="158">
        <f t="shared" si="11"/>
        <v>3.4318457209751286E-5</v>
      </c>
      <c r="AS119" s="144">
        <f t="shared" si="11"/>
        <v>1.7738391078433386E-5</v>
      </c>
      <c r="AT119" s="144">
        <f t="shared" si="11"/>
        <v>5.5703723480725383E-7</v>
      </c>
      <c r="AU119" s="144">
        <f t="shared" si="11"/>
        <v>9.0386313692468809E-5</v>
      </c>
      <c r="AV119" s="144">
        <f t="shared" si="11"/>
        <v>1.6758743915713378E-7</v>
      </c>
      <c r="AW119" s="158">
        <f t="shared" si="11"/>
        <v>4.4299767924257052E-5</v>
      </c>
      <c r="AX119" s="144"/>
      <c r="AY119" s="159">
        <f t="shared" si="12"/>
        <v>6.8636914419502579</v>
      </c>
      <c r="AZ119" s="144">
        <f t="shared" si="12"/>
        <v>3.5476782156866769</v>
      </c>
      <c r="BA119" s="144">
        <f t="shared" si="12"/>
        <v>0.11140744696145076</v>
      </c>
      <c r="BB119" s="144">
        <f t="shared" si="12"/>
        <v>18.077262738493769</v>
      </c>
      <c r="BC119" s="144">
        <f t="shared" si="12"/>
        <v>3.3517487831426759E-2</v>
      </c>
      <c r="BD119" s="159">
        <f t="shared" si="12"/>
        <v>8.859953584851409</v>
      </c>
      <c r="BE119" s="144"/>
      <c r="BF119" s="160">
        <f t="shared" si="9"/>
        <v>7.1595165430983128E-6</v>
      </c>
      <c r="BG119" s="144">
        <f t="shared" si="13"/>
        <v>1.2335277155942576E-7</v>
      </c>
      <c r="BH119" s="144">
        <f t="shared" si="13"/>
        <v>3.8736369308496444E-9</v>
      </c>
      <c r="BI119" s="144">
        <f t="shared" si="13"/>
        <v>6.2854642541742827E-7</v>
      </c>
      <c r="BJ119" s="144">
        <f t="shared" si="13"/>
        <v>1.1654030518987082E-9</v>
      </c>
      <c r="BK119" s="160">
        <f t="shared" si="13"/>
        <v>3.0806058614528365E-7</v>
      </c>
      <c r="BL119" s="144"/>
    </row>
    <row r="120" spans="24:64">
      <c r="X120" s="168"/>
      <c r="Y120" s="168"/>
      <c r="Z120" s="168"/>
      <c r="AA120" s="168"/>
      <c r="AB120" s="168"/>
      <c r="AC120" s="168"/>
      <c r="AD120" s="168"/>
      <c r="AE120" s="168"/>
      <c r="AF120" s="168"/>
      <c r="AG120" s="168"/>
      <c r="AH120" s="168"/>
      <c r="AI120" s="168"/>
      <c r="AJ120" s="168"/>
      <c r="AK120" s="169"/>
      <c r="AL120" s="170"/>
      <c r="AM120" s="171"/>
      <c r="AN120" s="170"/>
      <c r="AO120" s="169"/>
      <c r="AP120" s="172"/>
      <c r="AQ120" s="170" t="s">
        <v>957</v>
      </c>
      <c r="AR120" s="173">
        <f t="shared" ref="AR120:AW120" si="14">AVERAGE(AR8:AR119)</f>
        <v>1.0994085882694658E-3</v>
      </c>
      <c r="AS120" s="173">
        <f t="shared" si="14"/>
        <v>7.3940751004145672E-5</v>
      </c>
      <c r="AT120" s="173">
        <f t="shared" si="14"/>
        <v>3.2790731621713602E-6</v>
      </c>
      <c r="AU120" s="173">
        <f t="shared" si="14"/>
        <v>1.9420261738015539E-4</v>
      </c>
      <c r="AV120" s="173">
        <f t="shared" si="14"/>
        <v>3.2626849491105722E-7</v>
      </c>
      <c r="AW120" s="173">
        <f t="shared" si="14"/>
        <v>6.0436880385638925E-5</v>
      </c>
      <c r="AX120" s="173"/>
      <c r="AY120" s="174">
        <f t="shared" ref="AY120:BD120" si="15">AVERAGE(AY8:AY119)</f>
        <v>219.88171765389319</v>
      </c>
      <c r="AZ120" s="173">
        <f t="shared" si="15"/>
        <v>14.788150200829133</v>
      </c>
      <c r="BA120" s="173">
        <f t="shared" si="15"/>
        <v>0.65581463243427218</v>
      </c>
      <c r="BB120" s="173">
        <f t="shared" si="15"/>
        <v>38.840523476031073</v>
      </c>
      <c r="BC120" s="173">
        <f t="shared" si="15"/>
        <v>6.525369898221145E-2</v>
      </c>
      <c r="BD120" s="174">
        <f t="shared" si="15"/>
        <v>12.087376077127782</v>
      </c>
      <c r="BE120" s="173"/>
      <c r="BF120" s="175">
        <f t="shared" ref="BF120:BK120" si="16">AVERAGE(BF8:BF119)</f>
        <v>2.29358619684776E-4</v>
      </c>
      <c r="BG120" s="173">
        <f t="shared" si="16"/>
        <v>5.1418398248282912E-7</v>
      </c>
      <c r="BH120" s="173">
        <f t="shared" si="16"/>
        <v>2.280267476973965E-8</v>
      </c>
      <c r="BI120" s="173">
        <f t="shared" si="16"/>
        <v>1.3504850012616003E-6</v>
      </c>
      <c r="BJ120" s="173">
        <f t="shared" si="16"/>
        <v>2.2688711136114921E-9</v>
      </c>
      <c r="BK120" s="175">
        <f t="shared" si="16"/>
        <v>4.2027806620173273E-7</v>
      </c>
    </row>
    <row r="121" spans="24:64">
      <c r="X121" s="53" t="s">
        <v>313</v>
      </c>
      <c r="Y121" s="53" t="s">
        <v>314</v>
      </c>
      <c r="Z121" s="165">
        <v>44065</v>
      </c>
      <c r="AA121" s="166">
        <v>0.46544799999999997</v>
      </c>
      <c r="AB121" s="166">
        <v>34.870607999999997</v>
      </c>
      <c r="AC121" s="166" t="s">
        <v>331</v>
      </c>
      <c r="AD121" s="165" t="s">
        <v>330</v>
      </c>
      <c r="AE121" s="116" t="s">
        <v>347</v>
      </c>
      <c r="AF121" s="154" t="s">
        <v>362</v>
      </c>
      <c r="AG121" s="154" t="s">
        <v>362</v>
      </c>
      <c r="AH121" s="165" t="s">
        <v>366</v>
      </c>
      <c r="AI121" s="53" t="s">
        <v>684</v>
      </c>
      <c r="AJ121" s="163" t="s">
        <v>683</v>
      </c>
      <c r="AK121" s="78">
        <v>3.6</v>
      </c>
      <c r="AL121" s="78">
        <v>11.14</v>
      </c>
      <c r="AM121" s="78">
        <v>4.7700000000000006E-2</v>
      </c>
      <c r="AN121" s="78">
        <v>221</v>
      </c>
      <c r="AO121" s="78">
        <v>0.152</v>
      </c>
      <c r="AP121" s="78">
        <v>91.2</v>
      </c>
      <c r="AR121" s="158">
        <f t="shared" ref="AR121:AR129" si="17">(AK121*100*350*30*0.000001)/(70*66.7*365)</f>
        <v>2.2180690476679469E-6</v>
      </c>
      <c r="AS121" s="144">
        <f t="shared" ref="AS121:AS129" si="18">(AL121*100*350*30*0.000001)/(70*66.7*365)</f>
        <v>6.8636914419502573E-6</v>
      </c>
      <c r="AT121" s="144">
        <f t="shared" ref="AT121:AT129" si="19">(AM121*100*350*30*0.000001)/(70*66.7*365)</f>
        <v>2.9389414881600298E-8</v>
      </c>
      <c r="AU121" s="144">
        <f t="shared" ref="AU121:AU129" si="20">(AN121*100*350*30*0.000001)/(70*66.7*365)</f>
        <v>1.3616479431517118E-4</v>
      </c>
      <c r="AV121" s="144">
        <f t="shared" ref="AV121:AV129" si="21">(AO121*100*350*30*0.000001)/(70*66.7*365)</f>
        <v>9.3651804234868857E-8</v>
      </c>
      <c r="AW121" s="158">
        <f t="shared" ref="AW121:AW129" si="22">(AP121*100*350*30*0.000001)/(70*66.7*365)</f>
        <v>5.6191082540921314E-5</v>
      </c>
      <c r="AY121" s="159">
        <f t="shared" ref="AY121:BD129" si="23">(AK121*20*350*30)/(70*66.7*365)</f>
        <v>0.44361380953358936</v>
      </c>
      <c r="AZ121" s="144">
        <f t="shared" si="23"/>
        <v>1.3727382883900516</v>
      </c>
      <c r="BA121" s="144">
        <f t="shared" si="23"/>
        <v>5.8778829763200613E-3</v>
      </c>
      <c r="BB121" s="144">
        <f t="shared" si="23"/>
        <v>27.232958863034238</v>
      </c>
      <c r="BC121" s="144">
        <f t="shared" si="23"/>
        <v>1.8730360846973774E-2</v>
      </c>
      <c r="BD121" s="159">
        <f t="shared" si="23"/>
        <v>11.238216508184264</v>
      </c>
      <c r="BF121" s="160">
        <f t="shared" ref="BF121:BF129" si="24">(AK121*5700*0.61*0.2*0.03*350*30*0.000001)/(70*66.7*365)</f>
        <v>4.6273356472448705E-7</v>
      </c>
      <c r="BG121" s="144">
        <f t="shared" ref="BG121:BK129" si="25">(AL121*5700*0.61*0.2*0.001*350*30*0.000001)/(70*66.7*365)</f>
        <v>4.7730110287322092E-8</v>
      </c>
      <c r="BH121" s="144">
        <f t="shared" si="25"/>
        <v>2.0437399108664854E-10</v>
      </c>
      <c r="BI121" s="144">
        <f t="shared" si="25"/>
        <v>9.4688997966770046E-7</v>
      </c>
      <c r="BJ121" s="144">
        <f t="shared" si="25"/>
        <v>6.5125464664927811E-10</v>
      </c>
      <c r="BK121" s="160">
        <f t="shared" si="25"/>
        <v>3.9075278798956681E-7</v>
      </c>
    </row>
    <row r="122" spans="24:64">
      <c r="X122" s="53" t="s">
        <v>315</v>
      </c>
      <c r="Y122" s="53" t="s">
        <v>316</v>
      </c>
      <c r="Z122" s="165">
        <v>44065</v>
      </c>
      <c r="AA122" s="166">
        <v>0.46544799999999997</v>
      </c>
      <c r="AB122" s="166">
        <v>34.870607999999997</v>
      </c>
      <c r="AC122" s="166" t="s">
        <v>331</v>
      </c>
      <c r="AD122" s="165" t="s">
        <v>330</v>
      </c>
      <c r="AE122" s="116" t="s">
        <v>347</v>
      </c>
      <c r="AF122" s="154" t="s">
        <v>362</v>
      </c>
      <c r="AG122" s="154" t="s">
        <v>362</v>
      </c>
      <c r="AH122" s="165" t="s">
        <v>367</v>
      </c>
      <c r="AI122" s="53" t="s">
        <v>684</v>
      </c>
      <c r="AJ122" s="163" t="s">
        <v>683</v>
      </c>
      <c r="AK122" s="78">
        <v>3.3</v>
      </c>
      <c r="AL122" s="78">
        <v>11.27</v>
      </c>
      <c r="AM122" s="78">
        <v>3.8360000000000005E-2</v>
      </c>
      <c r="AN122" s="78">
        <v>214.7</v>
      </c>
      <c r="AO122" s="78">
        <v>0.18</v>
      </c>
      <c r="AP122" s="78">
        <v>91.1</v>
      </c>
      <c r="AR122" s="158">
        <f t="shared" si="17"/>
        <v>2.0332299603622846E-6</v>
      </c>
      <c r="AS122" s="144">
        <f t="shared" si="18"/>
        <v>6.9437883797827107E-6</v>
      </c>
      <c r="AT122" s="144">
        <f t="shared" si="19"/>
        <v>2.3634757963484018E-8</v>
      </c>
      <c r="AU122" s="144">
        <f t="shared" si="20"/>
        <v>1.3228317348175229E-4</v>
      </c>
      <c r="AV122" s="144">
        <f t="shared" si="21"/>
        <v>1.1090345238339735E-7</v>
      </c>
      <c r="AW122" s="158">
        <f t="shared" si="22"/>
        <v>5.6129469511819435E-5</v>
      </c>
      <c r="AY122" s="159">
        <f t="shared" si="23"/>
        <v>0.40664599207245694</v>
      </c>
      <c r="AZ122" s="144">
        <f t="shared" si="23"/>
        <v>1.3887576759565421</v>
      </c>
      <c r="BA122" s="144">
        <f t="shared" si="23"/>
        <v>4.7269515926968032E-3</v>
      </c>
      <c r="BB122" s="144">
        <f t="shared" si="23"/>
        <v>26.456634696350456</v>
      </c>
      <c r="BC122" s="144">
        <f t="shared" si="23"/>
        <v>2.2180690476679463E-2</v>
      </c>
      <c r="BD122" s="159">
        <f t="shared" si="23"/>
        <v>11.225893902363886</v>
      </c>
      <c r="BF122" s="160">
        <f t="shared" si="24"/>
        <v>4.2417243433077982E-7</v>
      </c>
      <c r="BG122" s="144">
        <f t="shared" si="25"/>
        <v>4.8287104393008982E-8</v>
      </c>
      <c r="BH122" s="144">
        <f t="shared" si="25"/>
        <v>1.6435610687806781E-10</v>
      </c>
      <c r="BI122" s="144">
        <f t="shared" si="25"/>
        <v>9.1989718839210536E-7</v>
      </c>
      <c r="BJ122" s="144">
        <f t="shared" si="25"/>
        <v>7.712226078741451E-10</v>
      </c>
      <c r="BK122" s="160">
        <f t="shared" si="25"/>
        <v>3.9032433098519223E-7</v>
      </c>
    </row>
    <row r="123" spans="24:64">
      <c r="X123" s="53" t="s">
        <v>317</v>
      </c>
      <c r="Y123" s="53" t="s">
        <v>318</v>
      </c>
      <c r="Z123" s="165">
        <v>44065</v>
      </c>
      <c r="AA123" s="166">
        <v>0.46636899999999998</v>
      </c>
      <c r="AB123" s="166">
        <v>34.869613000000001</v>
      </c>
      <c r="AC123" s="166" t="s">
        <v>331</v>
      </c>
      <c r="AD123" s="165" t="s">
        <v>330</v>
      </c>
      <c r="AE123" s="116" t="s">
        <v>347</v>
      </c>
      <c r="AF123" s="154" t="s">
        <v>362</v>
      </c>
      <c r="AG123" s="154" t="s">
        <v>362</v>
      </c>
      <c r="AH123" s="165" t="s">
        <v>708</v>
      </c>
      <c r="AI123" s="53" t="s">
        <v>684</v>
      </c>
      <c r="AJ123" s="163" t="s">
        <v>683</v>
      </c>
      <c r="AK123" s="78">
        <v>2</v>
      </c>
      <c r="AL123" s="78">
        <v>8.51</v>
      </c>
      <c r="AM123" s="78">
        <v>7.8829999999999997E-2</v>
      </c>
      <c r="AN123" s="78">
        <v>175</v>
      </c>
      <c r="AO123" s="78">
        <v>0.33400000000000002</v>
      </c>
      <c r="AP123" s="78">
        <v>91.4</v>
      </c>
      <c r="AR123" s="158">
        <f t="shared" si="17"/>
        <v>1.2322605820377482E-6</v>
      </c>
      <c r="AS123" s="144">
        <f t="shared" si="18"/>
        <v>5.2432687765706186E-6</v>
      </c>
      <c r="AT123" s="144">
        <f t="shared" si="19"/>
        <v>4.8569550841017848E-8</v>
      </c>
      <c r="AU123" s="144">
        <f t="shared" si="20"/>
        <v>1.0782280092830297E-4</v>
      </c>
      <c r="AV123" s="144">
        <f t="shared" si="21"/>
        <v>2.0578751720030395E-7</v>
      </c>
      <c r="AW123" s="158">
        <f t="shared" si="22"/>
        <v>5.6314308599125092E-5</v>
      </c>
      <c r="AY123" s="159">
        <f t="shared" si="23"/>
        <v>0.24645211640754966</v>
      </c>
      <c r="AZ123" s="144">
        <f t="shared" si="23"/>
        <v>1.0486537553141235</v>
      </c>
      <c r="BA123" s="144">
        <f t="shared" si="23"/>
        <v>9.7139101682035683E-3</v>
      </c>
      <c r="BB123" s="144">
        <f t="shared" si="23"/>
        <v>21.564560185660593</v>
      </c>
      <c r="BC123" s="144">
        <f t="shared" si="23"/>
        <v>4.1157503440060791E-2</v>
      </c>
      <c r="BD123" s="159">
        <f t="shared" si="23"/>
        <v>11.262861719825018</v>
      </c>
      <c r="BF123" s="160">
        <f t="shared" si="24"/>
        <v>2.5707420262471508E-7</v>
      </c>
      <c r="BG123" s="144">
        <f t="shared" si="25"/>
        <v>3.6461691072272084E-8</v>
      </c>
      <c r="BH123" s="144">
        <f t="shared" si="25"/>
        <v>3.377526565484381E-10</v>
      </c>
      <c r="BI123" s="144">
        <f t="shared" si="25"/>
        <v>7.4979975765541882E-7</v>
      </c>
      <c r="BJ123" s="144">
        <f t="shared" si="25"/>
        <v>1.4310463946109138E-9</v>
      </c>
      <c r="BK123" s="160">
        <f t="shared" si="25"/>
        <v>3.9160970199831597E-7</v>
      </c>
    </row>
    <row r="124" spans="24:64">
      <c r="X124" s="53" t="s">
        <v>319</v>
      </c>
      <c r="Y124" s="53" t="s">
        <v>320</v>
      </c>
      <c r="Z124" s="165">
        <v>44065</v>
      </c>
      <c r="AA124" s="166">
        <v>0.46534199999999998</v>
      </c>
      <c r="AB124" s="166">
        <v>34.885432999999999</v>
      </c>
      <c r="AC124" s="166" t="s">
        <v>336</v>
      </c>
      <c r="AD124" s="165" t="s">
        <v>330</v>
      </c>
      <c r="AE124" s="116" t="s">
        <v>347</v>
      </c>
      <c r="AF124" s="154" t="s">
        <v>362</v>
      </c>
      <c r="AG124" s="154" t="s">
        <v>362</v>
      </c>
      <c r="AH124" s="165" t="s">
        <v>370</v>
      </c>
      <c r="AI124" s="53" t="s">
        <v>684</v>
      </c>
      <c r="AJ124" s="163" t="s">
        <v>683</v>
      </c>
      <c r="AK124" s="78">
        <v>2.9</v>
      </c>
      <c r="AL124" s="78">
        <v>16.62</v>
      </c>
      <c r="AM124" s="78">
        <v>0.02</v>
      </c>
      <c r="AN124" s="78">
        <v>101.8</v>
      </c>
      <c r="AO124" s="78">
        <v>4.9000000000000002E-2</v>
      </c>
      <c r="AP124" s="78">
        <v>35</v>
      </c>
      <c r="AR124" s="158">
        <f t="shared" si="17"/>
        <v>1.7867778439547349E-6</v>
      </c>
      <c r="AS124" s="144">
        <f t="shared" si="18"/>
        <v>1.0240085436733689E-5</v>
      </c>
      <c r="AT124" s="144">
        <f t="shared" si="19"/>
        <v>1.2322605820377481E-8</v>
      </c>
      <c r="AU124" s="144">
        <f t="shared" si="20"/>
        <v>6.2722063625721391E-5</v>
      </c>
      <c r="AV124" s="144">
        <f t="shared" si="21"/>
        <v>3.0190384259924836E-8</v>
      </c>
      <c r="AW124" s="158">
        <f t="shared" si="22"/>
        <v>2.1564560185660593E-5</v>
      </c>
      <c r="AY124" s="159">
        <f t="shared" si="23"/>
        <v>0.35735556879094699</v>
      </c>
      <c r="AZ124" s="144">
        <f t="shared" si="23"/>
        <v>2.048017087346738</v>
      </c>
      <c r="BA124" s="144">
        <f t="shared" si="23"/>
        <v>2.4645211640754966E-3</v>
      </c>
      <c r="BB124" s="144">
        <f t="shared" si="23"/>
        <v>12.544412725144277</v>
      </c>
      <c r="BC124" s="144">
        <f t="shared" si="23"/>
        <v>6.0380768519849668E-3</v>
      </c>
      <c r="BD124" s="159">
        <f t="shared" si="23"/>
        <v>4.3129120371321186</v>
      </c>
      <c r="BF124" s="160">
        <f t="shared" si="24"/>
        <v>3.7275759380583672E-7</v>
      </c>
      <c r="BG124" s="144">
        <f t="shared" si="25"/>
        <v>7.1209554127046072E-8</v>
      </c>
      <c r="BH124" s="144">
        <f t="shared" si="25"/>
        <v>8.5691400874905002E-11</v>
      </c>
      <c r="BI124" s="144">
        <f t="shared" si="25"/>
        <v>4.3616923045326642E-7</v>
      </c>
      <c r="BJ124" s="144">
        <f t="shared" si="25"/>
        <v>2.0994393214351725E-10</v>
      </c>
      <c r="BK124" s="160">
        <f t="shared" si="25"/>
        <v>1.4995995153108379E-7</v>
      </c>
    </row>
    <row r="125" spans="24:64">
      <c r="X125" s="53" t="s">
        <v>321</v>
      </c>
      <c r="Y125" s="53" t="s">
        <v>322</v>
      </c>
      <c r="Z125" s="165">
        <v>44065</v>
      </c>
      <c r="AA125" s="166">
        <v>0.195803</v>
      </c>
      <c r="AB125" s="166">
        <v>34.487564999999996</v>
      </c>
      <c r="AC125" s="166" t="s">
        <v>337</v>
      </c>
      <c r="AD125" s="165" t="s">
        <v>330</v>
      </c>
      <c r="AE125" s="116" t="s">
        <v>347</v>
      </c>
      <c r="AF125" s="154" t="s">
        <v>362</v>
      </c>
      <c r="AG125" s="154" t="s">
        <v>362</v>
      </c>
      <c r="AH125" s="165" t="s">
        <v>366</v>
      </c>
      <c r="AI125" s="53" t="s">
        <v>684</v>
      </c>
      <c r="AJ125" s="163" t="s">
        <v>683</v>
      </c>
      <c r="AK125" s="78">
        <v>13.8</v>
      </c>
      <c r="AL125" s="78">
        <v>15.35</v>
      </c>
      <c r="AM125" s="78">
        <v>4.9710000000000004E-2</v>
      </c>
      <c r="AN125" s="78">
        <v>108.1</v>
      </c>
      <c r="AO125" s="78">
        <v>8.2000000000000003E-2</v>
      </c>
      <c r="AP125" s="78">
        <v>37.700000000000003</v>
      </c>
      <c r="AR125" s="158">
        <f t="shared" si="17"/>
        <v>8.502598016060463E-6</v>
      </c>
      <c r="AS125" s="144">
        <f t="shared" si="18"/>
        <v>9.4575999671397184E-6</v>
      </c>
      <c r="AT125" s="144">
        <f t="shared" si="19"/>
        <v>3.0627836766548236E-8</v>
      </c>
      <c r="AU125" s="144">
        <f t="shared" si="20"/>
        <v>6.6603684459140284E-5</v>
      </c>
      <c r="AV125" s="144">
        <f t="shared" si="21"/>
        <v>5.0522683863547684E-8</v>
      </c>
      <c r="AW125" s="158">
        <f t="shared" si="22"/>
        <v>2.3228111971411559E-5</v>
      </c>
      <c r="AY125" s="159">
        <f t="shared" si="23"/>
        <v>1.7005196032120926</v>
      </c>
      <c r="AZ125" s="144">
        <f t="shared" si="23"/>
        <v>1.8915199934279436</v>
      </c>
      <c r="BA125" s="144">
        <f t="shared" si="23"/>
        <v>6.1255673533096465E-3</v>
      </c>
      <c r="BB125" s="144">
        <f t="shared" si="23"/>
        <v>13.320736891828059</v>
      </c>
      <c r="BC125" s="144">
        <f t="shared" si="23"/>
        <v>1.0104536772709536E-2</v>
      </c>
      <c r="BD125" s="159">
        <f t="shared" si="23"/>
        <v>4.6456223942823112</v>
      </c>
      <c r="BF125" s="160">
        <f t="shared" si="24"/>
        <v>1.773811998110534E-6</v>
      </c>
      <c r="BG125" s="144">
        <f t="shared" si="25"/>
        <v>6.5768150171489588E-8</v>
      </c>
      <c r="BH125" s="144">
        <f t="shared" si="25"/>
        <v>2.1298597687457644E-10</v>
      </c>
      <c r="BI125" s="144">
        <f t="shared" si="25"/>
        <v>4.6316202172886163E-7</v>
      </c>
      <c r="BJ125" s="144">
        <f t="shared" si="25"/>
        <v>3.5133474358711059E-10</v>
      </c>
      <c r="BK125" s="160">
        <f t="shared" si="25"/>
        <v>1.61528290649196E-7</v>
      </c>
    </row>
    <row r="126" spans="24:64">
      <c r="X126" s="53" t="s">
        <v>323</v>
      </c>
      <c r="Y126" s="53" t="s">
        <v>322</v>
      </c>
      <c r="Z126" s="165">
        <v>44065</v>
      </c>
      <c r="AA126" s="166">
        <v>0.195803</v>
      </c>
      <c r="AB126" s="166">
        <v>34.487564999999996</v>
      </c>
      <c r="AC126" s="166" t="s">
        <v>337</v>
      </c>
      <c r="AD126" s="165" t="s">
        <v>330</v>
      </c>
      <c r="AE126" s="116" t="s">
        <v>347</v>
      </c>
      <c r="AF126" s="154" t="s">
        <v>362</v>
      </c>
      <c r="AG126" s="154" t="s">
        <v>362</v>
      </c>
      <c r="AH126" s="165" t="s">
        <v>366</v>
      </c>
      <c r="AI126" s="53" t="s">
        <v>684</v>
      </c>
      <c r="AJ126" s="163" t="s">
        <v>683</v>
      </c>
      <c r="AK126" s="78">
        <v>14.2</v>
      </c>
      <c r="AL126" s="78">
        <v>15.75</v>
      </c>
      <c r="AM126" s="78">
        <v>0.05</v>
      </c>
      <c r="AN126" s="78">
        <v>113.2</v>
      </c>
      <c r="AO126" s="78">
        <v>0.111</v>
      </c>
      <c r="AP126" s="78">
        <v>38.6</v>
      </c>
      <c r="AR126" s="158">
        <f t="shared" si="17"/>
        <v>8.7490501324680134E-6</v>
      </c>
      <c r="AS126" s="144">
        <f t="shared" si="18"/>
        <v>9.704052083547267E-6</v>
      </c>
      <c r="AT126" s="144">
        <f t="shared" si="19"/>
        <v>3.0806514550943703E-8</v>
      </c>
      <c r="AU126" s="144">
        <f t="shared" si="20"/>
        <v>6.9745948943336552E-5</v>
      </c>
      <c r="AV126" s="144">
        <f t="shared" si="21"/>
        <v>6.8390462303095031E-8</v>
      </c>
      <c r="AW126" s="158">
        <f t="shared" si="22"/>
        <v>2.3782629233328542E-5</v>
      </c>
      <c r="AY126" s="159">
        <f t="shared" si="23"/>
        <v>1.7498100264936025</v>
      </c>
      <c r="AZ126" s="144">
        <f t="shared" si="23"/>
        <v>1.9408104167094535</v>
      </c>
      <c r="BA126" s="144">
        <f t="shared" si="23"/>
        <v>6.1613029101887417E-3</v>
      </c>
      <c r="BB126" s="144">
        <f t="shared" si="23"/>
        <v>13.94918978866731</v>
      </c>
      <c r="BC126" s="144">
        <f t="shared" si="23"/>
        <v>1.3678092460619008E-2</v>
      </c>
      <c r="BD126" s="159">
        <f t="shared" si="23"/>
        <v>4.7565258466657081</v>
      </c>
      <c r="BF126" s="160">
        <f t="shared" si="24"/>
        <v>1.8252268386354768E-6</v>
      </c>
      <c r="BG126" s="144">
        <f t="shared" si="25"/>
        <v>6.7481978188987696E-8</v>
      </c>
      <c r="BH126" s="144">
        <f t="shared" si="25"/>
        <v>2.1422850218726254E-10</v>
      </c>
      <c r="BI126" s="144">
        <f t="shared" si="25"/>
        <v>4.8501332895196231E-7</v>
      </c>
      <c r="BJ126" s="144">
        <f t="shared" si="25"/>
        <v>4.7558727485572281E-10</v>
      </c>
      <c r="BK126" s="160">
        <f t="shared" si="25"/>
        <v>1.6538440368856666E-7</v>
      </c>
    </row>
    <row r="127" spans="24:64">
      <c r="X127" s="53" t="s">
        <v>324</v>
      </c>
      <c r="Y127" s="39" t="s">
        <v>325</v>
      </c>
      <c r="Z127" s="165">
        <v>44065</v>
      </c>
      <c r="AA127" s="166">
        <v>0.195803</v>
      </c>
      <c r="AB127" s="166">
        <v>34.487564999999996</v>
      </c>
      <c r="AC127" s="166" t="s">
        <v>338</v>
      </c>
      <c r="AD127" s="165" t="s">
        <v>330</v>
      </c>
      <c r="AE127" s="116" t="s">
        <v>347</v>
      </c>
      <c r="AF127" s="154" t="s">
        <v>362</v>
      </c>
      <c r="AG127" s="154" t="s">
        <v>362</v>
      </c>
      <c r="AH127" s="165" t="s">
        <v>370</v>
      </c>
      <c r="AI127" s="53" t="s">
        <v>684</v>
      </c>
      <c r="AJ127" s="163" t="s">
        <v>683</v>
      </c>
      <c r="AK127" s="78">
        <v>11.6</v>
      </c>
      <c r="AL127" s="78">
        <v>18.75</v>
      </c>
      <c r="AM127" s="78">
        <v>4.1730000000000003E-2</v>
      </c>
      <c r="AN127" s="78">
        <v>139.6</v>
      </c>
      <c r="AO127" s="78">
        <v>0.111</v>
      </c>
      <c r="AP127" s="78">
        <v>27.9</v>
      </c>
      <c r="AR127" s="158">
        <f t="shared" si="17"/>
        <v>7.1471113758189394E-6</v>
      </c>
      <c r="AS127" s="144">
        <f t="shared" si="18"/>
        <v>1.1552442956603891E-5</v>
      </c>
      <c r="AT127" s="144">
        <f t="shared" si="19"/>
        <v>2.5711117044217617E-8</v>
      </c>
      <c r="AU127" s="144">
        <f t="shared" si="20"/>
        <v>8.6011788626234818E-5</v>
      </c>
      <c r="AV127" s="144">
        <f t="shared" si="21"/>
        <v>6.8390462303095031E-8</v>
      </c>
      <c r="AW127" s="158">
        <f t="shared" si="22"/>
        <v>1.7190035119426586E-5</v>
      </c>
      <c r="AY127" s="159">
        <f t="shared" si="23"/>
        <v>1.4294222751637879</v>
      </c>
      <c r="AZ127" s="144">
        <f t="shared" si="23"/>
        <v>2.310488591320778</v>
      </c>
      <c r="BA127" s="144">
        <f t="shared" si="23"/>
        <v>5.1422234088435237E-3</v>
      </c>
      <c r="BB127" s="144">
        <f t="shared" si="23"/>
        <v>17.202357725246966</v>
      </c>
      <c r="BC127" s="144">
        <f t="shared" si="23"/>
        <v>1.3678092460619008E-2</v>
      </c>
      <c r="BD127" s="159">
        <f t="shared" si="23"/>
        <v>3.4380070238853175</v>
      </c>
      <c r="BF127" s="160">
        <f t="shared" si="24"/>
        <v>1.4910303752233469E-6</v>
      </c>
      <c r="BG127" s="144">
        <f t="shared" si="25"/>
        <v>8.0335688320223445E-8</v>
      </c>
      <c r="BH127" s="144">
        <f t="shared" si="25"/>
        <v>1.7879510792548931E-10</v>
      </c>
      <c r="BI127" s="144">
        <f t="shared" si="25"/>
        <v>5.9812597810683705E-7</v>
      </c>
      <c r="BJ127" s="144">
        <f t="shared" si="25"/>
        <v>4.7558727485572281E-10</v>
      </c>
      <c r="BK127" s="160">
        <f t="shared" si="25"/>
        <v>1.1953950422049247E-7</v>
      </c>
    </row>
    <row r="128" spans="24:64">
      <c r="X128" s="53" t="s">
        <v>326</v>
      </c>
      <c r="Y128" s="39" t="s">
        <v>327</v>
      </c>
      <c r="Z128" s="165">
        <v>44065</v>
      </c>
      <c r="AA128" s="166">
        <v>0.195803</v>
      </c>
      <c r="AB128" s="166">
        <v>34.487564999999996</v>
      </c>
      <c r="AC128" s="166" t="s">
        <v>337</v>
      </c>
      <c r="AD128" s="165" t="s">
        <v>330</v>
      </c>
      <c r="AE128" s="116" t="s">
        <v>347</v>
      </c>
      <c r="AF128" s="154" t="s">
        <v>362</v>
      </c>
      <c r="AG128" s="154" t="s">
        <v>362</v>
      </c>
      <c r="AH128" s="165" t="s">
        <v>367</v>
      </c>
      <c r="AI128" s="53" t="s">
        <v>684</v>
      </c>
      <c r="AJ128" s="163" t="s">
        <v>683</v>
      </c>
      <c r="AK128" s="78">
        <v>11.1</v>
      </c>
      <c r="AL128" s="78">
        <v>24.11</v>
      </c>
      <c r="AM128" s="78">
        <v>4.2450000000000002E-2</v>
      </c>
      <c r="AN128" s="78">
        <v>130.80000000000001</v>
      </c>
      <c r="AO128" s="78">
        <v>0.188</v>
      </c>
      <c r="AP128" s="78">
        <v>26.9</v>
      </c>
      <c r="AR128" s="158">
        <f t="shared" si="17"/>
        <v>6.8390462303095027E-6</v>
      </c>
      <c r="AS128" s="144">
        <f t="shared" si="18"/>
        <v>1.4854901316465055E-5</v>
      </c>
      <c r="AT128" s="144">
        <f t="shared" si="19"/>
        <v>2.6154730853751207E-8</v>
      </c>
      <c r="AU128" s="144">
        <f t="shared" si="20"/>
        <v>8.0589842065268748E-5</v>
      </c>
      <c r="AV128" s="144">
        <f t="shared" si="21"/>
        <v>1.1583249471154833E-7</v>
      </c>
      <c r="AW128" s="158">
        <f t="shared" si="22"/>
        <v>1.6573904828407711E-5</v>
      </c>
      <c r="AY128" s="159">
        <f t="shared" si="23"/>
        <v>1.3678092460619005</v>
      </c>
      <c r="AZ128" s="144">
        <f t="shared" si="23"/>
        <v>2.9709802632930109</v>
      </c>
      <c r="BA128" s="144">
        <f t="shared" si="23"/>
        <v>5.2309461707502414E-3</v>
      </c>
      <c r="BB128" s="144">
        <f t="shared" si="23"/>
        <v>16.117968413053749</v>
      </c>
      <c r="BC128" s="144">
        <f t="shared" si="23"/>
        <v>2.3166498942309668E-2</v>
      </c>
      <c r="BD128" s="159">
        <f t="shared" si="23"/>
        <v>3.3147809656815426</v>
      </c>
      <c r="BF128" s="160">
        <f t="shared" si="24"/>
        <v>1.426761824567168E-6</v>
      </c>
      <c r="BG128" s="144">
        <f t="shared" si="25"/>
        <v>1.03300983754698E-7</v>
      </c>
      <c r="BH128" s="144">
        <f t="shared" si="25"/>
        <v>1.8187999835698588E-10</v>
      </c>
      <c r="BI128" s="144">
        <f t="shared" si="25"/>
        <v>5.6042176172187887E-7</v>
      </c>
      <c r="BJ128" s="144">
        <f t="shared" si="25"/>
        <v>8.05499168224107E-10</v>
      </c>
      <c r="BK128" s="160">
        <f t="shared" si="25"/>
        <v>1.1525493417674726E-7</v>
      </c>
    </row>
    <row r="129" spans="24:64">
      <c r="X129" s="53" t="s">
        <v>328</v>
      </c>
      <c r="Y129" s="39" t="s">
        <v>329</v>
      </c>
      <c r="Z129" s="165">
        <v>44065</v>
      </c>
      <c r="AA129" s="166">
        <v>0.49734299999999998</v>
      </c>
      <c r="AB129" s="166">
        <v>35.278543999999997</v>
      </c>
      <c r="AC129" s="166" t="s">
        <v>346</v>
      </c>
      <c r="AD129" s="165" t="s">
        <v>345</v>
      </c>
      <c r="AE129" s="116" t="s">
        <v>347</v>
      </c>
      <c r="AF129" s="154" t="s">
        <v>362</v>
      </c>
      <c r="AG129" s="154" t="s">
        <v>362</v>
      </c>
      <c r="AH129" s="165" t="s">
        <v>368</v>
      </c>
      <c r="AI129" s="53" t="s">
        <v>684</v>
      </c>
      <c r="AJ129" s="163" t="s">
        <v>683</v>
      </c>
      <c r="AK129" s="78">
        <v>10.8</v>
      </c>
      <c r="AL129" s="78">
        <v>36.299999999999997</v>
      </c>
      <c r="AM129" s="78">
        <v>2.2689999999999998E-2</v>
      </c>
      <c r="AN129" s="78">
        <v>69.400000000000006</v>
      </c>
      <c r="AO129" s="78">
        <v>0.16900000000000001</v>
      </c>
      <c r="AP129" s="78">
        <v>28.5</v>
      </c>
      <c r="AR129" s="158">
        <f t="shared" si="17"/>
        <v>6.6542071430038404E-6</v>
      </c>
      <c r="AS129" s="144">
        <f t="shared" si="18"/>
        <v>2.2365529563985125E-5</v>
      </c>
      <c r="AT129" s="144">
        <f t="shared" si="19"/>
        <v>1.3979996303218251E-8</v>
      </c>
      <c r="AU129" s="144">
        <f t="shared" si="20"/>
        <v>4.2759442196709867E-5</v>
      </c>
      <c r="AV129" s="144">
        <f t="shared" si="21"/>
        <v>1.0412601918218974E-7</v>
      </c>
      <c r="AW129" s="158">
        <f t="shared" si="22"/>
        <v>1.7559713294037912E-5</v>
      </c>
      <c r="AY129" s="159">
        <f t="shared" si="23"/>
        <v>1.3308414286007682</v>
      </c>
      <c r="AZ129" s="144">
        <f t="shared" si="23"/>
        <v>4.4731059127970259</v>
      </c>
      <c r="BA129" s="144">
        <f t="shared" si="23"/>
        <v>2.7959992606436507E-3</v>
      </c>
      <c r="BB129" s="144">
        <f t="shared" si="23"/>
        <v>8.5518884393419725</v>
      </c>
      <c r="BC129" s="144">
        <f t="shared" si="23"/>
        <v>2.0825203836437951E-2</v>
      </c>
      <c r="BD129" s="159">
        <f t="shared" si="23"/>
        <v>3.5119426588075826</v>
      </c>
      <c r="BF129" s="160">
        <f t="shared" si="24"/>
        <v>1.3882006941734614E-6</v>
      </c>
      <c r="BG129" s="144">
        <f t="shared" si="25"/>
        <v>1.5552989258795256E-7</v>
      </c>
      <c r="BH129" s="144">
        <f t="shared" si="25"/>
        <v>9.7216894292579746E-11</v>
      </c>
      <c r="BI129" s="144">
        <f t="shared" si="25"/>
        <v>2.9734916103592042E-7</v>
      </c>
      <c r="BJ129" s="144">
        <f t="shared" si="25"/>
        <v>7.2409233739294737E-10</v>
      </c>
      <c r="BK129" s="160">
        <f t="shared" si="25"/>
        <v>1.2211024624673963E-7</v>
      </c>
    </row>
    <row r="130" spans="24:64">
      <c r="AR130" s="158"/>
      <c r="AS130" s="144"/>
      <c r="AT130" s="144"/>
      <c r="AU130" s="144"/>
      <c r="AV130" s="144"/>
      <c r="AW130" s="158"/>
      <c r="AX130" s="144"/>
      <c r="AY130" s="159"/>
      <c r="AZ130" s="144"/>
      <c r="BA130" s="144"/>
      <c r="BB130" s="144"/>
      <c r="BC130" s="144"/>
      <c r="BD130" s="159"/>
      <c r="BF130" s="160"/>
      <c r="BG130" s="144"/>
      <c r="BH130" s="144"/>
      <c r="BI130" s="144"/>
      <c r="BJ130" s="144"/>
      <c r="BK130" s="160"/>
      <c r="BL130" s="144"/>
    </row>
    <row r="131" spans="24:64">
      <c r="AR131" s="158"/>
      <c r="AS131" s="144"/>
      <c r="AT131" s="144"/>
      <c r="AU131" s="144"/>
      <c r="AV131" s="144"/>
      <c r="AW131" s="158"/>
      <c r="AX131" s="144"/>
      <c r="AY131" s="159"/>
      <c r="AZ131" s="144"/>
      <c r="BA131" s="144"/>
      <c r="BB131" s="144"/>
      <c r="BC131" s="144"/>
      <c r="BD131" s="159"/>
      <c r="BE131" s="144"/>
      <c r="BF131" s="160"/>
      <c r="BG131" s="144"/>
      <c r="BH131" s="144"/>
      <c r="BI131" s="144"/>
      <c r="BJ131" s="144"/>
      <c r="BK131" s="160"/>
      <c r="BL131" s="144"/>
    </row>
    <row r="132" spans="24:64">
      <c r="AR132" s="158"/>
      <c r="AS132" s="144"/>
      <c r="AT132" s="144"/>
      <c r="AU132" s="144"/>
      <c r="AV132" s="144"/>
      <c r="AW132" s="158"/>
      <c r="AX132" s="144"/>
      <c r="AY132" s="159"/>
      <c r="AZ132" s="144"/>
      <c r="BA132" s="144"/>
      <c r="BB132" s="144"/>
      <c r="BC132" s="144"/>
      <c r="BD132" s="159"/>
      <c r="BE132" s="144"/>
      <c r="BF132" s="160"/>
      <c r="BG132" s="144"/>
      <c r="BH132" s="144"/>
      <c r="BI132" s="144"/>
      <c r="BJ132" s="144"/>
      <c r="BK132" s="160"/>
      <c r="BL132" s="144"/>
    </row>
    <row r="133" spans="24:64">
      <c r="X133" s="17" t="s">
        <v>1009</v>
      </c>
    </row>
    <row r="134" spans="24:64">
      <c r="X134" s="26" t="s">
        <v>0</v>
      </c>
      <c r="Y134" s="26" t="s">
        <v>692</v>
      </c>
      <c r="Z134" s="83" t="s">
        <v>1</v>
      </c>
      <c r="AA134" s="83" t="s">
        <v>301</v>
      </c>
      <c r="AB134" s="83" t="s">
        <v>300</v>
      </c>
      <c r="AC134" s="83" t="s">
        <v>348</v>
      </c>
      <c r="AD134" s="83" t="s">
        <v>302</v>
      </c>
      <c r="AE134" s="26" t="s">
        <v>303</v>
      </c>
      <c r="AF134" s="26" t="s">
        <v>363</v>
      </c>
      <c r="AG134" s="26" t="s">
        <v>681</v>
      </c>
      <c r="AH134" s="26" t="s">
        <v>680</v>
      </c>
      <c r="AI134" s="83" t="s">
        <v>686</v>
      </c>
      <c r="AJ134" s="83" t="s">
        <v>693</v>
      </c>
      <c r="AK134" s="57" t="s">
        <v>23</v>
      </c>
      <c r="AL134" s="70" t="s">
        <v>55</v>
      </c>
      <c r="AM134" s="150" t="s">
        <v>3</v>
      </c>
      <c r="AN134" s="70" t="s">
        <v>15</v>
      </c>
      <c r="AO134" s="57" t="s">
        <v>32</v>
      </c>
      <c r="AP134" s="70" t="s">
        <v>19</v>
      </c>
      <c r="AQ134" s="70"/>
      <c r="AR134" s="146" t="s">
        <v>987</v>
      </c>
      <c r="AS134" s="70" t="s">
        <v>988</v>
      </c>
      <c r="AT134" s="70" t="s">
        <v>989</v>
      </c>
      <c r="AU134" s="70" t="s">
        <v>990</v>
      </c>
      <c r="AV134" s="70" t="s">
        <v>991</v>
      </c>
      <c r="AW134" s="146" t="s">
        <v>992</v>
      </c>
      <c r="AX134" s="147"/>
      <c r="AY134" s="148" t="s">
        <v>993</v>
      </c>
      <c r="AZ134" s="70" t="s">
        <v>994</v>
      </c>
      <c r="BA134" s="70" t="s">
        <v>995</v>
      </c>
      <c r="BB134" s="70" t="s">
        <v>996</v>
      </c>
      <c r="BC134" s="70" t="s">
        <v>997</v>
      </c>
      <c r="BD134" s="148" t="s">
        <v>998</v>
      </c>
      <c r="BE134" s="147"/>
      <c r="BF134" s="149" t="s">
        <v>999</v>
      </c>
      <c r="BG134" s="70" t="s">
        <v>1000</v>
      </c>
      <c r="BH134" s="70" t="s">
        <v>1001</v>
      </c>
      <c r="BI134" s="70" t="s">
        <v>1002</v>
      </c>
      <c r="BJ134" s="70" t="s">
        <v>1003</v>
      </c>
      <c r="BK134" s="149" t="s">
        <v>1004</v>
      </c>
      <c r="BL134" s="147"/>
    </row>
    <row r="135" spans="24:64" ht="18">
      <c r="X135" s="27"/>
      <c r="Y135" s="27"/>
      <c r="Z135" s="116"/>
      <c r="AA135" s="116"/>
      <c r="AB135" s="116"/>
      <c r="AC135" s="116"/>
      <c r="AD135" s="116"/>
      <c r="AE135" s="116"/>
      <c r="AF135" s="116" t="s">
        <v>349</v>
      </c>
      <c r="AG135" s="116"/>
      <c r="AH135" s="116"/>
      <c r="AI135" s="116"/>
      <c r="AJ135" s="116"/>
      <c r="AK135" s="8" t="s">
        <v>403</v>
      </c>
      <c r="AL135" s="8" t="s">
        <v>403</v>
      </c>
      <c r="AM135" s="8" t="s">
        <v>403</v>
      </c>
      <c r="AN135" s="8" t="s">
        <v>403</v>
      </c>
      <c r="AO135" s="8" t="s">
        <v>403</v>
      </c>
      <c r="AP135" s="8" t="s">
        <v>403</v>
      </c>
      <c r="AQ135" s="8"/>
      <c r="AR135" s="89"/>
      <c r="AW135" s="89"/>
      <c r="AY135" s="176"/>
      <c r="BD135" s="176"/>
      <c r="BF135" s="177"/>
      <c r="BK135" s="177"/>
    </row>
    <row r="136" spans="24:64">
      <c r="X136" s="152" t="s">
        <v>297</v>
      </c>
      <c r="Y136" s="43"/>
      <c r="Z136" s="153"/>
      <c r="AA136" s="153"/>
      <c r="AB136" s="153"/>
      <c r="AC136" s="153"/>
      <c r="AD136" s="153"/>
      <c r="AE136" s="116"/>
      <c r="AF136" s="116"/>
      <c r="AG136" s="116"/>
      <c r="AH136" s="153"/>
      <c r="AI136" s="153"/>
      <c r="AJ136" s="153"/>
      <c r="AK136" s="57" t="s">
        <v>77</v>
      </c>
      <c r="AL136" s="57" t="s">
        <v>69</v>
      </c>
      <c r="AM136" s="56">
        <v>0.02</v>
      </c>
      <c r="AN136" s="57" t="s">
        <v>69</v>
      </c>
      <c r="AO136" s="57" t="s">
        <v>83</v>
      </c>
      <c r="AP136" s="57" t="s">
        <v>73</v>
      </c>
      <c r="AQ136" s="57"/>
      <c r="AR136" s="147"/>
      <c r="AS136" s="147"/>
      <c r="AT136" s="147"/>
      <c r="AU136" s="147"/>
      <c r="AV136" s="147"/>
      <c r="AW136" s="147"/>
      <c r="AX136" s="147"/>
      <c r="AY136" s="147"/>
      <c r="AZ136" s="147"/>
      <c r="BA136" s="147"/>
      <c r="BB136" s="147"/>
      <c r="BC136" s="147"/>
      <c r="BD136" s="147"/>
      <c r="BE136" s="147"/>
      <c r="BF136" s="147"/>
      <c r="BG136" s="147"/>
      <c r="BH136" s="147"/>
      <c r="BI136" s="147"/>
      <c r="BJ136" s="147"/>
      <c r="BK136" s="147"/>
      <c r="BL136" s="147"/>
    </row>
    <row r="137" spans="24:64">
      <c r="X137" s="53" t="s">
        <v>87</v>
      </c>
      <c r="Y137" s="154" t="s">
        <v>88</v>
      </c>
      <c r="Z137" s="155" t="s">
        <v>339</v>
      </c>
      <c r="AA137" s="53">
        <v>0.258245</v>
      </c>
      <c r="AB137" s="53">
        <v>34.717754999999997</v>
      </c>
      <c r="AC137" s="53" t="s">
        <v>372</v>
      </c>
      <c r="AD137" s="53" t="s">
        <v>330</v>
      </c>
      <c r="AE137" s="116" t="s">
        <v>347</v>
      </c>
      <c r="AF137" s="154" t="s">
        <v>371</v>
      </c>
      <c r="AG137" s="116" t="s">
        <v>687</v>
      </c>
      <c r="AH137" s="53" t="s">
        <v>361</v>
      </c>
      <c r="AI137" s="53" t="s">
        <v>685</v>
      </c>
      <c r="AJ137" s="53" t="s">
        <v>690</v>
      </c>
      <c r="AK137" s="156">
        <v>35.5</v>
      </c>
      <c r="AL137" s="157">
        <v>19.8</v>
      </c>
      <c r="AM137" s="75">
        <v>11.04308</v>
      </c>
      <c r="AN137" s="157">
        <v>517.5</v>
      </c>
      <c r="AO137" s="156">
        <v>0.11600000000000001</v>
      </c>
      <c r="AP137" s="157">
        <v>98.9</v>
      </c>
      <c r="AQ137" s="157"/>
      <c r="AR137" s="158">
        <f t="shared" ref="AR137:AW137" si="26">(AK137*200*350*6*0.000001)/(15*66.7*365)</f>
        <v>4.0828900618184057E-5</v>
      </c>
      <c r="AS137" s="144">
        <f t="shared" si="26"/>
        <v>2.2772175556057584E-5</v>
      </c>
      <c r="AT137" s="144">
        <f t="shared" si="26"/>
        <v>1.2700755375736787E-5</v>
      </c>
      <c r="AU137" s="144">
        <f t="shared" si="26"/>
        <v>5.9518186112423243E-4</v>
      </c>
      <c r="AV137" s="144">
        <f t="shared" si="26"/>
        <v>1.3341274568195356E-7</v>
      </c>
      <c r="AW137" s="158">
        <f t="shared" si="26"/>
        <v>1.1374586679263107E-4</v>
      </c>
      <c r="AX137" s="144"/>
      <c r="AY137" s="178">
        <f t="shared" ref="AY137:AY168" si="27">(AK137*7.6*350*6)/(15*66.7*365)</f>
        <v>1.5514982234909942</v>
      </c>
      <c r="AZ137" s="144">
        <f t="shared" ref="AZ137:AZ168" si="28">(AL137*7.6*350*6)/(15*66.7*365)</f>
        <v>0.86534267113018837</v>
      </c>
      <c r="BA137" s="144">
        <f t="shared" ref="BA137:BD168" si="29">(AM137*7.6*350*6)/(15*66.7*365)</f>
        <v>0.48262870427799798</v>
      </c>
      <c r="BB137" s="144">
        <f t="shared" si="29"/>
        <v>22.616910722720831</v>
      </c>
      <c r="BC137" s="144">
        <f t="shared" si="29"/>
        <v>5.0696843359142353E-3</v>
      </c>
      <c r="BD137" s="178">
        <f t="shared" si="29"/>
        <v>4.3223429381199807</v>
      </c>
      <c r="BE137" s="144"/>
      <c r="BF137" s="160">
        <f t="shared" ref="BF137:BF168" si="30">(AK137*2800*0.61*0.07*0.03*350*6*0.000001)/(15*66.7*365)</f>
        <v>7.3222550368651293E-7</v>
      </c>
      <c r="BG137" s="144">
        <f t="shared" ref="BG137:BG168" si="31">(AL137*2800*0.61*0.07*0.001*350*6*0.000001)/(15*66.7*365)</f>
        <v>1.3613206547411229E-8</v>
      </c>
      <c r="BH137" s="144">
        <f t="shared" ref="BH137:BK168" si="32">(AM137*2800*0.61*0.07*0.001*350*6*0.000001)/(15*66.7*365)</f>
        <v>7.5925115636154536E-9</v>
      </c>
      <c r="BI137" s="144">
        <f t="shared" si="32"/>
        <v>3.5579971658006613E-7</v>
      </c>
      <c r="BJ137" s="144">
        <f t="shared" si="32"/>
        <v>7.9754139368671854E-11</v>
      </c>
      <c r="BK137" s="160">
        <f t="shared" si="32"/>
        <v>6.7997279168634866E-8</v>
      </c>
      <c r="BL137" s="144"/>
    </row>
    <row r="138" spans="24:64">
      <c r="X138" s="53" t="s">
        <v>89</v>
      </c>
      <c r="Y138" s="154" t="s">
        <v>90</v>
      </c>
      <c r="Z138" s="155" t="s">
        <v>339</v>
      </c>
      <c r="AA138" s="53">
        <v>0.258245</v>
      </c>
      <c r="AB138" s="53">
        <v>34.717754999999997</v>
      </c>
      <c r="AC138" s="53" t="s">
        <v>372</v>
      </c>
      <c r="AD138" s="53" t="s">
        <v>330</v>
      </c>
      <c r="AE138" s="116" t="s">
        <v>347</v>
      </c>
      <c r="AF138" s="154" t="s">
        <v>371</v>
      </c>
      <c r="AG138" s="116" t="s">
        <v>687</v>
      </c>
      <c r="AH138" s="53" t="s">
        <v>364</v>
      </c>
      <c r="AI138" s="53" t="s">
        <v>685</v>
      </c>
      <c r="AJ138" s="53" t="s">
        <v>690</v>
      </c>
      <c r="AK138" s="156">
        <v>1.5</v>
      </c>
      <c r="AL138" s="157">
        <v>13.5</v>
      </c>
      <c r="AM138" s="75">
        <v>4.1530000000000004E-2</v>
      </c>
      <c r="AN138" s="157">
        <v>129.5</v>
      </c>
      <c r="AO138" s="156">
        <v>5.3999999999999999E-2</v>
      </c>
      <c r="AP138" s="157">
        <v>113.79</v>
      </c>
      <c r="AQ138" s="157"/>
      <c r="AR138" s="158">
        <f t="shared" ref="AR138:AR169" si="33">(AK138*200*350*6*0.000001)/(15*66.7*365)</f>
        <v>1.7251648148528475E-6</v>
      </c>
      <c r="AS138" s="144">
        <f t="shared" ref="AS138:AS169" si="34">(AL138*200*350*6*0.000001)/(15*66.7*365)</f>
        <v>1.5526483333675627E-5</v>
      </c>
      <c r="AT138" s="144">
        <f t="shared" ref="AT138:AW169" si="35">(AM138*200*350*6*0.000001)/(15*66.7*365)</f>
        <v>4.7764063173892516E-8</v>
      </c>
      <c r="AU138" s="144">
        <f t="shared" si="35"/>
        <v>1.4893922901562917E-4</v>
      </c>
      <c r="AV138" s="144">
        <f t="shared" si="35"/>
        <v>6.2105933334702524E-8</v>
      </c>
      <c r="AW138" s="158">
        <f t="shared" si="35"/>
        <v>1.30871002854737E-4</v>
      </c>
      <c r="AX138" s="144"/>
      <c r="AY138" s="178">
        <f t="shared" si="27"/>
        <v>6.5556262964408196E-2</v>
      </c>
      <c r="AZ138" s="144">
        <f t="shared" si="28"/>
        <v>0.59000636667967388</v>
      </c>
      <c r="BA138" s="144">
        <f t="shared" si="29"/>
        <v>1.8150344006079152E-3</v>
      </c>
      <c r="BB138" s="144">
        <f t="shared" si="29"/>
        <v>5.6596907025939087</v>
      </c>
      <c r="BC138" s="144">
        <f t="shared" si="29"/>
        <v>2.3600254667186953E-3</v>
      </c>
      <c r="BD138" s="178">
        <f t="shared" si="29"/>
        <v>4.9730981084800066</v>
      </c>
      <c r="BE138" s="144"/>
      <c r="BF138" s="160">
        <f t="shared" si="30"/>
        <v>3.0939105789570974E-8</v>
      </c>
      <c r="BG138" s="144">
        <f t="shared" si="31"/>
        <v>9.2817317368712918E-9</v>
      </c>
      <c r="BH138" s="144">
        <f t="shared" si="32"/>
        <v>2.8553356965352946E-11</v>
      </c>
      <c r="BI138" s="144">
        <f t="shared" si="32"/>
        <v>8.9035871105543137E-8</v>
      </c>
      <c r="BJ138" s="144">
        <f t="shared" si="32"/>
        <v>3.7126926947485148E-11</v>
      </c>
      <c r="BK138" s="160">
        <f t="shared" si="32"/>
        <v>7.8234685506561802E-8</v>
      </c>
      <c r="BL138" s="144"/>
    </row>
    <row r="139" spans="24:64">
      <c r="X139" s="53" t="s">
        <v>93</v>
      </c>
      <c r="Y139" s="154" t="s">
        <v>94</v>
      </c>
      <c r="Z139" s="155" t="s">
        <v>339</v>
      </c>
      <c r="AA139" s="53">
        <v>0.258245</v>
      </c>
      <c r="AB139" s="53">
        <v>34.717754999999997</v>
      </c>
      <c r="AC139" s="53" t="s">
        <v>372</v>
      </c>
      <c r="AD139" s="53" t="s">
        <v>330</v>
      </c>
      <c r="AE139" s="116" t="s">
        <v>347</v>
      </c>
      <c r="AF139" s="154" t="s">
        <v>371</v>
      </c>
      <c r="AG139" s="116" t="s">
        <v>687</v>
      </c>
      <c r="AH139" s="53" t="s">
        <v>365</v>
      </c>
      <c r="AI139" s="53" t="s">
        <v>685</v>
      </c>
      <c r="AJ139" s="53" t="s">
        <v>691</v>
      </c>
      <c r="AK139" s="156">
        <v>482.6</v>
      </c>
      <c r="AL139" s="157">
        <v>16.8</v>
      </c>
      <c r="AM139" s="75">
        <v>2.2132899999999998</v>
      </c>
      <c r="AN139" s="157">
        <v>813.8</v>
      </c>
      <c r="AO139" s="156">
        <v>0.151</v>
      </c>
      <c r="AP139" s="157">
        <v>123.55</v>
      </c>
      <c r="AQ139" s="157"/>
      <c r="AR139" s="158">
        <f t="shared" si="33"/>
        <v>5.5504302643198937E-4</v>
      </c>
      <c r="AS139" s="144">
        <f t="shared" si="34"/>
        <v>1.9321845926351892E-5</v>
      </c>
      <c r="AT139" s="144">
        <f t="shared" si="35"/>
        <v>2.545526688710439E-6</v>
      </c>
      <c r="AU139" s="144">
        <f t="shared" si="35"/>
        <v>9.3595941755149825E-4</v>
      </c>
      <c r="AV139" s="144">
        <f t="shared" si="35"/>
        <v>1.7366659136185328E-7</v>
      </c>
      <c r="AW139" s="158">
        <f t="shared" si="35"/>
        <v>1.4209607525004621E-4</v>
      </c>
      <c r="AX139" s="144"/>
      <c r="AY139" s="178">
        <f t="shared" si="27"/>
        <v>21.0916350044156</v>
      </c>
      <c r="AZ139" s="144">
        <f t="shared" si="28"/>
        <v>0.73423014520137186</v>
      </c>
      <c r="BA139" s="144">
        <f t="shared" si="29"/>
        <v>9.6730014170996692E-2</v>
      </c>
      <c r="BB139" s="144">
        <f t="shared" si="29"/>
        <v>35.566457866956924</v>
      </c>
      <c r="BC139" s="144">
        <f t="shared" si="29"/>
        <v>6.5993304717504265E-3</v>
      </c>
      <c r="BD139" s="178">
        <f t="shared" si="29"/>
        <v>5.3996508595017545</v>
      </c>
      <c r="BE139" s="144"/>
      <c r="BF139" s="160">
        <f t="shared" si="30"/>
        <v>9.9541416360312978E-6</v>
      </c>
      <c r="BG139" s="144">
        <f t="shared" si="31"/>
        <v>1.1550599494773163E-8</v>
      </c>
      <c r="BH139" s="144">
        <f t="shared" si="32"/>
        <v>1.5217158545111009E-9</v>
      </c>
      <c r="BI139" s="144">
        <f t="shared" si="32"/>
        <v>5.5951653981228561E-7</v>
      </c>
      <c r="BJ139" s="144">
        <f t="shared" si="32"/>
        <v>1.0381788831611592E-10</v>
      </c>
      <c r="BK139" s="160">
        <f t="shared" si="32"/>
        <v>8.4945033784477616E-8</v>
      </c>
      <c r="BL139" s="144"/>
    </row>
    <row r="140" spans="24:64">
      <c r="X140" s="53" t="s">
        <v>95</v>
      </c>
      <c r="Y140" s="154" t="s">
        <v>96</v>
      </c>
      <c r="Z140" s="155" t="s">
        <v>339</v>
      </c>
      <c r="AA140" s="53">
        <v>0.25792300000000001</v>
      </c>
      <c r="AB140" s="53">
        <v>34.719996000000002</v>
      </c>
      <c r="AC140" s="53" t="s">
        <v>372</v>
      </c>
      <c r="AD140" s="53" t="s">
        <v>330</v>
      </c>
      <c r="AE140" s="116" t="s">
        <v>347</v>
      </c>
      <c r="AF140" s="154" t="s">
        <v>371</v>
      </c>
      <c r="AG140" s="116" t="s">
        <v>687</v>
      </c>
      <c r="AH140" s="53" t="s">
        <v>366</v>
      </c>
      <c r="AI140" s="53" t="s">
        <v>684</v>
      </c>
      <c r="AJ140" s="53" t="s">
        <v>683</v>
      </c>
      <c r="AK140" s="156">
        <v>7.8</v>
      </c>
      <c r="AL140" s="157">
        <v>20.3</v>
      </c>
      <c r="AM140" s="75">
        <v>0.31496999999999997</v>
      </c>
      <c r="AN140" s="157">
        <v>1257.0999999999999</v>
      </c>
      <c r="AO140" s="156">
        <v>9.2999999999999999E-2</v>
      </c>
      <c r="AP140" s="157">
        <v>244.79</v>
      </c>
      <c r="AQ140" s="157"/>
      <c r="AR140" s="158">
        <f t="shared" si="33"/>
        <v>8.9708570372348075E-6</v>
      </c>
      <c r="AS140" s="144">
        <f t="shared" si="34"/>
        <v>2.334723049434187E-5</v>
      </c>
      <c r="AT140" s="144">
        <f t="shared" si="35"/>
        <v>3.6225010782280094E-7</v>
      </c>
      <c r="AU140" s="144">
        <f t="shared" si="35"/>
        <v>1.4458031258343428E-3</v>
      </c>
      <c r="AV140" s="144">
        <f t="shared" si="35"/>
        <v>1.0696021852087655E-7</v>
      </c>
      <c r="AW140" s="158">
        <f t="shared" si="35"/>
        <v>2.8153539668521904E-4</v>
      </c>
      <c r="AX140" s="144"/>
      <c r="AY140" s="178">
        <f t="shared" si="27"/>
        <v>0.34089256741492258</v>
      </c>
      <c r="AZ140" s="144">
        <f t="shared" si="28"/>
        <v>0.8871947587849911</v>
      </c>
      <c r="BA140" s="144">
        <f t="shared" si="29"/>
        <v>1.3765504097266432E-2</v>
      </c>
      <c r="BB140" s="144">
        <f t="shared" si="29"/>
        <v>54.94051878170503</v>
      </c>
      <c r="BC140" s="144">
        <f t="shared" si="29"/>
        <v>4.0644883037933089E-3</v>
      </c>
      <c r="BD140" s="178">
        <f t="shared" si="29"/>
        <v>10.698345074038322</v>
      </c>
      <c r="BE140" s="144"/>
      <c r="BF140" s="160">
        <f t="shared" si="30"/>
        <v>1.6088335010576903E-7</v>
      </c>
      <c r="BG140" s="144">
        <f t="shared" si="31"/>
        <v>1.3956974389517571E-8</v>
      </c>
      <c r="BH140" s="144">
        <f t="shared" si="32"/>
        <v>2.1655311445647039E-10</v>
      </c>
      <c r="BI140" s="144">
        <f t="shared" si="32"/>
        <v>8.6430110862377002E-7</v>
      </c>
      <c r="BJ140" s="144">
        <f t="shared" si="32"/>
        <v>6.3940818631779997E-11</v>
      </c>
      <c r="BK140" s="160">
        <f t="shared" si="32"/>
        <v>1.6830186013842397E-7</v>
      </c>
      <c r="BL140" s="144"/>
    </row>
    <row r="141" spans="24:64">
      <c r="X141" s="53" t="s">
        <v>97</v>
      </c>
      <c r="Y141" s="154" t="s">
        <v>98</v>
      </c>
      <c r="Z141" s="155" t="s">
        <v>339</v>
      </c>
      <c r="AA141" s="53">
        <v>0.258245</v>
      </c>
      <c r="AB141" s="53">
        <v>34.717754999999997</v>
      </c>
      <c r="AC141" s="53" t="s">
        <v>372</v>
      </c>
      <c r="AD141" s="53" t="s">
        <v>330</v>
      </c>
      <c r="AE141" s="116" t="s">
        <v>347</v>
      </c>
      <c r="AF141" s="154" t="s">
        <v>371</v>
      </c>
      <c r="AG141" s="116" t="s">
        <v>687</v>
      </c>
      <c r="AH141" s="53" t="s">
        <v>366</v>
      </c>
      <c r="AI141" s="53" t="s">
        <v>684</v>
      </c>
      <c r="AJ141" s="53" t="s">
        <v>683</v>
      </c>
      <c r="AK141" s="156">
        <v>8.4</v>
      </c>
      <c r="AL141" s="157">
        <v>18.5</v>
      </c>
      <c r="AM141" s="75">
        <v>0.44583999999999996</v>
      </c>
      <c r="AN141" s="157">
        <v>1344</v>
      </c>
      <c r="AO141" s="156">
        <v>7.3999999999999996E-2</v>
      </c>
      <c r="AP141" s="157">
        <v>277.10000000000002</v>
      </c>
      <c r="AQ141" s="157"/>
      <c r="AR141" s="158">
        <f t="shared" si="33"/>
        <v>9.6609229631759462E-6</v>
      </c>
      <c r="AS141" s="144">
        <f t="shared" si="34"/>
        <v>2.1277032716518452E-5</v>
      </c>
      <c r="AT141" s="144">
        <f t="shared" si="35"/>
        <v>5.1276498736932895E-7</v>
      </c>
      <c r="AU141" s="144">
        <f t="shared" si="35"/>
        <v>1.5457476741081516E-3</v>
      </c>
      <c r="AV141" s="144">
        <f t="shared" si="35"/>
        <v>8.5108130866073816E-8</v>
      </c>
      <c r="AW141" s="158">
        <f t="shared" si="35"/>
        <v>3.1869544679714943E-4</v>
      </c>
      <c r="AX141" s="144"/>
      <c r="AY141" s="178">
        <f t="shared" si="27"/>
        <v>0.36711507260068593</v>
      </c>
      <c r="AZ141" s="144">
        <f t="shared" si="28"/>
        <v>0.8085272432277012</v>
      </c>
      <c r="BA141" s="144">
        <f t="shared" si="29"/>
        <v>1.9485069520034499E-2</v>
      </c>
      <c r="BB141" s="144">
        <f t="shared" si="29"/>
        <v>58.738411616109751</v>
      </c>
      <c r="BC141" s="144">
        <f t="shared" si="29"/>
        <v>3.2341089729108047E-3</v>
      </c>
      <c r="BD141" s="178">
        <f t="shared" si="29"/>
        <v>12.110426978291676</v>
      </c>
      <c r="BE141" s="144"/>
      <c r="BF141" s="160">
        <f t="shared" si="30"/>
        <v>1.7325899242159742E-7</v>
      </c>
      <c r="BG141" s="144">
        <f t="shared" si="31"/>
        <v>1.2719410157934734E-8</v>
      </c>
      <c r="BH141" s="144">
        <f t="shared" si="32"/>
        <v>3.0653090944938489E-10</v>
      </c>
      <c r="BI141" s="144">
        <f t="shared" si="32"/>
        <v>9.2404795958185295E-7</v>
      </c>
      <c r="BJ141" s="144">
        <f t="shared" si="32"/>
        <v>5.0877640631738931E-11</v>
      </c>
      <c r="BK141" s="160">
        <f t="shared" si="32"/>
        <v>1.905161380953359E-7</v>
      </c>
      <c r="BL141" s="144"/>
    </row>
    <row r="142" spans="24:64">
      <c r="X142" s="53" t="s">
        <v>99</v>
      </c>
      <c r="Y142" s="154" t="s">
        <v>100</v>
      </c>
      <c r="Z142" s="155" t="s">
        <v>339</v>
      </c>
      <c r="AA142" s="53">
        <v>0.25792300000000001</v>
      </c>
      <c r="AB142" s="53">
        <v>34.719996000000002</v>
      </c>
      <c r="AC142" s="53" t="s">
        <v>372</v>
      </c>
      <c r="AD142" s="53" t="s">
        <v>330</v>
      </c>
      <c r="AE142" s="116" t="s">
        <v>347</v>
      </c>
      <c r="AF142" s="154" t="s">
        <v>371</v>
      </c>
      <c r="AG142" s="116" t="s">
        <v>687</v>
      </c>
      <c r="AH142" s="53" t="s">
        <v>367</v>
      </c>
      <c r="AI142" s="53" t="s">
        <v>684</v>
      </c>
      <c r="AJ142" s="53" t="s">
        <v>683</v>
      </c>
      <c r="AK142" s="156">
        <v>7.2</v>
      </c>
      <c r="AL142" s="157">
        <v>20.6</v>
      </c>
      <c r="AM142" s="75">
        <v>9.7669999999999993E-2</v>
      </c>
      <c r="AN142" s="157">
        <v>611.9</v>
      </c>
      <c r="AO142" s="156">
        <v>6.6000000000000003E-2</v>
      </c>
      <c r="AP142" s="157">
        <v>152.46</v>
      </c>
      <c r="AQ142" s="157"/>
      <c r="AR142" s="158">
        <f t="shared" si="33"/>
        <v>8.2807911112936689E-6</v>
      </c>
      <c r="AS142" s="144">
        <f t="shared" si="34"/>
        <v>2.3692263457312437E-5</v>
      </c>
      <c r="AT142" s="144">
        <f t="shared" si="35"/>
        <v>1.1233123164445172E-7</v>
      </c>
      <c r="AU142" s="144">
        <f t="shared" si="35"/>
        <v>7.0375223347230495E-4</v>
      </c>
      <c r="AV142" s="144">
        <f t="shared" si="35"/>
        <v>7.5907251853525286E-8</v>
      </c>
      <c r="AW142" s="158">
        <f t="shared" si="35"/>
        <v>1.753457517816434E-4</v>
      </c>
      <c r="AX142" s="144"/>
      <c r="AY142" s="178">
        <f t="shared" si="27"/>
        <v>0.31467006222915939</v>
      </c>
      <c r="AZ142" s="144">
        <f t="shared" si="28"/>
        <v>0.90030601137787269</v>
      </c>
      <c r="BA142" s="144">
        <f t="shared" si="29"/>
        <v>4.2685868024891658E-3</v>
      </c>
      <c r="BB142" s="144">
        <f t="shared" si="29"/>
        <v>26.742584871947582</v>
      </c>
      <c r="BC142" s="144">
        <f t="shared" si="29"/>
        <v>2.8844755704339614E-3</v>
      </c>
      <c r="BD142" s="178">
        <f t="shared" si="29"/>
        <v>6.6631385677024495</v>
      </c>
      <c r="BE142" s="144"/>
      <c r="BF142" s="160">
        <f t="shared" si="30"/>
        <v>1.4850770778994067E-7</v>
      </c>
      <c r="BG142" s="144">
        <f t="shared" si="31"/>
        <v>1.4163235094781375E-8</v>
      </c>
      <c r="BH142" s="144">
        <f t="shared" si="32"/>
        <v>6.7151610277053258E-11</v>
      </c>
      <c r="BI142" s="144">
        <f t="shared" si="32"/>
        <v>4.20703085169744E-7</v>
      </c>
      <c r="BJ142" s="144">
        <f t="shared" si="32"/>
        <v>4.5377355158037426E-11</v>
      </c>
      <c r="BK142" s="160">
        <f t="shared" si="32"/>
        <v>1.0482169041506644E-7</v>
      </c>
      <c r="BL142" s="144"/>
    </row>
    <row r="143" spans="24:64">
      <c r="X143" s="53" t="s">
        <v>101</v>
      </c>
      <c r="Y143" s="154" t="s">
        <v>102</v>
      </c>
      <c r="Z143" s="155" t="s">
        <v>339</v>
      </c>
      <c r="AA143" s="53">
        <v>0.25812800000000002</v>
      </c>
      <c r="AB143" s="53">
        <v>34.720103999999999</v>
      </c>
      <c r="AC143" s="53" t="s">
        <v>372</v>
      </c>
      <c r="AD143" s="53" t="s">
        <v>330</v>
      </c>
      <c r="AE143" s="116" t="s">
        <v>347</v>
      </c>
      <c r="AF143" s="154" t="s">
        <v>371</v>
      </c>
      <c r="AG143" s="116" t="s">
        <v>687</v>
      </c>
      <c r="AH143" s="53" t="s">
        <v>366</v>
      </c>
      <c r="AI143" s="53" t="s">
        <v>684</v>
      </c>
      <c r="AJ143" s="53" t="s">
        <v>683</v>
      </c>
      <c r="AK143" s="156">
        <v>2.8</v>
      </c>
      <c r="AL143" s="157">
        <v>11.7</v>
      </c>
      <c r="AM143" s="75">
        <v>2.2800000000000001E-2</v>
      </c>
      <c r="AN143" s="157">
        <v>299.2</v>
      </c>
      <c r="AO143" s="156">
        <v>7.6999999999999999E-2</v>
      </c>
      <c r="AP143" s="157">
        <v>185.34</v>
      </c>
      <c r="AQ143" s="157"/>
      <c r="AR143" s="158">
        <f t="shared" si="33"/>
        <v>3.2203076543919818E-6</v>
      </c>
      <c r="AS143" s="144">
        <f t="shared" si="34"/>
        <v>1.345628555585221E-5</v>
      </c>
      <c r="AT143" s="144">
        <f t="shared" si="35"/>
        <v>2.6222505185763286E-8</v>
      </c>
      <c r="AU143" s="144">
        <f t="shared" si="35"/>
        <v>3.4411287506931463E-4</v>
      </c>
      <c r="AV143" s="144">
        <f t="shared" si="35"/>
        <v>8.8558460495779507E-8</v>
      </c>
      <c r="AW143" s="158">
        <f t="shared" si="35"/>
        <v>2.1316136452321783E-4</v>
      </c>
      <c r="AX143" s="144"/>
      <c r="AY143" s="178">
        <f t="shared" si="27"/>
        <v>0.1223716908668953</v>
      </c>
      <c r="AZ143" s="144">
        <f t="shared" si="28"/>
        <v>0.51133885112238397</v>
      </c>
      <c r="BA143" s="144">
        <f t="shared" si="29"/>
        <v>9.9645519705900479E-4</v>
      </c>
      <c r="BB143" s="144">
        <f t="shared" si="29"/>
        <v>13.076289252633954</v>
      </c>
      <c r="BC143" s="144">
        <f t="shared" si="29"/>
        <v>3.3652214988396214E-3</v>
      </c>
      <c r="BD143" s="178">
        <f t="shared" si="29"/>
        <v>8.1001318518822796</v>
      </c>
      <c r="BE143" s="144"/>
      <c r="BF143" s="160">
        <f t="shared" si="30"/>
        <v>5.7752997473865809E-8</v>
      </c>
      <c r="BG143" s="144">
        <f t="shared" si="31"/>
        <v>8.0441675052884514E-9</v>
      </c>
      <c r="BH143" s="144">
        <f t="shared" si="32"/>
        <v>1.5675813600049293E-11</v>
      </c>
      <c r="BI143" s="144">
        <f t="shared" si="32"/>
        <v>2.0571067671643627E-7</v>
      </c>
      <c r="BJ143" s="144">
        <f t="shared" si="32"/>
        <v>5.2940247684376986E-11</v>
      </c>
      <c r="BK143" s="160">
        <f t="shared" si="32"/>
        <v>1.2742786371197963E-7</v>
      </c>
      <c r="BL143" s="144"/>
    </row>
    <row r="144" spans="24:64">
      <c r="X144" s="53" t="s">
        <v>103</v>
      </c>
      <c r="Y144" s="53" t="s">
        <v>104</v>
      </c>
      <c r="Z144" s="155" t="s">
        <v>339</v>
      </c>
      <c r="AA144" s="53">
        <v>0.25792300000000001</v>
      </c>
      <c r="AB144" s="53">
        <v>34.719996000000002</v>
      </c>
      <c r="AC144" s="53" t="s">
        <v>372</v>
      </c>
      <c r="AD144" s="53" t="s">
        <v>330</v>
      </c>
      <c r="AE144" s="116" t="s">
        <v>347</v>
      </c>
      <c r="AF144" s="154" t="s">
        <v>371</v>
      </c>
      <c r="AG144" s="116" t="s">
        <v>687</v>
      </c>
      <c r="AH144" s="53" t="s">
        <v>365</v>
      </c>
      <c r="AI144" s="53" t="s">
        <v>685</v>
      </c>
      <c r="AJ144" s="53" t="s">
        <v>691</v>
      </c>
      <c r="AK144" s="156">
        <v>413</v>
      </c>
      <c r="AL144" s="157">
        <v>25</v>
      </c>
      <c r="AM144" s="75">
        <v>1.3671899999999999</v>
      </c>
      <c r="AN144" s="157">
        <v>1244.5999999999999</v>
      </c>
      <c r="AO144" s="156">
        <v>0.112</v>
      </c>
      <c r="AP144" s="157">
        <v>182.54</v>
      </c>
      <c r="AQ144" s="157"/>
      <c r="AR144" s="158">
        <f t="shared" si="33"/>
        <v>4.7499537902281728E-4</v>
      </c>
      <c r="AS144" s="144">
        <f t="shared" si="34"/>
        <v>2.8752746914214125E-5</v>
      </c>
      <c r="AT144" s="144">
        <f t="shared" si="35"/>
        <v>1.5724187221457766E-6</v>
      </c>
      <c r="AU144" s="144">
        <f t="shared" si="35"/>
        <v>1.4314267523772356E-3</v>
      </c>
      <c r="AV144" s="144">
        <f t="shared" si="35"/>
        <v>1.2881230617567929E-7</v>
      </c>
      <c r="AW144" s="158">
        <f t="shared" si="35"/>
        <v>2.0994105686882584E-4</v>
      </c>
      <c r="AX144" s="144"/>
      <c r="AY144" s="178">
        <f t="shared" si="27"/>
        <v>18.04982440286706</v>
      </c>
      <c r="AZ144" s="144">
        <f t="shared" si="28"/>
        <v>1.0926043827401368</v>
      </c>
      <c r="BA144" s="144">
        <f t="shared" si="29"/>
        <v>5.975191144153949E-2</v>
      </c>
      <c r="BB144" s="144">
        <f t="shared" si="29"/>
        <v>54.394216590334956</v>
      </c>
      <c r="BC144" s="144">
        <f t="shared" si="29"/>
        <v>4.8948676346758117E-3</v>
      </c>
      <c r="BD144" s="178">
        <f t="shared" si="29"/>
        <v>7.9777601610153823</v>
      </c>
      <c r="BE144" s="144"/>
      <c r="BF144" s="160">
        <f t="shared" si="30"/>
        <v>8.5185671273952052E-6</v>
      </c>
      <c r="BG144" s="144">
        <f t="shared" si="31"/>
        <v>1.7188392105317205E-8</v>
      </c>
      <c r="BH144" s="144">
        <f t="shared" si="32"/>
        <v>9.399919120987452E-10</v>
      </c>
      <c r="BI144" s="144">
        <f t="shared" si="32"/>
        <v>8.5570691257111165E-7</v>
      </c>
      <c r="BJ144" s="144">
        <f t="shared" si="32"/>
        <v>7.7003996631821088E-11</v>
      </c>
      <c r="BK144" s="160">
        <f t="shared" si="32"/>
        <v>1.255027637961841E-7</v>
      </c>
      <c r="BL144" s="144"/>
    </row>
    <row r="145" spans="24:64">
      <c r="X145" s="53" t="s">
        <v>105</v>
      </c>
      <c r="Y145" s="53" t="s">
        <v>106</v>
      </c>
      <c r="Z145" s="155" t="s">
        <v>339</v>
      </c>
      <c r="AA145" s="53">
        <v>0.25812800000000002</v>
      </c>
      <c r="AB145" s="53">
        <v>34.720103999999999</v>
      </c>
      <c r="AC145" s="53" t="s">
        <v>372</v>
      </c>
      <c r="AD145" s="53" t="s">
        <v>330</v>
      </c>
      <c r="AE145" s="116" t="s">
        <v>347</v>
      </c>
      <c r="AF145" s="154" t="s">
        <v>371</v>
      </c>
      <c r="AG145" s="116" t="s">
        <v>687</v>
      </c>
      <c r="AH145" s="53" t="s">
        <v>368</v>
      </c>
      <c r="AI145" s="53" t="s">
        <v>684</v>
      </c>
      <c r="AJ145" s="53" t="s">
        <v>683</v>
      </c>
      <c r="AK145" s="156">
        <v>25.5</v>
      </c>
      <c r="AL145" s="157">
        <v>33.299999999999997</v>
      </c>
      <c r="AM145" s="75">
        <v>0.32069999999999999</v>
      </c>
      <c r="AN145" s="157">
        <v>1071.9000000000001</v>
      </c>
      <c r="AO145" s="156">
        <v>0.14099999999999999</v>
      </c>
      <c r="AP145" s="157">
        <v>172.95</v>
      </c>
      <c r="AQ145" s="157"/>
      <c r="AR145" s="158">
        <f t="shared" si="33"/>
        <v>2.9327801852498407E-5</v>
      </c>
      <c r="AS145" s="144">
        <f t="shared" si="34"/>
        <v>3.8298658889733204E-5</v>
      </c>
      <c r="AT145" s="144">
        <f t="shared" si="35"/>
        <v>3.6884023741553877E-7</v>
      </c>
      <c r="AU145" s="144">
        <f t="shared" si="35"/>
        <v>1.2328027766938452E-3</v>
      </c>
      <c r="AV145" s="144">
        <f t="shared" si="35"/>
        <v>1.6216549259616763E-7</v>
      </c>
      <c r="AW145" s="158">
        <f t="shared" si="35"/>
        <v>1.989115031525333E-4</v>
      </c>
      <c r="AX145" s="144"/>
      <c r="AY145" s="178">
        <f t="shared" si="27"/>
        <v>1.1144564703949396</v>
      </c>
      <c r="AZ145" s="144">
        <f t="shared" si="28"/>
        <v>1.4553490378098619</v>
      </c>
      <c r="BA145" s="144">
        <f t="shared" si="29"/>
        <v>1.4015929021790472E-2</v>
      </c>
      <c r="BB145" s="144">
        <f t="shared" si="29"/>
        <v>46.846505514366108</v>
      </c>
      <c r="BC145" s="144">
        <f t="shared" si="29"/>
        <v>6.1622887186543705E-3</v>
      </c>
      <c r="BD145" s="178">
        <f t="shared" si="29"/>
        <v>7.5586371197962654</v>
      </c>
      <c r="BE145" s="144"/>
      <c r="BF145" s="160">
        <f t="shared" si="30"/>
        <v>5.2596479842270641E-7</v>
      </c>
      <c r="BG145" s="144">
        <f t="shared" si="31"/>
        <v>2.2894938284282516E-8</v>
      </c>
      <c r="BH145" s="144">
        <f t="shared" si="32"/>
        <v>2.2049269392700906E-10</v>
      </c>
      <c r="BI145" s="144">
        <f t="shared" si="32"/>
        <v>7.3696949990758055E-7</v>
      </c>
      <c r="BJ145" s="144">
        <f t="shared" si="32"/>
        <v>9.6942531473989016E-11</v>
      </c>
      <c r="BK145" s="160">
        <f t="shared" si="32"/>
        <v>1.1890929658458443E-7</v>
      </c>
      <c r="BL145" s="144"/>
    </row>
    <row r="146" spans="24:64">
      <c r="X146" s="53" t="s">
        <v>107</v>
      </c>
      <c r="Y146" s="53" t="s">
        <v>108</v>
      </c>
      <c r="Z146" s="155" t="s">
        <v>339</v>
      </c>
      <c r="AA146" s="53">
        <v>0.26020300000000002</v>
      </c>
      <c r="AB146" s="53">
        <v>34.719721</v>
      </c>
      <c r="AC146" s="53" t="s">
        <v>372</v>
      </c>
      <c r="AD146" s="53" t="s">
        <v>330</v>
      </c>
      <c r="AE146" s="116" t="s">
        <v>347</v>
      </c>
      <c r="AF146" s="154" t="s">
        <v>371</v>
      </c>
      <c r="AG146" s="116" t="s">
        <v>687</v>
      </c>
      <c r="AH146" s="53" t="s">
        <v>366</v>
      </c>
      <c r="AI146" s="53" t="s">
        <v>684</v>
      </c>
      <c r="AJ146" s="53" t="s">
        <v>683</v>
      </c>
      <c r="AK146" s="156">
        <v>10.8</v>
      </c>
      <c r="AL146" s="157">
        <v>18.399999999999999</v>
      </c>
      <c r="AM146" s="75">
        <v>0.15060000000000001</v>
      </c>
      <c r="AN146" s="157">
        <v>718.2</v>
      </c>
      <c r="AO146" s="156">
        <v>0.104</v>
      </c>
      <c r="AP146" s="157">
        <v>140.78</v>
      </c>
      <c r="AQ146" s="157"/>
      <c r="AR146" s="158">
        <f t="shared" si="33"/>
        <v>1.2421186666940501E-5</v>
      </c>
      <c r="AS146" s="144">
        <f t="shared" si="34"/>
        <v>2.1162021728861591E-5</v>
      </c>
      <c r="AT146" s="144">
        <f t="shared" si="35"/>
        <v>1.7320654741122589E-7</v>
      </c>
      <c r="AU146" s="144">
        <f t="shared" si="35"/>
        <v>8.2600891335154341E-4</v>
      </c>
      <c r="AV146" s="144">
        <f t="shared" si="35"/>
        <v>1.1961142716313075E-7</v>
      </c>
      <c r="AW146" s="158">
        <f t="shared" si="35"/>
        <v>1.6191246842332257E-4</v>
      </c>
      <c r="AX146" s="144"/>
      <c r="AY146" s="178">
        <f t="shared" si="27"/>
        <v>0.47200509334373908</v>
      </c>
      <c r="AZ146" s="144">
        <f t="shared" si="28"/>
        <v>0.80415682569674052</v>
      </c>
      <c r="BA146" s="144">
        <f t="shared" si="29"/>
        <v>6.5818488016265841E-3</v>
      </c>
      <c r="BB146" s="144">
        <f t="shared" si="29"/>
        <v>31.388338707358649</v>
      </c>
      <c r="BC146" s="144">
        <f t="shared" si="29"/>
        <v>4.5452342321989688E-3</v>
      </c>
      <c r="BD146" s="178">
        <f t="shared" si="29"/>
        <v>6.1526738000862577</v>
      </c>
      <c r="BE146" s="144"/>
      <c r="BF146" s="160">
        <f t="shared" si="30"/>
        <v>2.2276156168491099E-7</v>
      </c>
      <c r="BG146" s="144">
        <f t="shared" si="31"/>
        <v>1.2650656589513462E-8</v>
      </c>
      <c r="BH146" s="144">
        <f t="shared" si="32"/>
        <v>1.0354287404243084E-10</v>
      </c>
      <c r="BI146" s="144">
        <f t="shared" si="32"/>
        <v>4.9378812840155277E-7</v>
      </c>
      <c r="BJ146" s="144">
        <f t="shared" si="32"/>
        <v>7.1503711158119557E-11</v>
      </c>
      <c r="BK146" s="160">
        <f t="shared" si="32"/>
        <v>9.6791273623462234E-8</v>
      </c>
      <c r="BL146" s="144"/>
    </row>
    <row r="147" spans="24:64">
      <c r="X147" s="53" t="s">
        <v>109</v>
      </c>
      <c r="Y147" s="53" t="s">
        <v>110</v>
      </c>
      <c r="Z147" s="155" t="s">
        <v>339</v>
      </c>
      <c r="AA147" s="53">
        <v>0.26076500000000002</v>
      </c>
      <c r="AB147" s="53">
        <v>34.720081</v>
      </c>
      <c r="AC147" s="53" t="s">
        <v>372</v>
      </c>
      <c r="AD147" s="53" t="s">
        <v>330</v>
      </c>
      <c r="AE147" s="116" t="s">
        <v>347</v>
      </c>
      <c r="AF147" s="154" t="s">
        <v>371</v>
      </c>
      <c r="AG147" s="116" t="s">
        <v>687</v>
      </c>
      <c r="AH147" s="53" t="s">
        <v>361</v>
      </c>
      <c r="AI147" s="53" t="s">
        <v>685</v>
      </c>
      <c r="AJ147" s="53" t="s">
        <v>690</v>
      </c>
      <c r="AK147" s="156">
        <v>95.9</v>
      </c>
      <c r="AL147" s="157">
        <v>24.8</v>
      </c>
      <c r="AM147" s="75">
        <v>4.4837199999999999</v>
      </c>
      <c r="AN147" s="157">
        <v>1005</v>
      </c>
      <c r="AO147" s="156">
        <v>0.124</v>
      </c>
      <c r="AP147" s="157">
        <v>239.98</v>
      </c>
      <c r="AQ147" s="157"/>
      <c r="AR147" s="158">
        <f t="shared" si="33"/>
        <v>1.1029553716292539E-4</v>
      </c>
      <c r="AS147" s="144">
        <f t="shared" si="34"/>
        <v>2.8522724938900412E-5</v>
      </c>
      <c r="AT147" s="144">
        <f t="shared" si="35"/>
        <v>5.1567706557680068E-6</v>
      </c>
      <c r="AU147" s="144">
        <f t="shared" si="35"/>
        <v>1.1558604259514077E-3</v>
      </c>
      <c r="AV147" s="144">
        <f t="shared" si="35"/>
        <v>1.4261362469450205E-7</v>
      </c>
      <c r="AW147" s="158">
        <f t="shared" si="35"/>
        <v>2.7600336817892423E-4</v>
      </c>
      <c r="AX147" s="144"/>
      <c r="AY147" s="178">
        <f t="shared" si="27"/>
        <v>4.1912304121911648</v>
      </c>
      <c r="AZ147" s="144">
        <f t="shared" si="28"/>
        <v>1.0838635476782157</v>
      </c>
      <c r="BA147" s="144">
        <f t="shared" si="29"/>
        <v>0.19595728491918418</v>
      </c>
      <c r="BB147" s="144">
        <f t="shared" si="29"/>
        <v>43.922696186153502</v>
      </c>
      <c r="BC147" s="144">
        <f t="shared" si="29"/>
        <v>5.4193177383910782E-3</v>
      </c>
      <c r="BD147" s="178">
        <f t="shared" si="29"/>
        <v>10.48812799079912</v>
      </c>
      <c r="BE147" s="144"/>
      <c r="BF147" s="160">
        <f t="shared" si="30"/>
        <v>1.9780401634799039E-6</v>
      </c>
      <c r="BG147" s="144">
        <f t="shared" si="31"/>
        <v>1.7050884968474666E-8</v>
      </c>
      <c r="BH147" s="144">
        <f t="shared" si="32"/>
        <v>3.082717498018114E-9</v>
      </c>
      <c r="BI147" s="144">
        <f t="shared" si="32"/>
        <v>6.9097336263375171E-7</v>
      </c>
      <c r="BJ147" s="144">
        <f t="shared" si="32"/>
        <v>8.5254424842373333E-11</v>
      </c>
      <c r="BK147" s="160">
        <f t="shared" si="32"/>
        <v>1.649948134973609E-7</v>
      </c>
      <c r="BL147" s="144"/>
    </row>
    <row r="148" spans="24:64">
      <c r="X148" s="53" t="s">
        <v>111</v>
      </c>
      <c r="Y148" s="53" t="s">
        <v>112</v>
      </c>
      <c r="Z148" s="155" t="s">
        <v>339</v>
      </c>
      <c r="AA148" s="53">
        <v>0.26067699999999999</v>
      </c>
      <c r="AB148" s="53">
        <v>34.720677999999999</v>
      </c>
      <c r="AC148" s="53" t="s">
        <v>372</v>
      </c>
      <c r="AD148" s="53" t="s">
        <v>330</v>
      </c>
      <c r="AE148" s="116" t="s">
        <v>347</v>
      </c>
      <c r="AF148" s="154" t="s">
        <v>371</v>
      </c>
      <c r="AG148" s="116" t="s">
        <v>687</v>
      </c>
      <c r="AH148" s="53" t="s">
        <v>365</v>
      </c>
      <c r="AI148" s="53" t="s">
        <v>685</v>
      </c>
      <c r="AJ148" s="53" t="s">
        <v>691</v>
      </c>
      <c r="AK148" s="156">
        <v>45.2</v>
      </c>
      <c r="AL148" s="157">
        <v>32.700000000000003</v>
      </c>
      <c r="AM148" s="75">
        <v>0.94225999999999999</v>
      </c>
      <c r="AN148" s="157">
        <v>691.9</v>
      </c>
      <c r="AO148" s="156">
        <v>9.7000000000000003E-2</v>
      </c>
      <c r="AP148" s="157">
        <v>111.8</v>
      </c>
      <c r="AQ148" s="157"/>
      <c r="AR148" s="158">
        <f t="shared" si="33"/>
        <v>5.1984966420899133E-5</v>
      </c>
      <c r="AS148" s="144">
        <f t="shared" si="34"/>
        <v>3.7608592963792084E-5</v>
      </c>
      <c r="AT148" s="144">
        <f t="shared" si="35"/>
        <v>1.0837025322954959E-6</v>
      </c>
      <c r="AU148" s="144">
        <f t="shared" si="35"/>
        <v>7.9576102359779014E-4</v>
      </c>
      <c r="AV148" s="144">
        <f t="shared" si="35"/>
        <v>1.1156065802715083E-7</v>
      </c>
      <c r="AW148" s="158">
        <f t="shared" si="35"/>
        <v>1.2858228420036555E-4</v>
      </c>
      <c r="AX148" s="144"/>
      <c r="AY148" s="178">
        <f t="shared" si="27"/>
        <v>1.9754287239941672</v>
      </c>
      <c r="AZ148" s="144">
        <f t="shared" si="28"/>
        <v>1.4291265326240989</v>
      </c>
      <c r="BA148" s="144">
        <f t="shared" si="29"/>
        <v>4.118069622722885E-2</v>
      </c>
      <c r="BB148" s="144">
        <f t="shared" si="29"/>
        <v>30.238918896716019</v>
      </c>
      <c r="BC148" s="144">
        <f t="shared" si="29"/>
        <v>4.2393050050317307E-3</v>
      </c>
      <c r="BD148" s="178">
        <f t="shared" si="29"/>
        <v>4.8861267996138915</v>
      </c>
      <c r="BE148" s="144"/>
      <c r="BF148" s="160">
        <f t="shared" si="30"/>
        <v>9.3229838779240528E-7</v>
      </c>
      <c r="BG148" s="144">
        <f t="shared" si="31"/>
        <v>2.248241687375491E-8</v>
      </c>
      <c r="BH148" s="144">
        <f t="shared" si="32"/>
        <v>6.4783737380624768E-10</v>
      </c>
      <c r="BI148" s="144">
        <f t="shared" si="32"/>
        <v>4.7570593990675899E-7</v>
      </c>
      <c r="BJ148" s="144">
        <f t="shared" si="32"/>
        <v>6.6690961368630762E-11</v>
      </c>
      <c r="BK148" s="160">
        <f t="shared" si="32"/>
        <v>7.6866489494978548E-8</v>
      </c>
      <c r="BL148" s="144"/>
    </row>
    <row r="149" spans="24:64">
      <c r="X149" s="53" t="s">
        <v>113</v>
      </c>
      <c r="Y149" s="53" t="s">
        <v>114</v>
      </c>
      <c r="Z149" s="155" t="s">
        <v>339</v>
      </c>
      <c r="AA149" s="53">
        <v>0.26076500000000002</v>
      </c>
      <c r="AB149" s="53">
        <v>34.720081</v>
      </c>
      <c r="AC149" s="53" t="s">
        <v>372</v>
      </c>
      <c r="AD149" s="53" t="s">
        <v>330</v>
      </c>
      <c r="AE149" s="116" t="s">
        <v>347</v>
      </c>
      <c r="AF149" s="154" t="s">
        <v>371</v>
      </c>
      <c r="AG149" s="116" t="s">
        <v>687</v>
      </c>
      <c r="AH149" s="53" t="s">
        <v>366</v>
      </c>
      <c r="AI149" s="53" t="s">
        <v>684</v>
      </c>
      <c r="AJ149" s="53" t="s">
        <v>683</v>
      </c>
      <c r="AK149" s="156">
        <v>16.399999999999999</v>
      </c>
      <c r="AL149" s="157">
        <v>50.7</v>
      </c>
      <c r="AM149" s="75">
        <v>1.03304</v>
      </c>
      <c r="AN149" s="157">
        <v>1413</v>
      </c>
      <c r="AO149" s="156">
        <v>0.12</v>
      </c>
      <c r="AP149" s="157">
        <v>215.62</v>
      </c>
      <c r="AQ149" s="157"/>
      <c r="AR149" s="158">
        <f t="shared" si="33"/>
        <v>1.8861801975724461E-5</v>
      </c>
      <c r="AS149" s="144">
        <f t="shared" si="34"/>
        <v>5.8310570742026247E-5</v>
      </c>
      <c r="AT149" s="144">
        <f t="shared" si="35"/>
        <v>1.1881095068903905E-6</v>
      </c>
      <c r="AU149" s="144">
        <f t="shared" si="35"/>
        <v>1.6251052555913822E-3</v>
      </c>
      <c r="AV149" s="144">
        <f t="shared" si="35"/>
        <v>1.3801318518822781E-7</v>
      </c>
      <c r="AW149" s="158">
        <f t="shared" si="35"/>
        <v>2.47986691585714E-4</v>
      </c>
      <c r="AX149" s="144"/>
      <c r="AY149" s="178">
        <f t="shared" si="27"/>
        <v>0.71674847507752959</v>
      </c>
      <c r="AZ149" s="144">
        <f t="shared" si="28"/>
        <v>2.2158016881969975</v>
      </c>
      <c r="BA149" s="144">
        <f t="shared" si="29"/>
        <v>4.5148161261834838E-2</v>
      </c>
      <c r="BB149" s="144">
        <f t="shared" si="29"/>
        <v>61.75399971247252</v>
      </c>
      <c r="BC149" s="144">
        <f t="shared" si="29"/>
        <v>5.2445010371526563E-3</v>
      </c>
      <c r="BD149" s="178">
        <f t="shared" si="29"/>
        <v>9.4234942802571311</v>
      </c>
      <c r="BE149" s="144"/>
      <c r="BF149" s="160">
        <f t="shared" si="30"/>
        <v>3.382675566326425E-7</v>
      </c>
      <c r="BG149" s="144">
        <f t="shared" si="31"/>
        <v>3.4858059189583294E-8</v>
      </c>
      <c r="BH149" s="144">
        <f t="shared" si="32"/>
        <v>7.1025186321907532E-10</v>
      </c>
      <c r="BI149" s="144">
        <f t="shared" si="32"/>
        <v>9.7148792179252834E-7</v>
      </c>
      <c r="BJ149" s="144">
        <f t="shared" si="32"/>
        <v>8.2504282105522593E-11</v>
      </c>
      <c r="BK149" s="160">
        <f t="shared" si="32"/>
        <v>1.4824644422993984E-7</v>
      </c>
      <c r="BL149" s="144"/>
    </row>
    <row r="150" spans="24:64">
      <c r="X150" s="53" t="s">
        <v>115</v>
      </c>
      <c r="Y150" s="53" t="s">
        <v>116</v>
      </c>
      <c r="Z150" s="155" t="s">
        <v>339</v>
      </c>
      <c r="AA150" s="53">
        <v>0.256575</v>
      </c>
      <c r="AB150" s="53">
        <v>34.722569999999997</v>
      </c>
      <c r="AC150" s="53" t="s">
        <v>372</v>
      </c>
      <c r="AD150" s="53" t="s">
        <v>330</v>
      </c>
      <c r="AE150" s="116" t="s">
        <v>347</v>
      </c>
      <c r="AF150" s="154" t="s">
        <v>371</v>
      </c>
      <c r="AG150" s="116" t="s">
        <v>687</v>
      </c>
      <c r="AH150" s="53" t="s">
        <v>365</v>
      </c>
      <c r="AI150" s="53" t="s">
        <v>685</v>
      </c>
      <c r="AJ150" s="53" t="s">
        <v>691</v>
      </c>
      <c r="AK150" s="156">
        <v>19.5</v>
      </c>
      <c r="AL150" s="157">
        <v>95.3</v>
      </c>
      <c r="AM150" s="75">
        <v>0.36993999999999999</v>
      </c>
      <c r="AN150" s="157">
        <v>99.5</v>
      </c>
      <c r="AO150" s="156">
        <v>0.06</v>
      </c>
      <c r="AP150" s="157">
        <v>25.21</v>
      </c>
      <c r="AQ150" s="157"/>
      <c r="AR150" s="158">
        <f t="shared" si="33"/>
        <v>2.2427142593087017E-5</v>
      </c>
      <c r="AS150" s="144">
        <f t="shared" si="34"/>
        <v>1.0960547123698424E-4</v>
      </c>
      <c r="AT150" s="144">
        <f t="shared" si="35"/>
        <v>4.2547164773777491E-7</v>
      </c>
      <c r="AU150" s="144">
        <f t="shared" si="35"/>
        <v>1.1443593271857222E-4</v>
      </c>
      <c r="AV150" s="144">
        <f t="shared" si="35"/>
        <v>6.9006592594113905E-8</v>
      </c>
      <c r="AW150" s="158">
        <f t="shared" si="35"/>
        <v>2.8994269988293519E-5</v>
      </c>
      <c r="AX150" s="144"/>
      <c r="AY150" s="178">
        <f t="shared" si="27"/>
        <v>0.85223141853730655</v>
      </c>
      <c r="AZ150" s="144">
        <f t="shared" si="28"/>
        <v>4.1650079070054016</v>
      </c>
      <c r="BA150" s="144">
        <f t="shared" si="29"/>
        <v>1.6167922614035445E-2</v>
      </c>
      <c r="BB150" s="144">
        <f t="shared" si="29"/>
        <v>4.3485654433057448</v>
      </c>
      <c r="BC150" s="144">
        <f t="shared" si="29"/>
        <v>2.6222505185763282E-3</v>
      </c>
      <c r="BD150" s="178">
        <f t="shared" si="29"/>
        <v>1.1017822595551541</v>
      </c>
      <c r="BE150" s="144"/>
      <c r="BF150" s="160">
        <f t="shared" si="30"/>
        <v>4.0220837526442254E-7</v>
      </c>
      <c r="BG150" s="144">
        <f t="shared" si="31"/>
        <v>6.5522150705469189E-8</v>
      </c>
      <c r="BH150" s="144">
        <f t="shared" si="32"/>
        <v>2.5434695101764186E-10</v>
      </c>
      <c r="BI150" s="144">
        <f t="shared" si="32"/>
        <v>6.8409800579162488E-8</v>
      </c>
      <c r="BJ150" s="144">
        <f t="shared" si="32"/>
        <v>4.1252141052761297E-11</v>
      </c>
      <c r="BK150" s="160">
        <f t="shared" si="32"/>
        <v>1.7332774599001869E-8</v>
      </c>
      <c r="BL150" s="144"/>
    </row>
    <row r="151" spans="24:64">
      <c r="X151" s="53" t="s">
        <v>117</v>
      </c>
      <c r="Y151" s="53" t="s">
        <v>118</v>
      </c>
      <c r="Z151" s="155" t="s">
        <v>339</v>
      </c>
      <c r="AA151" s="53">
        <v>0.25645200000000001</v>
      </c>
      <c r="AB151" s="53">
        <v>34.722082999999998</v>
      </c>
      <c r="AC151" s="53" t="s">
        <v>372</v>
      </c>
      <c r="AD151" s="53" t="s">
        <v>330</v>
      </c>
      <c r="AE151" s="116" t="s">
        <v>347</v>
      </c>
      <c r="AF151" s="154" t="s">
        <v>371</v>
      </c>
      <c r="AG151" s="116" t="s">
        <v>687</v>
      </c>
      <c r="AH151" s="53" t="s">
        <v>365</v>
      </c>
      <c r="AI151" s="53" t="s">
        <v>685</v>
      </c>
      <c r="AJ151" s="53" t="s">
        <v>691</v>
      </c>
      <c r="AK151" s="156">
        <v>20.399999999999999</v>
      </c>
      <c r="AL151" s="157">
        <v>76.599999999999994</v>
      </c>
      <c r="AM151" s="75">
        <v>0.84839000000000009</v>
      </c>
      <c r="AN151" s="157">
        <v>102.6</v>
      </c>
      <c r="AO151" s="156">
        <v>5.0999999999999997E-2</v>
      </c>
      <c r="AP151" s="157">
        <v>28.94</v>
      </c>
      <c r="AQ151" s="157"/>
      <c r="AR151" s="158">
        <f t="shared" si="33"/>
        <v>2.3462241481998721E-5</v>
      </c>
      <c r="AS151" s="144">
        <f t="shared" si="34"/>
        <v>8.8098416545152059E-5</v>
      </c>
      <c r="AT151" s="144">
        <f t="shared" si="35"/>
        <v>9.7574171818200489E-7</v>
      </c>
      <c r="AU151" s="144">
        <f t="shared" si="35"/>
        <v>1.1800127333593478E-4</v>
      </c>
      <c r="AV151" s="144">
        <f t="shared" si="35"/>
        <v>5.86556037049968E-8</v>
      </c>
      <c r="AW151" s="158">
        <f t="shared" si="35"/>
        <v>3.328417982789427E-5</v>
      </c>
      <c r="AX151" s="144"/>
      <c r="AY151" s="178">
        <f t="shared" si="27"/>
        <v>0.89156517631595167</v>
      </c>
      <c r="AZ151" s="144">
        <f t="shared" si="28"/>
        <v>3.3477398287157789</v>
      </c>
      <c r="BA151" s="144">
        <f t="shared" si="29"/>
        <v>3.7078185290916187E-2</v>
      </c>
      <c r="BB151" s="144">
        <f t="shared" si="29"/>
        <v>4.4840483867655196</v>
      </c>
      <c r="BC151" s="144">
        <f t="shared" si="29"/>
        <v>2.2289129407898787E-3</v>
      </c>
      <c r="BD151" s="178">
        <f t="shared" si="29"/>
        <v>1.2647988334599822</v>
      </c>
      <c r="BE151" s="144"/>
      <c r="BF151" s="160">
        <f t="shared" si="30"/>
        <v>4.207718387381651E-7</v>
      </c>
      <c r="BG151" s="144">
        <f t="shared" si="31"/>
        <v>5.2665233410691899E-8</v>
      </c>
      <c r="BH151" s="144">
        <f t="shared" si="32"/>
        <v>5.8329839912920262E-10</v>
      </c>
      <c r="BI151" s="144">
        <f t="shared" si="32"/>
        <v>7.0541161200221818E-8</v>
      </c>
      <c r="BJ151" s="144">
        <f t="shared" si="32"/>
        <v>3.5064319894847093E-11</v>
      </c>
      <c r="BK151" s="160">
        <f t="shared" si="32"/>
        <v>1.9897282701115194E-8</v>
      </c>
      <c r="BL151" s="144"/>
    </row>
    <row r="152" spans="24:64">
      <c r="X152" s="53" t="s">
        <v>119</v>
      </c>
      <c r="Y152" s="53" t="s">
        <v>120</v>
      </c>
      <c r="Z152" s="155" t="s">
        <v>339</v>
      </c>
      <c r="AA152" s="53">
        <v>0.25726700000000002</v>
      </c>
      <c r="AB152" s="53">
        <v>34.722675000000002</v>
      </c>
      <c r="AC152" s="53" t="s">
        <v>372</v>
      </c>
      <c r="AD152" s="53" t="s">
        <v>330</v>
      </c>
      <c r="AE152" s="116" t="s">
        <v>347</v>
      </c>
      <c r="AF152" s="154" t="s">
        <v>371</v>
      </c>
      <c r="AG152" s="116" t="s">
        <v>687</v>
      </c>
      <c r="AH152" s="53" t="s">
        <v>366</v>
      </c>
      <c r="AI152" s="53" t="s">
        <v>684</v>
      </c>
      <c r="AJ152" s="53" t="s">
        <v>683</v>
      </c>
      <c r="AK152" s="156">
        <v>9.3000000000000007</v>
      </c>
      <c r="AL152" s="157">
        <v>27.7</v>
      </c>
      <c r="AM152" s="75">
        <v>1.8359799999999999</v>
      </c>
      <c r="AN152" s="157">
        <v>290.5</v>
      </c>
      <c r="AO152" s="156">
        <v>6.2E-2</v>
      </c>
      <c r="AP152" s="157">
        <v>83.97</v>
      </c>
      <c r="AQ152" s="157"/>
      <c r="AR152" s="158">
        <f t="shared" si="33"/>
        <v>1.0696021852087657E-5</v>
      </c>
      <c r="AS152" s="144">
        <f t="shared" si="34"/>
        <v>3.1858043580949253E-5</v>
      </c>
      <c r="AT152" s="144">
        <f t="shared" si="35"/>
        <v>2.1115787311823538E-6</v>
      </c>
      <c r="AU152" s="144">
        <f t="shared" si="35"/>
        <v>3.3410691914316813E-4</v>
      </c>
      <c r="AV152" s="144">
        <f t="shared" si="35"/>
        <v>7.1306812347251027E-8</v>
      </c>
      <c r="AW152" s="158">
        <f t="shared" si="35"/>
        <v>9.6574726335462398E-5</v>
      </c>
      <c r="AX152" s="144"/>
      <c r="AY152" s="178">
        <f t="shared" si="27"/>
        <v>0.40644883037933094</v>
      </c>
      <c r="AZ152" s="144">
        <f t="shared" si="28"/>
        <v>1.2106056560760716</v>
      </c>
      <c r="BA152" s="144">
        <f t="shared" si="29"/>
        <v>8.0239991784929438E-2</v>
      </c>
      <c r="BB152" s="144">
        <f t="shared" si="29"/>
        <v>12.696062927440387</v>
      </c>
      <c r="BC152" s="144">
        <f t="shared" si="29"/>
        <v>2.7096588691955391E-3</v>
      </c>
      <c r="BD152" s="178">
        <f t="shared" si="29"/>
        <v>3.6698396007475713</v>
      </c>
      <c r="BE152" s="144"/>
      <c r="BF152" s="160">
        <f t="shared" si="30"/>
        <v>1.9182245589534002E-7</v>
      </c>
      <c r="BG152" s="144">
        <f t="shared" si="31"/>
        <v>1.9044738452691463E-8</v>
      </c>
      <c r="BH152" s="144">
        <f t="shared" si="32"/>
        <v>1.2623017655008115E-9</v>
      </c>
      <c r="BI152" s="144">
        <f t="shared" si="32"/>
        <v>1.9972911626378588E-7</v>
      </c>
      <c r="BJ152" s="144">
        <f t="shared" si="32"/>
        <v>4.2627212421186667E-11</v>
      </c>
      <c r="BK152" s="160">
        <f t="shared" si="32"/>
        <v>5.7732371403339434E-8</v>
      </c>
      <c r="BL152" s="144"/>
    </row>
    <row r="153" spans="24:64">
      <c r="X153" s="53" t="s">
        <v>121</v>
      </c>
      <c r="Y153" s="53" t="s">
        <v>122</v>
      </c>
      <c r="Z153" s="155" t="s">
        <v>339</v>
      </c>
      <c r="AA153" s="53">
        <v>0.31583600000000001</v>
      </c>
      <c r="AB153" s="53">
        <v>34.649163999999999</v>
      </c>
      <c r="AC153" s="53" t="s">
        <v>350</v>
      </c>
      <c r="AD153" s="53" t="s">
        <v>330</v>
      </c>
      <c r="AE153" s="116" t="s">
        <v>347</v>
      </c>
      <c r="AF153" s="154" t="s">
        <v>371</v>
      </c>
      <c r="AG153" s="39" t="s">
        <v>688</v>
      </c>
      <c r="AH153" s="53" t="s">
        <v>369</v>
      </c>
      <c r="AI153" s="53" t="s">
        <v>685</v>
      </c>
      <c r="AJ153" s="53" t="s">
        <v>691</v>
      </c>
      <c r="AK153" s="156">
        <v>19.7</v>
      </c>
      <c r="AL153" s="157">
        <v>93.4</v>
      </c>
      <c r="AM153" s="75">
        <v>4.2978700000000005</v>
      </c>
      <c r="AN153" s="157">
        <v>138.19999999999999</v>
      </c>
      <c r="AO153" s="156">
        <v>0.14099999999999999</v>
      </c>
      <c r="AP153" s="157">
        <v>51.9</v>
      </c>
      <c r="AQ153" s="157"/>
      <c r="AR153" s="158">
        <f t="shared" si="33"/>
        <v>2.2657164568400729E-5</v>
      </c>
      <c r="AS153" s="144">
        <f t="shared" si="34"/>
        <v>1.0742026247150397E-4</v>
      </c>
      <c r="AT153" s="144">
        <f t="shared" si="35"/>
        <v>4.9430227352077381E-6</v>
      </c>
      <c r="AU153" s="144">
        <f t="shared" si="35"/>
        <v>1.5894518494177564E-4</v>
      </c>
      <c r="AV153" s="144">
        <f t="shared" si="35"/>
        <v>1.6216549259616763E-7</v>
      </c>
      <c r="AW153" s="158">
        <f t="shared" si="35"/>
        <v>5.9690702593908521E-5</v>
      </c>
      <c r="AX153" s="144"/>
      <c r="AY153" s="178">
        <f t="shared" si="27"/>
        <v>0.8609722535992278</v>
      </c>
      <c r="AZ153" s="144">
        <f t="shared" si="28"/>
        <v>4.0819699739171513</v>
      </c>
      <c r="BA153" s="144">
        <f t="shared" si="29"/>
        <v>0.18783486393789406</v>
      </c>
      <c r="BB153" s="144">
        <f t="shared" si="29"/>
        <v>6.0399170277874763</v>
      </c>
      <c r="BC153" s="144">
        <f t="shared" si="29"/>
        <v>6.1622887186543705E-3</v>
      </c>
      <c r="BD153" s="178">
        <f t="shared" si="29"/>
        <v>2.2682466985685239</v>
      </c>
      <c r="BE153" s="144"/>
      <c r="BF153" s="160">
        <f t="shared" si="30"/>
        <v>4.0633358936969871E-7</v>
      </c>
      <c r="BG153" s="144">
        <f t="shared" si="31"/>
        <v>6.4215832905465075E-8</v>
      </c>
      <c r="BH153" s="144">
        <f t="shared" si="32"/>
        <v>2.9549389911071866E-9</v>
      </c>
      <c r="BI153" s="144">
        <f t="shared" si="32"/>
        <v>9.5017431558193493E-8</v>
      </c>
      <c r="BJ153" s="144">
        <f t="shared" si="32"/>
        <v>9.6942531473989016E-11</v>
      </c>
      <c r="BK153" s="160">
        <f t="shared" si="32"/>
        <v>3.5683102010638524E-8</v>
      </c>
      <c r="BL153" s="144"/>
    </row>
    <row r="154" spans="24:64">
      <c r="X154" s="53" t="s">
        <v>123</v>
      </c>
      <c r="Y154" s="53" t="s">
        <v>124</v>
      </c>
      <c r="Z154" s="155" t="s">
        <v>339</v>
      </c>
      <c r="AA154" s="53">
        <v>0.31583600000000001</v>
      </c>
      <c r="AB154" s="53">
        <v>34.649163999999999</v>
      </c>
      <c r="AC154" s="53" t="s">
        <v>350</v>
      </c>
      <c r="AD154" s="161" t="s">
        <v>330</v>
      </c>
      <c r="AE154" s="116" t="s">
        <v>347</v>
      </c>
      <c r="AF154" s="154" t="s">
        <v>371</v>
      </c>
      <c r="AG154" s="39" t="s">
        <v>688</v>
      </c>
      <c r="AH154" s="53" t="s">
        <v>369</v>
      </c>
      <c r="AI154" s="53" t="s">
        <v>685</v>
      </c>
      <c r="AJ154" s="53" t="s">
        <v>691</v>
      </c>
      <c r="AK154" s="156">
        <v>454</v>
      </c>
      <c r="AL154" s="157">
        <v>131.4</v>
      </c>
      <c r="AM154" s="75">
        <v>0.27227999999999997</v>
      </c>
      <c r="AN154" s="157">
        <v>387.2</v>
      </c>
      <c r="AO154" s="156">
        <v>0.58799999999999997</v>
      </c>
      <c r="AP154" s="157">
        <v>82.46</v>
      </c>
      <c r="AQ154" s="157"/>
      <c r="AR154" s="158">
        <f t="shared" si="33"/>
        <v>5.221498839621285E-4</v>
      </c>
      <c r="AS154" s="144">
        <f t="shared" si="34"/>
        <v>1.5112443778110944E-4</v>
      </c>
      <c r="AT154" s="144">
        <f t="shared" si="35"/>
        <v>3.1315191719208885E-7</v>
      </c>
      <c r="AU154" s="144">
        <f t="shared" si="35"/>
        <v>4.4532254420734835E-4</v>
      </c>
      <c r="AV154" s="144">
        <f t="shared" si="35"/>
        <v>6.7626460742231615E-7</v>
      </c>
      <c r="AW154" s="158">
        <f t="shared" si="35"/>
        <v>9.4838060421843854E-5</v>
      </c>
      <c r="AX154" s="144"/>
      <c r="AY154" s="178">
        <f t="shared" si="27"/>
        <v>19.841695590560878</v>
      </c>
      <c r="AZ154" s="144">
        <f t="shared" si="28"/>
        <v>5.742728635682159</v>
      </c>
      <c r="BA154" s="144">
        <f t="shared" si="29"/>
        <v>1.1899772853299373E-2</v>
      </c>
      <c r="BB154" s="144">
        <f t="shared" si="29"/>
        <v>16.922256679879236</v>
      </c>
      <c r="BC154" s="144">
        <f t="shared" si="29"/>
        <v>2.5698055082048015E-2</v>
      </c>
      <c r="BD154" s="178">
        <f t="shared" si="29"/>
        <v>3.6038462960300666</v>
      </c>
      <c r="BE154" s="144"/>
      <c r="BF154" s="160">
        <f t="shared" si="30"/>
        <v>9.364236018976812E-6</v>
      </c>
      <c r="BG154" s="144">
        <f t="shared" si="31"/>
        <v>9.0342188905547237E-8</v>
      </c>
      <c r="BH154" s="144">
        <f t="shared" si="32"/>
        <v>1.8720221609743071E-10</v>
      </c>
      <c r="BI154" s="144">
        <f t="shared" si="32"/>
        <v>2.6621381692715292E-7</v>
      </c>
      <c r="BJ154" s="144">
        <f t="shared" si="32"/>
        <v>4.0427098231706061E-10</v>
      </c>
      <c r="BK154" s="160">
        <f t="shared" si="32"/>
        <v>5.6694192520178272E-8</v>
      </c>
      <c r="BL154" s="144"/>
    </row>
    <row r="155" spans="24:64">
      <c r="X155" s="53" t="s">
        <v>126</v>
      </c>
      <c r="Y155" s="53" t="s">
        <v>127</v>
      </c>
      <c r="Z155" s="155" t="s">
        <v>339</v>
      </c>
      <c r="AA155" s="53">
        <v>0.31583600000000001</v>
      </c>
      <c r="AB155" s="53">
        <v>34.649163999999999</v>
      </c>
      <c r="AC155" s="53" t="s">
        <v>350</v>
      </c>
      <c r="AD155" s="53" t="s">
        <v>330</v>
      </c>
      <c r="AE155" s="116" t="s">
        <v>347</v>
      </c>
      <c r="AF155" s="154" t="s">
        <v>371</v>
      </c>
      <c r="AG155" s="39" t="s">
        <v>688</v>
      </c>
      <c r="AH155" s="53" t="s">
        <v>369</v>
      </c>
      <c r="AI155" s="53" t="s">
        <v>685</v>
      </c>
      <c r="AJ155" s="53" t="s">
        <v>691</v>
      </c>
      <c r="AK155" s="156">
        <v>21.5</v>
      </c>
      <c r="AL155" s="157">
        <v>115.7</v>
      </c>
      <c r="AM155" s="75">
        <v>1.8449099999999998</v>
      </c>
      <c r="AN155" s="157">
        <v>128.6</v>
      </c>
      <c r="AO155" s="156">
        <v>0.14299999999999999</v>
      </c>
      <c r="AP155" s="157">
        <v>49.89</v>
      </c>
      <c r="AQ155" s="157"/>
      <c r="AR155" s="158">
        <f t="shared" si="33"/>
        <v>2.4727362346224147E-5</v>
      </c>
      <c r="AS155" s="144">
        <f t="shared" si="34"/>
        <v>1.3306771271898298E-4</v>
      </c>
      <c r="AT155" s="144">
        <f t="shared" si="35"/>
        <v>2.1218492123801111E-6</v>
      </c>
      <c r="AU155" s="144">
        <f t="shared" si="35"/>
        <v>1.4790413012671745E-4</v>
      </c>
      <c r="AV155" s="144">
        <f t="shared" si="35"/>
        <v>1.6446571234930479E-7</v>
      </c>
      <c r="AW155" s="158">
        <f t="shared" si="35"/>
        <v>5.7378981742005702E-5</v>
      </c>
      <c r="AX155" s="144"/>
      <c r="AY155" s="178">
        <f t="shared" si="27"/>
        <v>0.93963976915651759</v>
      </c>
      <c r="AZ155" s="144">
        <f t="shared" si="28"/>
        <v>5.0565730833213527</v>
      </c>
      <c r="BA155" s="144">
        <f t="shared" si="29"/>
        <v>8.0630270070444224E-2</v>
      </c>
      <c r="BB155" s="144">
        <f t="shared" si="29"/>
        <v>5.6203569448152626</v>
      </c>
      <c r="BC155" s="144">
        <f t="shared" si="29"/>
        <v>6.2496970692735819E-3</v>
      </c>
      <c r="BD155" s="178">
        <f t="shared" si="29"/>
        <v>2.1804013061962166</v>
      </c>
      <c r="BE155" s="144"/>
      <c r="BF155" s="160">
        <f t="shared" si="30"/>
        <v>4.4346051631718392E-7</v>
      </c>
      <c r="BG155" s="144">
        <f t="shared" si="31"/>
        <v>7.9547878663408023E-8</v>
      </c>
      <c r="BH155" s="144">
        <f t="shared" si="32"/>
        <v>1.2684414591608305E-9</v>
      </c>
      <c r="BI155" s="144">
        <f t="shared" si="32"/>
        <v>8.8417088989751704E-8</v>
      </c>
      <c r="BJ155" s="144">
        <f t="shared" si="32"/>
        <v>9.8317602842414373E-11</v>
      </c>
      <c r="BK155" s="160">
        <f t="shared" si="32"/>
        <v>3.4301155285371015E-8</v>
      </c>
      <c r="BL155" s="144"/>
    </row>
    <row r="156" spans="24:64">
      <c r="X156" s="53" t="s">
        <v>128</v>
      </c>
      <c r="Y156" s="53" t="s">
        <v>129</v>
      </c>
      <c r="Z156" s="155" t="s">
        <v>339</v>
      </c>
      <c r="AA156" s="53">
        <v>0.31583600000000001</v>
      </c>
      <c r="AB156" s="53">
        <v>34.649163999999999</v>
      </c>
      <c r="AC156" s="53" t="s">
        <v>350</v>
      </c>
      <c r="AD156" s="53" t="s">
        <v>330</v>
      </c>
      <c r="AE156" s="116" t="s">
        <v>347</v>
      </c>
      <c r="AF156" s="154" t="s">
        <v>371</v>
      </c>
      <c r="AG156" s="39" t="s">
        <v>688</v>
      </c>
      <c r="AH156" s="53" t="s">
        <v>365</v>
      </c>
      <c r="AI156" s="53" t="s">
        <v>685</v>
      </c>
      <c r="AJ156" s="53" t="s">
        <v>691</v>
      </c>
      <c r="AK156" s="156">
        <v>440</v>
      </c>
      <c r="AL156" s="157">
        <v>124.3</v>
      </c>
      <c r="AM156" s="75">
        <v>0.52349000000000001</v>
      </c>
      <c r="AN156" s="157">
        <v>370.7</v>
      </c>
      <c r="AO156" s="156">
        <v>0.628</v>
      </c>
      <c r="AP156" s="157">
        <v>80.97</v>
      </c>
      <c r="AQ156" s="157"/>
      <c r="AR156" s="158">
        <f t="shared" si="33"/>
        <v>5.0604834569016859E-4</v>
      </c>
      <c r="AS156" s="144">
        <f t="shared" si="34"/>
        <v>1.4295865765747261E-4</v>
      </c>
      <c r="AT156" s="144">
        <f t="shared" si="35"/>
        <v>6.0207101928487807E-7</v>
      </c>
      <c r="AU156" s="144">
        <f t="shared" si="35"/>
        <v>4.2634573124396703E-4</v>
      </c>
      <c r="AV156" s="144">
        <f t="shared" si="35"/>
        <v>7.2226900248505887E-7</v>
      </c>
      <c r="AW156" s="158">
        <f t="shared" si="35"/>
        <v>9.3124396705756703E-5</v>
      </c>
      <c r="AX156" s="144"/>
      <c r="AY156" s="178">
        <f t="shared" si="27"/>
        <v>19.229837136226408</v>
      </c>
      <c r="AZ156" s="144">
        <f t="shared" si="28"/>
        <v>5.4324289909839605</v>
      </c>
      <c r="BA156" s="144">
        <f t="shared" si="29"/>
        <v>2.2878698732825366E-2</v>
      </c>
      <c r="BB156" s="144">
        <f t="shared" si="29"/>
        <v>16.201137787270746</v>
      </c>
      <c r="BC156" s="144">
        <f t="shared" si="29"/>
        <v>2.7446222094432239E-2</v>
      </c>
      <c r="BD156" s="178">
        <f t="shared" si="29"/>
        <v>3.5387270748187549</v>
      </c>
      <c r="BE156" s="144"/>
      <c r="BF156" s="160">
        <f t="shared" si="30"/>
        <v>9.0754710316074838E-6</v>
      </c>
      <c r="BG156" s="144">
        <f t="shared" si="31"/>
        <v>8.5460685547637144E-8</v>
      </c>
      <c r="BH156" s="144">
        <f t="shared" si="32"/>
        <v>3.599180553285001E-10</v>
      </c>
      <c r="BI156" s="144">
        <f t="shared" si="32"/>
        <v>2.5486947813764351E-7</v>
      </c>
      <c r="BJ156" s="144">
        <f t="shared" si="32"/>
        <v>4.3177240968556821E-10</v>
      </c>
      <c r="BK156" s="160">
        <f t="shared" si="32"/>
        <v>5.5669764350701365E-8</v>
      </c>
      <c r="BL156" s="144"/>
    </row>
    <row r="157" spans="24:64">
      <c r="X157" s="53" t="s">
        <v>130</v>
      </c>
      <c r="Y157" s="53" t="s">
        <v>131</v>
      </c>
      <c r="Z157" s="155" t="s">
        <v>339</v>
      </c>
      <c r="AA157" s="53">
        <v>0.31583600000000001</v>
      </c>
      <c r="AB157" s="53">
        <v>34.649163999999999</v>
      </c>
      <c r="AC157" s="53" t="s">
        <v>350</v>
      </c>
      <c r="AD157" s="53" t="s">
        <v>330</v>
      </c>
      <c r="AE157" s="116" t="s">
        <v>347</v>
      </c>
      <c r="AF157" s="154" t="s">
        <v>371</v>
      </c>
      <c r="AG157" s="39" t="s">
        <v>688</v>
      </c>
      <c r="AH157" s="53" t="s">
        <v>365</v>
      </c>
      <c r="AI157" s="53" t="s">
        <v>685</v>
      </c>
      <c r="AJ157" s="53" t="s">
        <v>691</v>
      </c>
      <c r="AK157" s="156">
        <v>20.7</v>
      </c>
      <c r="AL157" s="157">
        <v>99.4</v>
      </c>
      <c r="AM157" s="162">
        <v>2.0906000000000002</v>
      </c>
      <c r="AN157" s="157">
        <v>132.1</v>
      </c>
      <c r="AO157" s="156">
        <v>0.14599999999999999</v>
      </c>
      <c r="AP157" s="157">
        <v>50.08</v>
      </c>
      <c r="AQ157" s="157"/>
      <c r="AR157" s="158">
        <f t="shared" si="33"/>
        <v>2.3807274444969294E-5</v>
      </c>
      <c r="AS157" s="144">
        <f t="shared" si="34"/>
        <v>1.1432092173091535E-4</v>
      </c>
      <c r="AT157" s="144">
        <f t="shared" si="35"/>
        <v>2.4044197079542426E-6</v>
      </c>
      <c r="AU157" s="144">
        <f t="shared" si="35"/>
        <v>1.5192951469470743E-4</v>
      </c>
      <c r="AV157" s="144">
        <f t="shared" si="35"/>
        <v>1.679160419790105E-7</v>
      </c>
      <c r="AW157" s="158">
        <f t="shared" si="35"/>
        <v>5.7597502618553735E-5</v>
      </c>
      <c r="AX157" s="144"/>
      <c r="AY157" s="178">
        <f t="shared" si="27"/>
        <v>0.90467642890883326</v>
      </c>
      <c r="AZ157" s="144">
        <f t="shared" si="28"/>
        <v>4.3441950257747841</v>
      </c>
      <c r="BA157" s="144">
        <f t="shared" si="29"/>
        <v>9.1367948902261228E-2</v>
      </c>
      <c r="BB157" s="144">
        <f t="shared" si="29"/>
        <v>5.7733215583988828</v>
      </c>
      <c r="BC157" s="144">
        <f t="shared" si="29"/>
        <v>6.3808095952023981E-3</v>
      </c>
      <c r="BD157" s="178">
        <f t="shared" si="29"/>
        <v>2.1887050995050417</v>
      </c>
      <c r="BE157" s="144"/>
      <c r="BF157" s="160">
        <f t="shared" si="30"/>
        <v>4.2695965989607932E-7</v>
      </c>
      <c r="BG157" s="144">
        <f t="shared" si="31"/>
        <v>6.8341047010741213E-8</v>
      </c>
      <c r="BH157" s="144">
        <f t="shared" si="32"/>
        <v>1.4373621014150458E-9</v>
      </c>
      <c r="BI157" s="144">
        <f t="shared" si="32"/>
        <v>9.0823463884496107E-8</v>
      </c>
      <c r="BJ157" s="144">
        <f t="shared" si="32"/>
        <v>1.0038020989505245E-10</v>
      </c>
      <c r="BK157" s="160">
        <f t="shared" si="32"/>
        <v>3.4431787065371424E-8</v>
      </c>
      <c r="BL157" s="144"/>
    </row>
    <row r="158" spans="24:64">
      <c r="X158" s="53" t="s">
        <v>132</v>
      </c>
      <c r="Y158" s="53" t="s">
        <v>133</v>
      </c>
      <c r="Z158" s="155" t="s">
        <v>339</v>
      </c>
      <c r="AA158" s="53">
        <v>0.31578899999999999</v>
      </c>
      <c r="AB158" s="53">
        <v>34.648187999999998</v>
      </c>
      <c r="AC158" s="53" t="s">
        <v>350</v>
      </c>
      <c r="AD158" s="53" t="s">
        <v>330</v>
      </c>
      <c r="AE158" s="116" t="s">
        <v>347</v>
      </c>
      <c r="AF158" s="154" t="s">
        <v>371</v>
      </c>
      <c r="AG158" s="39" t="s">
        <v>688</v>
      </c>
      <c r="AH158" s="53" t="s">
        <v>367</v>
      </c>
      <c r="AI158" s="53" t="s">
        <v>684</v>
      </c>
      <c r="AJ158" s="53" t="s">
        <v>683</v>
      </c>
      <c r="AK158" s="156">
        <v>1.4</v>
      </c>
      <c r="AL158" s="157">
        <v>16.7</v>
      </c>
      <c r="AM158" s="162">
        <v>5.6399999999999999E-2</v>
      </c>
      <c r="AN158" s="157">
        <v>48.1</v>
      </c>
      <c r="AO158" s="156">
        <v>3.1E-2</v>
      </c>
      <c r="AP158" s="157">
        <v>19.02</v>
      </c>
      <c r="AQ158" s="157"/>
      <c r="AR158" s="158">
        <f t="shared" si="33"/>
        <v>1.6101538271959909E-6</v>
      </c>
      <c r="AS158" s="144">
        <f t="shared" si="34"/>
        <v>1.9206834938695035E-5</v>
      </c>
      <c r="AT158" s="144">
        <f t="shared" si="35"/>
        <v>6.4866197038467055E-8</v>
      </c>
      <c r="AU158" s="144">
        <f t="shared" si="35"/>
        <v>5.532028506294797E-5</v>
      </c>
      <c r="AV158" s="144">
        <f t="shared" si="35"/>
        <v>3.5653406173625514E-8</v>
      </c>
      <c r="AW158" s="158">
        <f t="shared" si="35"/>
        <v>2.1875089852334106E-5</v>
      </c>
      <c r="AX158" s="144"/>
      <c r="AY158" s="178">
        <f t="shared" si="27"/>
        <v>6.1185845433447648E-2</v>
      </c>
      <c r="AZ158" s="144">
        <f t="shared" si="28"/>
        <v>0.72985972767041118</v>
      </c>
      <c r="BA158" s="144">
        <f t="shared" si="29"/>
        <v>2.4649154874617487E-3</v>
      </c>
      <c r="BB158" s="144">
        <f t="shared" si="29"/>
        <v>2.102170832392023</v>
      </c>
      <c r="BC158" s="144">
        <f t="shared" si="29"/>
        <v>1.3548294345977695E-3</v>
      </c>
      <c r="BD158" s="178">
        <f t="shared" si="29"/>
        <v>0.83125341438869593</v>
      </c>
      <c r="BE158" s="144"/>
      <c r="BF158" s="160">
        <f t="shared" si="30"/>
        <v>2.8876498736932905E-8</v>
      </c>
      <c r="BG158" s="144">
        <f t="shared" si="31"/>
        <v>1.1481845926351893E-8</v>
      </c>
      <c r="BH158" s="144">
        <f t="shared" si="32"/>
        <v>3.8777012589595614E-11</v>
      </c>
      <c r="BI158" s="144">
        <f t="shared" si="32"/>
        <v>3.3070466410630304E-8</v>
      </c>
      <c r="BJ158" s="144">
        <f t="shared" si="32"/>
        <v>2.1313606210593333E-11</v>
      </c>
      <c r="BK158" s="160">
        <f t="shared" si="32"/>
        <v>1.3076928713725329E-8</v>
      </c>
      <c r="BL158" s="144"/>
    </row>
    <row r="159" spans="24:64">
      <c r="X159" s="53" t="s">
        <v>134</v>
      </c>
      <c r="Y159" s="53" t="s">
        <v>135</v>
      </c>
      <c r="Z159" s="155" t="s">
        <v>340</v>
      </c>
      <c r="AA159" s="53">
        <v>0.25193900000000002</v>
      </c>
      <c r="AB159" s="53">
        <v>34.723801000000002</v>
      </c>
      <c r="AC159" s="53" t="s">
        <v>372</v>
      </c>
      <c r="AD159" s="53" t="s">
        <v>330</v>
      </c>
      <c r="AE159" s="116" t="s">
        <v>347</v>
      </c>
      <c r="AF159" s="154" t="s">
        <v>371</v>
      </c>
      <c r="AG159" s="39" t="s">
        <v>688</v>
      </c>
      <c r="AH159" s="53" t="s">
        <v>367</v>
      </c>
      <c r="AI159" s="53" t="s">
        <v>684</v>
      </c>
      <c r="AJ159" s="53" t="s">
        <v>683</v>
      </c>
      <c r="AK159" s="156">
        <v>7.4</v>
      </c>
      <c r="AL159" s="157">
        <v>15.9</v>
      </c>
      <c r="AM159" s="162">
        <v>4.8073999999999995</v>
      </c>
      <c r="AN159" s="157">
        <v>312.3</v>
      </c>
      <c r="AO159" s="156">
        <v>0.29399999999999998</v>
      </c>
      <c r="AP159" s="157">
        <v>115.55</v>
      </c>
      <c r="AQ159" s="157"/>
      <c r="AR159" s="158">
        <f t="shared" si="33"/>
        <v>8.5108130866073795E-6</v>
      </c>
      <c r="AS159" s="144">
        <f t="shared" si="34"/>
        <v>1.8286747037440185E-5</v>
      </c>
      <c r="AT159" s="144">
        <f t="shared" si="35"/>
        <v>5.5290382206157176E-6</v>
      </c>
      <c r="AU159" s="144">
        <f t="shared" si="35"/>
        <v>3.5917931445236286E-4</v>
      </c>
      <c r="AV159" s="144">
        <f t="shared" si="35"/>
        <v>3.3813230371115808E-7</v>
      </c>
      <c r="AW159" s="158">
        <f t="shared" si="35"/>
        <v>1.3289519623749769E-4</v>
      </c>
      <c r="AX159" s="144"/>
      <c r="AY159" s="178">
        <f t="shared" si="27"/>
        <v>0.32341089729108047</v>
      </c>
      <c r="AZ159" s="144">
        <f t="shared" si="28"/>
        <v>0.69489638742272697</v>
      </c>
      <c r="BA159" s="144">
        <f t="shared" si="29"/>
        <v>0.21010345238339731</v>
      </c>
      <c r="BB159" s="144">
        <f t="shared" si="29"/>
        <v>13.648813949189789</v>
      </c>
      <c r="BC159" s="144">
        <f t="shared" si="29"/>
        <v>1.2849027541024008E-2</v>
      </c>
      <c r="BD159" s="178">
        <f t="shared" si="29"/>
        <v>5.0500174570249126</v>
      </c>
      <c r="BE159" s="144"/>
      <c r="BF159" s="160">
        <f t="shared" si="30"/>
        <v>1.5263292189521678E-7</v>
      </c>
      <c r="BG159" s="144">
        <f t="shared" si="31"/>
        <v>1.0931817378981741E-8</v>
      </c>
      <c r="BH159" s="144">
        <f t="shared" si="32"/>
        <v>3.3052590482840766E-9</v>
      </c>
      <c r="BI159" s="144">
        <f t="shared" si="32"/>
        <v>2.1471739417962252E-7</v>
      </c>
      <c r="BJ159" s="144">
        <f t="shared" si="32"/>
        <v>2.021354911585303E-10</v>
      </c>
      <c r="BK159" s="160">
        <f t="shared" si="32"/>
        <v>7.944474831077613E-8</v>
      </c>
      <c r="BL159" s="144"/>
    </row>
    <row r="160" spans="24:64">
      <c r="X160" s="53" t="s">
        <v>136</v>
      </c>
      <c r="Y160" s="53" t="s">
        <v>137</v>
      </c>
      <c r="Z160" s="155" t="s">
        <v>340</v>
      </c>
      <c r="AA160" s="53">
        <v>0.25163200000000002</v>
      </c>
      <c r="AB160" s="53">
        <v>34.723951</v>
      </c>
      <c r="AC160" s="53" t="s">
        <v>372</v>
      </c>
      <c r="AD160" s="53" t="s">
        <v>330</v>
      </c>
      <c r="AE160" s="116" t="s">
        <v>347</v>
      </c>
      <c r="AF160" s="154" t="s">
        <v>371</v>
      </c>
      <c r="AG160" s="39" t="s">
        <v>688</v>
      </c>
      <c r="AH160" s="53" t="s">
        <v>369</v>
      </c>
      <c r="AI160" s="53" t="s">
        <v>685</v>
      </c>
      <c r="AJ160" s="53" t="s">
        <v>691</v>
      </c>
      <c r="AK160" s="156">
        <v>622</v>
      </c>
      <c r="AL160" s="157">
        <v>39</v>
      </c>
      <c r="AM160" s="162">
        <v>2.1796000000000002</v>
      </c>
      <c r="AN160" s="157">
        <v>247.2</v>
      </c>
      <c r="AO160" s="156">
        <v>0.46</v>
      </c>
      <c r="AP160" s="157">
        <v>58.95</v>
      </c>
      <c r="AQ160" s="157"/>
      <c r="AR160" s="158">
        <f t="shared" si="33"/>
        <v>7.1536834322564753E-4</v>
      </c>
      <c r="AS160" s="144">
        <f t="shared" si="34"/>
        <v>4.4854285186174034E-5</v>
      </c>
      <c r="AT160" s="144">
        <f t="shared" si="35"/>
        <v>2.5067794869688441E-6</v>
      </c>
      <c r="AU160" s="144">
        <f t="shared" si="35"/>
        <v>2.8430716148774925E-4</v>
      </c>
      <c r="AV160" s="144">
        <f t="shared" si="35"/>
        <v>5.2905054322153988E-7</v>
      </c>
      <c r="AW160" s="158">
        <f t="shared" si="35"/>
        <v>6.7798977223716908E-5</v>
      </c>
      <c r="AX160" s="144"/>
      <c r="AY160" s="178">
        <f t="shared" si="27"/>
        <v>27.183997042574603</v>
      </c>
      <c r="AZ160" s="144">
        <f t="shared" si="28"/>
        <v>1.7044628370746131</v>
      </c>
      <c r="BA160" s="144">
        <f t="shared" si="29"/>
        <v>9.5257620504816079E-2</v>
      </c>
      <c r="BB160" s="144">
        <f t="shared" si="29"/>
        <v>10.80367213653447</v>
      </c>
      <c r="BC160" s="144">
        <f t="shared" si="29"/>
        <v>2.0103920642418515E-2</v>
      </c>
      <c r="BD160" s="178">
        <f t="shared" si="29"/>
        <v>2.5763611345012425</v>
      </c>
      <c r="BE160" s="144"/>
      <c r="BF160" s="160">
        <f t="shared" si="30"/>
        <v>1.2829415867408761E-5</v>
      </c>
      <c r="BG160" s="144">
        <f t="shared" si="31"/>
        <v>2.6813891684294839E-8</v>
      </c>
      <c r="BH160" s="144">
        <f t="shared" si="32"/>
        <v>1.4985527773099757E-9</v>
      </c>
      <c r="BI160" s="144">
        <f t="shared" si="32"/>
        <v>1.6995882113737652E-7</v>
      </c>
      <c r="BJ160" s="144">
        <f t="shared" si="32"/>
        <v>3.1626641473783652E-10</v>
      </c>
      <c r="BK160" s="160">
        <f t="shared" si="32"/>
        <v>4.053022858433796E-8</v>
      </c>
      <c r="BL160" s="144"/>
    </row>
    <row r="161" spans="24:64">
      <c r="X161" s="53" t="s">
        <v>138</v>
      </c>
      <c r="Y161" s="53" t="s">
        <v>139</v>
      </c>
      <c r="Z161" s="155" t="s">
        <v>340</v>
      </c>
      <c r="AA161" s="53">
        <v>0.25232199999999999</v>
      </c>
      <c r="AB161" s="53">
        <v>34.723750000000003</v>
      </c>
      <c r="AC161" s="53" t="s">
        <v>372</v>
      </c>
      <c r="AD161" s="53" t="s">
        <v>330</v>
      </c>
      <c r="AE161" s="116" t="s">
        <v>347</v>
      </c>
      <c r="AF161" s="154" t="s">
        <v>371</v>
      </c>
      <c r="AG161" s="116" t="s">
        <v>687</v>
      </c>
      <c r="AH161" s="53" t="s">
        <v>366</v>
      </c>
      <c r="AI161" s="53" t="s">
        <v>684</v>
      </c>
      <c r="AJ161" s="53" t="s">
        <v>683</v>
      </c>
      <c r="AK161" s="156">
        <v>11.9</v>
      </c>
      <c r="AL161" s="157">
        <v>15.9</v>
      </c>
      <c r="AM161" s="162">
        <v>6.2413999999999996</v>
      </c>
      <c r="AN161" s="157">
        <v>367.7</v>
      </c>
      <c r="AO161" s="156">
        <v>0.128</v>
      </c>
      <c r="AP161" s="157">
        <v>135.74</v>
      </c>
      <c r="AQ161" s="157"/>
      <c r="AR161" s="158">
        <f t="shared" si="33"/>
        <v>1.3686307531165922E-5</v>
      </c>
      <c r="AS161" s="144">
        <f t="shared" si="34"/>
        <v>1.8286747037440185E-5</v>
      </c>
      <c r="AT161" s="144">
        <f t="shared" si="35"/>
        <v>7.1782957836150416E-6</v>
      </c>
      <c r="AU161" s="144">
        <f t="shared" si="35"/>
        <v>4.2289540161426133E-4</v>
      </c>
      <c r="AV161" s="144">
        <f t="shared" si="35"/>
        <v>1.472140642007763E-7</v>
      </c>
      <c r="AW161" s="158">
        <f t="shared" si="35"/>
        <v>1.5611591464541701E-4</v>
      </c>
      <c r="AX161" s="144"/>
      <c r="AY161" s="178">
        <f t="shared" si="27"/>
        <v>0.52007968618430511</v>
      </c>
      <c r="AZ161" s="144">
        <f t="shared" si="28"/>
        <v>0.69489638742272697</v>
      </c>
      <c r="BA161" s="144">
        <f t="shared" si="29"/>
        <v>0.27277523977737161</v>
      </c>
      <c r="BB161" s="144">
        <f t="shared" si="29"/>
        <v>16.070025261341932</v>
      </c>
      <c r="BC161" s="144">
        <f t="shared" si="29"/>
        <v>5.5941344396295009E-3</v>
      </c>
      <c r="BD161" s="178">
        <f t="shared" si="29"/>
        <v>5.9324047565258473</v>
      </c>
      <c r="BE161" s="144"/>
      <c r="BF161" s="160">
        <f t="shared" si="30"/>
        <v>2.4545023926392968E-7</v>
      </c>
      <c r="BG161" s="144">
        <f t="shared" si="31"/>
        <v>1.0931817378981741E-8</v>
      </c>
      <c r="BH161" s="144">
        <f t="shared" si="32"/>
        <v>4.2911852194450712E-9</v>
      </c>
      <c r="BI161" s="144">
        <f t="shared" si="32"/>
        <v>2.5280687108500545E-7</v>
      </c>
      <c r="BJ161" s="144">
        <f t="shared" si="32"/>
        <v>8.8004567579224099E-11</v>
      </c>
      <c r="BK161" s="160">
        <f t="shared" si="32"/>
        <v>9.3326093775030281E-8</v>
      </c>
      <c r="BL161" s="144"/>
    </row>
    <row r="162" spans="24:64">
      <c r="X162" s="53" t="s">
        <v>140</v>
      </c>
      <c r="Y162" s="53" t="s">
        <v>141</v>
      </c>
      <c r="Z162" s="155" t="s">
        <v>340</v>
      </c>
      <c r="AA162" s="53">
        <v>0.25163200000000002</v>
      </c>
      <c r="AB162" s="53">
        <v>34.723951</v>
      </c>
      <c r="AC162" s="53" t="s">
        <v>372</v>
      </c>
      <c r="AD162" s="53" t="s">
        <v>330</v>
      </c>
      <c r="AE162" s="116" t="s">
        <v>347</v>
      </c>
      <c r="AF162" s="154" t="s">
        <v>371</v>
      </c>
      <c r="AG162" s="116" t="s">
        <v>687</v>
      </c>
      <c r="AH162" s="53" t="s">
        <v>365</v>
      </c>
      <c r="AI162" s="53" t="s">
        <v>685</v>
      </c>
      <c r="AJ162" s="53" t="s">
        <v>691</v>
      </c>
      <c r="AK162" s="156">
        <v>831.3</v>
      </c>
      <c r="AL162" s="157">
        <v>36.4</v>
      </c>
      <c r="AM162" s="162">
        <v>1.7581</v>
      </c>
      <c r="AN162" s="157">
        <v>76.599999999999994</v>
      </c>
      <c r="AO162" s="156">
        <v>0.222</v>
      </c>
      <c r="AP162" s="157">
        <v>11.36</v>
      </c>
      <c r="AQ162" s="157"/>
      <c r="AR162" s="158">
        <f t="shared" si="33"/>
        <v>9.5608634039144797E-4</v>
      </c>
      <c r="AS162" s="144">
        <f t="shared" si="34"/>
        <v>4.1863999507095764E-5</v>
      </c>
      <c r="AT162" s="144">
        <f t="shared" si="35"/>
        <v>2.022008173995194E-6</v>
      </c>
      <c r="AU162" s="144">
        <f t="shared" si="35"/>
        <v>8.8098416545152059E-5</v>
      </c>
      <c r="AV162" s="144">
        <f t="shared" si="35"/>
        <v>2.553243925982214E-7</v>
      </c>
      <c r="AW162" s="158">
        <f t="shared" si="35"/>
        <v>1.3065248197818898E-5</v>
      </c>
      <c r="AX162" s="144"/>
      <c r="AY162" s="178">
        <f t="shared" si="27"/>
        <v>36.331280934875018</v>
      </c>
      <c r="AZ162" s="144">
        <f t="shared" si="28"/>
        <v>1.5908319812696392</v>
      </c>
      <c r="BA162" s="144">
        <f t="shared" si="29"/>
        <v>7.6836310611817379E-2</v>
      </c>
      <c r="BB162" s="144">
        <f t="shared" si="29"/>
        <v>3.3477398287157789</v>
      </c>
      <c r="BC162" s="144">
        <f t="shared" si="29"/>
        <v>9.7023269187324138E-3</v>
      </c>
      <c r="BD162" s="178">
        <f t="shared" si="29"/>
        <v>0.4964794315171181</v>
      </c>
      <c r="BE162" s="144"/>
      <c r="BF162" s="160">
        <f t="shared" si="30"/>
        <v>1.7146452428580231E-5</v>
      </c>
      <c r="BG162" s="144">
        <f t="shared" si="31"/>
        <v>2.5026298905341853E-8</v>
      </c>
      <c r="BH162" s="144">
        <f t="shared" si="32"/>
        <v>1.2087564864143271E-9</v>
      </c>
      <c r="BI162" s="144">
        <f t="shared" si="32"/>
        <v>5.2665233410691899E-8</v>
      </c>
      <c r="BJ162" s="144">
        <f t="shared" si="32"/>
        <v>1.5263292189521678E-10</v>
      </c>
      <c r="BK162" s="160">
        <f t="shared" si="32"/>
        <v>7.810405372656139E-9</v>
      </c>
      <c r="BL162" s="144"/>
    </row>
    <row r="163" spans="24:64">
      <c r="X163" s="53" t="s">
        <v>142</v>
      </c>
      <c r="Y163" s="53" t="s">
        <v>143</v>
      </c>
      <c r="Z163" s="155" t="s">
        <v>340</v>
      </c>
      <c r="AA163" s="53">
        <v>0.25163200000000002</v>
      </c>
      <c r="AB163" s="53">
        <v>34.723951</v>
      </c>
      <c r="AC163" s="53" t="s">
        <v>372</v>
      </c>
      <c r="AD163" s="53" t="s">
        <v>330</v>
      </c>
      <c r="AE163" s="116" t="s">
        <v>347</v>
      </c>
      <c r="AF163" s="154" t="s">
        <v>371</v>
      </c>
      <c r="AG163" s="116" t="s">
        <v>687</v>
      </c>
      <c r="AH163" s="53" t="s">
        <v>365</v>
      </c>
      <c r="AI163" s="53" t="s">
        <v>685</v>
      </c>
      <c r="AJ163" s="53" t="s">
        <v>691</v>
      </c>
      <c r="AK163" s="156">
        <v>780.8</v>
      </c>
      <c r="AL163" s="157">
        <v>35.9</v>
      </c>
      <c r="AM163" s="162">
        <v>1.7239</v>
      </c>
      <c r="AN163" s="157">
        <v>68.599999999999994</v>
      </c>
      <c r="AO163" s="156">
        <v>0.16400000000000001</v>
      </c>
      <c r="AP163" s="157">
        <v>10.43</v>
      </c>
      <c r="AQ163" s="157"/>
      <c r="AR163" s="158">
        <f t="shared" si="33"/>
        <v>8.980057916247355E-4</v>
      </c>
      <c r="AS163" s="144">
        <f t="shared" si="34"/>
        <v>4.1288944568811482E-5</v>
      </c>
      <c r="AT163" s="144">
        <f t="shared" si="35"/>
        <v>1.9826744162165487E-6</v>
      </c>
      <c r="AU163" s="144">
        <f t="shared" si="35"/>
        <v>7.8897537532603539E-5</v>
      </c>
      <c r="AV163" s="144">
        <f t="shared" si="35"/>
        <v>1.8861801975724469E-7</v>
      </c>
      <c r="AW163" s="158">
        <f t="shared" si="35"/>
        <v>1.1995646012610132E-5</v>
      </c>
      <c r="AX163" s="144"/>
      <c r="AY163" s="178">
        <f t="shared" si="27"/>
        <v>34.124220081739949</v>
      </c>
      <c r="AZ163" s="144">
        <f t="shared" si="28"/>
        <v>1.568979893614836</v>
      </c>
      <c r="BA163" s="144">
        <f t="shared" si="29"/>
        <v>7.5341627816228857E-2</v>
      </c>
      <c r="BB163" s="144">
        <f t="shared" si="29"/>
        <v>2.9981064262389348</v>
      </c>
      <c r="BC163" s="144">
        <f t="shared" si="29"/>
        <v>7.1674847507752978E-3</v>
      </c>
      <c r="BD163" s="178">
        <f t="shared" si="29"/>
        <v>0.45583454847918503</v>
      </c>
      <c r="BE163" s="144"/>
      <c r="BF163" s="160">
        <f t="shared" si="30"/>
        <v>1.610483586699801E-5</v>
      </c>
      <c r="BG163" s="144">
        <f t="shared" si="31"/>
        <v>2.4682531063235509E-8</v>
      </c>
      <c r="BH163" s="144">
        <f t="shared" si="32"/>
        <v>1.185242766014253E-9</v>
      </c>
      <c r="BI163" s="144">
        <f t="shared" si="32"/>
        <v>4.7164947936990406E-8</v>
      </c>
      <c r="BJ163" s="144">
        <f t="shared" si="32"/>
        <v>1.1275585221088089E-10</v>
      </c>
      <c r="BK163" s="160">
        <f t="shared" si="32"/>
        <v>7.1709971863383372E-9</v>
      </c>
      <c r="BL163" s="144"/>
    </row>
    <row r="164" spans="24:64">
      <c r="X164" s="53" t="s">
        <v>144</v>
      </c>
      <c r="Y164" s="53" t="s">
        <v>145</v>
      </c>
      <c r="Z164" s="155" t="s">
        <v>340</v>
      </c>
      <c r="AA164" s="53">
        <v>0.25722099999999998</v>
      </c>
      <c r="AB164" s="53">
        <v>34.724355000000003</v>
      </c>
      <c r="AC164" s="53" t="s">
        <v>373</v>
      </c>
      <c r="AD164" s="53" t="s">
        <v>330</v>
      </c>
      <c r="AE164" s="116" t="s">
        <v>347</v>
      </c>
      <c r="AF164" s="154" t="s">
        <v>371</v>
      </c>
      <c r="AG164" s="116" t="s">
        <v>687</v>
      </c>
      <c r="AH164" s="53" t="s">
        <v>370</v>
      </c>
      <c r="AI164" s="53" t="s">
        <v>684</v>
      </c>
      <c r="AJ164" s="53" t="s">
        <v>683</v>
      </c>
      <c r="AK164" s="156">
        <v>4.9000000000000004</v>
      </c>
      <c r="AL164" s="157">
        <v>36.200000000000003</v>
      </c>
      <c r="AM164" s="162">
        <v>9.7700000000000009E-2</v>
      </c>
      <c r="AN164" s="157">
        <v>288.39999999999998</v>
      </c>
      <c r="AO164" s="156">
        <v>0.16500000000000001</v>
      </c>
      <c r="AP164" s="157">
        <v>52.75</v>
      </c>
      <c r="AQ164" s="157"/>
      <c r="AR164" s="158">
        <f t="shared" si="33"/>
        <v>5.6355383951859696E-6</v>
      </c>
      <c r="AS164" s="144">
        <f t="shared" si="34"/>
        <v>4.1633977531782062E-5</v>
      </c>
      <c r="AT164" s="144">
        <f t="shared" si="35"/>
        <v>1.1236573494074882E-7</v>
      </c>
      <c r="AU164" s="144">
        <f t="shared" si="35"/>
        <v>3.3169168840237407E-4</v>
      </c>
      <c r="AV164" s="144">
        <f t="shared" si="35"/>
        <v>1.8976812963381323E-7</v>
      </c>
      <c r="AW164" s="158">
        <f t="shared" si="35"/>
        <v>6.0668295988991796E-5</v>
      </c>
      <c r="AX164" s="144"/>
      <c r="AY164" s="178">
        <f t="shared" si="27"/>
        <v>0.21415045901706681</v>
      </c>
      <c r="AZ164" s="144">
        <f t="shared" si="28"/>
        <v>1.5820911462077181</v>
      </c>
      <c r="BA164" s="144">
        <f t="shared" si="29"/>
        <v>4.2698979277484544E-3</v>
      </c>
      <c r="BB164" s="144">
        <f t="shared" si="29"/>
        <v>12.604284159290215</v>
      </c>
      <c r="BC164" s="144">
        <f t="shared" si="29"/>
        <v>7.2111889260849018E-3</v>
      </c>
      <c r="BD164" s="178">
        <f t="shared" si="29"/>
        <v>2.3053952475816888</v>
      </c>
      <c r="BE164" s="144"/>
      <c r="BF164" s="160">
        <f t="shared" si="30"/>
        <v>1.0106774557926515E-7</v>
      </c>
      <c r="BG164" s="144">
        <f t="shared" si="31"/>
        <v>2.488879176849932E-8</v>
      </c>
      <c r="BH164" s="144">
        <f t="shared" si="32"/>
        <v>6.7172236347579636E-11</v>
      </c>
      <c r="BI164" s="144">
        <f t="shared" si="32"/>
        <v>1.9828529132693929E-7</v>
      </c>
      <c r="BJ164" s="144">
        <f t="shared" si="32"/>
        <v>1.1344338789509357E-10</v>
      </c>
      <c r="BK164" s="160">
        <f t="shared" si="32"/>
        <v>3.6267507342219306E-8</v>
      </c>
      <c r="BL164" s="144"/>
    </row>
    <row r="165" spans="24:64">
      <c r="X165" s="53" t="s">
        <v>146</v>
      </c>
      <c r="Y165" s="53" t="s">
        <v>147</v>
      </c>
      <c r="Z165" s="155" t="s">
        <v>340</v>
      </c>
      <c r="AA165" s="53">
        <v>0.25722099999999998</v>
      </c>
      <c r="AB165" s="53">
        <v>34.724355000000003</v>
      </c>
      <c r="AC165" s="53" t="s">
        <v>373</v>
      </c>
      <c r="AD165" s="53" t="s">
        <v>330</v>
      </c>
      <c r="AE165" s="116" t="s">
        <v>347</v>
      </c>
      <c r="AF165" s="154" t="s">
        <v>371</v>
      </c>
      <c r="AG165" s="116" t="s">
        <v>687</v>
      </c>
      <c r="AH165" s="53" t="s">
        <v>368</v>
      </c>
      <c r="AI165" s="53" t="s">
        <v>684</v>
      </c>
      <c r="AJ165" s="53" t="s">
        <v>683</v>
      </c>
      <c r="AK165" s="156">
        <v>12.2</v>
      </c>
      <c r="AL165" s="157">
        <v>242.5</v>
      </c>
      <c r="AM165" s="162">
        <v>3.7010000000000001</v>
      </c>
      <c r="AN165" s="157">
        <v>215</v>
      </c>
      <c r="AO165" s="156">
        <v>1.401</v>
      </c>
      <c r="AP165" s="157">
        <v>55.17</v>
      </c>
      <c r="AQ165" s="157"/>
      <c r="AR165" s="158">
        <f t="shared" si="33"/>
        <v>1.4031340494136492E-5</v>
      </c>
      <c r="AS165" s="144">
        <f t="shared" si="34"/>
        <v>2.7890164506787701E-4</v>
      </c>
      <c r="AT165" s="144">
        <f t="shared" si="35"/>
        <v>4.2565566531802599E-6</v>
      </c>
      <c r="AU165" s="144">
        <f t="shared" si="35"/>
        <v>2.4727362346224147E-4</v>
      </c>
      <c r="AV165" s="144">
        <f t="shared" si="35"/>
        <v>1.6113039370725595E-6</v>
      </c>
      <c r="AW165" s="158">
        <f t="shared" si="35"/>
        <v>6.3451561890287729E-5</v>
      </c>
      <c r="AX165" s="144"/>
      <c r="AY165" s="178">
        <f t="shared" si="27"/>
        <v>0.53319093877718671</v>
      </c>
      <c r="AZ165" s="144">
        <f t="shared" si="28"/>
        <v>10.598262512579327</v>
      </c>
      <c r="BA165" s="144">
        <f t="shared" si="29"/>
        <v>0.16174915282084984</v>
      </c>
      <c r="BB165" s="144">
        <f t="shared" si="29"/>
        <v>9.396397691565177</v>
      </c>
      <c r="BC165" s="144">
        <f t="shared" si="29"/>
        <v>6.1229549608757254E-2</v>
      </c>
      <c r="BD165" s="178">
        <f t="shared" si="29"/>
        <v>2.4111593518309338</v>
      </c>
      <c r="BE165" s="144"/>
      <c r="BF165" s="160">
        <f t="shared" si="30"/>
        <v>2.516380604218439E-7</v>
      </c>
      <c r="BG165" s="144">
        <f t="shared" si="31"/>
        <v>1.6672740342157691E-7</v>
      </c>
      <c r="BH165" s="144">
        <f t="shared" si="32"/>
        <v>2.5445695672711597E-9</v>
      </c>
      <c r="BI165" s="144">
        <f t="shared" si="32"/>
        <v>1.4782017210572795E-7</v>
      </c>
      <c r="BJ165" s="144">
        <f t="shared" si="32"/>
        <v>9.6323749358197625E-10</v>
      </c>
      <c r="BK165" s="160">
        <f t="shared" si="32"/>
        <v>3.7931343698014008E-8</v>
      </c>
      <c r="BL165" s="144"/>
    </row>
    <row r="166" spans="24:64">
      <c r="X166" s="53" t="s">
        <v>148</v>
      </c>
      <c r="Y166" s="53" t="s">
        <v>149</v>
      </c>
      <c r="Z166" s="155" t="s">
        <v>340</v>
      </c>
      <c r="AA166" s="53">
        <v>0.26547500000000002</v>
      </c>
      <c r="AB166" s="53">
        <v>34.728920000000002</v>
      </c>
      <c r="AC166" s="53" t="s">
        <v>373</v>
      </c>
      <c r="AD166" s="53" t="s">
        <v>330</v>
      </c>
      <c r="AE166" s="116" t="s">
        <v>347</v>
      </c>
      <c r="AF166" s="154" t="s">
        <v>371</v>
      </c>
      <c r="AG166" s="116" t="s">
        <v>687</v>
      </c>
      <c r="AH166" s="53" t="s">
        <v>370</v>
      </c>
      <c r="AI166" s="53" t="s">
        <v>684</v>
      </c>
      <c r="AJ166" s="53" t="s">
        <v>683</v>
      </c>
      <c r="AK166" s="156">
        <v>4.8</v>
      </c>
      <c r="AL166" s="157">
        <v>17.5</v>
      </c>
      <c r="AM166" s="162">
        <v>8.3000000000000004E-2</v>
      </c>
      <c r="AN166" s="157">
        <v>1195.9000000000001</v>
      </c>
      <c r="AO166" s="156">
        <v>0.14699999999999999</v>
      </c>
      <c r="AP166" s="157">
        <v>369.65</v>
      </c>
      <c r="AQ166" s="157"/>
      <c r="AR166" s="158">
        <f t="shared" si="33"/>
        <v>5.5205274075291126E-6</v>
      </c>
      <c r="AS166" s="144">
        <f t="shared" si="34"/>
        <v>2.0126922839949887E-5</v>
      </c>
      <c r="AT166" s="144">
        <f t="shared" si="35"/>
        <v>9.5459119755190928E-8</v>
      </c>
      <c r="AU166" s="144">
        <f t="shared" si="35"/>
        <v>1.3754164013883472E-3</v>
      </c>
      <c r="AV166" s="144">
        <f t="shared" si="35"/>
        <v>1.6906615185557904E-7</v>
      </c>
      <c r="AW166" s="158">
        <f t="shared" si="35"/>
        <v>4.2513811587357005E-4</v>
      </c>
      <c r="AX166" s="144"/>
      <c r="AY166" s="178">
        <f t="shared" si="27"/>
        <v>0.20978004148610621</v>
      </c>
      <c r="AZ166" s="144">
        <f t="shared" si="28"/>
        <v>0.76482306791809573</v>
      </c>
      <c r="BA166" s="144">
        <f t="shared" si="29"/>
        <v>3.6274465506972542E-3</v>
      </c>
      <c r="BB166" s="144">
        <f t="shared" si="29"/>
        <v>52.26582325275718</v>
      </c>
      <c r="BC166" s="144">
        <f t="shared" si="29"/>
        <v>6.4245137705120038E-3</v>
      </c>
      <c r="BD166" s="178">
        <f t="shared" si="29"/>
        <v>16.15524840319566</v>
      </c>
      <c r="BE166" s="144"/>
      <c r="BF166" s="160">
        <f t="shared" si="30"/>
        <v>9.9005138526627108E-8</v>
      </c>
      <c r="BG166" s="144">
        <f t="shared" si="31"/>
        <v>1.2031874473722041E-8</v>
      </c>
      <c r="BH166" s="144">
        <f t="shared" si="32"/>
        <v>5.7065461789653121E-11</v>
      </c>
      <c r="BI166" s="144">
        <f t="shared" si="32"/>
        <v>8.2222392474995398E-7</v>
      </c>
      <c r="BJ166" s="144">
        <f t="shared" si="32"/>
        <v>1.0106774557926515E-10</v>
      </c>
      <c r="BK166" s="160">
        <f t="shared" si="32"/>
        <v>2.5414756566922018E-7</v>
      </c>
      <c r="BL166" s="144"/>
    </row>
    <row r="167" spans="24:64">
      <c r="X167" s="53" t="s">
        <v>150</v>
      </c>
      <c r="Y167" s="53" t="s">
        <v>151</v>
      </c>
      <c r="Z167" s="155" t="s">
        <v>340</v>
      </c>
      <c r="AA167" s="53">
        <v>0.26495800000000003</v>
      </c>
      <c r="AB167" s="53">
        <v>34.729039</v>
      </c>
      <c r="AC167" s="53" t="s">
        <v>373</v>
      </c>
      <c r="AD167" s="53" t="s">
        <v>330</v>
      </c>
      <c r="AE167" s="116" t="s">
        <v>347</v>
      </c>
      <c r="AF167" s="154" t="s">
        <v>371</v>
      </c>
      <c r="AG167" s="116" t="s">
        <v>687</v>
      </c>
      <c r="AH167" s="53" t="s">
        <v>368</v>
      </c>
      <c r="AI167" s="53" t="s">
        <v>684</v>
      </c>
      <c r="AJ167" s="53" t="s">
        <v>683</v>
      </c>
      <c r="AK167" s="156">
        <v>8.3000000000000007</v>
      </c>
      <c r="AL167" s="157">
        <v>22</v>
      </c>
      <c r="AM167" s="162">
        <v>6.5500000000000003E-2</v>
      </c>
      <c r="AN167" s="157">
        <v>1682.3</v>
      </c>
      <c r="AO167" s="156">
        <v>0.18</v>
      </c>
      <c r="AP167" s="157">
        <v>444.96</v>
      </c>
      <c r="AQ167" s="157"/>
      <c r="AR167" s="158">
        <f t="shared" si="33"/>
        <v>9.5459119755190917E-6</v>
      </c>
      <c r="AS167" s="144">
        <f t="shared" si="34"/>
        <v>2.530241728450843E-5</v>
      </c>
      <c r="AT167" s="144">
        <f t="shared" si="35"/>
        <v>7.5332196915241029E-8</v>
      </c>
      <c r="AU167" s="144">
        <f t="shared" si="35"/>
        <v>1.9348298453512967E-3</v>
      </c>
      <c r="AV167" s="144">
        <f t="shared" si="35"/>
        <v>2.070197777823417E-7</v>
      </c>
      <c r="AW167" s="158">
        <f t="shared" si="35"/>
        <v>5.1175289067794869E-4</v>
      </c>
      <c r="AX167" s="144"/>
      <c r="AY167" s="178">
        <f t="shared" si="27"/>
        <v>0.36274465506972547</v>
      </c>
      <c r="AZ167" s="144">
        <f t="shared" si="28"/>
        <v>0.96149185681132021</v>
      </c>
      <c r="BA167" s="144">
        <f t="shared" si="29"/>
        <v>2.8626234827791586E-3</v>
      </c>
      <c r="BB167" s="144">
        <f t="shared" si="29"/>
        <v>73.523534123349279</v>
      </c>
      <c r="BC167" s="144">
        <f t="shared" si="29"/>
        <v>7.8667515557289836E-3</v>
      </c>
      <c r="BD167" s="178">
        <f t="shared" si="29"/>
        <v>19.446609845762051</v>
      </c>
      <c r="BE167" s="144"/>
      <c r="BF167" s="160">
        <f t="shared" si="30"/>
        <v>1.7119638536895941E-7</v>
      </c>
      <c r="BG167" s="144">
        <f t="shared" si="31"/>
        <v>1.512578505267914E-8</v>
      </c>
      <c r="BH167" s="144">
        <f t="shared" si="32"/>
        <v>4.5033587315931077E-11</v>
      </c>
      <c r="BI167" s="144">
        <f t="shared" si="32"/>
        <v>1.1566412815510053E-6</v>
      </c>
      <c r="BJ167" s="144">
        <f t="shared" si="32"/>
        <v>1.2375642315828388E-10</v>
      </c>
      <c r="BK167" s="160">
        <f t="shared" si="32"/>
        <v>3.059258780472778E-7</v>
      </c>
      <c r="BL167" s="144"/>
    </row>
    <row r="168" spans="24:64">
      <c r="X168" s="53" t="s">
        <v>152</v>
      </c>
      <c r="Y168" s="53" t="s">
        <v>153</v>
      </c>
      <c r="Z168" s="155" t="s">
        <v>340</v>
      </c>
      <c r="AA168" s="53">
        <v>0.21160000000000001</v>
      </c>
      <c r="AB168" s="53">
        <v>34.72974</v>
      </c>
      <c r="AC168" s="53" t="s">
        <v>351</v>
      </c>
      <c r="AD168" s="53" t="s">
        <v>330</v>
      </c>
      <c r="AE168" s="116" t="s">
        <v>347</v>
      </c>
      <c r="AF168" s="154" t="s">
        <v>371</v>
      </c>
      <c r="AG168" s="116" t="s">
        <v>687</v>
      </c>
      <c r="AH168" s="53" t="s">
        <v>361</v>
      </c>
      <c r="AI168" s="53" t="s">
        <v>685</v>
      </c>
      <c r="AJ168" s="53" t="s">
        <v>690</v>
      </c>
      <c r="AK168" s="156">
        <v>225.5</v>
      </c>
      <c r="AL168" s="157">
        <v>42.6</v>
      </c>
      <c r="AM168" s="162">
        <v>0.31709999999999999</v>
      </c>
      <c r="AN168" s="157">
        <v>263.89999999999998</v>
      </c>
      <c r="AO168" s="156">
        <v>0.185</v>
      </c>
      <c r="AP168" s="157">
        <v>76.84</v>
      </c>
      <c r="AQ168" s="157"/>
      <c r="AR168" s="158">
        <f t="shared" si="33"/>
        <v>2.593497771662114E-4</v>
      </c>
      <c r="AS168" s="144">
        <f t="shared" si="34"/>
        <v>4.899468074182087E-5</v>
      </c>
      <c r="AT168" s="144">
        <f t="shared" si="35"/>
        <v>3.6469984185989195E-7</v>
      </c>
      <c r="AU168" s="144">
        <f t="shared" si="35"/>
        <v>3.0351399642644422E-4</v>
      </c>
      <c r="AV168" s="144">
        <f t="shared" si="35"/>
        <v>2.1277032716518451E-7</v>
      </c>
      <c r="AW168" s="158">
        <f t="shared" si="35"/>
        <v>8.8374442915528531E-5</v>
      </c>
      <c r="AX168" s="144"/>
      <c r="AY168" s="178">
        <f t="shared" si="27"/>
        <v>9.8552915323160342</v>
      </c>
      <c r="AZ168" s="144">
        <f t="shared" si="28"/>
        <v>1.8617978681891931</v>
      </c>
      <c r="BA168" s="144">
        <f t="shared" si="29"/>
        <v>1.3858593990675896E-2</v>
      </c>
      <c r="BB168" s="144">
        <f t="shared" si="29"/>
        <v>11.533531864204882</v>
      </c>
      <c r="BC168" s="144">
        <f t="shared" si="29"/>
        <v>8.085272432277012E-3</v>
      </c>
      <c r="BD168" s="178">
        <f t="shared" si="29"/>
        <v>3.3582288307900847</v>
      </c>
      <c r="BE168" s="144"/>
      <c r="BF168" s="160">
        <f t="shared" si="30"/>
        <v>4.6511789036988359E-6</v>
      </c>
      <c r="BG168" s="144">
        <f t="shared" si="31"/>
        <v>2.9289020147460513E-8</v>
      </c>
      <c r="BH168" s="144">
        <f t="shared" si="32"/>
        <v>2.1801756546384346E-10</v>
      </c>
      <c r="BI168" s="144">
        <f t="shared" si="32"/>
        <v>1.814406670637284E-7</v>
      </c>
      <c r="BJ168" s="144">
        <f t="shared" si="32"/>
        <v>1.2719410157934733E-10</v>
      </c>
      <c r="BK168" s="160">
        <f t="shared" si="32"/>
        <v>5.2830241974902958E-8</v>
      </c>
      <c r="BL168" s="144"/>
    </row>
    <row r="169" spans="24:64">
      <c r="X169" s="53" t="s">
        <v>154</v>
      </c>
      <c r="Y169" s="53" t="s">
        <v>155</v>
      </c>
      <c r="Z169" s="155" t="s">
        <v>340</v>
      </c>
      <c r="AA169" s="53">
        <v>0.20325199999999999</v>
      </c>
      <c r="AB169" s="53">
        <v>34.716146999999999</v>
      </c>
      <c r="AC169" s="53" t="s">
        <v>351</v>
      </c>
      <c r="AD169" s="53" t="s">
        <v>330</v>
      </c>
      <c r="AE169" s="116" t="s">
        <v>347</v>
      </c>
      <c r="AF169" s="154" t="s">
        <v>371</v>
      </c>
      <c r="AG169" s="116" t="s">
        <v>687</v>
      </c>
      <c r="AH169" s="53" t="s">
        <v>367</v>
      </c>
      <c r="AI169" s="53" t="s">
        <v>684</v>
      </c>
      <c r="AJ169" s="53" t="s">
        <v>683</v>
      </c>
      <c r="AK169" s="156">
        <v>24.4</v>
      </c>
      <c r="AL169" s="157">
        <v>17.899999999999999</v>
      </c>
      <c r="AM169" s="162">
        <v>21.142099999999999</v>
      </c>
      <c r="AN169" s="157">
        <v>257.3</v>
      </c>
      <c r="AO169" s="156">
        <v>0.11700000000000001</v>
      </c>
      <c r="AP169" s="157">
        <v>77.98</v>
      </c>
      <c r="AQ169" s="157"/>
      <c r="AR169" s="158">
        <f t="shared" si="33"/>
        <v>2.8062680988272984E-5</v>
      </c>
      <c r="AS169" s="144">
        <f t="shared" si="34"/>
        <v>2.0586966790577308E-5</v>
      </c>
      <c r="AT169" s="144">
        <f t="shared" si="35"/>
        <v>2.4315738021400256E-5</v>
      </c>
      <c r="AU169" s="144">
        <f t="shared" si="35"/>
        <v>2.9592327124109173E-4</v>
      </c>
      <c r="AV169" s="144">
        <f t="shared" si="35"/>
        <v>1.3456285555852211E-7</v>
      </c>
      <c r="AW169" s="158">
        <f t="shared" si="35"/>
        <v>8.968556817481669E-5</v>
      </c>
      <c r="AX169" s="144"/>
      <c r="AY169" s="178">
        <f t="shared" ref="AY169:AY200" si="36">(AK169*7.6*350*6)/(15*66.7*365)</f>
        <v>1.0663818775543734</v>
      </c>
      <c r="AZ169" s="144">
        <f t="shared" ref="AZ169:AZ200" si="37">(AL169*7.6*350*6)/(15*66.7*365)</f>
        <v>0.7823047380419379</v>
      </c>
      <c r="BA169" s="144">
        <f t="shared" ref="BA169:BD200" si="38">(AM169*7.6*350*6)/(15*66.7*365)</f>
        <v>0.9239980448132098</v>
      </c>
      <c r="BB169" s="144">
        <f t="shared" si="38"/>
        <v>11.245084307161488</v>
      </c>
      <c r="BC169" s="144">
        <f t="shared" si="38"/>
        <v>5.1133885112238393E-3</v>
      </c>
      <c r="BD169" s="178">
        <f t="shared" si="38"/>
        <v>3.4080515906430349</v>
      </c>
      <c r="BE169" s="144"/>
      <c r="BF169" s="160">
        <f t="shared" ref="BF169:BF200" si="39">(AK169*2800*0.61*0.07*0.03*350*6*0.000001)/(15*66.7*365)</f>
        <v>5.032761208436878E-7</v>
      </c>
      <c r="BG169" s="144">
        <f t="shared" ref="BG169:BG200" si="40">(AL169*2800*0.61*0.07*0.001*350*6*0.000001)/(15*66.7*365)</f>
        <v>1.2306888747407115E-8</v>
      </c>
      <c r="BH169" s="144">
        <f t="shared" ref="BH169:BK200" si="41">(AM169*2800*0.61*0.07*0.001*350*6*0.000001)/(15*66.7*365)</f>
        <v>1.4535948189193077E-8</v>
      </c>
      <c r="BI169" s="144">
        <f t="shared" si="41"/>
        <v>1.7690293154792467E-7</v>
      </c>
      <c r="BJ169" s="144">
        <f t="shared" si="41"/>
        <v>8.0441675052884539E-11</v>
      </c>
      <c r="BK169" s="160">
        <f t="shared" si="41"/>
        <v>5.361403265490543E-8</v>
      </c>
      <c r="BL169" s="144"/>
    </row>
    <row r="170" spans="24:64">
      <c r="X170" s="53" t="s">
        <v>156</v>
      </c>
      <c r="Y170" s="53" t="s">
        <v>157</v>
      </c>
      <c r="Z170" s="155" t="s">
        <v>340</v>
      </c>
      <c r="AA170" s="53">
        <v>0.20340800000000001</v>
      </c>
      <c r="AB170" s="53">
        <v>34.71658</v>
      </c>
      <c r="AC170" s="53" t="s">
        <v>351</v>
      </c>
      <c r="AD170" s="53" t="s">
        <v>330</v>
      </c>
      <c r="AE170" s="116" t="s">
        <v>347</v>
      </c>
      <c r="AF170" s="154" t="s">
        <v>371</v>
      </c>
      <c r="AG170" s="116" t="s">
        <v>687</v>
      </c>
      <c r="AH170" s="53" t="s">
        <v>366</v>
      </c>
      <c r="AI170" s="53" t="s">
        <v>684</v>
      </c>
      <c r="AJ170" s="53" t="s">
        <v>683</v>
      </c>
      <c r="AK170" s="156">
        <v>19.8</v>
      </c>
      <c r="AL170" s="157">
        <v>21.6</v>
      </c>
      <c r="AM170" s="162">
        <v>5.1158999999999999</v>
      </c>
      <c r="AN170" s="157">
        <v>264.2</v>
      </c>
      <c r="AO170" s="156">
        <v>0.17</v>
      </c>
      <c r="AP170" s="157">
        <v>65.59</v>
      </c>
      <c r="AQ170" s="157"/>
      <c r="AR170" s="158">
        <f t="shared" ref="AR170:AR201" si="42">(AK170*200*350*6*0.000001)/(15*66.7*365)</f>
        <v>2.2772175556057584E-5</v>
      </c>
      <c r="AS170" s="144">
        <f t="shared" ref="AS170:AS201" si="43">(AL170*200*350*6*0.000001)/(15*66.7*365)</f>
        <v>2.4842373333881002E-5</v>
      </c>
      <c r="AT170" s="144">
        <f t="shared" ref="AT170:AW201" si="44">(AM170*200*350*6*0.000001)/(15*66.7*365)</f>
        <v>5.8838471175371214E-6</v>
      </c>
      <c r="AU170" s="144">
        <f t="shared" si="44"/>
        <v>3.0385902938941486E-4</v>
      </c>
      <c r="AV170" s="144">
        <f t="shared" si="44"/>
        <v>1.9551867901665602E-7</v>
      </c>
      <c r="AW170" s="158">
        <f t="shared" si="44"/>
        <v>7.5435706804132175E-5</v>
      </c>
      <c r="AX170" s="144"/>
      <c r="AY170" s="178">
        <f t="shared" si="36"/>
        <v>0.86534267113018837</v>
      </c>
      <c r="AZ170" s="144">
        <f t="shared" si="37"/>
        <v>0.94401018668747816</v>
      </c>
      <c r="BA170" s="144">
        <f t="shared" si="38"/>
        <v>0.22358619046641062</v>
      </c>
      <c r="BB170" s="144">
        <f t="shared" si="38"/>
        <v>11.546643116797766</v>
      </c>
      <c r="BC170" s="144">
        <f t="shared" si="38"/>
        <v>7.4297098026329294E-3</v>
      </c>
      <c r="BD170" s="178">
        <f t="shared" si="38"/>
        <v>2.8665568585570225</v>
      </c>
      <c r="BE170" s="144"/>
      <c r="BF170" s="160">
        <f t="shared" si="39"/>
        <v>4.0839619642233676E-7</v>
      </c>
      <c r="BG170" s="144">
        <f t="shared" si="40"/>
        <v>1.4850770778994066E-8</v>
      </c>
      <c r="BH170" s="144">
        <f t="shared" si="41"/>
        <v>3.5173638068636919E-9</v>
      </c>
      <c r="BI170" s="144">
        <f t="shared" si="41"/>
        <v>1.8164692776899221E-7</v>
      </c>
      <c r="BJ170" s="144">
        <f t="shared" si="41"/>
        <v>1.1688106631615698E-10</v>
      </c>
      <c r="BK170" s="160">
        <f t="shared" si="41"/>
        <v>4.5095465527510216E-8</v>
      </c>
      <c r="BL170" s="144"/>
    </row>
    <row r="171" spans="24:64">
      <c r="X171" s="53" t="s">
        <v>158</v>
      </c>
      <c r="Y171" s="53" t="s">
        <v>159</v>
      </c>
      <c r="Z171" s="155" t="s">
        <v>340</v>
      </c>
      <c r="AA171" s="53">
        <v>0.20325199999999999</v>
      </c>
      <c r="AB171" s="53">
        <v>34.716146999999999</v>
      </c>
      <c r="AC171" s="53" t="s">
        <v>351</v>
      </c>
      <c r="AD171" s="53" t="s">
        <v>330</v>
      </c>
      <c r="AE171" s="116" t="s">
        <v>347</v>
      </c>
      <c r="AF171" s="154" t="s">
        <v>371</v>
      </c>
      <c r="AG171" s="116" t="s">
        <v>687</v>
      </c>
      <c r="AH171" s="53" t="s">
        <v>364</v>
      </c>
      <c r="AI171" s="53" t="s">
        <v>685</v>
      </c>
      <c r="AJ171" s="53" t="s">
        <v>690</v>
      </c>
      <c r="AK171" s="156">
        <v>27.1</v>
      </c>
      <c r="AL171" s="157">
        <v>9.6</v>
      </c>
      <c r="AM171" s="162">
        <v>10.0997</v>
      </c>
      <c r="AN171" s="157">
        <v>237.3</v>
      </c>
      <c r="AO171" s="156">
        <v>0.121</v>
      </c>
      <c r="AP171" s="157">
        <v>112.46</v>
      </c>
      <c r="AQ171" s="157"/>
      <c r="AR171" s="158">
        <f t="shared" si="42"/>
        <v>3.1167977655008112E-5</v>
      </c>
      <c r="AS171" s="144">
        <f t="shared" si="43"/>
        <v>1.1041054815058225E-5</v>
      </c>
      <c r="AT171" s="144">
        <f t="shared" si="44"/>
        <v>1.1615764720379537E-5</v>
      </c>
      <c r="AU171" s="144">
        <f t="shared" si="44"/>
        <v>2.7292107370972048E-4</v>
      </c>
      <c r="AV171" s="144">
        <f t="shared" si="44"/>
        <v>1.3916329506479635E-7</v>
      </c>
      <c r="AW171" s="158">
        <f t="shared" si="44"/>
        <v>1.293413567189008E-4</v>
      </c>
      <c r="AX171" s="144"/>
      <c r="AY171" s="178">
        <f t="shared" si="36"/>
        <v>1.1843831508903082</v>
      </c>
      <c r="AZ171" s="144">
        <f t="shared" si="37"/>
        <v>0.41956008297221242</v>
      </c>
      <c r="BA171" s="144">
        <f t="shared" si="38"/>
        <v>0.44139905937442236</v>
      </c>
      <c r="BB171" s="144">
        <f t="shared" si="38"/>
        <v>10.371000800969378</v>
      </c>
      <c r="BC171" s="144">
        <f t="shared" si="38"/>
        <v>5.288205212462262E-3</v>
      </c>
      <c r="BD171" s="178">
        <f t="shared" si="38"/>
        <v>4.9149715553182309</v>
      </c>
      <c r="BE171" s="144"/>
      <c r="BF171" s="160">
        <f t="shared" si="39"/>
        <v>5.5896651126491551E-7</v>
      </c>
      <c r="BG171" s="144">
        <f t="shared" si="40"/>
        <v>6.600342568441806E-9</v>
      </c>
      <c r="BH171" s="144">
        <f t="shared" si="41"/>
        <v>6.943904149842887E-9</v>
      </c>
      <c r="BI171" s="144">
        <f t="shared" si="41"/>
        <v>1.6315221786367089E-7</v>
      </c>
      <c r="BJ171" s="144">
        <f t="shared" si="41"/>
        <v>8.3191817789735278E-11</v>
      </c>
      <c r="BK171" s="160">
        <f t="shared" si="41"/>
        <v>7.7320263046558908E-8</v>
      </c>
      <c r="BL171" s="144"/>
    </row>
    <row r="172" spans="24:64">
      <c r="X172" s="53" t="s">
        <v>161</v>
      </c>
      <c r="Y172" s="53" t="s">
        <v>162</v>
      </c>
      <c r="Z172" s="155" t="s">
        <v>343</v>
      </c>
      <c r="AA172" s="53">
        <v>0.18987899999999999</v>
      </c>
      <c r="AB172" s="53">
        <v>34.735692999999998</v>
      </c>
      <c r="AC172" s="53" t="s">
        <v>352</v>
      </c>
      <c r="AD172" s="53" t="s">
        <v>330</v>
      </c>
      <c r="AE172" s="116" t="s">
        <v>347</v>
      </c>
      <c r="AF172" s="154" t="s">
        <v>371</v>
      </c>
      <c r="AG172" s="116" t="s">
        <v>687</v>
      </c>
      <c r="AH172" s="53" t="s">
        <v>364</v>
      </c>
      <c r="AI172" s="53" t="s">
        <v>685</v>
      </c>
      <c r="AJ172" s="53" t="s">
        <v>690</v>
      </c>
      <c r="AK172" s="156">
        <v>23.4</v>
      </c>
      <c r="AL172" s="157">
        <v>40.200000000000003</v>
      </c>
      <c r="AM172" s="162">
        <v>4.7550999999999997</v>
      </c>
      <c r="AN172" s="157">
        <v>152.9</v>
      </c>
      <c r="AO172" s="156">
        <v>0.28599999999999998</v>
      </c>
      <c r="AP172" s="157">
        <v>58.27</v>
      </c>
      <c r="AQ172" s="157"/>
      <c r="AR172" s="158">
        <f t="shared" si="42"/>
        <v>2.6912571111704419E-5</v>
      </c>
      <c r="AS172" s="144">
        <f t="shared" si="43"/>
        <v>4.6234417038056322E-5</v>
      </c>
      <c r="AT172" s="144">
        <f t="shared" si="44"/>
        <v>5.4688874740711833E-6</v>
      </c>
      <c r="AU172" s="144">
        <f t="shared" si="44"/>
        <v>1.7585180012733359E-4</v>
      </c>
      <c r="AV172" s="144">
        <f t="shared" si="44"/>
        <v>3.2893142469860959E-7</v>
      </c>
      <c r="AW172" s="158">
        <f t="shared" si="44"/>
        <v>6.7016902507650275E-5</v>
      </c>
      <c r="AX172" s="144"/>
      <c r="AY172" s="178">
        <f t="shared" si="36"/>
        <v>1.0226777022447679</v>
      </c>
      <c r="AZ172" s="144">
        <f t="shared" si="37"/>
        <v>1.7569078474461399</v>
      </c>
      <c r="BA172" s="144">
        <f t="shared" si="38"/>
        <v>0.20781772401470497</v>
      </c>
      <c r="BB172" s="144">
        <f t="shared" si="38"/>
        <v>6.6823684048386767</v>
      </c>
      <c r="BC172" s="144">
        <f t="shared" si="38"/>
        <v>1.2499394138547164E-2</v>
      </c>
      <c r="BD172" s="178">
        <f t="shared" si="38"/>
        <v>2.5466422952907108</v>
      </c>
      <c r="BE172" s="144"/>
      <c r="BF172" s="160">
        <f t="shared" si="39"/>
        <v>4.8265005031730714E-7</v>
      </c>
      <c r="BG172" s="144">
        <f t="shared" si="40"/>
        <v>2.7638934505350073E-8</v>
      </c>
      <c r="BH172" s="144">
        <f t="shared" si="41"/>
        <v>3.2693009319997535E-9</v>
      </c>
      <c r="BI172" s="144">
        <f t="shared" si="41"/>
        <v>1.0512420611612004E-7</v>
      </c>
      <c r="BJ172" s="144">
        <f t="shared" si="41"/>
        <v>1.9663520568482875E-10</v>
      </c>
      <c r="BK172" s="160">
        <f t="shared" si="41"/>
        <v>4.0062704319073345E-8</v>
      </c>
      <c r="BL172" s="144"/>
    </row>
    <row r="173" spans="24:64">
      <c r="X173" s="53" t="s">
        <v>163</v>
      </c>
      <c r="Y173" s="39" t="s">
        <v>164</v>
      </c>
      <c r="Z173" s="155" t="s">
        <v>343</v>
      </c>
      <c r="AA173" s="53">
        <v>0.18987899999999999</v>
      </c>
      <c r="AB173" s="53">
        <v>34.735692999999998</v>
      </c>
      <c r="AC173" s="53" t="s">
        <v>352</v>
      </c>
      <c r="AD173" s="53" t="s">
        <v>330</v>
      </c>
      <c r="AE173" s="116" t="s">
        <v>347</v>
      </c>
      <c r="AF173" s="154" t="s">
        <v>371</v>
      </c>
      <c r="AG173" s="116" t="s">
        <v>687</v>
      </c>
      <c r="AH173" s="53" t="s">
        <v>366</v>
      </c>
      <c r="AI173" s="53" t="s">
        <v>684</v>
      </c>
      <c r="AJ173" s="53" t="s">
        <v>683</v>
      </c>
      <c r="AK173" s="156">
        <v>43.3</v>
      </c>
      <c r="AL173" s="157">
        <v>30.5</v>
      </c>
      <c r="AM173" s="162">
        <v>1.1142999999999998</v>
      </c>
      <c r="AN173" s="157">
        <v>195.3</v>
      </c>
      <c r="AO173" s="156">
        <v>0.27700000000000002</v>
      </c>
      <c r="AP173" s="157">
        <v>62.01</v>
      </c>
      <c r="AQ173" s="157"/>
      <c r="AR173" s="158">
        <f t="shared" si="42"/>
        <v>4.9799757655418868E-5</v>
      </c>
      <c r="AS173" s="144">
        <f t="shared" si="43"/>
        <v>3.5078351235341232E-5</v>
      </c>
      <c r="AT173" s="144">
        <f t="shared" si="44"/>
        <v>1.2815674354603517E-6</v>
      </c>
      <c r="AU173" s="144">
        <f t="shared" si="44"/>
        <v>2.2461645889384075E-4</v>
      </c>
      <c r="AV173" s="144">
        <f t="shared" si="44"/>
        <v>3.1858043580949258E-7</v>
      </c>
      <c r="AW173" s="158">
        <f t="shared" si="44"/>
        <v>7.1318313446016711E-5</v>
      </c>
      <c r="AX173" s="144"/>
      <c r="AY173" s="178">
        <f t="shared" si="36"/>
        <v>1.892390790905917</v>
      </c>
      <c r="AZ173" s="144">
        <f t="shared" si="37"/>
        <v>1.3329773469429669</v>
      </c>
      <c r="BA173" s="144">
        <f t="shared" si="38"/>
        <v>4.8699562547493365E-2</v>
      </c>
      <c r="BB173" s="144">
        <f t="shared" si="38"/>
        <v>8.535425437965948</v>
      </c>
      <c r="BC173" s="144">
        <f t="shared" si="38"/>
        <v>1.2106056560760716E-2</v>
      </c>
      <c r="BD173" s="178">
        <f t="shared" si="38"/>
        <v>2.7100959109486347</v>
      </c>
      <c r="BE173" s="144"/>
      <c r="BF173" s="160">
        <f t="shared" si="39"/>
        <v>8.9310885379228191E-7</v>
      </c>
      <c r="BG173" s="144">
        <f t="shared" si="40"/>
        <v>2.0969838368486993E-8</v>
      </c>
      <c r="BH173" s="144">
        <f t="shared" si="41"/>
        <v>7.6612101291819837E-10</v>
      </c>
      <c r="BI173" s="144">
        <f t="shared" si="41"/>
        <v>1.3427571912673801E-7</v>
      </c>
      <c r="BJ173" s="144">
        <f t="shared" si="41"/>
        <v>1.9044738452691466E-10</v>
      </c>
      <c r="BK173" s="160">
        <f t="shared" si="41"/>
        <v>4.26340877780288E-8</v>
      </c>
      <c r="BL173" s="144"/>
    </row>
    <row r="174" spans="24:64">
      <c r="X174" s="53" t="s">
        <v>165</v>
      </c>
      <c r="Y174" s="39" t="s">
        <v>166</v>
      </c>
      <c r="Z174" s="155" t="s">
        <v>343</v>
      </c>
      <c r="AA174" s="53">
        <v>0.18987899999999999</v>
      </c>
      <c r="AB174" s="53">
        <v>34.735692999999998</v>
      </c>
      <c r="AC174" s="53" t="s">
        <v>352</v>
      </c>
      <c r="AD174" s="53" t="s">
        <v>330</v>
      </c>
      <c r="AE174" s="116" t="s">
        <v>347</v>
      </c>
      <c r="AF174" s="154" t="s">
        <v>371</v>
      </c>
      <c r="AG174" s="116" t="s">
        <v>687</v>
      </c>
      <c r="AH174" s="53" t="s">
        <v>367</v>
      </c>
      <c r="AI174" s="53" t="s">
        <v>684</v>
      </c>
      <c r="AJ174" s="53" t="s">
        <v>683</v>
      </c>
      <c r="AK174" s="156">
        <v>23.8</v>
      </c>
      <c r="AL174" s="157">
        <v>27.9</v>
      </c>
      <c r="AM174" s="162">
        <v>0.27560000000000001</v>
      </c>
      <c r="AN174" s="157">
        <v>196.5</v>
      </c>
      <c r="AO174" s="156">
        <v>0.32900000000000001</v>
      </c>
      <c r="AP174" s="157">
        <v>62.32</v>
      </c>
      <c r="AQ174" s="157"/>
      <c r="AR174" s="158">
        <f t="shared" si="42"/>
        <v>2.7372615062331844E-5</v>
      </c>
      <c r="AS174" s="144">
        <f t="shared" si="43"/>
        <v>3.2088065556262962E-5</v>
      </c>
      <c r="AT174" s="144">
        <f t="shared" si="44"/>
        <v>3.1697028198229651E-7</v>
      </c>
      <c r="AU174" s="144">
        <f t="shared" si="44"/>
        <v>2.2599659074572302E-4</v>
      </c>
      <c r="AV174" s="144">
        <f t="shared" si="44"/>
        <v>3.783861493910579E-7</v>
      </c>
      <c r="AW174" s="158">
        <f t="shared" si="44"/>
        <v>7.1674847507752974E-5</v>
      </c>
      <c r="AX174" s="144"/>
      <c r="AY174" s="178">
        <f t="shared" si="36"/>
        <v>1.0401593723686102</v>
      </c>
      <c r="AZ174" s="144">
        <f t="shared" si="37"/>
        <v>1.2193464911379925</v>
      </c>
      <c r="BA174" s="144">
        <f t="shared" si="38"/>
        <v>1.2044870715327267E-2</v>
      </c>
      <c r="BB174" s="144">
        <f t="shared" si="38"/>
        <v>8.5878704483374744</v>
      </c>
      <c r="BC174" s="144">
        <f t="shared" si="38"/>
        <v>1.43786736768602E-2</v>
      </c>
      <c r="BD174" s="178">
        <f t="shared" si="38"/>
        <v>2.723644205294613</v>
      </c>
      <c r="BE174" s="144"/>
      <c r="BF174" s="160">
        <f t="shared" si="39"/>
        <v>4.9090047852785936E-7</v>
      </c>
      <c r="BG174" s="144">
        <f t="shared" si="40"/>
        <v>1.9182245589534E-8</v>
      </c>
      <c r="BH174" s="144">
        <f t="shared" si="41"/>
        <v>1.8948483456901691E-10</v>
      </c>
      <c r="BI174" s="144">
        <f t="shared" si="41"/>
        <v>1.3510076194779325E-7</v>
      </c>
      <c r="BJ174" s="144">
        <f t="shared" si="41"/>
        <v>2.261992401059744E-10</v>
      </c>
      <c r="BK174" s="160">
        <f t="shared" si="41"/>
        <v>4.2847223840134719E-8</v>
      </c>
      <c r="BL174" s="144"/>
    </row>
    <row r="175" spans="24:64">
      <c r="X175" s="53" t="s">
        <v>167</v>
      </c>
      <c r="Y175" s="39" t="s">
        <v>168</v>
      </c>
      <c r="Z175" s="155" t="s">
        <v>343</v>
      </c>
      <c r="AA175" s="53">
        <v>0.187274</v>
      </c>
      <c r="AB175" s="53">
        <v>34.735595000000004</v>
      </c>
      <c r="AC175" s="53" t="s">
        <v>353</v>
      </c>
      <c r="AD175" s="53" t="s">
        <v>330</v>
      </c>
      <c r="AE175" s="116" t="s">
        <v>347</v>
      </c>
      <c r="AF175" s="154" t="s">
        <v>371</v>
      </c>
      <c r="AG175" s="116" t="s">
        <v>687</v>
      </c>
      <c r="AH175" s="53" t="s">
        <v>361</v>
      </c>
      <c r="AI175" s="53" t="s">
        <v>685</v>
      </c>
      <c r="AJ175" s="53" t="s">
        <v>690</v>
      </c>
      <c r="AK175" s="156">
        <v>216.6</v>
      </c>
      <c r="AL175" s="157">
        <v>31.9</v>
      </c>
      <c r="AM175" s="162">
        <v>4.4250999999999996</v>
      </c>
      <c r="AN175" s="157">
        <v>224</v>
      </c>
      <c r="AO175" s="156">
        <v>0.29299999999999998</v>
      </c>
      <c r="AP175" s="157">
        <v>71.64</v>
      </c>
      <c r="AQ175" s="157"/>
      <c r="AR175" s="158">
        <f t="shared" si="42"/>
        <v>2.491137992647512E-4</v>
      </c>
      <c r="AS175" s="144">
        <f t="shared" si="43"/>
        <v>3.6688505062537222E-5</v>
      </c>
      <c r="AT175" s="144">
        <f t="shared" si="44"/>
        <v>5.0893512148035558E-6</v>
      </c>
      <c r="AU175" s="144">
        <f t="shared" si="44"/>
        <v>2.5762461235135856E-4</v>
      </c>
      <c r="AV175" s="144">
        <f t="shared" si="44"/>
        <v>3.3698219383458946E-7</v>
      </c>
      <c r="AW175" s="158">
        <f t="shared" si="44"/>
        <v>8.2393871557371991E-5</v>
      </c>
      <c r="AX175" s="144"/>
      <c r="AY175" s="178">
        <f t="shared" si="36"/>
        <v>9.4663243720605443</v>
      </c>
      <c r="AZ175" s="144">
        <f t="shared" si="37"/>
        <v>1.3941631923764142</v>
      </c>
      <c r="BA175" s="144">
        <f t="shared" si="38"/>
        <v>0.19339534616253515</v>
      </c>
      <c r="BB175" s="144">
        <f t="shared" si="38"/>
        <v>9.7897352693516257</v>
      </c>
      <c r="BC175" s="144">
        <f t="shared" si="38"/>
        <v>1.2805323365714402E-2</v>
      </c>
      <c r="BD175" s="178">
        <f t="shared" si="38"/>
        <v>3.1309671191801356</v>
      </c>
      <c r="BE175" s="144"/>
      <c r="BF175" s="160">
        <f t="shared" si="39"/>
        <v>4.4676068760140474E-6</v>
      </c>
      <c r="BG175" s="144">
        <f t="shared" si="40"/>
        <v>2.1932388326384753E-8</v>
      </c>
      <c r="BH175" s="144">
        <f t="shared" si="41"/>
        <v>3.0424141562095668E-9</v>
      </c>
      <c r="BI175" s="144">
        <f t="shared" si="41"/>
        <v>1.5400799326364214E-7</v>
      </c>
      <c r="BJ175" s="144">
        <f t="shared" si="41"/>
        <v>2.0144795547431764E-10</v>
      </c>
      <c r="BK175" s="160">
        <f t="shared" si="41"/>
        <v>4.9255056416996985E-8</v>
      </c>
      <c r="BL175" s="144"/>
    </row>
    <row r="176" spans="24:64">
      <c r="X176" s="53" t="s">
        <v>169</v>
      </c>
      <c r="Y176" s="39" t="s">
        <v>170</v>
      </c>
      <c r="Z176" s="155" t="s">
        <v>343</v>
      </c>
      <c r="AA176" s="53">
        <v>0.18729499999999999</v>
      </c>
      <c r="AB176" s="53">
        <v>34.736308999999999</v>
      </c>
      <c r="AC176" s="53" t="s">
        <v>353</v>
      </c>
      <c r="AD176" s="53" t="s">
        <v>330</v>
      </c>
      <c r="AE176" s="116" t="s">
        <v>347</v>
      </c>
      <c r="AF176" s="154" t="s">
        <v>371</v>
      </c>
      <c r="AG176" s="116" t="s">
        <v>687</v>
      </c>
      <c r="AH176" s="53" t="s">
        <v>366</v>
      </c>
      <c r="AI176" s="53" t="s">
        <v>684</v>
      </c>
      <c r="AJ176" s="53" t="s">
        <v>683</v>
      </c>
      <c r="AK176" s="156">
        <v>49.2</v>
      </c>
      <c r="AL176" s="157">
        <v>24.9</v>
      </c>
      <c r="AM176" s="162">
        <v>0.35620000000000002</v>
      </c>
      <c r="AN176" s="157">
        <v>189</v>
      </c>
      <c r="AO176" s="156">
        <v>0.24</v>
      </c>
      <c r="AP176" s="157">
        <v>65.5</v>
      </c>
      <c r="AQ176" s="157"/>
      <c r="AR176" s="158">
        <f t="shared" si="42"/>
        <v>5.6585405927173393E-5</v>
      </c>
      <c r="AS176" s="144">
        <f t="shared" si="43"/>
        <v>2.863773592655727E-5</v>
      </c>
      <c r="AT176" s="144">
        <f t="shared" si="44"/>
        <v>4.0966913803372291E-7</v>
      </c>
      <c r="AU176" s="144">
        <f t="shared" si="44"/>
        <v>2.1737076667145878E-4</v>
      </c>
      <c r="AV176" s="144">
        <f t="shared" si="44"/>
        <v>2.7602637037645562E-7</v>
      </c>
      <c r="AW176" s="158">
        <f t="shared" si="44"/>
        <v>7.5332196915241006E-5</v>
      </c>
      <c r="AX176" s="144"/>
      <c r="AY176" s="178">
        <f t="shared" si="36"/>
        <v>2.1502454252325891</v>
      </c>
      <c r="AZ176" s="144">
        <f t="shared" si="37"/>
        <v>1.0882339652091761</v>
      </c>
      <c r="BA176" s="144">
        <f t="shared" si="38"/>
        <v>1.5567427245281469E-2</v>
      </c>
      <c r="BB176" s="144">
        <f t="shared" si="38"/>
        <v>8.2600891335154323</v>
      </c>
      <c r="BC176" s="144">
        <f t="shared" si="38"/>
        <v>1.0489002074305313E-2</v>
      </c>
      <c r="BD176" s="178">
        <f t="shared" si="38"/>
        <v>2.8626234827791577</v>
      </c>
      <c r="BE176" s="144"/>
      <c r="BF176" s="160">
        <f t="shared" si="39"/>
        <v>1.0148026698979274E-6</v>
      </c>
      <c r="BG176" s="144">
        <f t="shared" si="40"/>
        <v>1.7119638536895931E-8</v>
      </c>
      <c r="BH176" s="144">
        <f t="shared" si="41"/>
        <v>2.4490021071655953E-10</v>
      </c>
      <c r="BI176" s="144">
        <f t="shared" si="41"/>
        <v>1.2994424431619809E-7</v>
      </c>
      <c r="BJ176" s="144">
        <f t="shared" si="41"/>
        <v>1.6500856421104519E-10</v>
      </c>
      <c r="BK176" s="160">
        <f t="shared" si="41"/>
        <v>4.5033587315931082E-8</v>
      </c>
      <c r="BL176" s="144"/>
    </row>
    <row r="177" spans="24:64">
      <c r="X177" s="53" t="s">
        <v>171</v>
      </c>
      <c r="Y177" s="39" t="s">
        <v>172</v>
      </c>
      <c r="Z177" s="155" t="s">
        <v>343</v>
      </c>
      <c r="AA177" s="53">
        <v>0.187274</v>
      </c>
      <c r="AB177" s="53">
        <v>34.735595000000004</v>
      </c>
      <c r="AC177" s="53" t="s">
        <v>353</v>
      </c>
      <c r="AD177" s="53" t="s">
        <v>330</v>
      </c>
      <c r="AE177" s="116" t="s">
        <v>347</v>
      </c>
      <c r="AF177" s="154" t="s">
        <v>371</v>
      </c>
      <c r="AG177" s="116" t="s">
        <v>687</v>
      </c>
      <c r="AH177" s="53" t="s">
        <v>364</v>
      </c>
      <c r="AI177" s="53" t="s">
        <v>685</v>
      </c>
      <c r="AJ177" s="53" t="s">
        <v>690</v>
      </c>
      <c r="AK177" s="156">
        <v>74</v>
      </c>
      <c r="AL177" s="157">
        <v>40.200000000000003</v>
      </c>
      <c r="AM177" s="162">
        <v>0.30880000000000002</v>
      </c>
      <c r="AN177" s="157">
        <v>169.1</v>
      </c>
      <c r="AO177" s="156">
        <v>0.253</v>
      </c>
      <c r="AP177" s="157">
        <v>119.61</v>
      </c>
      <c r="AQ177" s="157"/>
      <c r="AR177" s="158">
        <f t="shared" si="42"/>
        <v>8.5108130866073809E-5</v>
      </c>
      <c r="AS177" s="144">
        <f t="shared" si="43"/>
        <v>4.6234417038056322E-5</v>
      </c>
      <c r="AT177" s="144">
        <f t="shared" si="44"/>
        <v>3.5515392988437287E-7</v>
      </c>
      <c r="AU177" s="144">
        <f t="shared" si="44"/>
        <v>1.9448358012774433E-4</v>
      </c>
      <c r="AV177" s="144">
        <f t="shared" si="44"/>
        <v>2.9097779877184695E-7</v>
      </c>
      <c r="AW177" s="158">
        <f t="shared" si="44"/>
        <v>1.3756464233636605E-4</v>
      </c>
      <c r="AX177" s="144"/>
      <c r="AY177" s="178">
        <f t="shared" si="36"/>
        <v>3.2341089729108048</v>
      </c>
      <c r="AZ177" s="144">
        <f t="shared" si="37"/>
        <v>1.7569078474461399</v>
      </c>
      <c r="BA177" s="144">
        <f t="shared" si="38"/>
        <v>1.349584933560617E-2</v>
      </c>
      <c r="BB177" s="144">
        <f t="shared" si="38"/>
        <v>7.3903760448542837</v>
      </c>
      <c r="BC177" s="144">
        <f t="shared" si="38"/>
        <v>1.1057156353330181E-2</v>
      </c>
      <c r="BD177" s="178">
        <f t="shared" si="38"/>
        <v>5.2274564087819098</v>
      </c>
      <c r="BE177" s="144"/>
      <c r="BF177" s="160">
        <f t="shared" si="39"/>
        <v>1.526329218952168E-6</v>
      </c>
      <c r="BG177" s="144">
        <f t="shared" si="40"/>
        <v>2.7638934505350073E-8</v>
      </c>
      <c r="BH177" s="144">
        <f t="shared" si="41"/>
        <v>2.1231101928487812E-10</v>
      </c>
      <c r="BI177" s="144">
        <f t="shared" si="41"/>
        <v>1.1626228420036557E-7</v>
      </c>
      <c r="BJ177" s="144">
        <f t="shared" si="41"/>
        <v>1.7394652810581009E-10</v>
      </c>
      <c r="BK177" s="160">
        <f t="shared" si="41"/>
        <v>8.2236143188679632E-8</v>
      </c>
      <c r="BL177" s="144"/>
    </row>
    <row r="178" spans="24:64">
      <c r="X178" s="53" t="s">
        <v>173</v>
      </c>
      <c r="Y178" s="39" t="s">
        <v>174</v>
      </c>
      <c r="Z178" s="155" t="s">
        <v>343</v>
      </c>
      <c r="AA178" s="53">
        <v>0.18729000000000001</v>
      </c>
      <c r="AB178" s="53">
        <v>34.736308999999999</v>
      </c>
      <c r="AC178" s="53" t="s">
        <v>353</v>
      </c>
      <c r="AD178" s="53" t="s">
        <v>330</v>
      </c>
      <c r="AE178" s="116" t="s">
        <v>347</v>
      </c>
      <c r="AF178" s="154" t="s">
        <v>371</v>
      </c>
      <c r="AG178" s="116" t="s">
        <v>687</v>
      </c>
      <c r="AH178" s="53" t="s">
        <v>361</v>
      </c>
      <c r="AI178" s="53" t="s">
        <v>685</v>
      </c>
      <c r="AJ178" s="53" t="s">
        <v>690</v>
      </c>
      <c r="AK178" s="156">
        <v>263.2</v>
      </c>
      <c r="AL178" s="157">
        <v>30</v>
      </c>
      <c r="AM178" s="162">
        <v>1.2711999999999999</v>
      </c>
      <c r="AN178" s="157">
        <v>192.9</v>
      </c>
      <c r="AO178" s="156">
        <v>0.22500000000000001</v>
      </c>
      <c r="AP178" s="157">
        <v>60.94</v>
      </c>
      <c r="AQ178" s="157"/>
      <c r="AR178" s="158">
        <f t="shared" si="42"/>
        <v>3.0270891951284629E-4</v>
      </c>
      <c r="AS178" s="144">
        <f t="shared" si="43"/>
        <v>3.4503296297056949E-5</v>
      </c>
      <c r="AT178" s="144">
        <f t="shared" si="44"/>
        <v>1.4620196750939597E-6</v>
      </c>
      <c r="AU178" s="144">
        <f t="shared" si="44"/>
        <v>2.2185619519007619E-4</v>
      </c>
      <c r="AV178" s="144">
        <f t="shared" si="44"/>
        <v>2.5877472222792715E-7</v>
      </c>
      <c r="AW178" s="158">
        <f t="shared" si="44"/>
        <v>7.0087695878088356E-5</v>
      </c>
      <c r="AX178" s="144"/>
      <c r="AY178" s="178">
        <f t="shared" si="36"/>
        <v>11.502938941488157</v>
      </c>
      <c r="AZ178" s="144">
        <f t="shared" si="37"/>
        <v>1.3111252592881641</v>
      </c>
      <c r="BA178" s="144">
        <f t="shared" si="38"/>
        <v>5.5556747653570465E-2</v>
      </c>
      <c r="BB178" s="144">
        <f t="shared" si="38"/>
        <v>8.4305354172228952</v>
      </c>
      <c r="BC178" s="144">
        <f t="shared" si="38"/>
        <v>9.8334394446612308E-3</v>
      </c>
      <c r="BD178" s="178">
        <f t="shared" si="38"/>
        <v>2.6633324433673571</v>
      </c>
      <c r="BE178" s="144"/>
      <c r="BF178" s="160">
        <f t="shared" si="39"/>
        <v>5.4287817625433853E-6</v>
      </c>
      <c r="BG178" s="144">
        <f t="shared" si="40"/>
        <v>2.0626070526380646E-8</v>
      </c>
      <c r="BH178" s="144">
        <f t="shared" si="41"/>
        <v>8.7399536177116904E-10</v>
      </c>
      <c r="BI178" s="144">
        <f t="shared" si="41"/>
        <v>1.3262563348462755E-7</v>
      </c>
      <c r="BJ178" s="144">
        <f t="shared" si="41"/>
        <v>1.5469552894785486E-10</v>
      </c>
      <c r="BK178" s="160">
        <f t="shared" si="41"/>
        <v>4.1898424595921214E-8</v>
      </c>
      <c r="BL178" s="144"/>
    </row>
    <row r="179" spans="24:64">
      <c r="X179" s="53" t="s">
        <v>175</v>
      </c>
      <c r="Y179" s="39" t="s">
        <v>176</v>
      </c>
      <c r="Z179" s="155" t="s">
        <v>343</v>
      </c>
      <c r="AA179" s="53">
        <v>0.187274</v>
      </c>
      <c r="AB179" s="53">
        <v>34.735595000000004</v>
      </c>
      <c r="AC179" s="53" t="s">
        <v>353</v>
      </c>
      <c r="AD179" s="53" t="s">
        <v>330</v>
      </c>
      <c r="AE179" s="116" t="s">
        <v>347</v>
      </c>
      <c r="AF179" s="154" t="s">
        <v>371</v>
      </c>
      <c r="AG179" s="116" t="s">
        <v>687</v>
      </c>
      <c r="AH179" s="53" t="s">
        <v>367</v>
      </c>
      <c r="AI179" s="53" t="s">
        <v>684</v>
      </c>
      <c r="AJ179" s="53" t="s">
        <v>683</v>
      </c>
      <c r="AK179" s="156">
        <v>209.7</v>
      </c>
      <c r="AL179" s="157">
        <v>37.1</v>
      </c>
      <c r="AM179" s="162">
        <v>0.51829999999999998</v>
      </c>
      <c r="AN179" s="157">
        <v>195.9</v>
      </c>
      <c r="AO179" s="156">
        <v>0.25900000000000001</v>
      </c>
      <c r="AP179" s="157">
        <v>66.92</v>
      </c>
      <c r="AQ179" s="157"/>
      <c r="AR179" s="158">
        <f t="shared" si="42"/>
        <v>2.4117804111642809E-4</v>
      </c>
      <c r="AS179" s="144">
        <f t="shared" si="43"/>
        <v>4.2669076420693762E-5</v>
      </c>
      <c r="AT179" s="144">
        <f t="shared" si="44"/>
        <v>5.9610194902548719E-7</v>
      </c>
      <c r="AU179" s="144">
        <f t="shared" si="44"/>
        <v>2.2530652481978186E-4</v>
      </c>
      <c r="AV179" s="144">
        <f t="shared" si="44"/>
        <v>2.9787845803125836E-7</v>
      </c>
      <c r="AW179" s="158">
        <f t="shared" si="44"/>
        <v>7.6965352939968368E-5</v>
      </c>
      <c r="AX179" s="144"/>
      <c r="AY179" s="178">
        <f t="shared" si="36"/>
        <v>9.1647655624242645</v>
      </c>
      <c r="AZ179" s="144">
        <f t="shared" si="37"/>
        <v>1.6214249039863631</v>
      </c>
      <c r="BA179" s="144">
        <f t="shared" si="38"/>
        <v>2.2651874062968515E-2</v>
      </c>
      <c r="BB179" s="144">
        <f t="shared" si="38"/>
        <v>8.5616479431517121</v>
      </c>
      <c r="BC179" s="144">
        <f t="shared" si="38"/>
        <v>1.1319381405187815E-2</v>
      </c>
      <c r="BD179" s="178">
        <f t="shared" si="38"/>
        <v>2.9246834117187981</v>
      </c>
      <c r="BE179" s="144"/>
      <c r="BF179" s="160">
        <f t="shared" si="39"/>
        <v>4.3252869893820212E-6</v>
      </c>
      <c r="BG179" s="144">
        <f t="shared" si="40"/>
        <v>2.5507573884290732E-8</v>
      </c>
      <c r="BH179" s="144">
        <f t="shared" si="41"/>
        <v>3.5634974512743634E-10</v>
      </c>
      <c r="BI179" s="144">
        <f t="shared" si="41"/>
        <v>1.3468824053726566E-7</v>
      </c>
      <c r="BJ179" s="144">
        <f t="shared" si="41"/>
        <v>1.7807174221108623E-10</v>
      </c>
      <c r="BK179" s="160">
        <f t="shared" si="41"/>
        <v>4.6009887987513097E-8</v>
      </c>
      <c r="BL179" s="144"/>
    </row>
    <row r="180" spans="24:64">
      <c r="X180" s="53" t="s">
        <v>177</v>
      </c>
      <c r="Y180" s="39" t="s">
        <v>178</v>
      </c>
      <c r="Z180" s="155" t="s">
        <v>343</v>
      </c>
      <c r="AA180" s="53">
        <v>0.18890100000000001</v>
      </c>
      <c r="AB180" s="53">
        <v>34.740020999999999</v>
      </c>
      <c r="AC180" s="53" t="s">
        <v>354</v>
      </c>
      <c r="AD180" s="53" t="s">
        <v>330</v>
      </c>
      <c r="AE180" s="116" t="s">
        <v>347</v>
      </c>
      <c r="AF180" s="154" t="s">
        <v>371</v>
      </c>
      <c r="AG180" s="116" t="s">
        <v>687</v>
      </c>
      <c r="AH180" s="53" t="s">
        <v>364</v>
      </c>
      <c r="AI180" s="53" t="s">
        <v>685</v>
      </c>
      <c r="AJ180" s="53" t="s">
        <v>690</v>
      </c>
      <c r="AK180" s="156">
        <v>24.7</v>
      </c>
      <c r="AL180" s="157">
        <v>21</v>
      </c>
      <c r="AM180" s="162">
        <v>1.937705</v>
      </c>
      <c r="AN180" s="157">
        <v>278</v>
      </c>
      <c r="AO180" s="156">
        <v>9.7000000000000003E-2</v>
      </c>
      <c r="AP180" s="157">
        <v>138.27000000000001</v>
      </c>
      <c r="AQ180" s="157"/>
      <c r="AR180" s="158">
        <f t="shared" si="42"/>
        <v>2.8407713951243554E-5</v>
      </c>
      <c r="AS180" s="144">
        <f t="shared" si="43"/>
        <v>2.4152307407939868E-5</v>
      </c>
      <c r="AT180" s="144">
        <f t="shared" si="44"/>
        <v>2.2285736583762915E-6</v>
      </c>
      <c r="AU180" s="144">
        <f t="shared" si="44"/>
        <v>3.1973054568606107E-4</v>
      </c>
      <c r="AV180" s="144">
        <f t="shared" si="44"/>
        <v>1.1156065802715083E-7</v>
      </c>
      <c r="AW180" s="158">
        <f t="shared" si="44"/>
        <v>1.5902569263313553E-4</v>
      </c>
      <c r="AX180" s="144"/>
      <c r="AY180" s="178">
        <f t="shared" si="36"/>
        <v>1.0794931301472552</v>
      </c>
      <c r="AZ180" s="144">
        <f t="shared" si="37"/>
        <v>0.91778768150171486</v>
      </c>
      <c r="BA180" s="144">
        <f t="shared" si="38"/>
        <v>8.4685799018299063E-2</v>
      </c>
      <c r="BB180" s="144">
        <f t="shared" si="38"/>
        <v>12.149760736070318</v>
      </c>
      <c r="BC180" s="144">
        <f t="shared" si="38"/>
        <v>4.2393050050317307E-3</v>
      </c>
      <c r="BD180" s="178">
        <f t="shared" si="38"/>
        <v>6.0429763200591493</v>
      </c>
      <c r="BE180" s="144"/>
      <c r="BF180" s="160">
        <f t="shared" si="39"/>
        <v>5.0946394200160186E-7</v>
      </c>
      <c r="BG180" s="144">
        <f t="shared" si="40"/>
        <v>1.4438249368466452E-8</v>
      </c>
      <c r="BH180" s="144">
        <f t="shared" si="41"/>
        <v>1.3322413329773469E-9</v>
      </c>
      <c r="BI180" s="144">
        <f t="shared" si="41"/>
        <v>1.9113492021112727E-7</v>
      </c>
      <c r="BJ180" s="144">
        <f t="shared" si="41"/>
        <v>6.6690961368630762E-11</v>
      </c>
      <c r="BK180" s="160">
        <f t="shared" si="41"/>
        <v>9.5065559056088392E-8</v>
      </c>
      <c r="BL180" s="144"/>
    </row>
    <row r="181" spans="24:64">
      <c r="X181" s="53" t="s">
        <v>179</v>
      </c>
      <c r="Y181" s="39" t="s">
        <v>180</v>
      </c>
      <c r="Z181" s="155" t="s">
        <v>343</v>
      </c>
      <c r="AA181" s="53">
        <v>0.18871499999999999</v>
      </c>
      <c r="AB181" s="53">
        <v>34.740102</v>
      </c>
      <c r="AC181" s="53" t="s">
        <v>354</v>
      </c>
      <c r="AD181" s="53" t="s">
        <v>330</v>
      </c>
      <c r="AE181" s="116" t="s">
        <v>347</v>
      </c>
      <c r="AF181" s="154" t="s">
        <v>371</v>
      </c>
      <c r="AG181" s="116" t="s">
        <v>687</v>
      </c>
      <c r="AH181" s="53" t="s">
        <v>367</v>
      </c>
      <c r="AI181" s="53" t="s">
        <v>684</v>
      </c>
      <c r="AJ181" s="53" t="s">
        <v>683</v>
      </c>
      <c r="AK181" s="156">
        <v>10.6</v>
      </c>
      <c r="AL181" s="157">
        <v>21</v>
      </c>
      <c r="AM181" s="162">
        <v>0.385405</v>
      </c>
      <c r="AN181" s="157">
        <v>471.8</v>
      </c>
      <c r="AO181" s="156">
        <v>0.159</v>
      </c>
      <c r="AP181" s="157">
        <v>136.09</v>
      </c>
      <c r="AQ181" s="157"/>
      <c r="AR181" s="158">
        <f t="shared" si="42"/>
        <v>1.2191164691626788E-5</v>
      </c>
      <c r="AS181" s="144">
        <f t="shared" si="43"/>
        <v>2.4152307407939868E-5</v>
      </c>
      <c r="AT181" s="144">
        <f t="shared" si="44"/>
        <v>4.4325809697890776E-7</v>
      </c>
      <c r="AU181" s="144">
        <f t="shared" si="44"/>
        <v>5.4262183976504892E-4</v>
      </c>
      <c r="AV181" s="144">
        <f t="shared" si="44"/>
        <v>1.8286747037440183E-7</v>
      </c>
      <c r="AW181" s="158">
        <f t="shared" si="44"/>
        <v>1.5651845310221601E-4</v>
      </c>
      <c r="AX181" s="144"/>
      <c r="AY181" s="178">
        <f t="shared" si="36"/>
        <v>0.46326425828181794</v>
      </c>
      <c r="AZ181" s="144">
        <f t="shared" si="37"/>
        <v>0.91778768150171486</v>
      </c>
      <c r="BA181" s="144">
        <f t="shared" si="38"/>
        <v>1.6843807685198494E-2</v>
      </c>
      <c r="BB181" s="144">
        <f t="shared" si="38"/>
        <v>20.619629911071861</v>
      </c>
      <c r="BC181" s="144">
        <f t="shared" si="38"/>
        <v>6.9489638742272694E-3</v>
      </c>
      <c r="BD181" s="178">
        <f t="shared" si="38"/>
        <v>5.9477012178842079</v>
      </c>
      <c r="BE181" s="144"/>
      <c r="BF181" s="160">
        <f t="shared" si="39"/>
        <v>2.1863634757963485E-7</v>
      </c>
      <c r="BG181" s="144">
        <f t="shared" si="40"/>
        <v>1.4438249368466452E-8</v>
      </c>
      <c r="BH181" s="144">
        <f t="shared" si="41"/>
        <v>2.6497969037399112E-10</v>
      </c>
      <c r="BI181" s="144">
        <f t="shared" si="41"/>
        <v>3.2437933581154631E-7</v>
      </c>
      <c r="BJ181" s="144">
        <f t="shared" si="41"/>
        <v>1.0931817378981742E-10</v>
      </c>
      <c r="BK181" s="160">
        <f t="shared" si="41"/>
        <v>9.3566731264504736E-8</v>
      </c>
      <c r="BL181" s="144"/>
    </row>
    <row r="182" spans="24:64">
      <c r="X182" s="53" t="s">
        <v>181</v>
      </c>
      <c r="Y182" s="39" t="s">
        <v>182</v>
      </c>
      <c r="Z182" s="155" t="s">
        <v>343</v>
      </c>
      <c r="AA182" s="53">
        <v>0.18934699999999999</v>
      </c>
      <c r="AB182" s="53">
        <v>34.740495000000003</v>
      </c>
      <c r="AC182" s="53" t="s">
        <v>354</v>
      </c>
      <c r="AD182" s="53" t="s">
        <v>330</v>
      </c>
      <c r="AE182" s="116" t="s">
        <v>347</v>
      </c>
      <c r="AF182" s="154" t="s">
        <v>371</v>
      </c>
      <c r="AG182" s="116" t="s">
        <v>687</v>
      </c>
      <c r="AH182" s="53" t="s">
        <v>361</v>
      </c>
      <c r="AI182" s="53" t="s">
        <v>685</v>
      </c>
      <c r="AJ182" s="53" t="s">
        <v>690</v>
      </c>
      <c r="AK182" s="156">
        <v>102.2</v>
      </c>
      <c r="AL182" s="157">
        <v>28.6</v>
      </c>
      <c r="AM182" s="162">
        <v>0.16346500000000003</v>
      </c>
      <c r="AN182" s="157">
        <v>241.4</v>
      </c>
      <c r="AO182" s="156">
        <v>0.14099999999999999</v>
      </c>
      <c r="AP182" s="157">
        <v>146.26</v>
      </c>
      <c r="AQ182" s="157"/>
      <c r="AR182" s="158">
        <f t="shared" si="42"/>
        <v>1.1754122938530734E-4</v>
      </c>
      <c r="AS182" s="144">
        <f t="shared" si="43"/>
        <v>3.2893142469860953E-5</v>
      </c>
      <c r="AT182" s="144">
        <f t="shared" si="44"/>
        <v>1.8800271097328048E-7</v>
      </c>
      <c r="AU182" s="144">
        <f t="shared" si="44"/>
        <v>2.7763652420365157E-4</v>
      </c>
      <c r="AV182" s="144">
        <f t="shared" si="44"/>
        <v>1.6216549259616763E-7</v>
      </c>
      <c r="AW182" s="158">
        <f t="shared" si="44"/>
        <v>1.6821507054691831E-4</v>
      </c>
      <c r="AX182" s="144"/>
      <c r="AY182" s="178">
        <f t="shared" si="36"/>
        <v>4.4665667166416796</v>
      </c>
      <c r="AZ182" s="144">
        <f t="shared" si="37"/>
        <v>1.2499394138547164</v>
      </c>
      <c r="BA182" s="144">
        <f t="shared" si="38"/>
        <v>7.1441030169846591E-3</v>
      </c>
      <c r="BB182" s="144">
        <f t="shared" si="38"/>
        <v>10.550187919738761</v>
      </c>
      <c r="BC182" s="144">
        <f t="shared" si="38"/>
        <v>6.1622887186543705E-3</v>
      </c>
      <c r="BD182" s="178">
        <f t="shared" si="38"/>
        <v>6.3921726807828954</v>
      </c>
      <c r="BE182" s="144"/>
      <c r="BF182" s="160">
        <f t="shared" si="39"/>
        <v>2.107984407796102E-6</v>
      </c>
      <c r="BG182" s="144">
        <f t="shared" si="40"/>
        <v>1.9663520568482883E-8</v>
      </c>
      <c r="BH182" s="144">
        <f t="shared" si="41"/>
        <v>1.1238802061982709E-10</v>
      </c>
      <c r="BI182" s="144">
        <f t="shared" si="41"/>
        <v>1.6597111416894291E-7</v>
      </c>
      <c r="BJ182" s="144">
        <f t="shared" si="41"/>
        <v>9.6942531473989016E-11</v>
      </c>
      <c r="BK182" s="160">
        <f t="shared" si="41"/>
        <v>1.0055896917294778E-7</v>
      </c>
      <c r="BL182" s="144"/>
    </row>
    <row r="183" spans="24:64">
      <c r="X183" s="53" t="s">
        <v>183</v>
      </c>
      <c r="Y183" s="39" t="s">
        <v>184</v>
      </c>
      <c r="Z183" s="155" t="s">
        <v>343</v>
      </c>
      <c r="AA183" s="53">
        <v>0.19486300000000001</v>
      </c>
      <c r="AB183" s="53">
        <v>34.750653</v>
      </c>
      <c r="AC183" s="53" t="s">
        <v>355</v>
      </c>
      <c r="AD183" s="53" t="s">
        <v>330</v>
      </c>
      <c r="AE183" s="116" t="s">
        <v>347</v>
      </c>
      <c r="AF183" s="154" t="s">
        <v>371</v>
      </c>
      <c r="AG183" s="116" t="s">
        <v>687</v>
      </c>
      <c r="AH183" s="53" t="s">
        <v>366</v>
      </c>
      <c r="AI183" s="53" t="s">
        <v>684</v>
      </c>
      <c r="AJ183" s="53" t="s">
        <v>683</v>
      </c>
      <c r="AK183" s="156">
        <v>190.9</v>
      </c>
      <c r="AL183" s="157">
        <v>50.4</v>
      </c>
      <c r="AM183" s="162">
        <v>6.8764050000000001</v>
      </c>
      <c r="AN183" s="157">
        <v>106.8</v>
      </c>
      <c r="AO183" s="156">
        <v>0.308</v>
      </c>
      <c r="AP183" s="157">
        <v>25.82</v>
      </c>
      <c r="AQ183" s="157"/>
      <c r="AR183" s="158">
        <f t="shared" si="42"/>
        <v>2.1955597543693906E-4</v>
      </c>
      <c r="AS183" s="144">
        <f t="shared" si="43"/>
        <v>5.7965537779055674E-5</v>
      </c>
      <c r="AT183" s="144">
        <f t="shared" si="44"/>
        <v>7.9086213057854618E-6</v>
      </c>
      <c r="AU183" s="144">
        <f t="shared" si="44"/>
        <v>1.2283173481752272E-4</v>
      </c>
      <c r="AV183" s="144">
        <f t="shared" si="44"/>
        <v>3.5423384198311803E-7</v>
      </c>
      <c r="AW183" s="158">
        <f t="shared" si="44"/>
        <v>2.9695837013000349E-5</v>
      </c>
      <c r="AX183" s="144"/>
      <c r="AY183" s="178">
        <f t="shared" si="36"/>
        <v>8.3431270666036852</v>
      </c>
      <c r="AZ183" s="144">
        <f t="shared" si="37"/>
        <v>2.2026904356041159</v>
      </c>
      <c r="BA183" s="144">
        <f t="shared" si="38"/>
        <v>0.30052760961984765</v>
      </c>
      <c r="BB183" s="144">
        <f t="shared" si="38"/>
        <v>4.6676059230658646</v>
      </c>
      <c r="BC183" s="144">
        <f t="shared" si="38"/>
        <v>1.3460885995358485E-2</v>
      </c>
      <c r="BD183" s="178">
        <f t="shared" si="38"/>
        <v>1.1284418064940132</v>
      </c>
      <c r="BE183" s="144"/>
      <c r="BF183" s="160">
        <f t="shared" si="39"/>
        <v>3.9375168634860655E-6</v>
      </c>
      <c r="BG183" s="144">
        <f t="shared" si="40"/>
        <v>3.4651798484319483E-8</v>
      </c>
      <c r="BH183" s="144">
        <f t="shared" si="41"/>
        <v>4.7277738165985504E-9</v>
      </c>
      <c r="BI183" s="144">
        <f t="shared" si="41"/>
        <v>7.3428811073915117E-8</v>
      </c>
      <c r="BJ183" s="144">
        <f t="shared" si="41"/>
        <v>2.1176099073750794E-10</v>
      </c>
      <c r="BK183" s="160">
        <f t="shared" si="41"/>
        <v>1.7752171366371612E-8</v>
      </c>
      <c r="BL183" s="144"/>
    </row>
    <row r="184" spans="24:64">
      <c r="X184" s="53" t="s">
        <v>185</v>
      </c>
      <c r="Y184" s="39" t="s">
        <v>186</v>
      </c>
      <c r="Z184" s="155" t="s">
        <v>343</v>
      </c>
      <c r="AA184" s="53">
        <v>0.19508500000000001</v>
      </c>
      <c r="AB184" s="53">
        <v>34.751396</v>
      </c>
      <c r="AC184" s="53" t="s">
        <v>355</v>
      </c>
      <c r="AD184" s="53" t="s">
        <v>330</v>
      </c>
      <c r="AE184" s="116" t="s">
        <v>347</v>
      </c>
      <c r="AF184" s="154" t="s">
        <v>371</v>
      </c>
      <c r="AG184" s="116" t="s">
        <v>687</v>
      </c>
      <c r="AH184" s="53" t="s">
        <v>367</v>
      </c>
      <c r="AI184" s="53" t="s">
        <v>684</v>
      </c>
      <c r="AJ184" s="53" t="s">
        <v>683</v>
      </c>
      <c r="AK184" s="156">
        <v>103.2</v>
      </c>
      <c r="AL184" s="157">
        <v>38.799999999999997</v>
      </c>
      <c r="AM184" s="162">
        <v>16.768075</v>
      </c>
      <c r="AN184" s="157">
        <v>102.1</v>
      </c>
      <c r="AO184" s="156">
        <v>0.26300000000000001</v>
      </c>
      <c r="AP184" s="157">
        <v>44.34</v>
      </c>
      <c r="AQ184" s="157"/>
      <c r="AR184" s="158">
        <f t="shared" si="42"/>
        <v>1.1869133926187591E-4</v>
      </c>
      <c r="AS184" s="144">
        <f t="shared" si="43"/>
        <v>4.4624263210860312E-5</v>
      </c>
      <c r="AT184" s="144">
        <f t="shared" si="44"/>
        <v>1.928512866854244E-5</v>
      </c>
      <c r="AU184" s="144">
        <f t="shared" si="44"/>
        <v>1.1742621839765048E-4</v>
      </c>
      <c r="AV184" s="144">
        <f t="shared" si="44"/>
        <v>3.0247889753753258E-7</v>
      </c>
      <c r="AW184" s="158">
        <f t="shared" si="44"/>
        <v>5.0995871927050169E-5</v>
      </c>
      <c r="AX184" s="144"/>
      <c r="AY184" s="178">
        <f t="shared" si="36"/>
        <v>4.5102708919512846</v>
      </c>
      <c r="AZ184" s="144">
        <f t="shared" si="37"/>
        <v>1.695722002012692</v>
      </c>
      <c r="BA184" s="144">
        <f t="shared" si="38"/>
        <v>0.73283488940461261</v>
      </c>
      <c r="BB184" s="144">
        <f t="shared" si="38"/>
        <v>4.4621962991107189</v>
      </c>
      <c r="BC184" s="144">
        <f t="shared" si="38"/>
        <v>1.1494198106426238E-2</v>
      </c>
      <c r="BD184" s="178">
        <f t="shared" si="38"/>
        <v>1.9378431332279067</v>
      </c>
      <c r="BE184" s="144"/>
      <c r="BF184" s="160">
        <f t="shared" si="39"/>
        <v>2.1286104783224827E-6</v>
      </c>
      <c r="BG184" s="144">
        <f t="shared" si="40"/>
        <v>2.66763845474523E-8</v>
      </c>
      <c r="BH184" s="144">
        <f t="shared" si="41"/>
        <v>1.1528649918054674E-8</v>
      </c>
      <c r="BI184" s="144">
        <f t="shared" si="41"/>
        <v>7.0197393358115458E-8</v>
      </c>
      <c r="BJ184" s="144">
        <f t="shared" si="41"/>
        <v>1.8082188494793697E-10</v>
      </c>
      <c r="BK184" s="160">
        <f t="shared" si="41"/>
        <v>3.0485332237990594E-8</v>
      </c>
      <c r="BL184" s="144"/>
    </row>
    <row r="185" spans="24:64">
      <c r="X185" s="53" t="s">
        <v>187</v>
      </c>
      <c r="Y185" s="39" t="s">
        <v>188</v>
      </c>
      <c r="Z185" s="155" t="s">
        <v>343</v>
      </c>
      <c r="AA185" s="53">
        <v>0.19523199999999999</v>
      </c>
      <c r="AB185" s="53">
        <v>34.751345000000001</v>
      </c>
      <c r="AC185" s="53" t="s">
        <v>355</v>
      </c>
      <c r="AD185" s="53" t="s">
        <v>330</v>
      </c>
      <c r="AE185" s="116" t="s">
        <v>347</v>
      </c>
      <c r="AF185" s="154" t="s">
        <v>371</v>
      </c>
      <c r="AG185" s="116" t="s">
        <v>687</v>
      </c>
      <c r="AH185" s="53" t="s">
        <v>361</v>
      </c>
      <c r="AI185" s="53" t="s">
        <v>685</v>
      </c>
      <c r="AJ185" s="53" t="s">
        <v>690</v>
      </c>
      <c r="AK185" s="156">
        <v>417.1</v>
      </c>
      <c r="AL185" s="157">
        <v>196.9</v>
      </c>
      <c r="AM185" s="162">
        <v>0.17497499999999999</v>
      </c>
      <c r="AN185" s="157">
        <v>101.1</v>
      </c>
      <c r="AO185" s="156">
        <v>0.68400000000000005</v>
      </c>
      <c r="AP185" s="157">
        <v>46.71</v>
      </c>
      <c r="AQ185" s="157"/>
      <c r="AR185" s="158">
        <f t="shared" si="42"/>
        <v>4.7971082951674842E-4</v>
      </c>
      <c r="AS185" s="144">
        <f t="shared" si="43"/>
        <v>2.2645663469635042E-4</v>
      </c>
      <c r="AT185" s="144">
        <f t="shared" si="44"/>
        <v>2.0124047565258467E-7</v>
      </c>
      <c r="AU185" s="144">
        <f t="shared" si="44"/>
        <v>1.1627610852108191E-4</v>
      </c>
      <c r="AV185" s="144">
        <f t="shared" si="44"/>
        <v>7.8667515557289857E-7</v>
      </c>
      <c r="AW185" s="158">
        <f t="shared" si="44"/>
        <v>5.372163233451767E-5</v>
      </c>
      <c r="AX185" s="144"/>
      <c r="AY185" s="178">
        <f t="shared" si="36"/>
        <v>18.229011521636441</v>
      </c>
      <c r="AZ185" s="144">
        <f t="shared" si="37"/>
        <v>8.6053521184613171</v>
      </c>
      <c r="BA185" s="144">
        <f t="shared" si="38"/>
        <v>7.6471380747982166E-3</v>
      </c>
      <c r="BB185" s="144">
        <f t="shared" si="38"/>
        <v>4.4184921238011121</v>
      </c>
      <c r="BC185" s="144">
        <f t="shared" si="38"/>
        <v>2.989365591177014E-2</v>
      </c>
      <c r="BD185" s="178">
        <f t="shared" si="38"/>
        <v>2.0414220287116716</v>
      </c>
      <c r="BE185" s="144"/>
      <c r="BF185" s="160">
        <f t="shared" si="39"/>
        <v>8.603134016553367E-6</v>
      </c>
      <c r="BG185" s="144">
        <f t="shared" si="40"/>
        <v>1.353757762214783E-7</v>
      </c>
      <c r="BH185" s="144">
        <f t="shared" si="41"/>
        <v>1.2030155634511509E-10</v>
      </c>
      <c r="BI185" s="144">
        <f t="shared" si="41"/>
        <v>6.9509857673902764E-8</v>
      </c>
      <c r="BJ185" s="144">
        <f t="shared" si="41"/>
        <v>4.7027440800147877E-10</v>
      </c>
      <c r="BK185" s="160">
        <f t="shared" si="41"/>
        <v>3.2114791809574665E-8</v>
      </c>
      <c r="BL185" s="144"/>
    </row>
    <row r="186" spans="24:64">
      <c r="X186" s="53" t="s">
        <v>189</v>
      </c>
      <c r="Y186" s="39" t="s">
        <v>190</v>
      </c>
      <c r="Z186" s="155" t="s">
        <v>343</v>
      </c>
      <c r="AA186" s="53">
        <v>0.19523199999999999</v>
      </c>
      <c r="AB186" s="53">
        <v>34.751345000000001</v>
      </c>
      <c r="AC186" s="53" t="s">
        <v>355</v>
      </c>
      <c r="AD186" s="53" t="s">
        <v>330</v>
      </c>
      <c r="AE186" s="116" t="s">
        <v>347</v>
      </c>
      <c r="AF186" s="154" t="s">
        <v>371</v>
      </c>
      <c r="AG186" s="116" t="s">
        <v>687</v>
      </c>
      <c r="AH186" s="53" t="s">
        <v>364</v>
      </c>
      <c r="AI186" s="53" t="s">
        <v>685</v>
      </c>
      <c r="AJ186" s="53" t="s">
        <v>690</v>
      </c>
      <c r="AK186" s="156">
        <v>424.9</v>
      </c>
      <c r="AL186" s="157">
        <v>258.89999999999998</v>
      </c>
      <c r="AM186" s="162">
        <v>1.7446950000000001</v>
      </c>
      <c r="AN186" s="157">
        <v>179.7</v>
      </c>
      <c r="AO186" s="156">
        <v>1.3129999999999999</v>
      </c>
      <c r="AP186" s="157">
        <v>94.92</v>
      </c>
      <c r="AQ186" s="157"/>
      <c r="AR186" s="158">
        <f t="shared" si="42"/>
        <v>4.8868168655398329E-4</v>
      </c>
      <c r="AS186" s="144">
        <f t="shared" si="43"/>
        <v>2.977634470436014E-4</v>
      </c>
      <c r="AT186" s="144">
        <f t="shared" si="44"/>
        <v>2.0065909510997926E-6</v>
      </c>
      <c r="AU186" s="144">
        <f t="shared" si="44"/>
        <v>2.0667474481937112E-4</v>
      </c>
      <c r="AV186" s="144">
        <f t="shared" si="44"/>
        <v>1.5100942679345255E-6</v>
      </c>
      <c r="AW186" s="158">
        <f t="shared" si="44"/>
        <v>1.0916842948388819E-4</v>
      </c>
      <c r="AX186" s="144"/>
      <c r="AY186" s="178">
        <f t="shared" si="36"/>
        <v>18.569904089051366</v>
      </c>
      <c r="AZ186" s="144">
        <f t="shared" si="37"/>
        <v>11.315010987656853</v>
      </c>
      <c r="BA186" s="144">
        <f t="shared" si="38"/>
        <v>7.6250456141792114E-2</v>
      </c>
      <c r="BB186" s="144">
        <f t="shared" si="38"/>
        <v>7.8536403031361015</v>
      </c>
      <c r="BC186" s="144">
        <f t="shared" si="38"/>
        <v>5.7383582181511981E-2</v>
      </c>
      <c r="BD186" s="178">
        <f t="shared" si="38"/>
        <v>4.1484003203877515</v>
      </c>
      <c r="BE186" s="144"/>
      <c r="BF186" s="160">
        <f t="shared" si="39"/>
        <v>8.7640173666591373E-6</v>
      </c>
      <c r="BG186" s="144">
        <f t="shared" si="40"/>
        <v>1.7800298864266493E-7</v>
      </c>
      <c r="BH186" s="144">
        <f t="shared" si="41"/>
        <v>1.1995400705674561E-9</v>
      </c>
      <c r="BI186" s="144">
        <f t="shared" si="41"/>
        <v>1.2355016245302006E-7</v>
      </c>
      <c r="BJ186" s="144">
        <f t="shared" si="41"/>
        <v>9.0273435337125956E-10</v>
      </c>
      <c r="BK186" s="160">
        <f t="shared" si="41"/>
        <v>6.5260887145468358E-8</v>
      </c>
      <c r="BL186" s="144"/>
    </row>
    <row r="187" spans="24:64">
      <c r="X187" s="53" t="s">
        <v>191</v>
      </c>
      <c r="Y187" s="39" t="s">
        <v>192</v>
      </c>
      <c r="Z187" s="155" t="s">
        <v>343</v>
      </c>
      <c r="AA187" s="53">
        <v>0.19523199999999999</v>
      </c>
      <c r="AB187" s="53">
        <v>34.751345000000001</v>
      </c>
      <c r="AC187" s="53" t="s">
        <v>355</v>
      </c>
      <c r="AD187" s="53" t="s">
        <v>330</v>
      </c>
      <c r="AE187" s="116" t="s">
        <v>347</v>
      </c>
      <c r="AF187" s="154" t="s">
        <v>371</v>
      </c>
      <c r="AG187" s="116" t="s">
        <v>687</v>
      </c>
      <c r="AH187" s="53" t="s">
        <v>365</v>
      </c>
      <c r="AI187" s="53" t="s">
        <v>685</v>
      </c>
      <c r="AJ187" s="53" t="s">
        <v>691</v>
      </c>
      <c r="AK187" s="156">
        <v>1211.4000000000001</v>
      </c>
      <c r="AL187" s="157">
        <v>224.2</v>
      </c>
      <c r="AM187" s="162">
        <v>3.4227149999999997</v>
      </c>
      <c r="AN187" s="157">
        <v>273.5</v>
      </c>
      <c r="AO187" s="156">
        <v>0.79800000000000004</v>
      </c>
      <c r="AP187" s="157">
        <v>45.78</v>
      </c>
      <c r="AQ187" s="157"/>
      <c r="AR187" s="158">
        <f t="shared" si="42"/>
        <v>1.39324310447516E-3</v>
      </c>
      <c r="AS187" s="144">
        <f t="shared" si="43"/>
        <v>2.5785463432667226E-4</v>
      </c>
      <c r="AT187" s="144">
        <f t="shared" si="44"/>
        <v>3.9364983261793757E-6</v>
      </c>
      <c r="AU187" s="144">
        <f t="shared" si="44"/>
        <v>3.1455505124150252E-4</v>
      </c>
      <c r="AV187" s="144">
        <f t="shared" si="44"/>
        <v>9.177876815017151E-7</v>
      </c>
      <c r="AW187" s="158">
        <f t="shared" si="44"/>
        <v>5.2652030149308902E-5</v>
      </c>
      <c r="AX187" s="144"/>
      <c r="AY187" s="178">
        <f t="shared" si="36"/>
        <v>52.943237970056067</v>
      </c>
      <c r="AZ187" s="144">
        <f t="shared" si="37"/>
        <v>9.7984761044135471</v>
      </c>
      <c r="BA187" s="144">
        <f t="shared" si="38"/>
        <v>0.14958693639481627</v>
      </c>
      <c r="BB187" s="144">
        <f t="shared" si="38"/>
        <v>11.953091947177096</v>
      </c>
      <c r="BC187" s="144">
        <f t="shared" si="38"/>
        <v>3.4875931897065164E-2</v>
      </c>
      <c r="BD187" s="178">
        <f t="shared" si="38"/>
        <v>2.0007771456737387</v>
      </c>
      <c r="BE187" s="144"/>
      <c r="BF187" s="160">
        <f t="shared" si="39"/>
        <v>2.4986421835657518E-5</v>
      </c>
      <c r="BG187" s="144">
        <f t="shared" si="40"/>
        <v>1.5414550040048472E-7</v>
      </c>
      <c r="BH187" s="144">
        <f t="shared" si="41"/>
        <v>2.3532386993900308E-9</v>
      </c>
      <c r="BI187" s="144">
        <f t="shared" si="41"/>
        <v>1.8804100963217024E-7</v>
      </c>
      <c r="BJ187" s="144">
        <f t="shared" si="41"/>
        <v>5.4865347600172517E-10</v>
      </c>
      <c r="BK187" s="160">
        <f t="shared" si="41"/>
        <v>3.147538362325687E-8</v>
      </c>
      <c r="BL187" s="144"/>
    </row>
    <row r="188" spans="24:64">
      <c r="X188" s="53" t="s">
        <v>193</v>
      </c>
      <c r="Y188" s="39" t="s">
        <v>194</v>
      </c>
      <c r="Z188" s="155" t="s">
        <v>341</v>
      </c>
      <c r="AA188" s="53">
        <v>0.22437199999999999</v>
      </c>
      <c r="AB188" s="53">
        <v>34.800359999999998</v>
      </c>
      <c r="AC188" s="53" t="s">
        <v>356</v>
      </c>
      <c r="AD188" s="53" t="s">
        <v>330</v>
      </c>
      <c r="AE188" s="116" t="s">
        <v>347</v>
      </c>
      <c r="AF188" s="154" t="s">
        <v>371</v>
      </c>
      <c r="AG188" s="116" t="s">
        <v>687</v>
      </c>
      <c r="AH188" s="53" t="s">
        <v>364</v>
      </c>
      <c r="AI188" s="53" t="s">
        <v>685</v>
      </c>
      <c r="AJ188" s="53" t="s">
        <v>690</v>
      </c>
      <c r="AK188" s="156">
        <v>442.1</v>
      </c>
      <c r="AL188" s="157">
        <v>265.5</v>
      </c>
      <c r="AM188" s="162">
        <v>2.1389849999999999</v>
      </c>
      <c r="AN188" s="157">
        <v>178.7</v>
      </c>
      <c r="AO188" s="156">
        <v>1.39</v>
      </c>
      <c r="AP188" s="157">
        <v>91.52</v>
      </c>
      <c r="AQ188" s="157"/>
      <c r="AR188" s="158">
        <f t="shared" si="42"/>
        <v>5.0846357643096255E-4</v>
      </c>
      <c r="AS188" s="144">
        <f t="shared" si="43"/>
        <v>3.05354172228954E-4</v>
      </c>
      <c r="AT188" s="144">
        <f t="shared" si="44"/>
        <v>2.4600677743320121E-6</v>
      </c>
      <c r="AU188" s="144">
        <f t="shared" si="44"/>
        <v>2.0552463494280258E-4</v>
      </c>
      <c r="AV188" s="144">
        <f t="shared" si="44"/>
        <v>1.5986527284303053E-6</v>
      </c>
      <c r="AW188" s="158">
        <f t="shared" si="44"/>
        <v>1.0525805590355507E-4</v>
      </c>
      <c r="AX188" s="144"/>
      <c r="AY188" s="178">
        <f t="shared" si="36"/>
        <v>19.321615904376578</v>
      </c>
      <c r="AZ188" s="144">
        <f t="shared" si="37"/>
        <v>11.603458544700253</v>
      </c>
      <c r="BA188" s="144">
        <f t="shared" si="38"/>
        <v>9.3482575424616451E-2</v>
      </c>
      <c r="BB188" s="144">
        <f t="shared" si="38"/>
        <v>7.8099361278264965</v>
      </c>
      <c r="BC188" s="144">
        <f t="shared" si="38"/>
        <v>6.0748803680351592E-2</v>
      </c>
      <c r="BD188" s="178">
        <f t="shared" si="38"/>
        <v>3.999806124335092</v>
      </c>
      <c r="BE188" s="144"/>
      <c r="BF188" s="160">
        <f t="shared" si="39"/>
        <v>9.1187857797128833E-6</v>
      </c>
      <c r="BG188" s="144">
        <f t="shared" si="40"/>
        <v>1.8254072415846875E-7</v>
      </c>
      <c r="BH188" s="144">
        <f t="shared" si="41"/>
        <v>1.4706285154956764E-9</v>
      </c>
      <c r="BI188" s="144">
        <f t="shared" si="41"/>
        <v>1.2286262676880739E-7</v>
      </c>
      <c r="BJ188" s="144">
        <f t="shared" si="41"/>
        <v>9.5567460105563661E-10</v>
      </c>
      <c r="BK188" s="160">
        <f t="shared" si="41"/>
        <v>6.292326581914523E-8</v>
      </c>
      <c r="BL188" s="144"/>
    </row>
    <row r="189" spans="24:64">
      <c r="X189" s="53" t="s">
        <v>195</v>
      </c>
      <c r="Y189" s="39" t="s">
        <v>196</v>
      </c>
      <c r="Z189" s="155" t="s">
        <v>341</v>
      </c>
      <c r="AA189" s="53">
        <v>0.22437199999999999</v>
      </c>
      <c r="AB189" s="53">
        <v>34.800359999999998</v>
      </c>
      <c r="AC189" s="53" t="s">
        <v>356</v>
      </c>
      <c r="AD189" s="53" t="s">
        <v>330</v>
      </c>
      <c r="AE189" s="116" t="s">
        <v>347</v>
      </c>
      <c r="AF189" s="154" t="s">
        <v>371</v>
      </c>
      <c r="AG189" s="116" t="s">
        <v>687</v>
      </c>
      <c r="AH189" s="53" t="s">
        <v>367</v>
      </c>
      <c r="AI189" s="53" t="s">
        <v>684</v>
      </c>
      <c r="AJ189" s="53" t="s">
        <v>683</v>
      </c>
      <c r="AK189" s="156">
        <v>39.299999999999997</v>
      </c>
      <c r="AL189" s="157">
        <v>18.100000000000001</v>
      </c>
      <c r="AM189" s="162">
        <v>0.24368499999999998</v>
      </c>
      <c r="AN189" s="157">
        <v>319.7</v>
      </c>
      <c r="AO189" s="156">
        <v>0.17399999999999999</v>
      </c>
      <c r="AP189" s="157">
        <v>76.709999999999994</v>
      </c>
      <c r="AQ189" s="157"/>
      <c r="AR189" s="158">
        <f t="shared" si="42"/>
        <v>4.5199318149144594E-5</v>
      </c>
      <c r="AS189" s="144">
        <f t="shared" si="43"/>
        <v>2.0816988765891031E-5</v>
      </c>
      <c r="AT189" s="144">
        <f t="shared" si="44"/>
        <v>2.802645252716107E-7</v>
      </c>
      <c r="AU189" s="144">
        <f t="shared" si="44"/>
        <v>3.6769012753897027E-4</v>
      </c>
      <c r="AV189" s="144">
        <f t="shared" si="44"/>
        <v>2.0011911852293027E-7</v>
      </c>
      <c r="AW189" s="158">
        <f t="shared" si="44"/>
        <v>8.8224928631574592E-5</v>
      </c>
      <c r="AX189" s="144"/>
      <c r="AY189" s="178">
        <f t="shared" si="36"/>
        <v>1.7175740896674947</v>
      </c>
      <c r="AZ189" s="144">
        <f t="shared" si="37"/>
        <v>0.79104557310385903</v>
      </c>
      <c r="BA189" s="144">
        <f t="shared" si="38"/>
        <v>1.0650051960321209E-2</v>
      </c>
      <c r="BB189" s="144">
        <f t="shared" si="38"/>
        <v>13.972224846480866</v>
      </c>
      <c r="BC189" s="144">
        <f t="shared" si="38"/>
        <v>7.6045265038713504E-3</v>
      </c>
      <c r="BD189" s="178">
        <f t="shared" si="38"/>
        <v>3.3525472879998359</v>
      </c>
      <c r="BE189" s="144"/>
      <c r="BF189" s="160">
        <f t="shared" si="39"/>
        <v>8.1060457168675915E-7</v>
      </c>
      <c r="BG189" s="144">
        <f t="shared" si="40"/>
        <v>1.244439588424966E-8</v>
      </c>
      <c r="BH189" s="144">
        <f t="shared" si="41"/>
        <v>1.6754213320736894E-10</v>
      </c>
      <c r="BI189" s="144">
        <f t="shared" si="41"/>
        <v>2.1980515824279643E-7</v>
      </c>
      <c r="BJ189" s="144">
        <f t="shared" si="41"/>
        <v>1.1963120905300772E-10</v>
      </c>
      <c r="BK189" s="160">
        <f t="shared" si="41"/>
        <v>5.2740862335955321E-8</v>
      </c>
      <c r="BL189" s="144"/>
    </row>
    <row r="190" spans="24:64">
      <c r="X190" s="53" t="s">
        <v>197</v>
      </c>
      <c r="Y190" s="39" t="s">
        <v>198</v>
      </c>
      <c r="Z190" s="155" t="s">
        <v>341</v>
      </c>
      <c r="AA190" s="53">
        <v>0.224914</v>
      </c>
      <c r="AB190" s="53">
        <v>34.799691000000003</v>
      </c>
      <c r="AC190" s="53" t="s">
        <v>356</v>
      </c>
      <c r="AD190" s="53" t="s">
        <v>330</v>
      </c>
      <c r="AE190" s="116" t="s">
        <v>347</v>
      </c>
      <c r="AF190" s="154" t="s">
        <v>371</v>
      </c>
      <c r="AG190" s="116" t="s">
        <v>687</v>
      </c>
      <c r="AH190" s="53" t="s">
        <v>366</v>
      </c>
      <c r="AI190" s="53" t="s">
        <v>684</v>
      </c>
      <c r="AJ190" s="53" t="s">
        <v>683</v>
      </c>
      <c r="AK190" s="156">
        <v>36.799999999999997</v>
      </c>
      <c r="AL190" s="157">
        <v>8.5</v>
      </c>
      <c r="AM190" s="162">
        <v>5.1894999999999997E-2</v>
      </c>
      <c r="AN190" s="157">
        <v>190.6</v>
      </c>
      <c r="AO190" s="156">
        <v>8.5000000000000006E-2</v>
      </c>
      <c r="AP190" s="157">
        <v>95.66</v>
      </c>
      <c r="AQ190" s="157"/>
      <c r="AR190" s="158">
        <f t="shared" si="42"/>
        <v>4.2324043457723182E-5</v>
      </c>
      <c r="AS190" s="144">
        <f t="shared" si="43"/>
        <v>9.7759339508328024E-6</v>
      </c>
      <c r="AT190" s="144">
        <f t="shared" si="44"/>
        <v>5.9684952044525669E-8</v>
      </c>
      <c r="AU190" s="144">
        <f t="shared" si="44"/>
        <v>2.1921094247396848E-4</v>
      </c>
      <c r="AV190" s="144">
        <f t="shared" si="44"/>
        <v>9.7759339508328011E-8</v>
      </c>
      <c r="AW190" s="158">
        <f t="shared" si="44"/>
        <v>1.1001951079254893E-4</v>
      </c>
      <c r="AX190" s="144"/>
      <c r="AY190" s="178">
        <f t="shared" si="36"/>
        <v>1.608313651393481</v>
      </c>
      <c r="AZ190" s="144">
        <f t="shared" si="37"/>
        <v>0.37148549013164645</v>
      </c>
      <c r="BA190" s="144">
        <f t="shared" si="38"/>
        <v>2.2680281776919758E-3</v>
      </c>
      <c r="BB190" s="144">
        <f t="shared" si="38"/>
        <v>8.3300158140108032</v>
      </c>
      <c r="BC190" s="144">
        <f t="shared" si="38"/>
        <v>3.7148549013164647E-3</v>
      </c>
      <c r="BD190" s="178">
        <f t="shared" si="38"/>
        <v>4.180741410116859</v>
      </c>
      <c r="BE190" s="144"/>
      <c r="BF190" s="160">
        <f t="shared" si="39"/>
        <v>7.5903939537080755E-7</v>
      </c>
      <c r="BG190" s="144">
        <f t="shared" si="40"/>
        <v>5.8440533158078497E-9</v>
      </c>
      <c r="BH190" s="144">
        <f t="shared" si="41"/>
        <v>3.5679664332217454E-11</v>
      </c>
      <c r="BI190" s="144">
        <f t="shared" si="41"/>
        <v>1.3104430141093838E-7</v>
      </c>
      <c r="BJ190" s="144">
        <f t="shared" si="41"/>
        <v>5.8440533158078491E-11</v>
      </c>
      <c r="BK190" s="160">
        <f t="shared" si="41"/>
        <v>6.5769663551785764E-8</v>
      </c>
      <c r="BL190" s="144"/>
    </row>
    <row r="191" spans="24:64">
      <c r="X191" s="53" t="s">
        <v>199</v>
      </c>
      <c r="Y191" s="39" t="s">
        <v>200</v>
      </c>
      <c r="Z191" s="155" t="s">
        <v>341</v>
      </c>
      <c r="AA191" s="53">
        <v>0.224914</v>
      </c>
      <c r="AB191" s="53">
        <v>34.799691000000003</v>
      </c>
      <c r="AC191" s="53" t="s">
        <v>356</v>
      </c>
      <c r="AD191" s="53" t="s">
        <v>330</v>
      </c>
      <c r="AE191" s="116" t="s">
        <v>347</v>
      </c>
      <c r="AF191" s="154" t="s">
        <v>371</v>
      </c>
      <c r="AG191" s="116" t="s">
        <v>687</v>
      </c>
      <c r="AH191" s="53" t="s">
        <v>367</v>
      </c>
      <c r="AI191" s="53" t="s">
        <v>684</v>
      </c>
      <c r="AJ191" s="53" t="s">
        <v>683</v>
      </c>
      <c r="AK191" s="156">
        <v>45.5</v>
      </c>
      <c r="AL191" s="157">
        <v>8.6</v>
      </c>
      <c r="AM191" s="162">
        <v>7.5795000000000001E-2</v>
      </c>
      <c r="AN191" s="157">
        <v>210.8</v>
      </c>
      <c r="AO191" s="156">
        <v>7.1999999999999995E-2</v>
      </c>
      <c r="AP191" s="157">
        <v>93.97</v>
      </c>
      <c r="AQ191" s="157"/>
      <c r="AR191" s="158">
        <f t="shared" si="42"/>
        <v>5.2329999383869707E-5</v>
      </c>
      <c r="AS191" s="144">
        <f t="shared" si="43"/>
        <v>9.8909449384896585E-6</v>
      </c>
      <c r="AT191" s="144">
        <f t="shared" si="44"/>
        <v>8.7172578094514385E-8</v>
      </c>
      <c r="AU191" s="144">
        <f t="shared" si="44"/>
        <v>2.4244316198065351E-4</v>
      </c>
      <c r="AV191" s="144">
        <f t="shared" si="44"/>
        <v>8.2807911112936667E-8</v>
      </c>
      <c r="AW191" s="158">
        <f t="shared" si="44"/>
        <v>1.0807582510114805E-4</v>
      </c>
      <c r="AX191" s="144"/>
      <c r="AY191" s="178">
        <f t="shared" si="36"/>
        <v>1.9885399765870488</v>
      </c>
      <c r="AZ191" s="144">
        <f t="shared" si="37"/>
        <v>0.37585590766260707</v>
      </c>
      <c r="BA191" s="144">
        <f t="shared" si="38"/>
        <v>3.3125579675915462E-3</v>
      </c>
      <c r="BB191" s="144">
        <f t="shared" si="38"/>
        <v>9.2128401552648338</v>
      </c>
      <c r="BC191" s="144">
        <f t="shared" si="38"/>
        <v>3.1467006222915938E-3</v>
      </c>
      <c r="BD191" s="178">
        <f t="shared" si="38"/>
        <v>4.106881353843626</v>
      </c>
      <c r="BE191" s="144"/>
      <c r="BF191" s="160">
        <f t="shared" si="39"/>
        <v>9.3848620895031924E-7</v>
      </c>
      <c r="BG191" s="144">
        <f t="shared" si="40"/>
        <v>5.9128068842291194E-9</v>
      </c>
      <c r="BH191" s="144">
        <f t="shared" si="41"/>
        <v>5.211176718490071E-11</v>
      </c>
      <c r="BI191" s="144">
        <f t="shared" si="41"/>
        <v>1.4493252223203465E-7</v>
      </c>
      <c r="BJ191" s="144">
        <f t="shared" si="41"/>
        <v>4.9502569263313561E-11</v>
      </c>
      <c r="BK191" s="160">
        <f t="shared" si="41"/>
        <v>6.4607728245466334E-8</v>
      </c>
      <c r="BL191" s="144"/>
    </row>
    <row r="192" spans="24:64">
      <c r="X192" s="53" t="s">
        <v>201</v>
      </c>
      <c r="Y192" s="39" t="s">
        <v>202</v>
      </c>
      <c r="Z192" s="155" t="s">
        <v>341</v>
      </c>
      <c r="AA192" s="53">
        <v>0.21770700000000001</v>
      </c>
      <c r="AB192" s="53">
        <v>34.802644000000001</v>
      </c>
      <c r="AC192" s="53" t="s">
        <v>356</v>
      </c>
      <c r="AD192" s="53" t="s">
        <v>330</v>
      </c>
      <c r="AE192" s="116" t="s">
        <v>347</v>
      </c>
      <c r="AF192" s="154" t="s">
        <v>371</v>
      </c>
      <c r="AG192" s="116" t="s">
        <v>687</v>
      </c>
      <c r="AH192" s="53" t="s">
        <v>365</v>
      </c>
      <c r="AI192" s="53" t="s">
        <v>685</v>
      </c>
      <c r="AJ192" s="53" t="s">
        <v>691</v>
      </c>
      <c r="AK192" s="156">
        <v>51.4</v>
      </c>
      <c r="AL192" s="157">
        <v>27.8</v>
      </c>
      <c r="AM192" s="162">
        <v>0.35456499999999996</v>
      </c>
      <c r="AN192" s="157">
        <v>67.099999999999994</v>
      </c>
      <c r="AO192" s="156">
        <v>0.127</v>
      </c>
      <c r="AP192" s="157">
        <v>9.07</v>
      </c>
      <c r="AQ192" s="157"/>
      <c r="AR192" s="158">
        <f t="shared" si="42"/>
        <v>5.9115647655624239E-5</v>
      </c>
      <c r="AS192" s="144">
        <f t="shared" si="43"/>
        <v>3.1973054568606111E-5</v>
      </c>
      <c r="AT192" s="144">
        <f t="shared" si="44"/>
        <v>4.0778870838553319E-7</v>
      </c>
      <c r="AU192" s="144">
        <f t="shared" si="44"/>
        <v>7.7172372717750691E-5</v>
      </c>
      <c r="AV192" s="144">
        <f t="shared" si="44"/>
        <v>1.4606395432420776E-7</v>
      </c>
      <c r="AW192" s="158">
        <f t="shared" si="44"/>
        <v>1.0431496580476884E-5</v>
      </c>
      <c r="AX192" s="144"/>
      <c r="AY192" s="178">
        <f t="shared" si="36"/>
        <v>2.2463946109137214</v>
      </c>
      <c r="AZ192" s="144">
        <f t="shared" si="37"/>
        <v>1.2149760736070321</v>
      </c>
      <c r="BA192" s="144">
        <f t="shared" si="38"/>
        <v>1.5495970918650263E-2</v>
      </c>
      <c r="BB192" s="144">
        <f t="shared" si="38"/>
        <v>2.9325501632745263</v>
      </c>
      <c r="BC192" s="144">
        <f t="shared" si="38"/>
        <v>5.5504302643198953E-3</v>
      </c>
      <c r="BD192" s="178">
        <f t="shared" si="38"/>
        <v>0.39639687005812163</v>
      </c>
      <c r="BE192" s="144"/>
      <c r="BF192" s="160">
        <f t="shared" si="39"/>
        <v>1.060180025055965E-6</v>
      </c>
      <c r="BG192" s="144">
        <f t="shared" si="40"/>
        <v>1.9113492021112735E-8</v>
      </c>
      <c r="BH192" s="144">
        <f t="shared" si="41"/>
        <v>2.4377608987287176E-10</v>
      </c>
      <c r="BI192" s="144">
        <f t="shared" si="41"/>
        <v>4.6133644410671372E-8</v>
      </c>
      <c r="BJ192" s="144">
        <f t="shared" si="41"/>
        <v>8.7317031895011401E-11</v>
      </c>
      <c r="BK192" s="160">
        <f t="shared" si="41"/>
        <v>6.2359486558090816E-9</v>
      </c>
      <c r="BL192" s="144"/>
    </row>
    <row r="193" spans="24:64">
      <c r="X193" s="53" t="s">
        <v>203</v>
      </c>
      <c r="Y193" s="39" t="s">
        <v>204</v>
      </c>
      <c r="Z193" s="155" t="s">
        <v>341</v>
      </c>
      <c r="AA193" s="53">
        <v>0.21768199999999999</v>
      </c>
      <c r="AB193" s="53">
        <v>34.802346</v>
      </c>
      <c r="AC193" s="53" t="s">
        <v>356</v>
      </c>
      <c r="AD193" s="53" t="s">
        <v>330</v>
      </c>
      <c r="AE193" s="116" t="s">
        <v>347</v>
      </c>
      <c r="AF193" s="154" t="s">
        <v>371</v>
      </c>
      <c r="AG193" s="116" t="s">
        <v>687</v>
      </c>
      <c r="AH193" s="53" t="s">
        <v>367</v>
      </c>
      <c r="AI193" s="53" t="s">
        <v>684</v>
      </c>
      <c r="AJ193" s="53" t="s">
        <v>683</v>
      </c>
      <c r="AK193" s="156">
        <v>11.5</v>
      </c>
      <c r="AL193" s="157">
        <v>17.100000000000001</v>
      </c>
      <c r="AM193" s="162">
        <v>0.45981499999999997</v>
      </c>
      <c r="AN193" s="157">
        <v>55.5</v>
      </c>
      <c r="AO193" s="156">
        <v>9.2999999999999999E-2</v>
      </c>
      <c r="AP193" s="157">
        <v>15.18</v>
      </c>
      <c r="AQ193" s="157"/>
      <c r="AR193" s="158">
        <f t="shared" si="42"/>
        <v>1.3226263580538497E-5</v>
      </c>
      <c r="AS193" s="144">
        <f t="shared" si="43"/>
        <v>1.9666878889322466E-5</v>
      </c>
      <c r="AT193" s="144">
        <f t="shared" si="44"/>
        <v>5.2883777289437461E-7</v>
      </c>
      <c r="AU193" s="144">
        <f t="shared" si="44"/>
        <v>6.3831098149555357E-5</v>
      </c>
      <c r="AV193" s="144">
        <f t="shared" si="44"/>
        <v>1.0696021852087655E-7</v>
      </c>
      <c r="AW193" s="158">
        <f t="shared" si="44"/>
        <v>1.7458667926310815E-5</v>
      </c>
      <c r="AX193" s="144"/>
      <c r="AY193" s="178">
        <f t="shared" si="36"/>
        <v>0.50259801606046284</v>
      </c>
      <c r="AZ193" s="144">
        <f t="shared" si="37"/>
        <v>0.74734139779425357</v>
      </c>
      <c r="BA193" s="144">
        <f t="shared" si="38"/>
        <v>2.0095835369986239E-2</v>
      </c>
      <c r="BB193" s="144">
        <f t="shared" si="38"/>
        <v>2.425581729683103</v>
      </c>
      <c r="BC193" s="144">
        <f t="shared" si="38"/>
        <v>4.0644883037933089E-3</v>
      </c>
      <c r="BD193" s="178">
        <f t="shared" si="38"/>
        <v>0.66342938119981099</v>
      </c>
      <c r="BE193" s="144"/>
      <c r="BF193" s="160">
        <f t="shared" si="39"/>
        <v>2.371998110533774E-7</v>
      </c>
      <c r="BG193" s="144">
        <f t="shared" si="40"/>
        <v>1.1756860200036967E-8</v>
      </c>
      <c r="BH193" s="144">
        <f t="shared" si="41"/>
        <v>3.1613922063625719E-10</v>
      </c>
      <c r="BI193" s="144">
        <f t="shared" si="41"/>
        <v>3.8158230473804201E-8</v>
      </c>
      <c r="BJ193" s="144">
        <f t="shared" si="41"/>
        <v>6.3940818631779997E-11</v>
      </c>
      <c r="BK193" s="160">
        <f t="shared" si="41"/>
        <v>1.0436791686348607E-8</v>
      </c>
      <c r="BL193" s="144"/>
    </row>
    <row r="194" spans="24:64">
      <c r="X194" s="53" t="s">
        <v>205</v>
      </c>
      <c r="Y194" s="39" t="s">
        <v>206</v>
      </c>
      <c r="Z194" s="155" t="s">
        <v>341</v>
      </c>
      <c r="AA194" s="53">
        <v>0.21768199999999999</v>
      </c>
      <c r="AB194" s="53">
        <v>34.802346</v>
      </c>
      <c r="AC194" s="53" t="s">
        <v>356</v>
      </c>
      <c r="AD194" s="53" t="s">
        <v>330</v>
      </c>
      <c r="AE194" s="116" t="s">
        <v>347</v>
      </c>
      <c r="AF194" s="154" t="s">
        <v>371</v>
      </c>
      <c r="AG194" s="116" t="s">
        <v>687</v>
      </c>
      <c r="AH194" s="53" t="s">
        <v>361</v>
      </c>
      <c r="AI194" s="53" t="s">
        <v>685</v>
      </c>
      <c r="AJ194" s="53" t="s">
        <v>690</v>
      </c>
      <c r="AK194" s="156">
        <v>44.5</v>
      </c>
      <c r="AL194" s="157">
        <v>36.299999999999997</v>
      </c>
      <c r="AM194" s="162">
        <v>1.5039950000000002</v>
      </c>
      <c r="AN194" s="157">
        <v>112.5</v>
      </c>
      <c r="AO194" s="156">
        <v>0.11600000000000001</v>
      </c>
      <c r="AP194" s="157">
        <v>17.73</v>
      </c>
      <c r="AQ194" s="157"/>
      <c r="AR194" s="158">
        <f t="shared" si="42"/>
        <v>5.1179889507301135E-5</v>
      </c>
      <c r="AS194" s="144">
        <f t="shared" si="43"/>
        <v>4.1748988519438899E-5</v>
      </c>
      <c r="AT194" s="144">
        <f t="shared" si="44"/>
        <v>1.729759503809739E-6</v>
      </c>
      <c r="AU194" s="144">
        <f t="shared" si="44"/>
        <v>1.2938736111396356E-4</v>
      </c>
      <c r="AV194" s="144">
        <f t="shared" si="44"/>
        <v>1.3341274568195356E-7</v>
      </c>
      <c r="AW194" s="158">
        <f t="shared" si="44"/>
        <v>2.0391448111560657E-5</v>
      </c>
      <c r="AX194" s="144"/>
      <c r="AY194" s="178">
        <f t="shared" si="36"/>
        <v>1.9448358012774434</v>
      </c>
      <c r="AZ194" s="144">
        <f t="shared" si="37"/>
        <v>1.5864615637386783</v>
      </c>
      <c r="BA194" s="144">
        <f t="shared" si="38"/>
        <v>6.5730861144770086E-2</v>
      </c>
      <c r="BB194" s="144">
        <f t="shared" si="38"/>
        <v>4.9167197223306154</v>
      </c>
      <c r="BC194" s="144">
        <f t="shared" si="38"/>
        <v>5.0696843359142353E-3</v>
      </c>
      <c r="BD194" s="178">
        <f t="shared" si="38"/>
        <v>0.77487502823930499</v>
      </c>
      <c r="BE194" s="144"/>
      <c r="BF194" s="160">
        <f t="shared" si="39"/>
        <v>9.1786013842393857E-7</v>
      </c>
      <c r="BG194" s="144">
        <f t="shared" si="40"/>
        <v>2.4957545336920575E-8</v>
      </c>
      <c r="BH194" s="144">
        <f t="shared" si="41"/>
        <v>1.0340502313774623E-9</v>
      </c>
      <c r="BI194" s="144">
        <f t="shared" si="41"/>
        <v>7.7347764473927431E-8</v>
      </c>
      <c r="BJ194" s="144">
        <f t="shared" si="41"/>
        <v>7.9754139368671854E-11</v>
      </c>
      <c r="BK194" s="160">
        <f t="shared" si="41"/>
        <v>1.219000768109096E-8</v>
      </c>
      <c r="BL194" s="144"/>
    </row>
    <row r="195" spans="24:64">
      <c r="X195" s="53" t="s">
        <v>207</v>
      </c>
      <c r="Y195" s="39" t="s">
        <v>208</v>
      </c>
      <c r="Z195" s="155" t="s">
        <v>341</v>
      </c>
      <c r="AA195" s="53">
        <v>0.21768199999999999</v>
      </c>
      <c r="AB195" s="53">
        <v>34.802346</v>
      </c>
      <c r="AC195" s="53" t="s">
        <v>356</v>
      </c>
      <c r="AD195" s="53" t="s">
        <v>330</v>
      </c>
      <c r="AE195" s="116" t="s">
        <v>347</v>
      </c>
      <c r="AF195" s="154" t="s">
        <v>371</v>
      </c>
      <c r="AG195" s="116" t="s">
        <v>687</v>
      </c>
      <c r="AH195" s="53" t="s">
        <v>366</v>
      </c>
      <c r="AI195" s="53" t="s">
        <v>684</v>
      </c>
      <c r="AJ195" s="53" t="s">
        <v>683</v>
      </c>
      <c r="AK195" s="156">
        <v>57.9</v>
      </c>
      <c r="AL195" s="157">
        <v>28.7</v>
      </c>
      <c r="AM195" s="162">
        <v>0.55713499999999994</v>
      </c>
      <c r="AN195" s="157">
        <v>72.599999999999994</v>
      </c>
      <c r="AO195" s="156">
        <v>0.36799999999999999</v>
      </c>
      <c r="AP195" s="157">
        <v>12.14</v>
      </c>
      <c r="AQ195" s="157"/>
      <c r="AR195" s="158">
        <f t="shared" si="42"/>
        <v>6.6591361853319904E-5</v>
      </c>
      <c r="AS195" s="144">
        <f t="shared" si="43"/>
        <v>3.3008153457517818E-5</v>
      </c>
      <c r="AT195" s="144">
        <f t="shared" si="44"/>
        <v>6.4076646608202739E-7</v>
      </c>
      <c r="AU195" s="144">
        <f t="shared" si="44"/>
        <v>8.3497977038877799E-5</v>
      </c>
      <c r="AV195" s="144">
        <f t="shared" si="44"/>
        <v>4.2324043457723184E-7</v>
      </c>
      <c r="AW195" s="158">
        <f t="shared" si="44"/>
        <v>1.3962333901542379E-5</v>
      </c>
      <c r="AX195" s="144"/>
      <c r="AY195" s="178">
        <f t="shared" si="36"/>
        <v>2.5304717504261567</v>
      </c>
      <c r="AZ195" s="144">
        <f t="shared" si="37"/>
        <v>1.2543098313856766</v>
      </c>
      <c r="BA195" s="144">
        <f t="shared" si="38"/>
        <v>2.4349125711117043E-2</v>
      </c>
      <c r="BB195" s="144">
        <f t="shared" si="38"/>
        <v>3.1729231274773566</v>
      </c>
      <c r="BC195" s="144">
        <f t="shared" si="38"/>
        <v>1.6083136513934809E-2</v>
      </c>
      <c r="BD195" s="178">
        <f t="shared" si="38"/>
        <v>0.53056868825861037</v>
      </c>
      <c r="BE195" s="144"/>
      <c r="BF195" s="160">
        <f t="shared" si="39"/>
        <v>1.1942494834774394E-6</v>
      </c>
      <c r="BG195" s="144">
        <f t="shared" si="40"/>
        <v>1.9732274136904154E-8</v>
      </c>
      <c r="BH195" s="144">
        <f t="shared" si="41"/>
        <v>3.8305019342383606E-10</v>
      </c>
      <c r="BI195" s="144">
        <f t="shared" si="41"/>
        <v>4.9915090673841149E-8</v>
      </c>
      <c r="BJ195" s="144">
        <f t="shared" si="41"/>
        <v>2.5301313179026925E-10</v>
      </c>
      <c r="BK195" s="160">
        <f t="shared" si="41"/>
        <v>8.3466832063420336E-9</v>
      </c>
      <c r="BL195" s="144"/>
    </row>
    <row r="196" spans="24:64">
      <c r="X196" s="53" t="s">
        <v>209</v>
      </c>
      <c r="Y196" s="39" t="s">
        <v>210</v>
      </c>
      <c r="Z196" s="155" t="s">
        <v>341</v>
      </c>
      <c r="AA196" s="53">
        <v>0.16381399999999999</v>
      </c>
      <c r="AB196" s="53">
        <v>34.761139</v>
      </c>
      <c r="AC196" s="53" t="s">
        <v>357</v>
      </c>
      <c r="AD196" s="53" t="s">
        <v>330</v>
      </c>
      <c r="AE196" s="116" t="s">
        <v>347</v>
      </c>
      <c r="AF196" s="154" t="s">
        <v>371</v>
      </c>
      <c r="AG196" s="116" t="s">
        <v>687</v>
      </c>
      <c r="AH196" s="53" t="s">
        <v>361</v>
      </c>
      <c r="AI196" s="53" t="s">
        <v>685</v>
      </c>
      <c r="AJ196" s="53" t="s">
        <v>690</v>
      </c>
      <c r="AK196" s="156">
        <v>57.8</v>
      </c>
      <c r="AL196" s="157">
        <v>18.600000000000001</v>
      </c>
      <c r="AM196" s="162">
        <v>0.13077499999999997</v>
      </c>
      <c r="AN196" s="157">
        <v>207.7</v>
      </c>
      <c r="AO196" s="156">
        <v>9.2999999999999999E-2</v>
      </c>
      <c r="AP196" s="157">
        <v>66.37</v>
      </c>
      <c r="AQ196" s="157"/>
      <c r="AR196" s="158">
        <f t="shared" si="42"/>
        <v>6.6476350865663053E-5</v>
      </c>
      <c r="AS196" s="144">
        <f t="shared" si="43"/>
        <v>2.1392043704175313E-5</v>
      </c>
      <c r="AT196" s="144">
        <f t="shared" si="44"/>
        <v>1.5040561910825404E-7</v>
      </c>
      <c r="AU196" s="144">
        <f t="shared" si="44"/>
        <v>2.3887782136329094E-4</v>
      </c>
      <c r="AV196" s="144">
        <f t="shared" si="44"/>
        <v>1.0696021852087655E-7</v>
      </c>
      <c r="AW196" s="158">
        <f t="shared" si="44"/>
        <v>7.633279250785566E-5</v>
      </c>
      <c r="AX196" s="144"/>
      <c r="AY196" s="178">
        <f t="shared" si="36"/>
        <v>2.5261013328951964</v>
      </c>
      <c r="AZ196" s="144">
        <f t="shared" si="37"/>
        <v>0.81289766075866188</v>
      </c>
      <c r="BA196" s="144">
        <f t="shared" si="38"/>
        <v>5.7154135261136543E-3</v>
      </c>
      <c r="BB196" s="144">
        <f t="shared" si="38"/>
        <v>9.0773572118050545</v>
      </c>
      <c r="BC196" s="144">
        <f t="shared" si="38"/>
        <v>4.0644883037933089E-3</v>
      </c>
      <c r="BD196" s="178">
        <f t="shared" si="38"/>
        <v>2.9006461152985157</v>
      </c>
      <c r="BE196" s="144"/>
      <c r="BF196" s="160">
        <f t="shared" si="39"/>
        <v>1.1921868764248012E-6</v>
      </c>
      <c r="BG196" s="144">
        <f t="shared" si="40"/>
        <v>1.2788163726356E-8</v>
      </c>
      <c r="BH196" s="144">
        <f t="shared" si="41"/>
        <v>8.9912479102914263E-11</v>
      </c>
      <c r="BI196" s="144">
        <f t="shared" si="41"/>
        <v>1.4280116161097536E-7</v>
      </c>
      <c r="BJ196" s="144">
        <f t="shared" si="41"/>
        <v>6.3940818631779997E-11</v>
      </c>
      <c r="BK196" s="160">
        <f t="shared" si="41"/>
        <v>4.5631743361196119E-8</v>
      </c>
      <c r="BL196" s="144"/>
    </row>
    <row r="197" spans="24:64">
      <c r="X197" s="53" t="s">
        <v>211</v>
      </c>
      <c r="Y197" s="39" t="s">
        <v>212</v>
      </c>
      <c r="Z197" s="155" t="s">
        <v>341</v>
      </c>
      <c r="AA197" s="53">
        <v>0.16381399999999999</v>
      </c>
      <c r="AB197" s="53">
        <v>34.761139</v>
      </c>
      <c r="AC197" s="53" t="s">
        <v>357</v>
      </c>
      <c r="AD197" s="53" t="s">
        <v>330</v>
      </c>
      <c r="AE197" s="116" t="s">
        <v>347</v>
      </c>
      <c r="AF197" s="154" t="s">
        <v>371</v>
      </c>
      <c r="AG197" s="116" t="s">
        <v>687</v>
      </c>
      <c r="AH197" s="53" t="s">
        <v>367</v>
      </c>
      <c r="AI197" s="53" t="s">
        <v>684</v>
      </c>
      <c r="AJ197" s="53" t="s">
        <v>683</v>
      </c>
      <c r="AK197" s="156">
        <v>55</v>
      </c>
      <c r="AL197" s="157">
        <v>23.5</v>
      </c>
      <c r="AM197" s="162">
        <v>0.46534500000000001</v>
      </c>
      <c r="AN197" s="157">
        <v>135.19999999999999</v>
      </c>
      <c r="AO197" s="156">
        <v>0.06</v>
      </c>
      <c r="AP197" s="157">
        <v>40.54</v>
      </c>
      <c r="AQ197" s="157"/>
      <c r="AR197" s="158">
        <f t="shared" si="42"/>
        <v>6.3256043211271074E-5</v>
      </c>
      <c r="AS197" s="144">
        <f t="shared" si="43"/>
        <v>2.7027582099361277E-5</v>
      </c>
      <c r="AT197" s="144">
        <f t="shared" si="44"/>
        <v>5.3519788051179892E-7</v>
      </c>
      <c r="AU197" s="144">
        <f t="shared" si="44"/>
        <v>1.5549485531206995E-4</v>
      </c>
      <c r="AV197" s="144">
        <f t="shared" si="44"/>
        <v>6.9006592594113905E-8</v>
      </c>
      <c r="AW197" s="158">
        <f t="shared" si="44"/>
        <v>4.6625454396089618E-5</v>
      </c>
      <c r="AX197" s="144"/>
      <c r="AY197" s="178">
        <f t="shared" si="36"/>
        <v>2.403729642028301</v>
      </c>
      <c r="AZ197" s="144">
        <f t="shared" si="37"/>
        <v>1.0270481197757286</v>
      </c>
      <c r="BA197" s="144">
        <f t="shared" si="38"/>
        <v>2.033751945944836E-2</v>
      </c>
      <c r="BB197" s="144">
        <f t="shared" si="38"/>
        <v>5.9088045018586586</v>
      </c>
      <c r="BC197" s="144">
        <f t="shared" si="38"/>
        <v>2.6222505185763282E-3</v>
      </c>
      <c r="BD197" s="178">
        <f t="shared" si="38"/>
        <v>1.7717672670514055</v>
      </c>
      <c r="BE197" s="144"/>
      <c r="BF197" s="160">
        <f t="shared" si="39"/>
        <v>1.1344338789509355E-6</v>
      </c>
      <c r="BG197" s="144">
        <f t="shared" si="40"/>
        <v>1.6157088578998174E-8</v>
      </c>
      <c r="BH197" s="144">
        <f t="shared" si="41"/>
        <v>3.1994129296995346E-10</v>
      </c>
      <c r="BI197" s="144">
        <f t="shared" si="41"/>
        <v>9.2954824505555424E-8</v>
      </c>
      <c r="BJ197" s="144">
        <f t="shared" si="41"/>
        <v>4.1252141052761297E-11</v>
      </c>
      <c r="BK197" s="160">
        <f t="shared" si="41"/>
        <v>2.7872696637982383E-8</v>
      </c>
      <c r="BL197" s="144"/>
    </row>
    <row r="198" spans="24:64">
      <c r="X198" s="53" t="s">
        <v>213</v>
      </c>
      <c r="Y198" s="39" t="s">
        <v>214</v>
      </c>
      <c r="Z198" s="155" t="s">
        <v>341</v>
      </c>
      <c r="AA198" s="53">
        <v>0.16381399999999999</v>
      </c>
      <c r="AB198" s="53">
        <v>34.761139</v>
      </c>
      <c r="AC198" s="53" t="s">
        <v>357</v>
      </c>
      <c r="AD198" s="53" t="s">
        <v>330</v>
      </c>
      <c r="AE198" s="116" t="s">
        <v>347</v>
      </c>
      <c r="AF198" s="154" t="s">
        <v>371</v>
      </c>
      <c r="AG198" s="116" t="s">
        <v>687</v>
      </c>
      <c r="AH198" s="53" t="s">
        <v>365</v>
      </c>
      <c r="AI198" s="53" t="s">
        <v>685</v>
      </c>
      <c r="AJ198" s="53" t="s">
        <v>691</v>
      </c>
      <c r="AK198" s="156">
        <v>19.3</v>
      </c>
      <c r="AL198" s="157">
        <v>17.399999999999999</v>
      </c>
      <c r="AM198" s="162">
        <v>7.3565000000000005E-2</v>
      </c>
      <c r="AN198" s="157">
        <v>141.69999999999999</v>
      </c>
      <c r="AO198" s="156">
        <v>4.4999999999999998E-2</v>
      </c>
      <c r="AP198" s="157">
        <v>54.66</v>
      </c>
      <c r="AQ198" s="157"/>
      <c r="AR198" s="158">
        <f t="shared" si="42"/>
        <v>2.2197120617773305E-5</v>
      </c>
      <c r="AS198" s="144">
        <f t="shared" si="43"/>
        <v>2.0011911852293026E-5</v>
      </c>
      <c r="AT198" s="144">
        <f t="shared" si="44"/>
        <v>8.4607833069766493E-8</v>
      </c>
      <c r="AU198" s="144">
        <f t="shared" si="44"/>
        <v>1.6297056950976562E-4</v>
      </c>
      <c r="AV198" s="144">
        <f t="shared" si="44"/>
        <v>5.1754944445585425E-8</v>
      </c>
      <c r="AW198" s="158">
        <f t="shared" si="44"/>
        <v>6.2865005853237764E-5</v>
      </c>
      <c r="AX198" s="144"/>
      <c r="AY198" s="178">
        <f t="shared" si="36"/>
        <v>0.84349058347538564</v>
      </c>
      <c r="AZ198" s="144">
        <f t="shared" si="37"/>
        <v>0.76045265038713505</v>
      </c>
      <c r="BA198" s="144">
        <f t="shared" si="38"/>
        <v>3.2150976566511264E-3</v>
      </c>
      <c r="BB198" s="144">
        <f t="shared" si="38"/>
        <v>6.1928816413710939</v>
      </c>
      <c r="BC198" s="144">
        <f t="shared" si="38"/>
        <v>1.9666878889322459E-3</v>
      </c>
      <c r="BD198" s="178">
        <f t="shared" si="38"/>
        <v>2.3888702224230345</v>
      </c>
      <c r="BE198" s="144"/>
      <c r="BF198" s="160">
        <f t="shared" si="39"/>
        <v>3.9808316115914638E-7</v>
      </c>
      <c r="BG198" s="144">
        <f t="shared" si="40"/>
        <v>1.1963120905300773E-8</v>
      </c>
      <c r="BH198" s="144">
        <f t="shared" si="41"/>
        <v>5.0578562609106411E-11</v>
      </c>
      <c r="BI198" s="144">
        <f t="shared" si="41"/>
        <v>9.7423806452937882E-8</v>
      </c>
      <c r="BJ198" s="144">
        <f t="shared" si="41"/>
        <v>3.0939105789570971E-11</v>
      </c>
      <c r="BK198" s="160">
        <f t="shared" si="41"/>
        <v>3.758070049906554E-8</v>
      </c>
      <c r="BL198" s="144"/>
    </row>
    <row r="199" spans="24:64">
      <c r="X199" s="53" t="s">
        <v>215</v>
      </c>
      <c r="Y199" s="39" t="s">
        <v>216</v>
      </c>
      <c r="Z199" s="155" t="s">
        <v>341</v>
      </c>
      <c r="AA199" s="53">
        <v>0.16381399999999999</v>
      </c>
      <c r="AB199" s="53">
        <v>34.761139</v>
      </c>
      <c r="AC199" s="53" t="s">
        <v>357</v>
      </c>
      <c r="AD199" s="53" t="s">
        <v>330</v>
      </c>
      <c r="AE199" s="116" t="s">
        <v>347</v>
      </c>
      <c r="AF199" s="154" t="s">
        <v>371</v>
      </c>
      <c r="AG199" s="116" t="s">
        <v>687</v>
      </c>
      <c r="AH199" s="53" t="s">
        <v>364</v>
      </c>
      <c r="AI199" s="53" t="s">
        <v>685</v>
      </c>
      <c r="AJ199" s="53" t="s">
        <v>690</v>
      </c>
      <c r="AK199" s="156">
        <v>8.6999999999999993</v>
      </c>
      <c r="AL199" s="157">
        <v>6.8</v>
      </c>
      <c r="AM199" s="162">
        <v>0.16572500000000001</v>
      </c>
      <c r="AN199" s="157">
        <v>208.7</v>
      </c>
      <c r="AO199" s="156">
        <v>3.1E-2</v>
      </c>
      <c r="AP199" s="157">
        <v>44.84</v>
      </c>
      <c r="AQ199" s="157"/>
      <c r="AR199" s="158">
        <f t="shared" si="42"/>
        <v>1.0005955926146513E-5</v>
      </c>
      <c r="AS199" s="144">
        <f t="shared" si="43"/>
        <v>7.8207471606662426E-6</v>
      </c>
      <c r="AT199" s="144">
        <f t="shared" si="44"/>
        <v>1.9060195929432549E-7</v>
      </c>
      <c r="AU199" s="144">
        <f t="shared" si="44"/>
        <v>2.400279312398595E-4</v>
      </c>
      <c r="AV199" s="144">
        <f t="shared" si="44"/>
        <v>3.5653406173625514E-8</v>
      </c>
      <c r="AW199" s="158">
        <f t="shared" si="44"/>
        <v>5.1570926865334452E-5</v>
      </c>
      <c r="AX199" s="144"/>
      <c r="AY199" s="178">
        <f t="shared" si="36"/>
        <v>0.38022632519356753</v>
      </c>
      <c r="AZ199" s="144">
        <f t="shared" si="37"/>
        <v>0.29718839210531722</v>
      </c>
      <c r="BA199" s="144">
        <f t="shared" si="38"/>
        <v>7.2428744531843666E-3</v>
      </c>
      <c r="BB199" s="144">
        <f t="shared" si="38"/>
        <v>9.1210613871146613</v>
      </c>
      <c r="BC199" s="144">
        <f t="shared" si="38"/>
        <v>1.3548294345977695E-3</v>
      </c>
      <c r="BD199" s="178">
        <f t="shared" si="38"/>
        <v>1.959695220882709</v>
      </c>
      <c r="BE199" s="144"/>
      <c r="BF199" s="160">
        <f t="shared" si="39"/>
        <v>1.7944681357951156E-7</v>
      </c>
      <c r="BG199" s="144">
        <f t="shared" si="40"/>
        <v>4.6752426526462799E-9</v>
      </c>
      <c r="BH199" s="144">
        <f t="shared" si="41"/>
        <v>1.1394185126614778E-10</v>
      </c>
      <c r="BI199" s="144">
        <f t="shared" si="41"/>
        <v>1.4348869729518805E-7</v>
      </c>
      <c r="BJ199" s="144">
        <f t="shared" si="41"/>
        <v>2.1313606210593333E-11</v>
      </c>
      <c r="BK199" s="160">
        <f t="shared" si="41"/>
        <v>3.0829100080096941E-8</v>
      </c>
      <c r="BL199" s="144"/>
    </row>
    <row r="200" spans="24:64">
      <c r="X200" s="53" t="s">
        <v>217</v>
      </c>
      <c r="Y200" s="39" t="s">
        <v>218</v>
      </c>
      <c r="Z200" s="155" t="s">
        <v>341</v>
      </c>
      <c r="AA200" s="53">
        <v>0.17374600000000001</v>
      </c>
      <c r="AB200" s="53">
        <v>34.768698000000001</v>
      </c>
      <c r="AC200" s="53" t="s">
        <v>358</v>
      </c>
      <c r="AD200" s="53" t="s">
        <v>330</v>
      </c>
      <c r="AE200" s="116" t="s">
        <v>347</v>
      </c>
      <c r="AF200" s="154" t="s">
        <v>371</v>
      </c>
      <c r="AG200" s="116" t="s">
        <v>687</v>
      </c>
      <c r="AH200" s="53" t="s">
        <v>365</v>
      </c>
      <c r="AI200" s="53" t="s">
        <v>685</v>
      </c>
      <c r="AJ200" s="53" t="s">
        <v>691</v>
      </c>
      <c r="AK200" s="156">
        <v>251.9</v>
      </c>
      <c r="AL200" s="157">
        <v>11.6</v>
      </c>
      <c r="AM200" s="162">
        <v>0.30123499999999998</v>
      </c>
      <c r="AN200" s="157">
        <v>427.2</v>
      </c>
      <c r="AO200" s="156">
        <v>0.14899999999999999</v>
      </c>
      <c r="AP200" s="157">
        <v>173.06</v>
      </c>
      <c r="AQ200" s="157"/>
      <c r="AR200" s="158">
        <f t="shared" si="42"/>
        <v>2.8971267790762155E-4</v>
      </c>
      <c r="AS200" s="144">
        <f t="shared" si="43"/>
        <v>1.3341274568195353E-5</v>
      </c>
      <c r="AT200" s="144">
        <f t="shared" si="44"/>
        <v>3.4645334866813165E-7</v>
      </c>
      <c r="AU200" s="144">
        <f t="shared" si="44"/>
        <v>4.913269392700909E-4</v>
      </c>
      <c r="AV200" s="144">
        <f t="shared" si="44"/>
        <v>1.7136637160871615E-7</v>
      </c>
      <c r="AW200" s="158">
        <f t="shared" si="44"/>
        <v>1.9903801523895586E-4</v>
      </c>
      <c r="AX200" s="144"/>
      <c r="AY200" s="178">
        <f t="shared" si="36"/>
        <v>11.009081760489618</v>
      </c>
      <c r="AZ200" s="144">
        <f t="shared" si="37"/>
        <v>0.50696843359142352</v>
      </c>
      <c r="BA200" s="144">
        <f t="shared" si="38"/>
        <v>1.3165227249389002E-2</v>
      </c>
      <c r="BB200" s="144">
        <f t="shared" si="38"/>
        <v>18.670423692263459</v>
      </c>
      <c r="BC200" s="144">
        <f t="shared" si="38"/>
        <v>6.5119221211312152E-3</v>
      </c>
      <c r="BD200" s="178">
        <f t="shared" si="38"/>
        <v>7.563444579080322</v>
      </c>
      <c r="BE200" s="144"/>
      <c r="BF200" s="160">
        <f t="shared" si="39"/>
        <v>5.1957071655952843E-6</v>
      </c>
      <c r="BG200" s="144">
        <f t="shared" si="40"/>
        <v>7.9754139368671833E-9</v>
      </c>
      <c r="BH200" s="144">
        <f t="shared" si="41"/>
        <v>2.0710981183380914E-10</v>
      </c>
      <c r="BI200" s="144">
        <f t="shared" si="41"/>
        <v>2.9371524429566047E-7</v>
      </c>
      <c r="BJ200" s="144">
        <f t="shared" si="41"/>
        <v>1.0244281694769055E-10</v>
      </c>
      <c r="BK200" s="160">
        <f t="shared" si="41"/>
        <v>1.1898492550984781E-7</v>
      </c>
      <c r="BL200" s="144"/>
    </row>
    <row r="201" spans="24:64">
      <c r="X201" s="53" t="s">
        <v>219</v>
      </c>
      <c r="Y201" s="39" t="s">
        <v>220</v>
      </c>
      <c r="Z201" s="155" t="s">
        <v>341</v>
      </c>
      <c r="AA201" s="53">
        <v>0.17374600000000001</v>
      </c>
      <c r="AB201" s="53">
        <v>34.768698000000001</v>
      </c>
      <c r="AC201" s="53" t="s">
        <v>358</v>
      </c>
      <c r="AD201" s="53" t="s">
        <v>330</v>
      </c>
      <c r="AE201" s="116" t="s">
        <v>347</v>
      </c>
      <c r="AF201" s="154" t="s">
        <v>371</v>
      </c>
      <c r="AG201" s="116" t="s">
        <v>687</v>
      </c>
      <c r="AH201" s="53" t="s">
        <v>364</v>
      </c>
      <c r="AI201" s="53" t="s">
        <v>685</v>
      </c>
      <c r="AJ201" s="53" t="s">
        <v>690</v>
      </c>
      <c r="AK201" s="156">
        <v>97.4</v>
      </c>
      <c r="AL201" s="157">
        <v>91.6</v>
      </c>
      <c r="AM201" s="162">
        <v>8.9385000000000006E-2</v>
      </c>
      <c r="AN201" s="157">
        <v>280.2</v>
      </c>
      <c r="AO201" s="156">
        <v>7.5999999999999998E-2</v>
      </c>
      <c r="AP201" s="157">
        <v>65.91</v>
      </c>
      <c r="AQ201" s="157"/>
      <c r="AR201" s="158">
        <f t="shared" si="42"/>
        <v>1.1202070197777823E-4</v>
      </c>
      <c r="AS201" s="144">
        <f t="shared" si="43"/>
        <v>1.0535006469368056E-4</v>
      </c>
      <c r="AT201" s="144">
        <f t="shared" si="44"/>
        <v>1.028025713170812E-7</v>
      </c>
      <c r="AU201" s="144">
        <f t="shared" si="44"/>
        <v>3.222607874145119E-4</v>
      </c>
      <c r="AV201" s="144">
        <f t="shared" si="44"/>
        <v>8.7408350619210939E-8</v>
      </c>
      <c r="AW201" s="158">
        <f t="shared" si="44"/>
        <v>7.580374196463412E-5</v>
      </c>
      <c r="AX201" s="144"/>
      <c r="AY201" s="178">
        <f t="shared" ref="AY201:AY232" si="45">(AK201*7.6*350*6)/(15*66.7*365)</f>
        <v>4.2567866751555732</v>
      </c>
      <c r="AZ201" s="144">
        <f t="shared" ref="AZ201:AZ232" si="46">(AL201*7.6*350*6)/(15*66.7*365)</f>
        <v>4.0033024583598609</v>
      </c>
      <c r="BA201" s="144">
        <f t="shared" ref="BA201:BD232" si="47">(AM201*7.6*350*6)/(15*66.7*365)</f>
        <v>3.9064977100490847E-3</v>
      </c>
      <c r="BB201" s="144">
        <f t="shared" si="47"/>
        <v>12.245909921751453</v>
      </c>
      <c r="BC201" s="144">
        <f t="shared" si="47"/>
        <v>3.3215173235300161E-3</v>
      </c>
      <c r="BD201" s="178">
        <f t="shared" si="47"/>
        <v>2.8805421946560963</v>
      </c>
      <c r="BE201" s="144"/>
      <c r="BF201" s="160">
        <f t="shared" ref="BF201:BF232" si="48">(AK201*2800*0.61*0.07*0.03*350*6*0.000001)/(15*66.7*365)</f>
        <v>2.0089792692694745E-6</v>
      </c>
      <c r="BG201" s="144">
        <f t="shared" ref="BG201:BG232" si="49">(AL201*2800*0.61*0.07*0.001*350*6*0.000001)/(15*66.7*365)</f>
        <v>6.2978268673882237E-8</v>
      </c>
      <c r="BH201" s="144">
        <f t="shared" ref="BH201:BK232" si="50">(AM201*2800*0.61*0.07*0.001*350*6*0.000001)/(15*66.7*365)</f>
        <v>6.1455377133351131E-11</v>
      </c>
      <c r="BI201" s="144">
        <f t="shared" si="50"/>
        <v>1.9264749871639524E-7</v>
      </c>
      <c r="BJ201" s="144">
        <f t="shared" si="50"/>
        <v>5.2252712000164307E-11</v>
      </c>
      <c r="BK201" s="160">
        <f t="shared" si="50"/>
        <v>4.5315476946458289E-8</v>
      </c>
      <c r="BL201" s="144"/>
    </row>
    <row r="202" spans="24:64">
      <c r="X202" s="53" t="s">
        <v>221</v>
      </c>
      <c r="Y202" s="39" t="s">
        <v>222</v>
      </c>
      <c r="Z202" s="155" t="s">
        <v>341</v>
      </c>
      <c r="AA202" s="53">
        <v>0.17374600000000001</v>
      </c>
      <c r="AB202" s="53">
        <v>34.768698000000001</v>
      </c>
      <c r="AC202" s="53" t="s">
        <v>358</v>
      </c>
      <c r="AD202" s="53" t="s">
        <v>330</v>
      </c>
      <c r="AE202" s="116" t="s">
        <v>347</v>
      </c>
      <c r="AF202" s="154" t="s">
        <v>371</v>
      </c>
      <c r="AG202" s="116" t="s">
        <v>687</v>
      </c>
      <c r="AH202" s="53" t="s">
        <v>361</v>
      </c>
      <c r="AI202" s="53" t="s">
        <v>685</v>
      </c>
      <c r="AJ202" s="53" t="s">
        <v>690</v>
      </c>
      <c r="AK202" s="156">
        <v>145.30000000000001</v>
      </c>
      <c r="AL202" s="157">
        <v>29</v>
      </c>
      <c r="AM202" s="162">
        <v>0.450735</v>
      </c>
      <c r="AN202" s="157">
        <v>574.79999999999995</v>
      </c>
      <c r="AO202" s="156">
        <v>0.14499999999999999</v>
      </c>
      <c r="AP202" s="157">
        <v>357.86</v>
      </c>
      <c r="AQ202" s="157"/>
      <c r="AR202" s="158">
        <f t="shared" ref="AR202:AR233" si="51">(AK202*200*350*6*0.000001)/(15*66.7*365)</f>
        <v>1.6711096506541253E-4</v>
      </c>
      <c r="AS202" s="144">
        <f t="shared" ref="AS202:AS233" si="52">(AL202*200*350*6*0.000001)/(15*66.7*365)</f>
        <v>3.3353186420488385E-5</v>
      </c>
      <c r="AT202" s="144">
        <f t="shared" ref="AT202:AW233" si="53">(AM202*200*350*6*0.000001)/(15*66.7*365)</f>
        <v>5.1839477521513216E-7</v>
      </c>
      <c r="AU202" s="144">
        <f t="shared" si="53"/>
        <v>6.61083157051611E-4</v>
      </c>
      <c r="AV202" s="144">
        <f t="shared" si="53"/>
        <v>1.6676593210244188E-7</v>
      </c>
      <c r="AW202" s="158">
        <f t="shared" si="53"/>
        <v>4.1157832042882666E-4</v>
      </c>
      <c r="AX202" s="144"/>
      <c r="AY202" s="178">
        <f t="shared" si="45"/>
        <v>6.3502166724856748</v>
      </c>
      <c r="AZ202" s="144">
        <f t="shared" si="46"/>
        <v>1.2674210839785582</v>
      </c>
      <c r="BA202" s="144">
        <f t="shared" si="47"/>
        <v>1.9699001458175019E-2</v>
      </c>
      <c r="BB202" s="144">
        <f t="shared" si="47"/>
        <v>25.121159967961219</v>
      </c>
      <c r="BC202" s="144">
        <f t="shared" si="47"/>
        <v>6.3371054198927924E-3</v>
      </c>
      <c r="BD202" s="178">
        <f t="shared" si="47"/>
        <v>15.639976176295413</v>
      </c>
      <c r="BE202" s="144"/>
      <c r="BF202" s="160">
        <f t="shared" si="48"/>
        <v>2.9969680474831079E-6</v>
      </c>
      <c r="BG202" s="144">
        <f t="shared" si="49"/>
        <v>1.9938534842167958E-8</v>
      </c>
      <c r="BH202" s="144">
        <f t="shared" si="50"/>
        <v>3.0989639662360598E-10</v>
      </c>
      <c r="BI202" s="144">
        <f t="shared" si="50"/>
        <v>3.9519551128545313E-7</v>
      </c>
      <c r="BJ202" s="144">
        <f t="shared" si="50"/>
        <v>9.969267421083982E-11</v>
      </c>
      <c r="BK202" s="160">
        <f t="shared" si="50"/>
        <v>2.460415199523526E-7</v>
      </c>
      <c r="BL202" s="144"/>
    </row>
    <row r="203" spans="24:64">
      <c r="X203" s="53" t="s">
        <v>223</v>
      </c>
      <c r="Y203" s="39" t="s">
        <v>224</v>
      </c>
      <c r="Z203" s="155" t="s">
        <v>341</v>
      </c>
      <c r="AA203" s="53">
        <v>0.17374600000000001</v>
      </c>
      <c r="AB203" s="53">
        <v>34.768698000000001</v>
      </c>
      <c r="AC203" s="53" t="s">
        <v>358</v>
      </c>
      <c r="AD203" s="53" t="s">
        <v>330</v>
      </c>
      <c r="AE203" s="116" t="s">
        <v>347</v>
      </c>
      <c r="AF203" s="154" t="s">
        <v>371</v>
      </c>
      <c r="AG203" s="116" t="s">
        <v>687</v>
      </c>
      <c r="AH203" s="53" t="s">
        <v>366</v>
      </c>
      <c r="AI203" s="53" t="s">
        <v>684</v>
      </c>
      <c r="AJ203" s="53" t="s">
        <v>683</v>
      </c>
      <c r="AK203" s="156">
        <v>42.2</v>
      </c>
      <c r="AL203" s="157">
        <v>24.2</v>
      </c>
      <c r="AM203" s="162">
        <v>1.6044850000000002</v>
      </c>
      <c r="AN203" s="157">
        <v>648.6</v>
      </c>
      <c r="AO203" s="156">
        <v>0.16800000000000001</v>
      </c>
      <c r="AP203" s="157">
        <v>375.29</v>
      </c>
      <c r="AQ203" s="157"/>
      <c r="AR203" s="158">
        <f t="shared" si="51"/>
        <v>4.8534636791193445E-5</v>
      </c>
      <c r="AS203" s="144">
        <f t="shared" si="52"/>
        <v>2.7832659012959272E-5</v>
      </c>
      <c r="AT203" s="144">
        <f t="shared" si="53"/>
        <v>1.8453340453061144E-6</v>
      </c>
      <c r="AU203" s="144">
        <f t="shared" si="53"/>
        <v>7.4596126594237127E-4</v>
      </c>
      <c r="AV203" s="144">
        <f t="shared" si="53"/>
        <v>1.9321845926351891E-7</v>
      </c>
      <c r="AW203" s="158">
        <f t="shared" si="53"/>
        <v>4.3162473557741671E-4</v>
      </c>
      <c r="AX203" s="144"/>
      <c r="AY203" s="178">
        <f t="shared" si="45"/>
        <v>1.8443161980653513</v>
      </c>
      <c r="AZ203" s="144">
        <f t="shared" si="46"/>
        <v>1.0576410424924523</v>
      </c>
      <c r="BA203" s="144">
        <f t="shared" si="47"/>
        <v>7.0122693721632337E-2</v>
      </c>
      <c r="BB203" s="144">
        <f t="shared" si="47"/>
        <v>28.346528105810108</v>
      </c>
      <c r="BC203" s="144">
        <f t="shared" si="47"/>
        <v>7.3423014520137189E-3</v>
      </c>
      <c r="BD203" s="178">
        <f t="shared" si="47"/>
        <v>16.401739951941838</v>
      </c>
      <c r="BE203" s="144"/>
      <c r="BF203" s="160">
        <f t="shared" si="48"/>
        <v>8.7042017621326319E-7</v>
      </c>
      <c r="BG203" s="144">
        <f t="shared" si="49"/>
        <v>1.6638363557947057E-8</v>
      </c>
      <c r="BH203" s="144">
        <f t="shared" si="50"/>
        <v>1.1031406922839951E-9</v>
      </c>
      <c r="BI203" s="144">
        <f t="shared" si="50"/>
        <v>4.4593564478034965E-7</v>
      </c>
      <c r="BJ203" s="144">
        <f t="shared" si="50"/>
        <v>1.1550599494773164E-10</v>
      </c>
      <c r="BK203" s="160">
        <f t="shared" si="50"/>
        <v>2.5802526692817978E-7</v>
      </c>
      <c r="BL203" s="144"/>
    </row>
    <row r="204" spans="24:64">
      <c r="X204" s="53" t="s">
        <v>225</v>
      </c>
      <c r="Y204" s="39" t="s">
        <v>226</v>
      </c>
      <c r="Z204" s="155" t="s">
        <v>341</v>
      </c>
      <c r="AA204" s="53">
        <v>0.17394000000000001</v>
      </c>
      <c r="AB204" s="53">
        <v>34.769052000000002</v>
      </c>
      <c r="AC204" s="53" t="s">
        <v>358</v>
      </c>
      <c r="AD204" s="53" t="s">
        <v>330</v>
      </c>
      <c r="AE204" s="116" t="s">
        <v>347</v>
      </c>
      <c r="AF204" s="154" t="s">
        <v>371</v>
      </c>
      <c r="AG204" s="116" t="s">
        <v>687</v>
      </c>
      <c r="AH204" s="53" t="s">
        <v>367</v>
      </c>
      <c r="AI204" s="53" t="s">
        <v>684</v>
      </c>
      <c r="AJ204" s="53" t="s">
        <v>683</v>
      </c>
      <c r="AK204" s="156">
        <v>31.3</v>
      </c>
      <c r="AL204" s="157">
        <v>38.799999999999997</v>
      </c>
      <c r="AM204" s="162">
        <v>1.0580050000000001</v>
      </c>
      <c r="AN204" s="157">
        <v>748.3</v>
      </c>
      <c r="AO204" s="156">
        <v>0.29799999999999999</v>
      </c>
      <c r="AP204" s="157">
        <v>459.85</v>
      </c>
      <c r="AQ204" s="157"/>
      <c r="AR204" s="158">
        <f t="shared" si="51"/>
        <v>3.5998439136596081E-5</v>
      </c>
      <c r="AS204" s="144">
        <f t="shared" si="52"/>
        <v>4.4624263210860312E-5</v>
      </c>
      <c r="AT204" s="144">
        <f t="shared" si="53"/>
        <v>1.2168219999589247E-6</v>
      </c>
      <c r="AU204" s="144">
        <f t="shared" si="53"/>
        <v>8.6062722063625719E-4</v>
      </c>
      <c r="AV204" s="144">
        <f t="shared" si="53"/>
        <v>3.427327432174323E-7</v>
      </c>
      <c r="AW204" s="158">
        <f t="shared" si="53"/>
        <v>5.288780267400546E-4</v>
      </c>
      <c r="AX204" s="144"/>
      <c r="AY204" s="178">
        <f t="shared" si="45"/>
        <v>1.3679406871906512</v>
      </c>
      <c r="AZ204" s="144">
        <f t="shared" si="46"/>
        <v>1.695722002012692</v>
      </c>
      <c r="BA204" s="144">
        <f t="shared" si="47"/>
        <v>4.6239235998439134E-2</v>
      </c>
      <c r="BB204" s="144">
        <f t="shared" si="47"/>
        <v>32.703834384177767</v>
      </c>
      <c r="BC204" s="144">
        <f t="shared" si="47"/>
        <v>1.302384424226243E-2</v>
      </c>
      <c r="BD204" s="178">
        <f t="shared" si="47"/>
        <v>20.097365016122076</v>
      </c>
      <c r="BE204" s="144"/>
      <c r="BF204" s="160">
        <f t="shared" si="48"/>
        <v>6.4559600747571438E-7</v>
      </c>
      <c r="BG204" s="144">
        <f t="shared" si="49"/>
        <v>2.66763845474523E-8</v>
      </c>
      <c r="BH204" s="144">
        <f t="shared" si="50"/>
        <v>7.2741619157544514E-10</v>
      </c>
      <c r="BI204" s="144">
        <f t="shared" si="50"/>
        <v>5.1448295249635464E-7</v>
      </c>
      <c r="BJ204" s="144">
        <f t="shared" si="50"/>
        <v>2.0488563389538109E-10</v>
      </c>
      <c r="BK204" s="160">
        <f t="shared" si="50"/>
        <v>3.1616328438520464E-7</v>
      </c>
      <c r="BL204" s="144"/>
    </row>
    <row r="205" spans="24:64">
      <c r="X205" s="53" t="s">
        <v>227</v>
      </c>
      <c r="Y205" s="39" t="s">
        <v>228</v>
      </c>
      <c r="Z205" s="155" t="s">
        <v>341</v>
      </c>
      <c r="AA205" s="53">
        <v>0.10542700000000001</v>
      </c>
      <c r="AB205" s="53">
        <v>34.698397999999997</v>
      </c>
      <c r="AC205" s="53" t="s">
        <v>359</v>
      </c>
      <c r="AD205" s="53" t="s">
        <v>334</v>
      </c>
      <c r="AE205" s="116" t="s">
        <v>347</v>
      </c>
      <c r="AF205" s="154" t="s">
        <v>371</v>
      </c>
      <c r="AG205" s="116" t="s">
        <v>687</v>
      </c>
      <c r="AH205" s="53" t="s">
        <v>364</v>
      </c>
      <c r="AI205" s="53" t="s">
        <v>685</v>
      </c>
      <c r="AJ205" s="53" t="s">
        <v>690</v>
      </c>
      <c r="AK205" s="156">
        <v>847.1</v>
      </c>
      <c r="AL205" s="157">
        <v>290.39999999999998</v>
      </c>
      <c r="AM205" s="162">
        <v>3.3985000000000001E-2</v>
      </c>
      <c r="AN205" s="157">
        <v>250.7</v>
      </c>
      <c r="AO205" s="156">
        <v>0.753</v>
      </c>
      <c r="AP205" s="157">
        <v>124.68</v>
      </c>
      <c r="AQ205" s="157"/>
      <c r="AR205" s="158">
        <f t="shared" si="51"/>
        <v>9.7425807644123136E-4</v>
      </c>
      <c r="AS205" s="144">
        <f t="shared" si="52"/>
        <v>3.339919081555112E-4</v>
      </c>
      <c r="AT205" s="144">
        <f t="shared" si="53"/>
        <v>3.9086484155182682E-8</v>
      </c>
      <c r="AU205" s="144">
        <f t="shared" si="53"/>
        <v>2.8833254605573923E-4</v>
      </c>
      <c r="AV205" s="144">
        <f t="shared" si="53"/>
        <v>8.6603273705612939E-7</v>
      </c>
      <c r="AW205" s="158">
        <f t="shared" si="53"/>
        <v>1.4339569941056868E-4</v>
      </c>
      <c r="AX205" s="144"/>
      <c r="AY205" s="178">
        <f t="shared" si="45"/>
        <v>37.021806904766798</v>
      </c>
      <c r="AZ205" s="144">
        <f t="shared" si="46"/>
        <v>12.691692509909426</v>
      </c>
      <c r="BA205" s="144">
        <f t="shared" si="47"/>
        <v>1.4852863978969421E-3</v>
      </c>
      <c r="BB205" s="144">
        <f t="shared" si="47"/>
        <v>10.956636750118092</v>
      </c>
      <c r="BC205" s="144">
        <f t="shared" si="47"/>
        <v>3.2909244008132915E-2</v>
      </c>
      <c r="BD205" s="178">
        <f t="shared" si="47"/>
        <v>5.4490365776016096</v>
      </c>
      <c r="BE205" s="144"/>
      <c r="BF205" s="160">
        <f t="shared" si="48"/>
        <v>1.7472344342897042E-5</v>
      </c>
      <c r="BG205" s="144">
        <f t="shared" si="49"/>
        <v>1.996603626953646E-7</v>
      </c>
      <c r="BH205" s="144">
        <f t="shared" si="50"/>
        <v>2.3365900227968209E-11</v>
      </c>
      <c r="BI205" s="144">
        <f t="shared" si="50"/>
        <v>1.7236519603212094E-7</v>
      </c>
      <c r="BJ205" s="144">
        <f t="shared" si="50"/>
        <v>5.1771437021215424E-10</v>
      </c>
      <c r="BK205" s="160">
        <f t="shared" si="50"/>
        <v>8.5721949107637961E-8</v>
      </c>
      <c r="BL205" s="144"/>
    </row>
    <row r="206" spans="24:64">
      <c r="X206" s="53" t="s">
        <v>229</v>
      </c>
      <c r="Y206" s="39" t="s">
        <v>230</v>
      </c>
      <c r="Z206" s="155" t="s">
        <v>341</v>
      </c>
      <c r="AA206" s="53">
        <v>0.10542700000000001</v>
      </c>
      <c r="AB206" s="53">
        <v>34.698397999999997</v>
      </c>
      <c r="AC206" s="53" t="s">
        <v>359</v>
      </c>
      <c r="AD206" s="53" t="s">
        <v>334</v>
      </c>
      <c r="AE206" s="116" t="s">
        <v>347</v>
      </c>
      <c r="AF206" s="154" t="s">
        <v>371</v>
      </c>
      <c r="AG206" s="116" t="s">
        <v>687</v>
      </c>
      <c r="AH206" s="53" t="s">
        <v>361</v>
      </c>
      <c r="AI206" s="53" t="s">
        <v>685</v>
      </c>
      <c r="AJ206" s="53" t="s">
        <v>690</v>
      </c>
      <c r="AK206" s="156">
        <v>575.70000000000005</v>
      </c>
      <c r="AL206" s="157">
        <v>140.19999999999999</v>
      </c>
      <c r="AM206" s="162">
        <v>0.159215</v>
      </c>
      <c r="AN206" s="157">
        <v>248.5</v>
      </c>
      <c r="AO206" s="156">
        <v>0.45800000000000002</v>
      </c>
      <c r="AP206" s="157">
        <v>105.19</v>
      </c>
      <c r="AQ206" s="157"/>
      <c r="AR206" s="158">
        <f t="shared" si="51"/>
        <v>6.6211825594052296E-4</v>
      </c>
      <c r="AS206" s="144">
        <f t="shared" si="52"/>
        <v>1.6124540469491277E-4</v>
      </c>
      <c r="AT206" s="144">
        <f t="shared" si="53"/>
        <v>1.8311474399786403E-7</v>
      </c>
      <c r="AU206" s="144">
        <f t="shared" si="53"/>
        <v>2.858023043272884E-4</v>
      </c>
      <c r="AV206" s="144">
        <f t="shared" si="53"/>
        <v>5.2675032346840285E-7</v>
      </c>
      <c r="AW206" s="158">
        <f t="shared" si="53"/>
        <v>1.2098005791624736E-4</v>
      </c>
      <c r="AX206" s="144"/>
      <c r="AY206" s="178">
        <f t="shared" si="45"/>
        <v>25.160493725739869</v>
      </c>
      <c r="AZ206" s="144">
        <f t="shared" si="46"/>
        <v>6.1273253784066855</v>
      </c>
      <c r="BA206" s="144">
        <f t="shared" si="47"/>
        <v>6.9583602719188349E-3</v>
      </c>
      <c r="BB206" s="144">
        <f t="shared" si="47"/>
        <v>10.86048756443696</v>
      </c>
      <c r="BC206" s="144">
        <f t="shared" si="47"/>
        <v>2.0016512291799307E-2</v>
      </c>
      <c r="BD206" s="178">
        <f t="shared" si="47"/>
        <v>4.5972422008173996</v>
      </c>
      <c r="BE206" s="144"/>
      <c r="BF206" s="160">
        <f t="shared" si="48"/>
        <v>1.1874428802037338E-5</v>
      </c>
      <c r="BG206" s="144">
        <f t="shared" si="49"/>
        <v>9.6392502926618881E-8</v>
      </c>
      <c r="BH206" s="144">
        <f t="shared" si="50"/>
        <v>1.0946599396192317E-10</v>
      </c>
      <c r="BI206" s="144">
        <f t="shared" si="50"/>
        <v>1.7085261752685303E-7</v>
      </c>
      <c r="BJ206" s="144">
        <f t="shared" si="50"/>
        <v>3.1489134336941115E-10</v>
      </c>
      <c r="BK206" s="160">
        <f t="shared" si="50"/>
        <v>7.2321878622332667E-8</v>
      </c>
      <c r="BL206" s="144"/>
    </row>
    <row r="207" spans="24:64">
      <c r="X207" s="53" t="s">
        <v>231</v>
      </c>
      <c r="Y207" s="39" t="s">
        <v>232</v>
      </c>
      <c r="Z207" s="155" t="s">
        <v>341</v>
      </c>
      <c r="AA207" s="53">
        <v>0.105117</v>
      </c>
      <c r="AB207" s="53">
        <v>34.698954000000001</v>
      </c>
      <c r="AC207" s="53" t="s">
        <v>359</v>
      </c>
      <c r="AD207" s="53" t="s">
        <v>334</v>
      </c>
      <c r="AE207" s="116" t="s">
        <v>347</v>
      </c>
      <c r="AF207" s="154" t="s">
        <v>371</v>
      </c>
      <c r="AG207" s="116" t="s">
        <v>687</v>
      </c>
      <c r="AH207" s="53" t="s">
        <v>366</v>
      </c>
      <c r="AI207" s="53" t="s">
        <v>684</v>
      </c>
      <c r="AJ207" s="53" t="s">
        <v>683</v>
      </c>
      <c r="AK207" s="156">
        <v>1347.5</v>
      </c>
      <c r="AL207" s="157">
        <v>148.9</v>
      </c>
      <c r="AM207" s="162">
        <v>1.294535</v>
      </c>
      <c r="AN207" s="157">
        <v>191.6</v>
      </c>
      <c r="AO207" s="156">
        <v>0.67700000000000005</v>
      </c>
      <c r="AP207" s="157">
        <v>72.87</v>
      </c>
      <c r="AQ207" s="157"/>
      <c r="AR207" s="158">
        <f t="shared" si="51"/>
        <v>1.5497730586761412E-3</v>
      </c>
      <c r="AS207" s="144">
        <f t="shared" si="52"/>
        <v>1.7125136062105933E-4</v>
      </c>
      <c r="AT207" s="144">
        <f t="shared" si="53"/>
        <v>1.4888574890636872E-6</v>
      </c>
      <c r="AU207" s="144">
        <f t="shared" si="53"/>
        <v>2.2036105235053705E-4</v>
      </c>
      <c r="AV207" s="144">
        <f t="shared" si="53"/>
        <v>7.7862438643691844E-7</v>
      </c>
      <c r="AW207" s="158">
        <f t="shared" si="53"/>
        <v>8.3808506705551332E-5</v>
      </c>
      <c r="AX207" s="144"/>
      <c r="AY207" s="178">
        <f t="shared" si="45"/>
        <v>58.891376229693371</v>
      </c>
      <c r="AZ207" s="144">
        <f t="shared" si="46"/>
        <v>6.5075517036002557</v>
      </c>
      <c r="BA207" s="144">
        <f t="shared" si="47"/>
        <v>5.6576584584420116E-2</v>
      </c>
      <c r="BB207" s="144">
        <f t="shared" si="47"/>
        <v>8.3737199893204064</v>
      </c>
      <c r="BC207" s="144">
        <f t="shared" si="47"/>
        <v>2.9587726684602904E-2</v>
      </c>
      <c r="BD207" s="178">
        <f t="shared" si="47"/>
        <v>3.1847232548109514</v>
      </c>
      <c r="BE207" s="144"/>
      <c r="BF207" s="160">
        <f t="shared" si="48"/>
        <v>2.7793630034297912E-5</v>
      </c>
      <c r="BG207" s="144">
        <f t="shared" si="49"/>
        <v>1.0237406337926926E-7</v>
      </c>
      <c r="BH207" s="144">
        <f t="shared" si="50"/>
        <v>8.9003900696227246E-10</v>
      </c>
      <c r="BI207" s="144">
        <f t="shared" si="50"/>
        <v>1.3173183709515107E-7</v>
      </c>
      <c r="BJ207" s="144">
        <f t="shared" si="50"/>
        <v>4.6546165821198998E-10</v>
      </c>
      <c r="BK207" s="160">
        <f t="shared" si="50"/>
        <v>5.0100725308578584E-8</v>
      </c>
      <c r="BL207" s="144"/>
    </row>
    <row r="208" spans="24:64">
      <c r="X208" s="53" t="s">
        <v>233</v>
      </c>
      <c r="Y208" s="39" t="s">
        <v>234</v>
      </c>
      <c r="Z208" s="155" t="s">
        <v>341</v>
      </c>
      <c r="AA208" s="53">
        <v>0.105117</v>
      </c>
      <c r="AB208" s="53">
        <v>34.698954000000001</v>
      </c>
      <c r="AC208" s="53" t="s">
        <v>359</v>
      </c>
      <c r="AD208" s="53" t="s">
        <v>334</v>
      </c>
      <c r="AE208" s="116" t="s">
        <v>347</v>
      </c>
      <c r="AF208" s="154" t="s">
        <v>371</v>
      </c>
      <c r="AG208" s="116" t="s">
        <v>687</v>
      </c>
      <c r="AH208" s="53" t="s">
        <v>367</v>
      </c>
      <c r="AI208" s="53" t="s">
        <v>684</v>
      </c>
      <c r="AJ208" s="53" t="s">
        <v>683</v>
      </c>
      <c r="AK208" s="156">
        <v>435.3</v>
      </c>
      <c r="AL208" s="157">
        <v>52</v>
      </c>
      <c r="AM208" s="162">
        <v>0.83558500000000002</v>
      </c>
      <c r="AN208" s="157">
        <v>177.4</v>
      </c>
      <c r="AO208" s="156">
        <v>0.22500000000000001</v>
      </c>
      <c r="AP208" s="157">
        <v>56.1</v>
      </c>
      <c r="AQ208" s="157"/>
      <c r="AR208" s="158">
        <f t="shared" si="51"/>
        <v>5.0064282927029635E-4</v>
      </c>
      <c r="AS208" s="144">
        <f t="shared" si="52"/>
        <v>5.9805713581565379E-5</v>
      </c>
      <c r="AT208" s="144">
        <f t="shared" si="53"/>
        <v>9.6101456121254426E-7</v>
      </c>
      <c r="AU208" s="144">
        <f t="shared" si="53"/>
        <v>2.0402949210326343E-4</v>
      </c>
      <c r="AV208" s="144">
        <f t="shared" si="53"/>
        <v>2.5877472222792715E-7</v>
      </c>
      <c r="AW208" s="158">
        <f t="shared" si="53"/>
        <v>6.452116407549649E-5</v>
      </c>
      <c r="AX208" s="144"/>
      <c r="AY208" s="178">
        <f t="shared" si="45"/>
        <v>19.024427512271263</v>
      </c>
      <c r="AZ208" s="144">
        <f t="shared" si="46"/>
        <v>2.2726171160994846</v>
      </c>
      <c r="BA208" s="144">
        <f t="shared" si="47"/>
        <v>3.6518553326076689E-2</v>
      </c>
      <c r="BB208" s="144">
        <f t="shared" si="47"/>
        <v>7.7531206999240103</v>
      </c>
      <c r="BC208" s="144">
        <f t="shared" si="47"/>
        <v>9.8334394446612308E-3</v>
      </c>
      <c r="BD208" s="178">
        <f t="shared" si="47"/>
        <v>2.4518042348688671</v>
      </c>
      <c r="BE208" s="144"/>
      <c r="BF208" s="160">
        <f t="shared" si="48"/>
        <v>8.9785285001334959E-6</v>
      </c>
      <c r="BG208" s="144">
        <f t="shared" si="49"/>
        <v>3.5751855579059799E-8</v>
      </c>
      <c r="BH208" s="144">
        <f t="shared" si="50"/>
        <v>5.7449450469285901E-10</v>
      </c>
      <c r="BI208" s="144">
        <f t="shared" si="50"/>
        <v>1.2196883037933091E-7</v>
      </c>
      <c r="BJ208" s="144">
        <f t="shared" si="50"/>
        <v>1.5469552894785486E-10</v>
      </c>
      <c r="BK208" s="160">
        <f t="shared" si="50"/>
        <v>3.8570751884331803E-8</v>
      </c>
      <c r="BL208" s="144"/>
    </row>
    <row r="209" spans="24:64">
      <c r="X209" s="53" t="s">
        <v>235</v>
      </c>
      <c r="Y209" s="39" t="s">
        <v>236</v>
      </c>
      <c r="Z209" s="155" t="s">
        <v>341</v>
      </c>
      <c r="AA209" s="53">
        <v>0.105629</v>
      </c>
      <c r="AB209" s="53">
        <v>34.699337</v>
      </c>
      <c r="AC209" s="53" t="s">
        <v>359</v>
      </c>
      <c r="AD209" s="53" t="s">
        <v>334</v>
      </c>
      <c r="AE209" s="116" t="s">
        <v>347</v>
      </c>
      <c r="AF209" s="154" t="s">
        <v>371</v>
      </c>
      <c r="AG209" s="116" t="s">
        <v>687</v>
      </c>
      <c r="AH209" s="53" t="s">
        <v>361</v>
      </c>
      <c r="AI209" s="53" t="s">
        <v>685</v>
      </c>
      <c r="AJ209" s="53" t="s">
        <v>690</v>
      </c>
      <c r="AK209" s="156">
        <v>3405.1</v>
      </c>
      <c r="AL209" s="157">
        <v>141.1</v>
      </c>
      <c r="AM209" s="162">
        <v>9.0802549999999993</v>
      </c>
      <c r="AN209" s="157">
        <v>237.8</v>
      </c>
      <c r="AO209" s="156">
        <v>0.95899999999999996</v>
      </c>
      <c r="AP209" s="157">
        <v>98.85</v>
      </c>
      <c r="AQ209" s="157"/>
      <c r="AR209" s="158">
        <f t="shared" si="51"/>
        <v>3.9162391407036199E-3</v>
      </c>
      <c r="AS209" s="144">
        <f t="shared" si="52"/>
        <v>1.6228050358382454E-4</v>
      </c>
      <c r="AT209" s="144">
        <f t="shared" si="53"/>
        <v>1.0443290957261093E-5</v>
      </c>
      <c r="AU209" s="144">
        <f t="shared" si="53"/>
        <v>2.7349612864800476E-4</v>
      </c>
      <c r="AV209" s="144">
        <f t="shared" si="53"/>
        <v>1.1029553716292539E-6</v>
      </c>
      <c r="AW209" s="158">
        <f t="shared" si="53"/>
        <v>1.1368836129880264E-4</v>
      </c>
      <c r="AX209" s="144"/>
      <c r="AY209" s="178">
        <f t="shared" si="45"/>
        <v>148.81708734673759</v>
      </c>
      <c r="AZ209" s="144">
        <f t="shared" si="46"/>
        <v>6.1666591361853307</v>
      </c>
      <c r="BA209" s="144">
        <f t="shared" si="47"/>
        <v>0.3968450563759216</v>
      </c>
      <c r="BB209" s="144">
        <f t="shared" si="47"/>
        <v>10.392852888624182</v>
      </c>
      <c r="BC209" s="144">
        <f t="shared" si="47"/>
        <v>4.1912304121911638E-2</v>
      </c>
      <c r="BD209" s="178">
        <f t="shared" si="47"/>
        <v>4.3201577293544995</v>
      </c>
      <c r="BE209" s="144"/>
      <c r="BF209" s="160">
        <f t="shared" si="48"/>
        <v>7.0233832749378735E-5</v>
      </c>
      <c r="BG209" s="144">
        <f t="shared" si="49"/>
        <v>9.70112850424103E-8</v>
      </c>
      <c r="BH209" s="144">
        <f t="shared" si="50"/>
        <v>6.242999334250682E-9</v>
      </c>
      <c r="BI209" s="144">
        <f t="shared" si="50"/>
        <v>1.6349598570577723E-7</v>
      </c>
      <c r="BJ209" s="144">
        <f t="shared" si="50"/>
        <v>6.5934672115996796E-10</v>
      </c>
      <c r="BK209" s="160">
        <f t="shared" si="50"/>
        <v>6.7962902384424222E-8</v>
      </c>
      <c r="BL209" s="144"/>
    </row>
    <row r="210" spans="24:64">
      <c r="X210" s="53" t="s">
        <v>237</v>
      </c>
      <c r="Y210" s="39" t="s">
        <v>238</v>
      </c>
      <c r="Z210" s="155" t="s">
        <v>341</v>
      </c>
      <c r="AA210" s="53">
        <v>0.105629</v>
      </c>
      <c r="AB210" s="53">
        <v>34.699337</v>
      </c>
      <c r="AC210" s="53" t="s">
        <v>359</v>
      </c>
      <c r="AD210" s="53" t="s">
        <v>334</v>
      </c>
      <c r="AE210" s="116" t="s">
        <v>347</v>
      </c>
      <c r="AF210" s="154" t="s">
        <v>371</v>
      </c>
      <c r="AG210" s="116" t="s">
        <v>687</v>
      </c>
      <c r="AH210" s="53" t="s">
        <v>368</v>
      </c>
      <c r="AI210" s="53" t="s">
        <v>684</v>
      </c>
      <c r="AJ210" s="53" t="s">
        <v>683</v>
      </c>
      <c r="AK210" s="156">
        <v>1615.5</v>
      </c>
      <c r="AL210" s="157">
        <v>99.2</v>
      </c>
      <c r="AM210" s="74">
        <v>2.3111900000000003</v>
      </c>
      <c r="AN210" s="157">
        <v>148.19999999999999</v>
      </c>
      <c r="AO210" s="156">
        <v>0.53200000000000003</v>
      </c>
      <c r="AP210" s="157">
        <v>58.89</v>
      </c>
      <c r="AQ210" s="157"/>
      <c r="AR210" s="158">
        <f t="shared" si="51"/>
        <v>1.8580025055965168E-3</v>
      </c>
      <c r="AS210" s="144">
        <f t="shared" si="52"/>
        <v>1.1409089975560165E-4</v>
      </c>
      <c r="AT210" s="144">
        <f t="shared" si="53"/>
        <v>2.658122445626502E-6</v>
      </c>
      <c r="AU210" s="144">
        <f t="shared" si="53"/>
        <v>1.7044628370746129E-4</v>
      </c>
      <c r="AV210" s="144">
        <f t="shared" si="53"/>
        <v>6.1185845433447656E-7</v>
      </c>
      <c r="AW210" s="158">
        <f t="shared" si="53"/>
        <v>6.7729970631122787E-5</v>
      </c>
      <c r="AX210" s="144"/>
      <c r="AY210" s="178">
        <f t="shared" si="45"/>
        <v>70.604095212667644</v>
      </c>
      <c r="AZ210" s="144">
        <f t="shared" si="46"/>
        <v>4.3354541907128628</v>
      </c>
      <c r="BA210" s="144">
        <f t="shared" si="47"/>
        <v>0.10100865293380708</v>
      </c>
      <c r="BB210" s="144">
        <f t="shared" si="47"/>
        <v>6.4769587808835309</v>
      </c>
      <c r="BC210" s="144">
        <f t="shared" si="47"/>
        <v>2.3250621264710111E-2</v>
      </c>
      <c r="BD210" s="178">
        <f t="shared" si="47"/>
        <v>2.5737388839826658</v>
      </c>
      <c r="BE210" s="144"/>
      <c r="BF210" s="160">
        <f t="shared" si="48"/>
        <v>3.3321416935367933E-5</v>
      </c>
      <c r="BG210" s="144">
        <f t="shared" si="49"/>
        <v>6.8203539873898664E-8</v>
      </c>
      <c r="BH210" s="144">
        <f t="shared" si="50"/>
        <v>1.5890255979955233E-9</v>
      </c>
      <c r="BI210" s="144">
        <f t="shared" si="50"/>
        <v>1.0189278840032035E-7</v>
      </c>
      <c r="BJ210" s="144">
        <f t="shared" si="50"/>
        <v>3.657689840011502E-10</v>
      </c>
      <c r="BK210" s="160">
        <f t="shared" si="50"/>
        <v>4.0488976443285209E-8</v>
      </c>
      <c r="BL210" s="144"/>
    </row>
    <row r="211" spans="24:64">
      <c r="X211" s="53" t="s">
        <v>239</v>
      </c>
      <c r="Y211" s="39" t="s">
        <v>240</v>
      </c>
      <c r="Z211" s="155" t="s">
        <v>341</v>
      </c>
      <c r="AA211" s="53">
        <v>0.10542700000000001</v>
      </c>
      <c r="AB211" s="53">
        <v>34.698397999999997</v>
      </c>
      <c r="AC211" s="53" t="s">
        <v>359</v>
      </c>
      <c r="AD211" s="53" t="s">
        <v>334</v>
      </c>
      <c r="AE211" s="116" t="s">
        <v>347</v>
      </c>
      <c r="AF211" s="154" t="s">
        <v>371</v>
      </c>
      <c r="AG211" s="116" t="s">
        <v>687</v>
      </c>
      <c r="AH211" s="53" t="s">
        <v>365</v>
      </c>
      <c r="AI211" s="53" t="s">
        <v>685</v>
      </c>
      <c r="AJ211" s="53" t="s">
        <v>691</v>
      </c>
      <c r="AK211" s="156">
        <v>4071.7</v>
      </c>
      <c r="AL211" s="157">
        <v>224.7</v>
      </c>
      <c r="AM211" s="74">
        <v>5.1827399999999999</v>
      </c>
      <c r="AN211" s="157">
        <v>186.3</v>
      </c>
      <c r="AO211" s="156">
        <v>2.0920000000000001</v>
      </c>
      <c r="AP211" s="157">
        <v>56.3</v>
      </c>
      <c r="AQ211" s="157"/>
      <c r="AR211" s="158">
        <f t="shared" si="51"/>
        <v>4.682902384424226E-3</v>
      </c>
      <c r="AS211" s="144">
        <f t="shared" si="52"/>
        <v>2.5842968926495654E-4</v>
      </c>
      <c r="AT211" s="144">
        <f t="shared" si="53"/>
        <v>5.960720461686964E-6</v>
      </c>
      <c r="AU211" s="144">
        <f t="shared" si="53"/>
        <v>2.1426547000472364E-4</v>
      </c>
      <c r="AV211" s="144">
        <f t="shared" si="53"/>
        <v>2.406029861781438E-6</v>
      </c>
      <c r="AW211" s="158">
        <f t="shared" si="53"/>
        <v>6.4751186050810206E-5</v>
      </c>
      <c r="AX211" s="144"/>
      <c r="AY211" s="178">
        <f t="shared" si="45"/>
        <v>177.95029060812061</v>
      </c>
      <c r="AZ211" s="144">
        <f t="shared" si="46"/>
        <v>9.820328192068347</v>
      </c>
      <c r="BA211" s="144">
        <f t="shared" si="47"/>
        <v>0.22650737754410466</v>
      </c>
      <c r="BB211" s="144">
        <f t="shared" si="47"/>
        <v>8.142087860179501</v>
      </c>
      <c r="BC211" s="144">
        <f t="shared" si="47"/>
        <v>9.1429134747694651E-2</v>
      </c>
      <c r="BD211" s="178">
        <f t="shared" si="47"/>
        <v>2.4605450699307876</v>
      </c>
      <c r="BE211" s="144"/>
      <c r="BF211" s="160">
        <f t="shared" si="48"/>
        <v>8.3983171362264072E-5</v>
      </c>
      <c r="BG211" s="144">
        <f t="shared" si="49"/>
        <v>1.5448926824259105E-7</v>
      </c>
      <c r="BH211" s="144">
        <f t="shared" si="50"/>
        <v>3.5633186919964685E-9</v>
      </c>
      <c r="BI211" s="144">
        <f t="shared" si="50"/>
        <v>1.2808789796882379E-7</v>
      </c>
      <c r="BJ211" s="144">
        <f t="shared" si="50"/>
        <v>1.4383246513729437E-9</v>
      </c>
      <c r="BK211" s="160">
        <f t="shared" si="50"/>
        <v>3.8708259021174339E-8</v>
      </c>
      <c r="BL211" s="144"/>
    </row>
    <row r="212" spans="24:64">
      <c r="X212" s="53" t="s">
        <v>241</v>
      </c>
      <c r="Y212" s="39" t="s">
        <v>242</v>
      </c>
      <c r="Z212" s="155" t="s">
        <v>341</v>
      </c>
      <c r="AA212" s="53">
        <v>0.105629</v>
      </c>
      <c r="AB212" s="53">
        <v>34.699337</v>
      </c>
      <c r="AC212" s="53" t="s">
        <v>359</v>
      </c>
      <c r="AD212" s="53" t="s">
        <v>334</v>
      </c>
      <c r="AE212" s="116" t="s">
        <v>347</v>
      </c>
      <c r="AF212" s="154" t="s">
        <v>371</v>
      </c>
      <c r="AG212" s="116" t="s">
        <v>687</v>
      </c>
      <c r="AH212" s="53" t="s">
        <v>367</v>
      </c>
      <c r="AI212" s="53" t="s">
        <v>684</v>
      </c>
      <c r="AJ212" s="53" t="s">
        <v>683</v>
      </c>
      <c r="AK212" s="156">
        <v>668.9</v>
      </c>
      <c r="AL212" s="157">
        <v>153.9</v>
      </c>
      <c r="AM212" s="74">
        <v>2.6561400000000002</v>
      </c>
      <c r="AN212" s="157">
        <v>197.5</v>
      </c>
      <c r="AO212" s="156">
        <v>1.0369999999999999</v>
      </c>
      <c r="AP212" s="157">
        <v>54.39</v>
      </c>
      <c r="AQ212" s="157"/>
      <c r="AR212" s="158">
        <f t="shared" si="51"/>
        <v>7.6930849643671315E-4</v>
      </c>
      <c r="AS212" s="144">
        <f t="shared" si="52"/>
        <v>1.7700191000390213E-4</v>
      </c>
      <c r="AT212" s="144">
        <f t="shared" si="53"/>
        <v>3.0548528475488281E-6</v>
      </c>
      <c r="AU212" s="144">
        <f t="shared" si="53"/>
        <v>2.2714670062229161E-4</v>
      </c>
      <c r="AV212" s="144">
        <f t="shared" si="53"/>
        <v>1.1926639420016016E-6</v>
      </c>
      <c r="AW212" s="158">
        <f t="shared" si="53"/>
        <v>6.2554476186564245E-5</v>
      </c>
      <c r="AX212" s="144"/>
      <c r="AY212" s="178">
        <f t="shared" si="45"/>
        <v>29.233722864595094</v>
      </c>
      <c r="AZ212" s="144">
        <f t="shared" si="46"/>
        <v>6.7260725801482835</v>
      </c>
      <c r="BA212" s="144">
        <f t="shared" si="47"/>
        <v>0.11608440820685549</v>
      </c>
      <c r="BB212" s="144">
        <f t="shared" si="47"/>
        <v>8.6315746236470812</v>
      </c>
      <c r="BC212" s="144">
        <f t="shared" si="47"/>
        <v>4.5321229796060868E-2</v>
      </c>
      <c r="BD212" s="178">
        <f t="shared" si="47"/>
        <v>2.3770700950894414</v>
      </c>
      <c r="BE212" s="144"/>
      <c r="BF212" s="160">
        <f t="shared" si="48"/>
        <v>1.3796778575096013E-5</v>
      </c>
      <c r="BG212" s="144">
        <f t="shared" si="49"/>
        <v>1.0581174180033272E-7</v>
      </c>
      <c r="BH212" s="144">
        <f t="shared" si="50"/>
        <v>1.8261910322646897E-9</v>
      </c>
      <c r="BI212" s="144">
        <f t="shared" si="50"/>
        <v>1.3578829763200595E-7</v>
      </c>
      <c r="BJ212" s="144">
        <f t="shared" si="50"/>
        <v>7.1297450452855759E-10</v>
      </c>
      <c r="BK212" s="160">
        <f t="shared" si="50"/>
        <v>3.7395065864328105E-8</v>
      </c>
      <c r="BL212" s="144"/>
    </row>
    <row r="213" spans="24:64">
      <c r="X213" s="53" t="s">
        <v>243</v>
      </c>
      <c r="Y213" s="39" t="s">
        <v>244</v>
      </c>
      <c r="Z213" s="155" t="s">
        <v>341</v>
      </c>
      <c r="AA213" s="53">
        <v>0.105629</v>
      </c>
      <c r="AB213" s="53">
        <v>34.699337</v>
      </c>
      <c r="AC213" s="53" t="s">
        <v>359</v>
      </c>
      <c r="AD213" s="53" t="s">
        <v>334</v>
      </c>
      <c r="AE213" s="116" t="s">
        <v>347</v>
      </c>
      <c r="AF213" s="154" t="s">
        <v>371</v>
      </c>
      <c r="AG213" s="116" t="s">
        <v>687</v>
      </c>
      <c r="AH213" s="53" t="s">
        <v>361</v>
      </c>
      <c r="AI213" s="53" t="s">
        <v>685</v>
      </c>
      <c r="AJ213" s="53" t="s">
        <v>690</v>
      </c>
      <c r="AK213" s="156">
        <v>1730.2</v>
      </c>
      <c r="AL213" s="157">
        <v>115.1</v>
      </c>
      <c r="AM213" s="74">
        <v>2.89608</v>
      </c>
      <c r="AN213" s="157">
        <v>224.1</v>
      </c>
      <c r="AO213" s="156">
        <v>1.1439999999999999</v>
      </c>
      <c r="AP213" s="157">
        <v>83.07</v>
      </c>
      <c r="AQ213" s="157"/>
      <c r="AR213" s="158">
        <f t="shared" si="51"/>
        <v>1.9899201084389311E-3</v>
      </c>
      <c r="AS213" s="144">
        <f t="shared" si="52"/>
        <v>1.3237764679304182E-4</v>
      </c>
      <c r="AT213" s="144">
        <f t="shared" si="53"/>
        <v>3.3308102113326902E-6</v>
      </c>
      <c r="AU213" s="144">
        <f t="shared" si="53"/>
        <v>2.5773962333901543E-4</v>
      </c>
      <c r="AV213" s="144">
        <f t="shared" si="53"/>
        <v>1.3157256987944383E-6</v>
      </c>
      <c r="AW213" s="158">
        <f t="shared" si="53"/>
        <v>9.5539627446550697E-5</v>
      </c>
      <c r="AX213" s="144"/>
      <c r="AY213" s="178">
        <f t="shared" si="45"/>
        <v>75.616964120679384</v>
      </c>
      <c r="AZ213" s="144">
        <f t="shared" si="46"/>
        <v>5.0303505781355886</v>
      </c>
      <c r="BA213" s="144">
        <f t="shared" si="47"/>
        <v>0.1265707880306422</v>
      </c>
      <c r="BB213" s="144">
        <f t="shared" si="47"/>
        <v>9.7941056868825864</v>
      </c>
      <c r="BC213" s="144">
        <f t="shared" si="47"/>
        <v>4.9997576554188655E-2</v>
      </c>
      <c r="BD213" s="178">
        <f t="shared" si="47"/>
        <v>3.6305058429689256</v>
      </c>
      <c r="BE213" s="144"/>
      <c r="BF213" s="160">
        <f t="shared" si="48"/>
        <v>3.5687227224743801E-5</v>
      </c>
      <c r="BG213" s="144">
        <f t="shared" si="49"/>
        <v>7.9135357252880401E-8</v>
      </c>
      <c r="BH213" s="144">
        <f t="shared" si="50"/>
        <v>1.991158344334682E-9</v>
      </c>
      <c r="BI213" s="144">
        <f t="shared" si="50"/>
        <v>1.5407674683206343E-7</v>
      </c>
      <c r="BJ213" s="144">
        <f t="shared" si="50"/>
        <v>7.8654082273931498E-10</v>
      </c>
      <c r="BK213" s="160">
        <f t="shared" si="50"/>
        <v>5.7113589287547994E-8</v>
      </c>
      <c r="BL213" s="144"/>
    </row>
    <row r="214" spans="24:64">
      <c r="X214" s="53" t="s">
        <v>245</v>
      </c>
      <c r="Y214" s="39" t="s">
        <v>246</v>
      </c>
      <c r="Z214" s="155" t="s">
        <v>341</v>
      </c>
      <c r="AA214" s="53">
        <v>0.105629</v>
      </c>
      <c r="AB214" s="53">
        <v>34.699337</v>
      </c>
      <c r="AC214" s="53" t="s">
        <v>359</v>
      </c>
      <c r="AD214" s="53" t="s">
        <v>334</v>
      </c>
      <c r="AE214" s="116" t="s">
        <v>347</v>
      </c>
      <c r="AF214" s="154" t="s">
        <v>371</v>
      </c>
      <c r="AG214" s="116" t="s">
        <v>687</v>
      </c>
      <c r="AH214" s="53" t="s">
        <v>365</v>
      </c>
      <c r="AI214" s="53" t="s">
        <v>685</v>
      </c>
      <c r="AJ214" s="53" t="s">
        <v>691</v>
      </c>
      <c r="AK214" s="156">
        <v>95239.4</v>
      </c>
      <c r="AL214" s="157">
        <v>6453.5</v>
      </c>
      <c r="AM214" s="74">
        <v>144.67769999999999</v>
      </c>
      <c r="AN214" s="157">
        <v>385.2</v>
      </c>
      <c r="AO214" s="156">
        <v>14.455</v>
      </c>
      <c r="AP214" s="157">
        <v>641.96</v>
      </c>
      <c r="AQ214" s="157"/>
      <c r="AR214" s="158">
        <f t="shared" si="51"/>
        <v>0.10953577457846418</v>
      </c>
      <c r="AS214" s="144">
        <f t="shared" si="52"/>
        <v>7.4222340884352337E-3</v>
      </c>
      <c r="AT214" s="144">
        <f t="shared" si="53"/>
        <v>1.6639525168922383E-4</v>
      </c>
      <c r="AU214" s="144">
        <f t="shared" si="53"/>
        <v>4.4302232445421122E-4</v>
      </c>
      <c r="AV214" s="144">
        <f t="shared" si="53"/>
        <v>1.6624838265798605E-5</v>
      </c>
      <c r="AW214" s="158">
        <f t="shared" si="53"/>
        <v>7.3832453636195599E-4</v>
      </c>
      <c r="AX214" s="144"/>
      <c r="AY214" s="178">
        <f t="shared" si="45"/>
        <v>4162.3594339816391</v>
      </c>
      <c r="AZ214" s="144">
        <f t="shared" si="46"/>
        <v>282.04489536053893</v>
      </c>
      <c r="BA214" s="144">
        <f t="shared" si="47"/>
        <v>6.3230195641905054</v>
      </c>
      <c r="BB214" s="144">
        <f t="shared" si="47"/>
        <v>16.834848329260026</v>
      </c>
      <c r="BC214" s="144">
        <f t="shared" si="47"/>
        <v>0.63174385410034706</v>
      </c>
      <c r="BD214" s="178">
        <f t="shared" si="47"/>
        <v>28.056332381754327</v>
      </c>
      <c r="BE214" s="144"/>
      <c r="BF214" s="160">
        <f t="shared" si="48"/>
        <v>1.9644145812901768E-3</v>
      </c>
      <c r="BG214" s="144">
        <f t="shared" si="49"/>
        <v>4.4370115380665829E-6</v>
      </c>
      <c r="BH214" s="144">
        <f t="shared" si="50"/>
        <v>9.9471081459818023E-8</v>
      </c>
      <c r="BI214" s="144">
        <f t="shared" si="50"/>
        <v>2.6483874555872748E-7</v>
      </c>
      <c r="BJ214" s="144">
        <f t="shared" si="50"/>
        <v>9.9383283152944089E-9</v>
      </c>
      <c r="BK214" s="160">
        <f t="shared" si="50"/>
        <v>4.4137040783717722E-7</v>
      </c>
      <c r="BL214" s="144"/>
    </row>
    <row r="215" spans="24:64">
      <c r="X215" s="53" t="s">
        <v>247</v>
      </c>
      <c r="Y215" s="39" t="s">
        <v>248</v>
      </c>
      <c r="Z215" s="155" t="s">
        <v>341</v>
      </c>
      <c r="AA215" s="53">
        <v>0.105629</v>
      </c>
      <c r="AB215" s="53">
        <v>34.699337</v>
      </c>
      <c r="AC215" s="53" t="s">
        <v>359</v>
      </c>
      <c r="AD215" s="53" t="s">
        <v>334</v>
      </c>
      <c r="AE215" s="116" t="s">
        <v>347</v>
      </c>
      <c r="AF215" s="154" t="s">
        <v>371</v>
      </c>
      <c r="AG215" s="116" t="s">
        <v>687</v>
      </c>
      <c r="AH215" s="53" t="s">
        <v>364</v>
      </c>
      <c r="AI215" s="53" t="s">
        <v>685</v>
      </c>
      <c r="AJ215" s="53" t="s">
        <v>690</v>
      </c>
      <c r="AK215" s="156">
        <v>420.1</v>
      </c>
      <c r="AL215" s="157">
        <v>71.3</v>
      </c>
      <c r="AM215" s="74">
        <v>9.3579999999999997E-2</v>
      </c>
      <c r="AN215" s="157">
        <v>257</v>
      </c>
      <c r="AO215" s="156">
        <v>0.23699999999999999</v>
      </c>
      <c r="AP215" s="157">
        <v>103.2</v>
      </c>
      <c r="AQ215" s="157"/>
      <c r="AR215" s="158">
        <f t="shared" si="51"/>
        <v>4.8316115914645412E-4</v>
      </c>
      <c r="AS215" s="144">
        <f t="shared" si="52"/>
        <v>8.2002834199338681E-5</v>
      </c>
      <c r="AT215" s="144">
        <f t="shared" si="53"/>
        <v>1.0762728224928631E-7</v>
      </c>
      <c r="AU215" s="144">
        <f t="shared" si="53"/>
        <v>2.955782382781212E-4</v>
      </c>
      <c r="AV215" s="144">
        <f t="shared" si="53"/>
        <v>2.7257604074674986E-7</v>
      </c>
      <c r="AW215" s="158">
        <f t="shared" si="53"/>
        <v>1.1869133926187591E-4</v>
      </c>
      <c r="AX215" s="144"/>
      <c r="AY215" s="178">
        <f t="shared" si="45"/>
        <v>18.360124047565257</v>
      </c>
      <c r="AZ215" s="144">
        <f t="shared" si="46"/>
        <v>3.11610769957487</v>
      </c>
      <c r="BA215" s="144">
        <f t="shared" si="47"/>
        <v>4.08983672547288E-3</v>
      </c>
      <c r="BB215" s="144">
        <f t="shared" si="47"/>
        <v>11.231973054568604</v>
      </c>
      <c r="BC215" s="144">
        <f t="shared" si="47"/>
        <v>1.0357889548376496E-2</v>
      </c>
      <c r="BD215" s="178">
        <f t="shared" si="47"/>
        <v>4.5102708919512846</v>
      </c>
      <c r="BE215" s="144"/>
      <c r="BF215" s="160">
        <f t="shared" si="48"/>
        <v>8.6650122281325089E-6</v>
      </c>
      <c r="BG215" s="144">
        <f t="shared" si="49"/>
        <v>4.9021294284364671E-8</v>
      </c>
      <c r="BH215" s="144">
        <f t="shared" si="50"/>
        <v>6.433958932862337E-11</v>
      </c>
      <c r="BI215" s="144">
        <f t="shared" si="50"/>
        <v>1.7669667084266086E-7</v>
      </c>
      <c r="BJ215" s="144">
        <f t="shared" si="50"/>
        <v>1.6294595715840711E-10</v>
      </c>
      <c r="BK215" s="160">
        <f t="shared" si="50"/>
        <v>7.095368261074944E-8</v>
      </c>
      <c r="BL215" s="144"/>
    </row>
    <row r="216" spans="24:64">
      <c r="X216" s="53" t="s">
        <v>249</v>
      </c>
      <c r="Y216" s="39" t="s">
        <v>250</v>
      </c>
      <c r="Z216" s="155" t="s">
        <v>341</v>
      </c>
      <c r="AA216" s="53">
        <v>0.105629</v>
      </c>
      <c r="AB216" s="53">
        <v>34.699337</v>
      </c>
      <c r="AC216" s="53" t="s">
        <v>359</v>
      </c>
      <c r="AD216" s="53" t="s">
        <v>334</v>
      </c>
      <c r="AE216" s="116" t="s">
        <v>347</v>
      </c>
      <c r="AF216" s="154" t="s">
        <v>371</v>
      </c>
      <c r="AG216" s="116" t="s">
        <v>687</v>
      </c>
      <c r="AH216" s="53" t="s">
        <v>366</v>
      </c>
      <c r="AI216" s="53" t="s">
        <v>684</v>
      </c>
      <c r="AJ216" s="53" t="s">
        <v>683</v>
      </c>
      <c r="AK216" s="156">
        <v>8567.4</v>
      </c>
      <c r="AL216" s="157">
        <v>181.4</v>
      </c>
      <c r="AM216" s="74">
        <v>5.7652700000000001</v>
      </c>
      <c r="AN216" s="157">
        <v>120.8</v>
      </c>
      <c r="AO216" s="156">
        <v>1.0309999999999999</v>
      </c>
      <c r="AP216" s="157">
        <v>61.82</v>
      </c>
      <c r="AQ216" s="157"/>
      <c r="AR216" s="158">
        <f t="shared" si="51"/>
        <v>9.8534513565135245E-3</v>
      </c>
      <c r="AS216" s="144">
        <f t="shared" si="52"/>
        <v>2.0862993160953769E-4</v>
      </c>
      <c r="AT216" s="144">
        <f t="shared" si="53"/>
        <v>6.6306939680844509E-6</v>
      </c>
      <c r="AU216" s="144">
        <f t="shared" si="53"/>
        <v>1.3893327308948266E-4</v>
      </c>
      <c r="AV216" s="144">
        <f t="shared" si="53"/>
        <v>1.1857632827421905E-6</v>
      </c>
      <c r="AW216" s="158">
        <f t="shared" si="53"/>
        <v>7.1099792569468678E-5</v>
      </c>
      <c r="AX216" s="144"/>
      <c r="AY216" s="178">
        <f t="shared" si="45"/>
        <v>374.43115154751382</v>
      </c>
      <c r="AZ216" s="144">
        <f t="shared" si="46"/>
        <v>7.9279374011624313</v>
      </c>
      <c r="BA216" s="144">
        <f t="shared" si="47"/>
        <v>0.25196637078720913</v>
      </c>
      <c r="BB216" s="144">
        <f t="shared" si="47"/>
        <v>5.2794643774003411</v>
      </c>
      <c r="BC216" s="144">
        <f t="shared" si="47"/>
        <v>4.5059004744203233E-2</v>
      </c>
      <c r="BD216" s="178">
        <f t="shared" si="47"/>
        <v>2.7017921176398105</v>
      </c>
      <c r="BE216" s="144"/>
      <c r="BF216" s="160">
        <f t="shared" si="48"/>
        <v>1.7671179662771353E-4</v>
      </c>
      <c r="BG216" s="144">
        <f t="shared" si="49"/>
        <v>1.2471897311618166E-7</v>
      </c>
      <c r="BH216" s="144">
        <f t="shared" si="50"/>
        <v>3.9638288541208848E-9</v>
      </c>
      <c r="BI216" s="144">
        <f t="shared" si="50"/>
        <v>8.3054310652892741E-8</v>
      </c>
      <c r="BJ216" s="144">
        <f t="shared" si="50"/>
        <v>7.0884929042328148E-10</v>
      </c>
      <c r="BK216" s="160">
        <f t="shared" si="50"/>
        <v>4.2503455998028385E-8</v>
      </c>
      <c r="BL216" s="144"/>
    </row>
    <row r="217" spans="24:64">
      <c r="X217" s="53" t="s">
        <v>251</v>
      </c>
      <c r="Y217" s="39" t="s">
        <v>252</v>
      </c>
      <c r="Z217" s="155" t="s">
        <v>341</v>
      </c>
      <c r="AA217" s="53">
        <v>0.105494</v>
      </c>
      <c r="AB217" s="53">
        <v>34.699541000000004</v>
      </c>
      <c r="AC217" s="53" t="s">
        <v>359</v>
      </c>
      <c r="AD217" s="53" t="s">
        <v>334</v>
      </c>
      <c r="AE217" s="116" t="s">
        <v>347</v>
      </c>
      <c r="AF217" s="154" t="s">
        <v>371</v>
      </c>
      <c r="AG217" s="39" t="s">
        <v>688</v>
      </c>
      <c r="AH217" s="53" t="s">
        <v>369</v>
      </c>
      <c r="AI217" s="53" t="s">
        <v>685</v>
      </c>
      <c r="AJ217" s="53" t="s">
        <v>691</v>
      </c>
      <c r="AK217" s="156">
        <v>3694.8</v>
      </c>
      <c r="AL217" s="157">
        <v>204.5</v>
      </c>
      <c r="AM217" s="74">
        <v>7.8705299999999996</v>
      </c>
      <c r="AN217" s="157">
        <v>188.7</v>
      </c>
      <c r="AO217" s="156">
        <v>2.1360000000000001</v>
      </c>
      <c r="AP217" s="157">
        <v>57.71</v>
      </c>
      <c r="AQ217" s="157"/>
      <c r="AR217" s="158">
        <f t="shared" si="51"/>
        <v>4.2494259719455339E-3</v>
      </c>
      <c r="AS217" s="144">
        <f t="shared" si="52"/>
        <v>2.3519746975827154E-4</v>
      </c>
      <c r="AT217" s="144">
        <f t="shared" si="53"/>
        <v>9.0519742868291877E-6</v>
      </c>
      <c r="AU217" s="144">
        <f t="shared" si="53"/>
        <v>2.170257337084882E-4</v>
      </c>
      <c r="AV217" s="144">
        <f t="shared" si="53"/>
        <v>2.4566346963504552E-6</v>
      </c>
      <c r="AW217" s="158">
        <f t="shared" si="53"/>
        <v>6.6372840976771885E-5</v>
      </c>
      <c r="AX217" s="144"/>
      <c r="AY217" s="178">
        <f t="shared" si="45"/>
        <v>161.47818693393029</v>
      </c>
      <c r="AZ217" s="144">
        <f t="shared" si="46"/>
        <v>8.9375038508143163</v>
      </c>
      <c r="BA217" s="144">
        <f t="shared" si="47"/>
        <v>0.3439750228995091</v>
      </c>
      <c r="BB217" s="144">
        <f t="shared" si="47"/>
        <v>8.246977880922552</v>
      </c>
      <c r="BC217" s="144">
        <f t="shared" si="47"/>
        <v>9.3352118461317274E-2</v>
      </c>
      <c r="BD217" s="178">
        <f t="shared" si="47"/>
        <v>2.5221679571173321</v>
      </c>
      <c r="BE217" s="144"/>
      <c r="BF217" s="160">
        <f t="shared" si="48"/>
        <v>7.6209205380871206E-5</v>
      </c>
      <c r="BG217" s="144">
        <f t="shared" si="49"/>
        <v>1.4060104742149475E-7</v>
      </c>
      <c r="BH217" s="144">
        <f t="shared" si="50"/>
        <v>5.411270228666489E-9</v>
      </c>
      <c r="BI217" s="144">
        <f t="shared" si="50"/>
        <v>1.2973798361093428E-7</v>
      </c>
      <c r="BJ217" s="144">
        <f t="shared" si="50"/>
        <v>1.4685762214783021E-9</v>
      </c>
      <c r="BK217" s="160">
        <f t="shared" si="50"/>
        <v>3.9677684335914233E-8</v>
      </c>
      <c r="BL217" s="144"/>
    </row>
    <row r="218" spans="24:64">
      <c r="X218" s="53" t="s">
        <v>253</v>
      </c>
      <c r="Y218" s="39" t="s">
        <v>254</v>
      </c>
      <c r="Z218" s="155" t="s">
        <v>341</v>
      </c>
      <c r="AA218" s="53">
        <v>0.105494</v>
      </c>
      <c r="AB218" s="53">
        <v>34.699541000000004</v>
      </c>
      <c r="AC218" s="53" t="s">
        <v>359</v>
      </c>
      <c r="AD218" s="53" t="s">
        <v>334</v>
      </c>
      <c r="AE218" s="116" t="s">
        <v>347</v>
      </c>
      <c r="AF218" s="154" t="s">
        <v>371</v>
      </c>
      <c r="AG218" s="116" t="s">
        <v>687</v>
      </c>
      <c r="AH218" s="53" t="s">
        <v>365</v>
      </c>
      <c r="AI218" s="53" t="s">
        <v>685</v>
      </c>
      <c r="AJ218" s="53" t="s">
        <v>691</v>
      </c>
      <c r="AK218" s="156">
        <v>2492.6</v>
      </c>
      <c r="AL218" s="157">
        <v>262.10000000000002</v>
      </c>
      <c r="AM218" s="74">
        <v>70.893924999999996</v>
      </c>
      <c r="AN218" s="157">
        <v>205.9</v>
      </c>
      <c r="AO218" s="156">
        <v>2.2000000000000002</v>
      </c>
      <c r="AP218" s="157">
        <v>72.430000000000007</v>
      </c>
      <c r="AQ218" s="157"/>
      <c r="AR218" s="158">
        <f t="shared" si="51"/>
        <v>2.8667638783348055E-3</v>
      </c>
      <c r="AS218" s="144">
        <f t="shared" si="52"/>
        <v>3.0144379864862096E-4</v>
      </c>
      <c r="AT218" s="144">
        <f t="shared" si="53"/>
        <v>8.1535803331211107E-5</v>
      </c>
      <c r="AU218" s="144">
        <f t="shared" si="53"/>
        <v>2.3680762358546754E-4</v>
      </c>
      <c r="AV218" s="144">
        <f t="shared" si="53"/>
        <v>2.5302417284508436E-6</v>
      </c>
      <c r="AW218" s="158">
        <f t="shared" si="53"/>
        <v>8.3302458359861184E-5</v>
      </c>
      <c r="AX218" s="144"/>
      <c r="AY218" s="178">
        <f t="shared" si="45"/>
        <v>108.93702737672258</v>
      </c>
      <c r="AZ218" s="144">
        <f t="shared" si="46"/>
        <v>11.454864348647593</v>
      </c>
      <c r="BA218" s="144">
        <f t="shared" si="47"/>
        <v>3.0983605265860223</v>
      </c>
      <c r="BB218" s="144">
        <f t="shared" si="47"/>
        <v>8.9986896962477658</v>
      </c>
      <c r="BC218" s="144">
        <f t="shared" si="47"/>
        <v>9.6149185681132038E-2</v>
      </c>
      <c r="BD218" s="178">
        <f t="shared" si="47"/>
        <v>3.1654934176747243</v>
      </c>
      <c r="BE218" s="144"/>
      <c r="BF218" s="160">
        <f t="shared" si="48"/>
        <v>5.141254339405639E-5</v>
      </c>
      <c r="BG218" s="144">
        <f t="shared" si="49"/>
        <v>1.8020310283214562E-7</v>
      </c>
      <c r="BH218" s="144">
        <f t="shared" si="50"/>
        <v>4.8742103231398003E-8</v>
      </c>
      <c r="BI218" s="144">
        <f t="shared" si="50"/>
        <v>1.4156359737939252E-7</v>
      </c>
      <c r="BJ218" s="144">
        <f t="shared" si="50"/>
        <v>1.5125785052679141E-9</v>
      </c>
      <c r="BK218" s="160">
        <f t="shared" si="50"/>
        <v>4.9798209607525009E-8</v>
      </c>
      <c r="BL218" s="144"/>
    </row>
    <row r="219" spans="24:64">
      <c r="X219" s="53" t="s">
        <v>255</v>
      </c>
      <c r="Y219" s="39" t="s">
        <v>256</v>
      </c>
      <c r="Z219" s="155" t="s">
        <v>342</v>
      </c>
      <c r="AA219" s="53">
        <v>0.10229199999999999</v>
      </c>
      <c r="AB219" s="53">
        <v>34.713501999999998</v>
      </c>
      <c r="AC219" s="53" t="s">
        <v>335</v>
      </c>
      <c r="AD219" s="53" t="s">
        <v>334</v>
      </c>
      <c r="AE219" s="116" t="s">
        <v>347</v>
      </c>
      <c r="AF219" s="154" t="s">
        <v>371</v>
      </c>
      <c r="AG219" s="116" t="s">
        <v>687</v>
      </c>
      <c r="AH219" s="53" t="s">
        <v>365</v>
      </c>
      <c r="AI219" s="53" t="s">
        <v>685</v>
      </c>
      <c r="AJ219" s="53" t="s">
        <v>691</v>
      </c>
      <c r="AK219" s="156">
        <v>10005.1</v>
      </c>
      <c r="AL219" s="157">
        <v>24.2</v>
      </c>
      <c r="AM219" s="74">
        <v>0.89992500000000009</v>
      </c>
      <c r="AN219" s="157">
        <v>137.4</v>
      </c>
      <c r="AO219" s="156">
        <v>0.32400000000000001</v>
      </c>
      <c r="AP219" s="157">
        <v>76.260000000000005</v>
      </c>
      <c r="AQ219" s="157"/>
      <c r="AR219" s="158">
        <f t="shared" si="51"/>
        <v>1.1506964326056149E-2</v>
      </c>
      <c r="AS219" s="144">
        <f t="shared" si="52"/>
        <v>2.7832659012959272E-5</v>
      </c>
      <c r="AT219" s="144">
        <f t="shared" si="53"/>
        <v>1.035012630670966E-6</v>
      </c>
      <c r="AU219" s="144">
        <f t="shared" si="53"/>
        <v>1.5802509704052083E-4</v>
      </c>
      <c r="AV219" s="144">
        <f t="shared" si="53"/>
        <v>3.7263560000821506E-7</v>
      </c>
      <c r="AW219" s="158">
        <f t="shared" si="53"/>
        <v>8.7707379187118776E-5</v>
      </c>
      <c r="AX219" s="144"/>
      <c r="AY219" s="178">
        <f t="shared" si="45"/>
        <v>437.2646443901337</v>
      </c>
      <c r="AZ219" s="144">
        <f t="shared" si="46"/>
        <v>1.0576410424924523</v>
      </c>
      <c r="BA219" s="144">
        <f t="shared" si="47"/>
        <v>3.9330479965496705E-2</v>
      </c>
      <c r="BB219" s="144">
        <f t="shared" si="47"/>
        <v>6.0049536875397918</v>
      </c>
      <c r="BC219" s="144">
        <f t="shared" si="47"/>
        <v>1.4160152800312173E-2</v>
      </c>
      <c r="BD219" s="178">
        <f t="shared" si="47"/>
        <v>3.3328804091105133</v>
      </c>
      <c r="BE219" s="144"/>
      <c r="BF219" s="160">
        <f t="shared" si="48"/>
        <v>2.0636589822349094E-4</v>
      </c>
      <c r="BG219" s="144">
        <f t="shared" si="49"/>
        <v>1.6638363557947057E-8</v>
      </c>
      <c r="BH219" s="144">
        <f t="shared" si="50"/>
        <v>6.1873055061510346E-10</v>
      </c>
      <c r="BI219" s="144">
        <f t="shared" si="50"/>
        <v>9.4467403010823348E-8</v>
      </c>
      <c r="BJ219" s="144">
        <f t="shared" si="50"/>
        <v>2.2276156168491098E-10</v>
      </c>
      <c r="BK219" s="160">
        <f t="shared" si="50"/>
        <v>5.2431471278059611E-8</v>
      </c>
      <c r="BL219" s="144"/>
    </row>
    <row r="220" spans="24:64">
      <c r="X220" s="53" t="s">
        <v>257</v>
      </c>
      <c r="Y220" s="39" t="s">
        <v>258</v>
      </c>
      <c r="Z220" s="155" t="s">
        <v>342</v>
      </c>
      <c r="AA220" s="53">
        <v>0.10229199999999999</v>
      </c>
      <c r="AB220" s="53">
        <v>34.713501999999998</v>
      </c>
      <c r="AC220" s="53" t="s">
        <v>335</v>
      </c>
      <c r="AD220" s="53" t="s">
        <v>334</v>
      </c>
      <c r="AE220" s="116" t="s">
        <v>347</v>
      </c>
      <c r="AF220" s="154" t="s">
        <v>371</v>
      </c>
      <c r="AG220" s="116" t="s">
        <v>687</v>
      </c>
      <c r="AH220" s="53" t="s">
        <v>361</v>
      </c>
      <c r="AI220" s="53" t="s">
        <v>685</v>
      </c>
      <c r="AJ220" s="53" t="s">
        <v>690</v>
      </c>
      <c r="AK220" s="156">
        <v>5348.2</v>
      </c>
      <c r="AL220" s="157">
        <v>105.9</v>
      </c>
      <c r="AM220" s="74">
        <v>88.313275000000004</v>
      </c>
      <c r="AN220" s="157">
        <v>128.30000000000001</v>
      </c>
      <c r="AO220" s="156">
        <v>0.90300000000000002</v>
      </c>
      <c r="AP220" s="157">
        <v>81.83</v>
      </c>
      <c r="AQ220" s="157"/>
      <c r="AR220" s="158">
        <f t="shared" si="51"/>
        <v>6.1510176418639985E-3</v>
      </c>
      <c r="AS220" s="144">
        <f t="shared" si="52"/>
        <v>1.2179663592861104E-4</v>
      </c>
      <c r="AT220" s="144">
        <f t="shared" si="53"/>
        <v>1.0156996980961575E-4</v>
      </c>
      <c r="AU220" s="144">
        <f t="shared" si="53"/>
        <v>1.4755909716374693E-4</v>
      </c>
      <c r="AV220" s="144">
        <f t="shared" si="53"/>
        <v>1.0385492185414143E-6</v>
      </c>
      <c r="AW220" s="158">
        <f t="shared" si="53"/>
        <v>9.4113491199605674E-5</v>
      </c>
      <c r="AX220" s="144"/>
      <c r="AY220" s="178">
        <f t="shared" si="45"/>
        <v>233.73867039083197</v>
      </c>
      <c r="AZ220" s="144">
        <f t="shared" si="46"/>
        <v>4.6282721652872194</v>
      </c>
      <c r="BA220" s="144">
        <f t="shared" si="47"/>
        <v>3.8596588527653979</v>
      </c>
      <c r="BB220" s="144">
        <f t="shared" si="47"/>
        <v>5.6072456922223823</v>
      </c>
      <c r="BC220" s="144">
        <f t="shared" si="47"/>
        <v>3.946487030457374E-2</v>
      </c>
      <c r="BD220" s="178">
        <f t="shared" si="47"/>
        <v>3.5763126655850153</v>
      </c>
      <c r="BE220" s="144"/>
      <c r="BF220" s="160">
        <f t="shared" si="48"/>
        <v>1.1031235038918899E-4</v>
      </c>
      <c r="BG220" s="144">
        <f t="shared" si="49"/>
        <v>7.2810028958123685E-8</v>
      </c>
      <c r="BH220" s="144">
        <f t="shared" si="50"/>
        <v>6.0718527952188297E-8</v>
      </c>
      <c r="BI220" s="144">
        <f t="shared" si="50"/>
        <v>8.8210828284487907E-8</v>
      </c>
      <c r="BJ220" s="144">
        <f t="shared" si="50"/>
        <v>6.208447228440575E-10</v>
      </c>
      <c r="BK220" s="160">
        <f t="shared" si="50"/>
        <v>5.6261045039124274E-8</v>
      </c>
      <c r="BL220" s="144"/>
    </row>
    <row r="221" spans="24:64">
      <c r="X221" s="53" t="s">
        <v>259</v>
      </c>
      <c r="Y221" s="39" t="s">
        <v>260</v>
      </c>
      <c r="Z221" s="155" t="s">
        <v>342</v>
      </c>
      <c r="AA221" s="53">
        <v>0.10333000000000001</v>
      </c>
      <c r="AB221" s="53">
        <v>34.713628999999997</v>
      </c>
      <c r="AC221" s="53" t="s">
        <v>335</v>
      </c>
      <c r="AD221" s="53" t="s">
        <v>334</v>
      </c>
      <c r="AE221" s="116" t="s">
        <v>347</v>
      </c>
      <c r="AF221" s="154" t="s">
        <v>371</v>
      </c>
      <c r="AG221" s="116" t="s">
        <v>687</v>
      </c>
      <c r="AH221" s="53" t="s">
        <v>365</v>
      </c>
      <c r="AI221" s="53" t="s">
        <v>685</v>
      </c>
      <c r="AJ221" s="53" t="s">
        <v>691</v>
      </c>
      <c r="AK221" s="156">
        <v>7897.1</v>
      </c>
      <c r="AL221" s="157">
        <v>68.900000000000006</v>
      </c>
      <c r="AM221" s="74">
        <v>15.309225000000001</v>
      </c>
      <c r="AN221" s="157">
        <v>73.599999999999994</v>
      </c>
      <c r="AO221" s="156">
        <v>0.78400000000000003</v>
      </c>
      <c r="AP221" s="157">
        <v>50.31</v>
      </c>
      <c r="AQ221" s="157"/>
      <c r="AR221" s="158">
        <f t="shared" si="51"/>
        <v>9.0825327062496134E-3</v>
      </c>
      <c r="AS221" s="144">
        <f t="shared" si="52"/>
        <v>7.9242570495574146E-5</v>
      </c>
      <c r="AT221" s="144">
        <f t="shared" si="53"/>
        <v>1.7607290875110388E-5</v>
      </c>
      <c r="AU221" s="144">
        <f t="shared" si="53"/>
        <v>8.4648086915446364E-5</v>
      </c>
      <c r="AV221" s="144">
        <f t="shared" si="53"/>
        <v>9.0168614322975505E-7</v>
      </c>
      <c r="AW221" s="158">
        <f t="shared" si="53"/>
        <v>5.7862027890164505E-5</v>
      </c>
      <c r="AX221" s="144"/>
      <c r="AY221" s="178">
        <f t="shared" si="45"/>
        <v>345.13624283748538</v>
      </c>
      <c r="AZ221" s="144">
        <f t="shared" si="46"/>
        <v>3.0112176788318168</v>
      </c>
      <c r="BA221" s="144">
        <f t="shared" si="47"/>
        <v>0.66907705325419486</v>
      </c>
      <c r="BB221" s="144">
        <f t="shared" si="47"/>
        <v>3.2166273027869621</v>
      </c>
      <c r="BC221" s="144">
        <f t="shared" si="47"/>
        <v>3.4264073442730685E-2</v>
      </c>
      <c r="BD221" s="178">
        <f t="shared" si="47"/>
        <v>2.1987570598262516</v>
      </c>
      <c r="BE221" s="144"/>
      <c r="BF221" s="160">
        <f t="shared" si="48"/>
        <v>1.6288614155388057E-4</v>
      </c>
      <c r="BG221" s="144">
        <f t="shared" si="49"/>
        <v>4.7371208642254217E-8</v>
      </c>
      <c r="BH221" s="144">
        <f t="shared" si="50"/>
        <v>1.0525638485140992E-8</v>
      </c>
      <c r="BI221" s="144">
        <f t="shared" si="50"/>
        <v>5.060262635805385E-8</v>
      </c>
      <c r="BJ221" s="144">
        <f t="shared" si="50"/>
        <v>5.3902797642274758E-10</v>
      </c>
      <c r="BK221" s="160">
        <f t="shared" si="50"/>
        <v>3.4589920272740342E-8</v>
      </c>
      <c r="BL221" s="144"/>
    </row>
    <row r="222" spans="24:64">
      <c r="X222" s="53" t="s">
        <v>261</v>
      </c>
      <c r="Y222" s="39" t="s">
        <v>262</v>
      </c>
      <c r="Z222" s="155" t="s">
        <v>342</v>
      </c>
      <c r="AA222" s="53">
        <v>0.10229199999999999</v>
      </c>
      <c r="AB222" s="53">
        <v>34.713501999999998</v>
      </c>
      <c r="AC222" s="53" t="s">
        <v>335</v>
      </c>
      <c r="AD222" s="53" t="s">
        <v>334</v>
      </c>
      <c r="AE222" s="116" t="s">
        <v>347</v>
      </c>
      <c r="AF222" s="154" t="s">
        <v>371</v>
      </c>
      <c r="AG222" s="116" t="s">
        <v>687</v>
      </c>
      <c r="AH222" s="53" t="s">
        <v>364</v>
      </c>
      <c r="AI222" s="53" t="s">
        <v>685</v>
      </c>
      <c r="AJ222" s="53" t="s">
        <v>690</v>
      </c>
      <c r="AK222" s="156">
        <v>10325.700000000001</v>
      </c>
      <c r="AL222" s="157">
        <v>26.6</v>
      </c>
      <c r="AM222" s="74">
        <v>8.342625</v>
      </c>
      <c r="AN222" s="157">
        <v>167.4</v>
      </c>
      <c r="AO222" s="156">
        <v>0.38100000000000001</v>
      </c>
      <c r="AP222" s="157">
        <v>78.48</v>
      </c>
      <c r="AQ222" s="157"/>
      <c r="AR222" s="158">
        <f t="shared" si="51"/>
        <v>1.1875689552484034E-2</v>
      </c>
      <c r="AS222" s="144">
        <f t="shared" si="52"/>
        <v>3.059292271672383E-5</v>
      </c>
      <c r="AT222" s="144">
        <f t="shared" si="53"/>
        <v>9.5949354090078235E-6</v>
      </c>
      <c r="AU222" s="144">
        <f t="shared" si="53"/>
        <v>1.9252839333757776E-4</v>
      </c>
      <c r="AV222" s="144">
        <f t="shared" si="53"/>
        <v>4.3819186297262328E-7</v>
      </c>
      <c r="AW222" s="158">
        <f t="shared" si="53"/>
        <v>9.0260623113100973E-5</v>
      </c>
      <c r="AX222" s="144"/>
      <c r="AY222" s="178">
        <f t="shared" si="45"/>
        <v>451.27620299439332</v>
      </c>
      <c r="AZ222" s="144">
        <f t="shared" si="46"/>
        <v>1.1625310632355055</v>
      </c>
      <c r="BA222" s="144">
        <f t="shared" si="47"/>
        <v>0.3646075455422973</v>
      </c>
      <c r="BB222" s="144">
        <f t="shared" si="47"/>
        <v>7.3160789468279557</v>
      </c>
      <c r="BC222" s="144">
        <f t="shared" si="47"/>
        <v>1.6651290792959687E-2</v>
      </c>
      <c r="BD222" s="178">
        <f t="shared" si="47"/>
        <v>3.4299036782978369</v>
      </c>
      <c r="BE222" s="144"/>
      <c r="BF222" s="160">
        <f t="shared" si="48"/>
        <v>2.1297861643424862E-4</v>
      </c>
      <c r="BG222" s="144">
        <f t="shared" si="49"/>
        <v>1.8288449200057505E-8</v>
      </c>
      <c r="BH222" s="144">
        <f t="shared" si="50"/>
        <v>5.7358523875048778E-9</v>
      </c>
      <c r="BI222" s="144">
        <f t="shared" si="50"/>
        <v>1.1509347353720401E-7</v>
      </c>
      <c r="BJ222" s="144">
        <f t="shared" si="50"/>
        <v>2.619510956850342E-10</v>
      </c>
      <c r="BK222" s="160">
        <f t="shared" si="50"/>
        <v>5.3957800497011777E-8</v>
      </c>
      <c r="BL222" s="144"/>
    </row>
    <row r="223" spans="24:64">
      <c r="X223" s="53" t="s">
        <v>263</v>
      </c>
      <c r="Y223" s="39" t="s">
        <v>264</v>
      </c>
      <c r="Z223" s="155" t="s">
        <v>342</v>
      </c>
      <c r="AA223" s="53">
        <v>0.1033</v>
      </c>
      <c r="AB223" s="53">
        <v>34.713628999999997</v>
      </c>
      <c r="AC223" s="53" t="s">
        <v>335</v>
      </c>
      <c r="AD223" s="53" t="s">
        <v>334</v>
      </c>
      <c r="AE223" s="116" t="s">
        <v>347</v>
      </c>
      <c r="AF223" s="154" t="s">
        <v>371</v>
      </c>
      <c r="AG223" s="116" t="s">
        <v>687</v>
      </c>
      <c r="AH223" s="53" t="s">
        <v>366</v>
      </c>
      <c r="AI223" s="53" t="s">
        <v>684</v>
      </c>
      <c r="AJ223" s="53" t="s">
        <v>683</v>
      </c>
      <c r="AK223" s="156">
        <v>994</v>
      </c>
      <c r="AL223" s="157">
        <v>38</v>
      </c>
      <c r="AM223" s="74">
        <v>5.6278050000000004</v>
      </c>
      <c r="AN223" s="157">
        <v>99.7</v>
      </c>
      <c r="AO223" s="156">
        <v>0.26500000000000001</v>
      </c>
      <c r="AP223" s="157">
        <v>33.380000000000003</v>
      </c>
      <c r="AQ223" s="157"/>
      <c r="AR223" s="158">
        <f t="shared" si="51"/>
        <v>1.1432092173091536E-3</v>
      </c>
      <c r="AS223" s="144">
        <f t="shared" si="52"/>
        <v>4.3704175309605469E-5</v>
      </c>
      <c r="AT223" s="144">
        <f t="shared" si="53"/>
        <v>6.4725941139019535E-6</v>
      </c>
      <c r="AU223" s="144">
        <f t="shared" si="53"/>
        <v>1.1466595469388592E-4</v>
      </c>
      <c r="AV223" s="144">
        <f t="shared" si="53"/>
        <v>3.0477911729066971E-7</v>
      </c>
      <c r="AW223" s="158">
        <f t="shared" si="53"/>
        <v>3.8390667679858704E-5</v>
      </c>
      <c r="AX223" s="144"/>
      <c r="AY223" s="178">
        <f t="shared" si="45"/>
        <v>43.441950257747841</v>
      </c>
      <c r="AZ223" s="144">
        <f t="shared" si="46"/>
        <v>1.6607586617650079</v>
      </c>
      <c r="BA223" s="144">
        <f t="shared" si="47"/>
        <v>0.24595857632827423</v>
      </c>
      <c r="BB223" s="144">
        <f t="shared" si="47"/>
        <v>4.3573062783676653</v>
      </c>
      <c r="BC223" s="144">
        <f t="shared" si="47"/>
        <v>1.158160645704545E-2</v>
      </c>
      <c r="BD223" s="178">
        <f t="shared" si="47"/>
        <v>1.4588453718346308</v>
      </c>
      <c r="BE223" s="144"/>
      <c r="BF223" s="160">
        <f t="shared" si="48"/>
        <v>2.0502314103222366E-5</v>
      </c>
      <c r="BG223" s="144">
        <f t="shared" si="49"/>
        <v>2.6126356000082158E-8</v>
      </c>
      <c r="BH223" s="144">
        <f t="shared" si="50"/>
        <v>3.8693167612905884E-9</v>
      </c>
      <c r="BI223" s="144">
        <f t="shared" si="50"/>
        <v>6.8547307716005011E-8</v>
      </c>
      <c r="BJ223" s="144">
        <f t="shared" si="50"/>
        <v>1.8219695631636236E-10</v>
      </c>
      <c r="BK223" s="160">
        <f t="shared" si="50"/>
        <v>2.2949941139019539E-8</v>
      </c>
      <c r="BL223" s="144"/>
    </row>
    <row r="224" spans="24:64">
      <c r="X224" s="53" t="s">
        <v>265</v>
      </c>
      <c r="Y224" s="39" t="s">
        <v>266</v>
      </c>
      <c r="Z224" s="155" t="s">
        <v>342</v>
      </c>
      <c r="AA224" s="53">
        <v>0.15733900000000001</v>
      </c>
      <c r="AB224" s="53">
        <v>34.817802</v>
      </c>
      <c r="AC224" s="53" t="s">
        <v>679</v>
      </c>
      <c r="AD224" s="53" t="s">
        <v>334</v>
      </c>
      <c r="AE224" s="116" t="s">
        <v>347</v>
      </c>
      <c r="AF224" s="154" t="s">
        <v>371</v>
      </c>
      <c r="AG224" s="116" t="s">
        <v>687</v>
      </c>
      <c r="AH224" s="53" t="s">
        <v>364</v>
      </c>
      <c r="AI224" s="53" t="s">
        <v>685</v>
      </c>
      <c r="AJ224" s="53" t="s">
        <v>690</v>
      </c>
      <c r="AK224" s="156">
        <v>632.29999999999995</v>
      </c>
      <c r="AL224" s="157">
        <v>36.6</v>
      </c>
      <c r="AM224" s="74">
        <v>0.45077499999999998</v>
      </c>
      <c r="AN224" s="157">
        <v>123.9</v>
      </c>
      <c r="AO224" s="156">
        <v>0.29599999999999999</v>
      </c>
      <c r="AP224" s="157">
        <v>99.52</v>
      </c>
      <c r="AQ224" s="157"/>
      <c r="AR224" s="158">
        <f t="shared" si="51"/>
        <v>7.2721447495430343E-4</v>
      </c>
      <c r="AS224" s="144">
        <f t="shared" si="52"/>
        <v>4.209402148240948E-5</v>
      </c>
      <c r="AT224" s="144">
        <f t="shared" si="53"/>
        <v>5.184407796101948E-7</v>
      </c>
      <c r="AU224" s="144">
        <f t="shared" si="53"/>
        <v>1.4249861370684521E-4</v>
      </c>
      <c r="AV224" s="144">
        <f t="shared" si="53"/>
        <v>3.4043252346429527E-7</v>
      </c>
      <c r="AW224" s="158">
        <f t="shared" si="53"/>
        <v>1.1445893491610359E-4</v>
      </c>
      <c r="AX224" s="144"/>
      <c r="AY224" s="178">
        <f t="shared" si="45"/>
        <v>27.634150048263535</v>
      </c>
      <c r="AZ224" s="144">
        <f t="shared" si="46"/>
        <v>1.5995728163315606</v>
      </c>
      <c r="BA224" s="144">
        <f t="shared" si="47"/>
        <v>1.9700749625187409E-2</v>
      </c>
      <c r="BB224" s="144">
        <f t="shared" si="47"/>
        <v>5.4149473208601178</v>
      </c>
      <c r="BC224" s="144">
        <f t="shared" si="47"/>
        <v>1.2936435891643219E-2</v>
      </c>
      <c r="BD224" s="178">
        <f t="shared" si="47"/>
        <v>4.3494395268119366</v>
      </c>
      <c r="BE224" s="144"/>
      <c r="BF224" s="160">
        <f t="shared" si="48"/>
        <v>1.3041864393830481E-5</v>
      </c>
      <c r="BG224" s="144">
        <f t="shared" si="49"/>
        <v>2.5163806042184389E-8</v>
      </c>
      <c r="BH224" s="144">
        <f t="shared" si="50"/>
        <v>3.0992389805097456E-10</v>
      </c>
      <c r="BI224" s="144">
        <f t="shared" si="50"/>
        <v>8.5185671273952058E-8</v>
      </c>
      <c r="BJ224" s="144">
        <f t="shared" si="50"/>
        <v>2.0351056252695572E-10</v>
      </c>
      <c r="BK224" s="160">
        <f t="shared" si="50"/>
        <v>6.8423551292846716E-8</v>
      </c>
      <c r="BL224" s="144"/>
    </row>
    <row r="225" spans="24:64">
      <c r="X225" s="53" t="s">
        <v>267</v>
      </c>
      <c r="Y225" s="39" t="s">
        <v>268</v>
      </c>
      <c r="Z225" s="155" t="s">
        <v>342</v>
      </c>
      <c r="AA225" s="53">
        <v>0.15733900000000001</v>
      </c>
      <c r="AB225" s="53">
        <v>34.817802</v>
      </c>
      <c r="AC225" s="53" t="s">
        <v>360</v>
      </c>
      <c r="AD225" s="53" t="s">
        <v>334</v>
      </c>
      <c r="AE225" s="116" t="s">
        <v>347</v>
      </c>
      <c r="AF225" s="154" t="s">
        <v>371</v>
      </c>
      <c r="AG225" s="116" t="s">
        <v>687</v>
      </c>
      <c r="AH225" s="53" t="s">
        <v>365</v>
      </c>
      <c r="AI225" s="53" t="s">
        <v>685</v>
      </c>
      <c r="AJ225" s="53" t="s">
        <v>691</v>
      </c>
      <c r="AK225" s="156">
        <v>27.3</v>
      </c>
      <c r="AL225" s="157">
        <v>8.1999999999999993</v>
      </c>
      <c r="AM225" s="74">
        <v>1.075005</v>
      </c>
      <c r="AN225" s="157">
        <v>245.1</v>
      </c>
      <c r="AO225" s="156">
        <v>3.5000000000000003E-2</v>
      </c>
      <c r="AP225" s="157">
        <v>13.43</v>
      </c>
      <c r="AQ225" s="157"/>
      <c r="AR225" s="158">
        <f t="shared" si="51"/>
        <v>3.1397999630321821E-5</v>
      </c>
      <c r="AS225" s="144">
        <f t="shared" si="52"/>
        <v>9.4309009878622305E-6</v>
      </c>
      <c r="AT225" s="144">
        <f t="shared" si="53"/>
        <v>1.2363738678605902E-6</v>
      </c>
      <c r="AU225" s="144">
        <f t="shared" si="53"/>
        <v>2.8189193074695524E-4</v>
      </c>
      <c r="AV225" s="144">
        <f t="shared" si="53"/>
        <v>4.0253845679899786E-8</v>
      </c>
      <c r="AW225" s="158">
        <f t="shared" si="53"/>
        <v>1.544597564231583E-5</v>
      </c>
      <c r="AX225" s="144"/>
      <c r="AY225" s="178">
        <f t="shared" si="45"/>
        <v>1.1931239859522293</v>
      </c>
      <c r="AZ225" s="144">
        <f t="shared" si="46"/>
        <v>0.35837423753876479</v>
      </c>
      <c r="BA225" s="144">
        <f t="shared" si="47"/>
        <v>4.698220697870243E-2</v>
      </c>
      <c r="BB225" s="144">
        <f t="shared" si="47"/>
        <v>10.711893368384299</v>
      </c>
      <c r="BC225" s="144">
        <f t="shared" si="47"/>
        <v>1.5296461358361916E-3</v>
      </c>
      <c r="BD225" s="178">
        <f t="shared" si="47"/>
        <v>0.58694707440800142</v>
      </c>
      <c r="BE225" s="144"/>
      <c r="BF225" s="160">
        <f t="shared" si="48"/>
        <v>5.6309172537019163E-7</v>
      </c>
      <c r="BG225" s="144">
        <f t="shared" si="49"/>
        <v>5.6377926105440421E-9</v>
      </c>
      <c r="BH225" s="144">
        <f t="shared" si="50"/>
        <v>7.3910429820706068E-10</v>
      </c>
      <c r="BI225" s="144">
        <f t="shared" si="50"/>
        <v>1.6851499620052987E-7</v>
      </c>
      <c r="BJ225" s="144">
        <f t="shared" si="50"/>
        <v>2.4063748947444096E-11</v>
      </c>
      <c r="BK225" s="160">
        <f t="shared" si="50"/>
        <v>9.2336042389764028E-9</v>
      </c>
      <c r="BL225" s="144"/>
    </row>
    <row r="226" spans="24:64">
      <c r="X226" s="53" t="s">
        <v>269</v>
      </c>
      <c r="Y226" s="39" t="s">
        <v>270</v>
      </c>
      <c r="Z226" s="155" t="s">
        <v>342</v>
      </c>
      <c r="AA226" s="53">
        <v>0.15733900000000001</v>
      </c>
      <c r="AB226" s="53">
        <v>34.817802</v>
      </c>
      <c r="AC226" s="53" t="s">
        <v>679</v>
      </c>
      <c r="AD226" s="53" t="s">
        <v>334</v>
      </c>
      <c r="AE226" s="116" t="s">
        <v>347</v>
      </c>
      <c r="AF226" s="154" t="s">
        <v>371</v>
      </c>
      <c r="AG226" s="116" t="s">
        <v>687</v>
      </c>
      <c r="AH226" s="53" t="s">
        <v>361</v>
      </c>
      <c r="AI226" s="53" t="s">
        <v>685</v>
      </c>
      <c r="AJ226" s="53" t="s">
        <v>690</v>
      </c>
      <c r="AK226" s="156">
        <v>507.7</v>
      </c>
      <c r="AL226" s="157">
        <v>28.1</v>
      </c>
      <c r="AM226" s="74">
        <v>3.6753849999999999</v>
      </c>
      <c r="AN226" s="157">
        <v>133.69999999999999</v>
      </c>
      <c r="AO226" s="156">
        <v>0.185</v>
      </c>
      <c r="AP226" s="157">
        <v>27.95</v>
      </c>
      <c r="AQ226" s="157"/>
      <c r="AR226" s="158">
        <f t="shared" si="51"/>
        <v>5.8391078433386043E-4</v>
      </c>
      <c r="AS226" s="144">
        <f t="shared" si="52"/>
        <v>3.2318087531576677E-5</v>
      </c>
      <c r="AT226" s="144">
        <f t="shared" si="53"/>
        <v>4.2270965886919561E-6</v>
      </c>
      <c r="AU226" s="144">
        <f t="shared" si="53"/>
        <v>1.537696904972171E-4</v>
      </c>
      <c r="AV226" s="144">
        <f t="shared" si="53"/>
        <v>2.1277032716518451E-7</v>
      </c>
      <c r="AW226" s="158">
        <f t="shared" si="53"/>
        <v>3.2145571050091387E-5</v>
      </c>
      <c r="AX226" s="144"/>
      <c r="AY226" s="178">
        <f t="shared" si="45"/>
        <v>22.188609804686692</v>
      </c>
      <c r="AZ226" s="144">
        <f t="shared" si="46"/>
        <v>1.2280873261999137</v>
      </c>
      <c r="BA226" s="144">
        <f t="shared" si="47"/>
        <v>0.1606296703702943</v>
      </c>
      <c r="BB226" s="144">
        <f t="shared" si="47"/>
        <v>5.8432482388942502</v>
      </c>
      <c r="BC226" s="144">
        <f t="shared" si="47"/>
        <v>8.085272432277012E-3</v>
      </c>
      <c r="BD226" s="178">
        <f t="shared" si="47"/>
        <v>1.2215316999034729</v>
      </c>
      <c r="BE226" s="144"/>
      <c r="BF226" s="160">
        <f t="shared" si="48"/>
        <v>1.0471856006243453E-5</v>
      </c>
      <c r="BG226" s="144">
        <f t="shared" si="49"/>
        <v>1.9319752726376536E-8</v>
      </c>
      <c r="BH226" s="144">
        <f t="shared" si="50"/>
        <v>2.5269583407200514E-9</v>
      </c>
      <c r="BI226" s="144">
        <f t="shared" si="50"/>
        <v>9.1923520979236409E-8</v>
      </c>
      <c r="BJ226" s="144">
        <f t="shared" si="50"/>
        <v>1.2719410157934733E-10</v>
      </c>
      <c r="BK226" s="160">
        <f t="shared" si="50"/>
        <v>1.9216622373744637E-8</v>
      </c>
      <c r="BL226" s="144"/>
    </row>
    <row r="227" spans="24:64">
      <c r="X227" s="53" t="s">
        <v>271</v>
      </c>
      <c r="Y227" s="39" t="s">
        <v>272</v>
      </c>
      <c r="Z227" s="155" t="s">
        <v>342</v>
      </c>
      <c r="AA227" s="53">
        <v>0.156809</v>
      </c>
      <c r="AB227" s="53">
        <v>34.818221000000001</v>
      </c>
      <c r="AC227" s="53" t="s">
        <v>679</v>
      </c>
      <c r="AD227" s="53" t="s">
        <v>334</v>
      </c>
      <c r="AE227" s="116" t="s">
        <v>347</v>
      </c>
      <c r="AF227" s="154" t="s">
        <v>371</v>
      </c>
      <c r="AG227" s="116" t="s">
        <v>687</v>
      </c>
      <c r="AH227" s="53" t="s">
        <v>361</v>
      </c>
      <c r="AI227" s="53" t="s">
        <v>685</v>
      </c>
      <c r="AJ227" s="53" t="s">
        <v>690</v>
      </c>
      <c r="AK227" s="156">
        <v>197.5</v>
      </c>
      <c r="AL227" s="157">
        <v>36.4</v>
      </c>
      <c r="AM227" s="74">
        <v>0.92200500000000007</v>
      </c>
      <c r="AN227" s="157">
        <v>80.2</v>
      </c>
      <c r="AO227" s="156">
        <v>8.7999999999999995E-2</v>
      </c>
      <c r="AP227" s="157">
        <v>24.18</v>
      </c>
      <c r="AQ227" s="157"/>
      <c r="AR227" s="158">
        <f t="shared" si="51"/>
        <v>2.2714670062229161E-4</v>
      </c>
      <c r="AS227" s="144">
        <f t="shared" si="52"/>
        <v>4.1863999507095764E-5</v>
      </c>
      <c r="AT227" s="144">
        <f t="shared" si="53"/>
        <v>1.0604070567455999E-6</v>
      </c>
      <c r="AU227" s="144">
        <f t="shared" si="53"/>
        <v>9.2238812100798914E-5</v>
      </c>
      <c r="AV227" s="144">
        <f t="shared" si="53"/>
        <v>1.012096691380337E-7</v>
      </c>
      <c r="AW227" s="158">
        <f t="shared" si="53"/>
        <v>2.78096568154279E-5</v>
      </c>
      <c r="AX227" s="144"/>
      <c r="AY227" s="178">
        <f t="shared" si="45"/>
        <v>8.6315746236470812</v>
      </c>
      <c r="AZ227" s="144">
        <f t="shared" si="46"/>
        <v>1.5908319812696392</v>
      </c>
      <c r="BA227" s="144">
        <f t="shared" si="47"/>
        <v>4.0295468156332795E-2</v>
      </c>
      <c r="BB227" s="144">
        <f t="shared" si="47"/>
        <v>3.5050748598303589</v>
      </c>
      <c r="BC227" s="144">
        <f t="shared" si="47"/>
        <v>3.8459674272452813E-3</v>
      </c>
      <c r="BD227" s="178">
        <f t="shared" si="47"/>
        <v>1.0567669589862605</v>
      </c>
      <c r="BE227" s="144"/>
      <c r="BF227" s="160">
        <f t="shared" si="48"/>
        <v>4.0736489289601769E-6</v>
      </c>
      <c r="BG227" s="144">
        <f t="shared" si="49"/>
        <v>2.5026298905341853E-8</v>
      </c>
      <c r="BH227" s="144">
        <f t="shared" si="50"/>
        <v>6.3391133852251957E-10</v>
      </c>
      <c r="BI227" s="144">
        <f t="shared" si="50"/>
        <v>5.5140361873857596E-8</v>
      </c>
      <c r="BJ227" s="144">
        <f t="shared" si="50"/>
        <v>6.0503140210716559E-11</v>
      </c>
      <c r="BK227" s="160">
        <f t="shared" si="50"/>
        <v>1.6624612844262802E-8</v>
      </c>
      <c r="BL227" s="144"/>
    </row>
    <row r="228" spans="24:64">
      <c r="X228" s="53" t="s">
        <v>273</v>
      </c>
      <c r="Y228" s="39" t="s">
        <v>274</v>
      </c>
      <c r="Z228" s="155" t="s">
        <v>342</v>
      </c>
      <c r="AA228" s="53">
        <v>0.156809</v>
      </c>
      <c r="AB228" s="53">
        <v>34.818221000000001</v>
      </c>
      <c r="AC228" s="53" t="s">
        <v>679</v>
      </c>
      <c r="AD228" s="53" t="s">
        <v>334</v>
      </c>
      <c r="AE228" s="116" t="s">
        <v>347</v>
      </c>
      <c r="AF228" s="154" t="s">
        <v>371</v>
      </c>
      <c r="AG228" s="116" t="s">
        <v>687</v>
      </c>
      <c r="AH228" s="53" t="s">
        <v>365</v>
      </c>
      <c r="AI228" s="53" t="s">
        <v>685</v>
      </c>
      <c r="AJ228" s="53" t="s">
        <v>691</v>
      </c>
      <c r="AK228" s="156">
        <v>1283.7</v>
      </c>
      <c r="AL228" s="157">
        <v>40.5</v>
      </c>
      <c r="AM228" s="74">
        <v>0.257525</v>
      </c>
      <c r="AN228" s="157">
        <v>170.1</v>
      </c>
      <c r="AO228" s="156">
        <v>0.17199999999999999</v>
      </c>
      <c r="AP228" s="157">
        <v>17.170000000000002</v>
      </c>
      <c r="AQ228" s="157"/>
      <c r="AR228" s="158">
        <f t="shared" si="51"/>
        <v>1.4763960485510669E-3</v>
      </c>
      <c r="AS228" s="144">
        <f t="shared" si="52"/>
        <v>4.6579450001026875E-5</v>
      </c>
      <c r="AT228" s="144">
        <f t="shared" si="53"/>
        <v>2.9618204596331967E-7</v>
      </c>
      <c r="AU228" s="144">
        <f t="shared" si="53"/>
        <v>1.956336900043129E-4</v>
      </c>
      <c r="AV228" s="144">
        <f t="shared" si="53"/>
        <v>1.9781889876979318E-7</v>
      </c>
      <c r="AW228" s="158">
        <f t="shared" si="53"/>
        <v>1.9747386580682263E-5</v>
      </c>
      <c r="AX228" s="144"/>
      <c r="AY228" s="178">
        <f t="shared" si="45"/>
        <v>56.103049844940536</v>
      </c>
      <c r="AZ228" s="144">
        <f t="shared" si="46"/>
        <v>1.7700191000390215</v>
      </c>
      <c r="BA228" s="144">
        <f t="shared" si="47"/>
        <v>1.125491774660615E-2</v>
      </c>
      <c r="BB228" s="144">
        <f t="shared" si="47"/>
        <v>7.4340802201638905</v>
      </c>
      <c r="BC228" s="144">
        <f t="shared" si="47"/>
        <v>7.5171181532521407E-3</v>
      </c>
      <c r="BD228" s="178">
        <f t="shared" si="47"/>
        <v>0.75040069006592602</v>
      </c>
      <c r="BE228" s="144"/>
      <c r="BF228" s="160">
        <f t="shared" si="48"/>
        <v>2.6477686734714838E-5</v>
      </c>
      <c r="BG228" s="144">
        <f t="shared" si="49"/>
        <v>2.7845195210613874E-8</v>
      </c>
      <c r="BH228" s="144">
        <f t="shared" si="50"/>
        <v>1.7705762707687254E-10</v>
      </c>
      <c r="BI228" s="144">
        <f t="shared" si="50"/>
        <v>1.1694981988457827E-7</v>
      </c>
      <c r="BJ228" s="144">
        <f t="shared" si="50"/>
        <v>1.1825613768458238E-10</v>
      </c>
      <c r="BK228" s="160">
        <f t="shared" si="50"/>
        <v>1.1804987697931858E-8</v>
      </c>
      <c r="BL228" s="144"/>
    </row>
    <row r="229" spans="24:64">
      <c r="X229" s="53" t="s">
        <v>275</v>
      </c>
      <c r="Y229" s="39" t="s">
        <v>276</v>
      </c>
      <c r="Z229" s="155" t="s">
        <v>342</v>
      </c>
      <c r="AA229" s="53">
        <v>0.156809</v>
      </c>
      <c r="AB229" s="53">
        <v>34.818221000000001</v>
      </c>
      <c r="AC229" s="53" t="s">
        <v>679</v>
      </c>
      <c r="AD229" s="53" t="s">
        <v>334</v>
      </c>
      <c r="AE229" s="116" t="s">
        <v>347</v>
      </c>
      <c r="AF229" s="154" t="s">
        <v>371</v>
      </c>
      <c r="AG229" s="116" t="s">
        <v>687</v>
      </c>
      <c r="AH229" s="53" t="s">
        <v>364</v>
      </c>
      <c r="AI229" s="53" t="s">
        <v>685</v>
      </c>
      <c r="AJ229" s="53" t="s">
        <v>690</v>
      </c>
      <c r="AK229" s="156">
        <v>56.7</v>
      </c>
      <c r="AL229" s="157">
        <v>10.8</v>
      </c>
      <c r="AM229" s="74">
        <v>0.136435</v>
      </c>
      <c r="AN229" s="157">
        <v>103.2</v>
      </c>
      <c r="AO229" s="156">
        <v>1.2E-2</v>
      </c>
      <c r="AP229" s="157">
        <v>5.39</v>
      </c>
      <c r="AQ229" s="157"/>
      <c r="AR229" s="158">
        <f t="shared" si="51"/>
        <v>6.5211230001437637E-5</v>
      </c>
      <c r="AS229" s="144">
        <f t="shared" si="52"/>
        <v>1.2421186666940501E-5</v>
      </c>
      <c r="AT229" s="144">
        <f t="shared" si="53"/>
        <v>1.5691524100963214E-7</v>
      </c>
      <c r="AU229" s="144">
        <f t="shared" si="53"/>
        <v>1.1869133926187591E-4</v>
      </c>
      <c r="AV229" s="144">
        <f t="shared" si="53"/>
        <v>1.3801318518822779E-8</v>
      </c>
      <c r="AW229" s="158">
        <f t="shared" si="53"/>
        <v>6.1990922347045646E-6</v>
      </c>
      <c r="AX229" s="144"/>
      <c r="AY229" s="178">
        <f t="shared" si="45"/>
        <v>2.4780267400546303</v>
      </c>
      <c r="AZ229" s="144">
        <f t="shared" si="46"/>
        <v>0.47200509334373908</v>
      </c>
      <c r="BA229" s="144">
        <f t="shared" si="47"/>
        <v>5.9627791583660222E-3</v>
      </c>
      <c r="BB229" s="144">
        <f t="shared" si="47"/>
        <v>4.5102708919512846</v>
      </c>
      <c r="BC229" s="144">
        <f t="shared" si="47"/>
        <v>5.2445010371526563E-4</v>
      </c>
      <c r="BD229" s="178">
        <f t="shared" si="47"/>
        <v>0.23556550491877348</v>
      </c>
      <c r="BE229" s="144"/>
      <c r="BF229" s="160">
        <f t="shared" si="48"/>
        <v>1.1694981988457825E-6</v>
      </c>
      <c r="BG229" s="144">
        <f t="shared" si="49"/>
        <v>7.4253853894970329E-9</v>
      </c>
      <c r="BH229" s="144">
        <f t="shared" si="50"/>
        <v>9.3803931075558118E-11</v>
      </c>
      <c r="BI229" s="144">
        <f t="shared" si="50"/>
        <v>7.095368261074944E-8</v>
      </c>
      <c r="BJ229" s="144">
        <f t="shared" si="50"/>
        <v>8.250428210552258E-12</v>
      </c>
      <c r="BK229" s="160">
        <f t="shared" si="50"/>
        <v>3.705817337906389E-9</v>
      </c>
      <c r="BL229" s="144"/>
    </row>
    <row r="230" spans="24:64">
      <c r="X230" s="53" t="s">
        <v>277</v>
      </c>
      <c r="Y230" s="39" t="s">
        <v>278</v>
      </c>
      <c r="Z230" s="155" t="s">
        <v>342</v>
      </c>
      <c r="AA230" s="53">
        <v>0.156392</v>
      </c>
      <c r="AB230" s="53">
        <v>34.817486000000002</v>
      </c>
      <c r="AC230" s="53" t="s">
        <v>679</v>
      </c>
      <c r="AD230" s="53" t="s">
        <v>334</v>
      </c>
      <c r="AE230" s="116" t="s">
        <v>347</v>
      </c>
      <c r="AF230" s="154" t="s">
        <v>371</v>
      </c>
      <c r="AG230" s="116" t="s">
        <v>687</v>
      </c>
      <c r="AH230" s="53" t="s">
        <v>367</v>
      </c>
      <c r="AI230" s="53" t="s">
        <v>684</v>
      </c>
      <c r="AJ230" s="53" t="s">
        <v>683</v>
      </c>
      <c r="AK230" s="156">
        <v>15.7</v>
      </c>
      <c r="AL230" s="157">
        <v>24.4</v>
      </c>
      <c r="AM230" s="74">
        <v>0.22564500000000001</v>
      </c>
      <c r="AN230" s="157">
        <v>115.1</v>
      </c>
      <c r="AO230" s="156">
        <v>5.6000000000000001E-2</v>
      </c>
      <c r="AP230" s="157">
        <v>36.33</v>
      </c>
      <c r="AQ230" s="157"/>
      <c r="AR230" s="158">
        <f t="shared" si="51"/>
        <v>1.805672506212647E-5</v>
      </c>
      <c r="AS230" s="144">
        <f t="shared" si="52"/>
        <v>2.8062680988272984E-5</v>
      </c>
      <c r="AT230" s="144">
        <f t="shared" si="53"/>
        <v>2.5951654309831389E-7</v>
      </c>
      <c r="AU230" s="144">
        <f t="shared" si="53"/>
        <v>1.3237764679304182E-4</v>
      </c>
      <c r="AV230" s="144">
        <f t="shared" si="53"/>
        <v>6.4406153087839646E-8</v>
      </c>
      <c r="AW230" s="158">
        <f t="shared" si="53"/>
        <v>4.1783491815735967E-5</v>
      </c>
      <c r="AX230" s="144"/>
      <c r="AY230" s="178">
        <f t="shared" si="45"/>
        <v>0.68615555236080594</v>
      </c>
      <c r="AZ230" s="144">
        <f t="shared" si="46"/>
        <v>1.0663818775543734</v>
      </c>
      <c r="BA230" s="144">
        <f t="shared" si="47"/>
        <v>9.8616286377359256E-3</v>
      </c>
      <c r="BB230" s="144">
        <f t="shared" si="47"/>
        <v>5.0303505781355886</v>
      </c>
      <c r="BC230" s="144">
        <f t="shared" si="47"/>
        <v>2.4474338173379059E-3</v>
      </c>
      <c r="BD230" s="178">
        <f t="shared" si="47"/>
        <v>1.5877726889979666</v>
      </c>
      <c r="BE230" s="144"/>
      <c r="BF230" s="160">
        <f t="shared" si="48"/>
        <v>3.2382930726417611E-7</v>
      </c>
      <c r="BG230" s="144">
        <f t="shared" si="49"/>
        <v>1.6775870694789594E-8</v>
      </c>
      <c r="BH230" s="144">
        <f t="shared" si="50"/>
        <v>1.5513898946417201E-10</v>
      </c>
      <c r="BI230" s="144">
        <f t="shared" si="50"/>
        <v>7.9135357252880401E-8</v>
      </c>
      <c r="BJ230" s="144">
        <f t="shared" si="50"/>
        <v>3.8501998315910544E-11</v>
      </c>
      <c r="BK230" s="160">
        <f t="shared" si="50"/>
        <v>2.497817140744696E-8</v>
      </c>
      <c r="BL230" s="144"/>
    </row>
    <row r="231" spans="24:64">
      <c r="X231" s="53" t="s">
        <v>279</v>
      </c>
      <c r="Y231" s="39" t="s">
        <v>280</v>
      </c>
      <c r="Z231" s="155" t="s">
        <v>342</v>
      </c>
      <c r="AA231" s="53">
        <v>0.156392</v>
      </c>
      <c r="AB231" s="53">
        <v>34.817486000000002</v>
      </c>
      <c r="AC231" s="53" t="s">
        <v>679</v>
      </c>
      <c r="AD231" s="53" t="s">
        <v>334</v>
      </c>
      <c r="AE231" s="116" t="s">
        <v>347</v>
      </c>
      <c r="AF231" s="154" t="s">
        <v>371</v>
      </c>
      <c r="AG231" s="116" t="s">
        <v>687</v>
      </c>
      <c r="AH231" s="53" t="s">
        <v>361</v>
      </c>
      <c r="AI231" s="53" t="s">
        <v>685</v>
      </c>
      <c r="AJ231" s="53" t="s">
        <v>690</v>
      </c>
      <c r="AK231" s="156">
        <v>1662.2</v>
      </c>
      <c r="AL231" s="157">
        <v>63.9</v>
      </c>
      <c r="AM231" s="74">
        <v>4.1999950000000004</v>
      </c>
      <c r="AN231" s="157">
        <v>190.4</v>
      </c>
      <c r="AO231" s="156">
        <v>0.219</v>
      </c>
      <c r="AP231" s="157">
        <v>16.37</v>
      </c>
      <c r="AQ231" s="157"/>
      <c r="AR231" s="158">
        <f t="shared" si="51"/>
        <v>1.9117126368322689E-3</v>
      </c>
      <c r="AS231" s="144">
        <f t="shared" si="52"/>
        <v>7.3492021112731294E-5</v>
      </c>
      <c r="AT231" s="144">
        <f t="shared" si="53"/>
        <v>4.830455731038591E-6</v>
      </c>
      <c r="AU231" s="144">
        <f t="shared" si="53"/>
        <v>2.1898092049865475E-4</v>
      </c>
      <c r="AV231" s="144">
        <f t="shared" si="53"/>
        <v>2.5187406296851569E-7</v>
      </c>
      <c r="AW231" s="158">
        <f t="shared" si="53"/>
        <v>1.882729867942741E-5</v>
      </c>
      <c r="AX231" s="144"/>
      <c r="AY231" s="178">
        <f t="shared" si="45"/>
        <v>72.645080199626207</v>
      </c>
      <c r="AZ231" s="144">
        <f t="shared" si="46"/>
        <v>2.7926968022837895</v>
      </c>
      <c r="BA231" s="144">
        <f t="shared" si="47"/>
        <v>0.18355731777946646</v>
      </c>
      <c r="BB231" s="144">
        <f t="shared" si="47"/>
        <v>8.3212749789488818</v>
      </c>
      <c r="BC231" s="144">
        <f t="shared" si="47"/>
        <v>9.5712143928035984E-3</v>
      </c>
      <c r="BD231" s="178">
        <f t="shared" si="47"/>
        <v>0.71543734981824159</v>
      </c>
      <c r="BE231" s="144"/>
      <c r="BF231" s="160">
        <f t="shared" si="48"/>
        <v>3.4284654428949914E-5</v>
      </c>
      <c r="BG231" s="144">
        <f t="shared" si="49"/>
        <v>4.3933530221190786E-8</v>
      </c>
      <c r="BH231" s="144">
        <f t="shared" si="50"/>
        <v>2.8876464360148695E-9</v>
      </c>
      <c r="BI231" s="144">
        <f t="shared" si="50"/>
        <v>1.3090679427409585E-7</v>
      </c>
      <c r="BJ231" s="144">
        <f t="shared" si="50"/>
        <v>1.5057031484257875E-10</v>
      </c>
      <c r="BK231" s="160">
        <f t="shared" si="50"/>
        <v>1.1254959150561705E-8</v>
      </c>
      <c r="BL231" s="144"/>
    </row>
    <row r="232" spans="24:64">
      <c r="X232" s="53" t="s">
        <v>281</v>
      </c>
      <c r="Y232" s="39" t="s">
        <v>282</v>
      </c>
      <c r="Z232" s="155" t="s">
        <v>342</v>
      </c>
      <c r="AA232" s="53">
        <v>0.156392</v>
      </c>
      <c r="AB232" s="53">
        <v>34.817486000000002</v>
      </c>
      <c r="AC232" s="53" t="s">
        <v>679</v>
      </c>
      <c r="AD232" s="53" t="s">
        <v>334</v>
      </c>
      <c r="AE232" s="116" t="s">
        <v>347</v>
      </c>
      <c r="AF232" s="154" t="s">
        <v>371</v>
      </c>
      <c r="AG232" s="116" t="s">
        <v>687</v>
      </c>
      <c r="AH232" s="53" t="s">
        <v>365</v>
      </c>
      <c r="AI232" s="53" t="s">
        <v>685</v>
      </c>
      <c r="AJ232" s="53" t="s">
        <v>691</v>
      </c>
      <c r="AK232" s="156">
        <v>531.9</v>
      </c>
      <c r="AL232" s="157">
        <v>29.6</v>
      </c>
      <c r="AM232" s="74">
        <v>3.6206849999999999</v>
      </c>
      <c r="AN232" s="157">
        <v>75.7</v>
      </c>
      <c r="AO232" s="156">
        <v>0.14199999999999999</v>
      </c>
      <c r="AP232" s="157">
        <v>7.12</v>
      </c>
      <c r="AQ232" s="157"/>
      <c r="AR232" s="158">
        <f t="shared" si="51"/>
        <v>6.1174344334681975E-4</v>
      </c>
      <c r="AS232" s="144">
        <f t="shared" si="52"/>
        <v>3.4043252346429518E-5</v>
      </c>
      <c r="AT232" s="144">
        <f t="shared" si="53"/>
        <v>4.1641855784436545E-6</v>
      </c>
      <c r="AU232" s="144">
        <f t="shared" si="53"/>
        <v>8.7063317656240358E-5</v>
      </c>
      <c r="AV232" s="144">
        <f t="shared" si="53"/>
        <v>1.6331560247273623E-7</v>
      </c>
      <c r="AW232" s="158">
        <f t="shared" si="53"/>
        <v>8.1887823211681826E-6</v>
      </c>
      <c r="AX232" s="144"/>
      <c r="AY232" s="178">
        <f t="shared" si="45"/>
        <v>23.246250847179144</v>
      </c>
      <c r="AZ232" s="144">
        <f t="shared" si="46"/>
        <v>1.2936435891643219</v>
      </c>
      <c r="BA232" s="144">
        <f t="shared" si="47"/>
        <v>0.15823905198085889</v>
      </c>
      <c r="BB232" s="144">
        <f t="shared" si="47"/>
        <v>3.308406070937135</v>
      </c>
      <c r="BC232" s="144">
        <f t="shared" si="47"/>
        <v>6.2059928939639762E-3</v>
      </c>
      <c r="BD232" s="178">
        <f t="shared" si="47"/>
        <v>0.31117372820439093</v>
      </c>
      <c r="BE232" s="144"/>
      <c r="BF232" s="160">
        <f t="shared" si="48"/>
        <v>1.0971006912981864E-5</v>
      </c>
      <c r="BG232" s="144">
        <f t="shared" si="49"/>
        <v>2.0351056252695573E-8</v>
      </c>
      <c r="BH232" s="144">
        <f t="shared" si="50"/>
        <v>2.4893501387936171E-9</v>
      </c>
      <c r="BI232" s="144">
        <f t="shared" si="50"/>
        <v>5.2046451294900499E-8</v>
      </c>
      <c r="BJ232" s="144">
        <f t="shared" si="50"/>
        <v>9.7630067158201714E-11</v>
      </c>
      <c r="BK232" s="160">
        <f t="shared" si="50"/>
        <v>4.8952540715943391E-9</v>
      </c>
      <c r="BL232" s="144"/>
    </row>
    <row r="233" spans="24:64">
      <c r="X233" s="53" t="s">
        <v>283</v>
      </c>
      <c r="Y233" s="39" t="s">
        <v>284</v>
      </c>
      <c r="Z233" s="155" t="s">
        <v>342</v>
      </c>
      <c r="AA233" s="53">
        <v>0.156392</v>
      </c>
      <c r="AB233" s="53">
        <v>34.817486000000002</v>
      </c>
      <c r="AC233" s="53" t="s">
        <v>679</v>
      </c>
      <c r="AD233" s="53" t="s">
        <v>334</v>
      </c>
      <c r="AE233" s="116" t="s">
        <v>347</v>
      </c>
      <c r="AF233" s="154" t="s">
        <v>371</v>
      </c>
      <c r="AG233" s="116" t="s">
        <v>687</v>
      </c>
      <c r="AH233" s="53" t="s">
        <v>364</v>
      </c>
      <c r="AI233" s="53" t="s">
        <v>685</v>
      </c>
      <c r="AJ233" s="53" t="s">
        <v>690</v>
      </c>
      <c r="AK233" s="156">
        <v>1360.6</v>
      </c>
      <c r="AL233" s="157">
        <v>45</v>
      </c>
      <c r="AM233" s="74">
        <v>0.20890500000000001</v>
      </c>
      <c r="AN233" s="157">
        <v>208</v>
      </c>
      <c r="AO233" s="156">
        <v>0.25</v>
      </c>
      <c r="AP233" s="157">
        <v>12.19</v>
      </c>
      <c r="AQ233" s="157"/>
      <c r="AR233" s="158">
        <f t="shared" si="51"/>
        <v>1.5648394980591895E-3</v>
      </c>
      <c r="AS233" s="144">
        <f t="shared" si="52"/>
        <v>5.1754944445585424E-5</v>
      </c>
      <c r="AT233" s="144">
        <f t="shared" si="53"/>
        <v>2.4026370376455607E-7</v>
      </c>
      <c r="AU233" s="144">
        <f t="shared" si="53"/>
        <v>2.3922285432626152E-4</v>
      </c>
      <c r="AV233" s="144">
        <f t="shared" si="53"/>
        <v>2.8752746914214125E-7</v>
      </c>
      <c r="AW233" s="158">
        <f t="shared" si="53"/>
        <v>1.4019839395370806E-5</v>
      </c>
      <c r="AX233" s="144"/>
      <c r="AY233" s="178">
        <f t="shared" ref="AY233:AY248" si="54">(AK233*7.6*350*6)/(15*66.7*365)</f>
        <v>59.463900926249202</v>
      </c>
      <c r="AZ233" s="144">
        <f t="shared" ref="AZ233:AZ248" si="55">(AL233*7.6*350*6)/(15*66.7*365)</f>
        <v>1.9666878889322461</v>
      </c>
      <c r="BA233" s="144">
        <f t="shared" ref="BA233:BD248" si="56">(AM233*7.6*350*6)/(15*66.7*365)</f>
        <v>9.1300207430531286E-3</v>
      </c>
      <c r="BB233" s="144">
        <f t="shared" si="56"/>
        <v>9.0904684643979383</v>
      </c>
      <c r="BC233" s="144">
        <f t="shared" si="56"/>
        <v>1.0926043827401368E-2</v>
      </c>
      <c r="BD233" s="178">
        <f t="shared" si="56"/>
        <v>0.53275389702409071</v>
      </c>
      <c r="BE233" s="144"/>
      <c r="BF233" s="160">
        <f t="shared" ref="BF233:BF248" si="57">(AK233*2800*0.61*0.07*0.03*350*6*0.000001)/(15*66.7*365)</f>
        <v>2.8063831558193508E-5</v>
      </c>
      <c r="BG233" s="144">
        <f t="shared" ref="BG233:BG248" si="58">(AL233*2800*0.61*0.07*0.001*350*6*0.000001)/(15*66.7*365)</f>
        <v>3.0939105789570974E-8</v>
      </c>
      <c r="BH233" s="144">
        <f t="shared" ref="BH233:BK248" si="59">(AM233*2800*0.61*0.07*0.001*350*6*0.000001)/(15*66.7*365)</f>
        <v>1.4362964211045163E-10</v>
      </c>
      <c r="BI233" s="144">
        <f t="shared" si="59"/>
        <v>1.430074223162392E-7</v>
      </c>
      <c r="BJ233" s="144">
        <f t="shared" si="59"/>
        <v>1.7188392105317206E-10</v>
      </c>
      <c r="BK233" s="160">
        <f t="shared" si="59"/>
        <v>8.3810599905526693E-9</v>
      </c>
      <c r="BL233" s="144"/>
    </row>
    <row r="234" spans="24:64">
      <c r="X234" s="53" t="s">
        <v>285</v>
      </c>
      <c r="Y234" s="39" t="s">
        <v>286</v>
      </c>
      <c r="Z234" s="155" t="s">
        <v>342</v>
      </c>
      <c r="AA234" s="53">
        <v>0.156392</v>
      </c>
      <c r="AB234" s="53">
        <v>34.817486000000002</v>
      </c>
      <c r="AC234" s="53" t="s">
        <v>679</v>
      </c>
      <c r="AD234" s="53" t="s">
        <v>334</v>
      </c>
      <c r="AE234" s="116" t="s">
        <v>347</v>
      </c>
      <c r="AF234" s="154" t="s">
        <v>371</v>
      </c>
      <c r="AG234" s="116" t="s">
        <v>687</v>
      </c>
      <c r="AH234" s="53" t="s">
        <v>366</v>
      </c>
      <c r="AI234" s="53" t="s">
        <v>684</v>
      </c>
      <c r="AJ234" s="53" t="s">
        <v>683</v>
      </c>
      <c r="AK234" s="156">
        <v>34.4</v>
      </c>
      <c r="AL234" s="157">
        <v>25</v>
      </c>
      <c r="AM234" s="74">
        <v>0.78137500000000004</v>
      </c>
      <c r="AN234" s="157">
        <v>128.5</v>
      </c>
      <c r="AO234" s="156">
        <v>9.0999999999999998E-2</v>
      </c>
      <c r="AP234" s="157">
        <v>30.54</v>
      </c>
      <c r="AQ234" s="157"/>
      <c r="AR234" s="158">
        <f t="shared" ref="AR234:AR248" si="60">(AK234*200*350*6*0.000001)/(15*66.7*365)</f>
        <v>3.9563779753958634E-5</v>
      </c>
      <c r="AS234" s="144">
        <f t="shared" ref="AS234:AS248" si="61">(AL234*200*350*6*0.000001)/(15*66.7*365)</f>
        <v>2.8752746914214125E-5</v>
      </c>
      <c r="AT234" s="144">
        <f t="shared" ref="AT234:AW248" si="62">(AM234*200*350*6*0.000001)/(15*66.7*365)</f>
        <v>8.9866710480376255E-7</v>
      </c>
      <c r="AU234" s="144">
        <f t="shared" si="62"/>
        <v>1.477891191390606E-4</v>
      </c>
      <c r="AV234" s="144">
        <f t="shared" si="62"/>
        <v>1.0465999876773941E-7</v>
      </c>
      <c r="AW234" s="158">
        <f t="shared" si="62"/>
        <v>3.5124355630403975E-5</v>
      </c>
      <c r="AX234" s="144"/>
      <c r="AY234" s="178">
        <f t="shared" si="54"/>
        <v>1.5034236306504283</v>
      </c>
      <c r="AZ234" s="144">
        <f t="shared" si="55"/>
        <v>1.0926043827401368</v>
      </c>
      <c r="BA234" s="144">
        <f t="shared" si="56"/>
        <v>3.4149349982542973E-2</v>
      </c>
      <c r="BB234" s="144">
        <f t="shared" si="56"/>
        <v>5.6159865272843019</v>
      </c>
      <c r="BC234" s="144">
        <f t="shared" si="56"/>
        <v>3.9770799531740984E-3</v>
      </c>
      <c r="BD234" s="178">
        <f t="shared" si="56"/>
        <v>1.3347255139553511</v>
      </c>
      <c r="BE234" s="144"/>
      <c r="BF234" s="160">
        <f t="shared" si="57"/>
        <v>7.0953682610749421E-7</v>
      </c>
      <c r="BG234" s="144">
        <f t="shared" si="58"/>
        <v>1.7188392105317205E-8</v>
      </c>
      <c r="BH234" s="144">
        <f t="shared" si="59"/>
        <v>5.3722319525168924E-10</v>
      </c>
      <c r="BI234" s="144">
        <f t="shared" si="59"/>
        <v>8.8348335421330429E-8</v>
      </c>
      <c r="BJ234" s="144">
        <f t="shared" si="59"/>
        <v>6.2565747263354627E-11</v>
      </c>
      <c r="BK234" s="160">
        <f t="shared" si="59"/>
        <v>2.0997339795855499E-8</v>
      </c>
      <c r="BL234" s="144"/>
    </row>
    <row r="235" spans="24:64">
      <c r="X235" s="41" t="s">
        <v>287</v>
      </c>
      <c r="Y235" s="154" t="s">
        <v>98</v>
      </c>
      <c r="Z235" s="155" t="s">
        <v>339</v>
      </c>
      <c r="AA235" s="53">
        <v>0.258245</v>
      </c>
      <c r="AB235" s="53">
        <v>34.717754999999997</v>
      </c>
      <c r="AC235" s="53" t="s">
        <v>332</v>
      </c>
      <c r="AD235" s="53" t="s">
        <v>330</v>
      </c>
      <c r="AE235" s="116" t="s">
        <v>347</v>
      </c>
      <c r="AF235" s="154" t="s">
        <v>371</v>
      </c>
      <c r="AG235" s="116" t="s">
        <v>687</v>
      </c>
      <c r="AH235" s="41" t="s">
        <v>366</v>
      </c>
      <c r="AI235" s="53" t="s">
        <v>684</v>
      </c>
      <c r="AJ235" s="53" t="s">
        <v>683</v>
      </c>
      <c r="AK235" s="156">
        <v>8.3000000000000007</v>
      </c>
      <c r="AL235" s="157">
        <v>19.7</v>
      </c>
      <c r="AM235" s="74">
        <v>0.45</v>
      </c>
      <c r="AN235" s="157">
        <v>1330.5</v>
      </c>
      <c r="AO235" s="156">
        <v>9.6000000000000002E-2</v>
      </c>
      <c r="AP235" s="157">
        <v>281.38</v>
      </c>
      <c r="AQ235" s="157"/>
      <c r="AR235" s="158">
        <f t="shared" si="60"/>
        <v>9.5459119755190917E-6</v>
      </c>
      <c r="AS235" s="144">
        <f t="shared" si="61"/>
        <v>2.2657164568400729E-5</v>
      </c>
      <c r="AT235" s="144">
        <f t="shared" si="62"/>
        <v>5.1754944445585431E-7</v>
      </c>
      <c r="AU235" s="144">
        <f t="shared" si="62"/>
        <v>1.5302211907744757E-3</v>
      </c>
      <c r="AV235" s="144">
        <f t="shared" si="62"/>
        <v>1.1041054815058223E-7</v>
      </c>
      <c r="AW235" s="158">
        <f t="shared" si="62"/>
        <v>3.236179170688628E-4</v>
      </c>
      <c r="AX235" s="144"/>
      <c r="AY235" s="178">
        <f t="shared" si="54"/>
        <v>0.36274465506972547</v>
      </c>
      <c r="AZ235" s="144">
        <f t="shared" si="55"/>
        <v>0.8609722535992278</v>
      </c>
      <c r="BA235" s="144">
        <f t="shared" si="56"/>
        <v>1.9666878889322462E-2</v>
      </c>
      <c r="BB235" s="144">
        <f t="shared" si="56"/>
        <v>58.14840524943007</v>
      </c>
      <c r="BC235" s="144">
        <f t="shared" si="56"/>
        <v>4.1956008297221251E-3</v>
      </c>
      <c r="BD235" s="178">
        <f t="shared" si="56"/>
        <v>12.297480848616788</v>
      </c>
      <c r="BE235" s="144"/>
      <c r="BF235" s="160">
        <f t="shared" si="57"/>
        <v>1.7119638536895941E-7</v>
      </c>
      <c r="BG235" s="144">
        <f t="shared" si="58"/>
        <v>1.3544452978989957E-8</v>
      </c>
      <c r="BH235" s="144">
        <f t="shared" si="59"/>
        <v>3.0939105789570972E-10</v>
      </c>
      <c r="BI235" s="144">
        <f t="shared" si="59"/>
        <v>9.1476622784498186E-7</v>
      </c>
      <c r="BJ235" s="144">
        <f t="shared" si="59"/>
        <v>6.6003425684418064E-11</v>
      </c>
      <c r="BK235" s="160">
        <f t="shared" si="59"/>
        <v>1.9345879082376621E-7</v>
      </c>
      <c r="BL235" s="144"/>
    </row>
    <row r="236" spans="24:64">
      <c r="X236" s="41" t="s">
        <v>289</v>
      </c>
      <c r="Y236" s="53" t="s">
        <v>110</v>
      </c>
      <c r="Z236" s="155" t="s">
        <v>339</v>
      </c>
      <c r="AA236" s="53">
        <v>0.26076500000000002</v>
      </c>
      <c r="AB236" s="53">
        <v>34.720081</v>
      </c>
      <c r="AC236" s="53" t="s">
        <v>332</v>
      </c>
      <c r="AD236" s="53" t="s">
        <v>330</v>
      </c>
      <c r="AE236" s="116" t="s">
        <v>347</v>
      </c>
      <c r="AF236" s="154" t="s">
        <v>371</v>
      </c>
      <c r="AG236" s="116" t="s">
        <v>687</v>
      </c>
      <c r="AH236" s="41" t="s">
        <v>361</v>
      </c>
      <c r="AI236" s="53" t="s">
        <v>685</v>
      </c>
      <c r="AJ236" s="53" t="s">
        <v>690</v>
      </c>
      <c r="AK236" s="156">
        <v>105.8</v>
      </c>
      <c r="AL236" s="157">
        <v>25.1</v>
      </c>
      <c r="AM236" s="74">
        <v>4.9800000000000004</v>
      </c>
      <c r="AN236" s="157">
        <v>987.2</v>
      </c>
      <c r="AO236" s="156">
        <v>0.111</v>
      </c>
      <c r="AP236" s="157">
        <v>240.73</v>
      </c>
      <c r="AQ236" s="157"/>
      <c r="AR236" s="158">
        <f t="shared" si="60"/>
        <v>1.2168162494095419E-4</v>
      </c>
      <c r="AS236" s="144">
        <f t="shared" si="61"/>
        <v>2.8867757901870982E-5</v>
      </c>
      <c r="AT236" s="144">
        <f t="shared" si="62"/>
        <v>5.727547185311455E-6</v>
      </c>
      <c r="AU236" s="144">
        <f t="shared" si="62"/>
        <v>1.1353884701484874E-3</v>
      </c>
      <c r="AV236" s="144">
        <f t="shared" si="62"/>
        <v>1.276621962991107E-7</v>
      </c>
      <c r="AW236" s="158">
        <f t="shared" si="62"/>
        <v>2.7686595058635068E-4</v>
      </c>
      <c r="AX236" s="144"/>
      <c r="AY236" s="178">
        <f t="shared" si="54"/>
        <v>4.6239017477562587</v>
      </c>
      <c r="AZ236" s="144">
        <f t="shared" si="55"/>
        <v>1.0969748002710973</v>
      </c>
      <c r="BA236" s="144">
        <f t="shared" si="56"/>
        <v>0.21764679304183521</v>
      </c>
      <c r="BB236" s="144">
        <f t="shared" si="56"/>
        <v>43.144761865642522</v>
      </c>
      <c r="BC236" s="144">
        <f t="shared" si="56"/>
        <v>4.8511634593662069E-3</v>
      </c>
      <c r="BD236" s="178">
        <f t="shared" si="56"/>
        <v>10.520906122281325</v>
      </c>
      <c r="BE236" s="144"/>
      <c r="BF236" s="160">
        <f t="shared" si="57"/>
        <v>2.182238261691072E-6</v>
      </c>
      <c r="BG236" s="144">
        <f t="shared" si="58"/>
        <v>1.7257145673738473E-8</v>
      </c>
      <c r="BH236" s="144">
        <f t="shared" si="59"/>
        <v>3.4239277073791871E-9</v>
      </c>
      <c r="BI236" s="144">
        <f t="shared" si="59"/>
        <v>6.7873522745476579E-7</v>
      </c>
      <c r="BJ236" s="144">
        <f t="shared" si="59"/>
        <v>7.631646094760839E-11</v>
      </c>
      <c r="BK236" s="160">
        <f t="shared" si="59"/>
        <v>1.6551046526052044E-7</v>
      </c>
      <c r="BL236" s="144"/>
    </row>
    <row r="237" spans="24:64">
      <c r="X237" s="41" t="s">
        <v>290</v>
      </c>
      <c r="Y237" s="53" t="s">
        <v>133</v>
      </c>
      <c r="Z237" s="155" t="s">
        <v>339</v>
      </c>
      <c r="AA237" s="53">
        <v>0.31578899999999999</v>
      </c>
      <c r="AB237" s="53">
        <v>34.648187999999998</v>
      </c>
      <c r="AC237" s="53" t="s">
        <v>350</v>
      </c>
      <c r="AD237" s="53" t="s">
        <v>330</v>
      </c>
      <c r="AE237" s="116" t="s">
        <v>347</v>
      </c>
      <c r="AF237" s="154" t="s">
        <v>371</v>
      </c>
      <c r="AG237" s="116" t="s">
        <v>687</v>
      </c>
      <c r="AH237" s="41" t="s">
        <v>367</v>
      </c>
      <c r="AI237" s="53" t="s">
        <v>684</v>
      </c>
      <c r="AJ237" s="53" t="s">
        <v>683</v>
      </c>
      <c r="AK237" s="156">
        <v>1.4</v>
      </c>
      <c r="AL237" s="157">
        <v>16.899999999999999</v>
      </c>
      <c r="AM237" s="74">
        <v>0.06</v>
      </c>
      <c r="AN237" s="157">
        <v>47.3</v>
      </c>
      <c r="AO237" s="156">
        <v>0.04</v>
      </c>
      <c r="AP237" s="157">
        <v>18.7</v>
      </c>
      <c r="AQ237" s="157"/>
      <c r="AR237" s="158">
        <f t="shared" si="60"/>
        <v>1.6101538271959909E-6</v>
      </c>
      <c r="AS237" s="144">
        <f t="shared" si="61"/>
        <v>1.9436856914008743E-5</v>
      </c>
      <c r="AT237" s="144">
        <f t="shared" si="62"/>
        <v>6.9006592594113905E-8</v>
      </c>
      <c r="AU237" s="144">
        <f t="shared" si="62"/>
        <v>5.4400197161693128E-5</v>
      </c>
      <c r="AV237" s="144">
        <f t="shared" si="62"/>
        <v>4.6004395062742599E-8</v>
      </c>
      <c r="AW237" s="158">
        <f t="shared" si="62"/>
        <v>2.1507054691832165E-5</v>
      </c>
      <c r="AX237" s="144"/>
      <c r="AY237" s="178">
        <f t="shared" si="54"/>
        <v>6.1185845433447648E-2</v>
      </c>
      <c r="AZ237" s="144">
        <f t="shared" si="55"/>
        <v>0.73860056273233232</v>
      </c>
      <c r="BA237" s="144">
        <f t="shared" si="56"/>
        <v>2.6222505185763282E-3</v>
      </c>
      <c r="BB237" s="144">
        <f t="shared" si="56"/>
        <v>2.0672074921443384</v>
      </c>
      <c r="BC237" s="144">
        <f t="shared" si="56"/>
        <v>1.7481670123842188E-3</v>
      </c>
      <c r="BD237" s="178">
        <f t="shared" si="56"/>
        <v>0.81726807828962211</v>
      </c>
      <c r="BE237" s="144"/>
      <c r="BF237" s="160">
        <f t="shared" si="57"/>
        <v>2.8876498736932905E-8</v>
      </c>
      <c r="BG237" s="144">
        <f t="shared" si="58"/>
        <v>1.1619353063194428E-8</v>
      </c>
      <c r="BH237" s="144">
        <f t="shared" si="59"/>
        <v>4.1252141052761297E-11</v>
      </c>
      <c r="BI237" s="144">
        <f t="shared" si="59"/>
        <v>3.2520437863260146E-8</v>
      </c>
      <c r="BJ237" s="144">
        <f t="shared" si="59"/>
        <v>2.7501427368507527E-11</v>
      </c>
      <c r="BK237" s="160">
        <f t="shared" si="59"/>
        <v>1.2856917294777267E-8</v>
      </c>
      <c r="BL237" s="144"/>
    </row>
    <row r="238" spans="24:64">
      <c r="X238" s="41" t="s">
        <v>291</v>
      </c>
      <c r="Y238" s="53" t="s">
        <v>162</v>
      </c>
      <c r="Z238" s="155" t="s">
        <v>343</v>
      </c>
      <c r="AA238" s="53">
        <v>0.18987899999999999</v>
      </c>
      <c r="AB238" s="53">
        <v>34.735692999999998</v>
      </c>
      <c r="AC238" s="53" t="s">
        <v>352</v>
      </c>
      <c r="AD238" s="53" t="s">
        <v>330</v>
      </c>
      <c r="AE238" s="116" t="s">
        <v>347</v>
      </c>
      <c r="AF238" s="154" t="s">
        <v>371</v>
      </c>
      <c r="AG238" s="116" t="s">
        <v>687</v>
      </c>
      <c r="AH238" s="41" t="s">
        <v>364</v>
      </c>
      <c r="AI238" s="53" t="s">
        <v>685</v>
      </c>
      <c r="AJ238" s="53" t="s">
        <v>690</v>
      </c>
      <c r="AK238" s="156">
        <v>20.8</v>
      </c>
      <c r="AL238" s="157">
        <v>37.6</v>
      </c>
      <c r="AM238" s="74">
        <v>4.76</v>
      </c>
      <c r="AN238" s="157">
        <v>142.19999999999999</v>
      </c>
      <c r="AO238" s="156">
        <v>0.249</v>
      </c>
      <c r="AP238" s="157">
        <v>52.58</v>
      </c>
      <c r="AQ238" s="157"/>
      <c r="AR238" s="158">
        <f t="shared" si="60"/>
        <v>2.3922285432626149E-5</v>
      </c>
      <c r="AS238" s="144">
        <f t="shared" si="61"/>
        <v>4.3244131358978045E-5</v>
      </c>
      <c r="AT238" s="144">
        <f t="shared" si="62"/>
        <v>5.4745230124663695E-6</v>
      </c>
      <c r="AU238" s="144">
        <f t="shared" si="62"/>
        <v>1.635456244480499E-4</v>
      </c>
      <c r="AV238" s="144">
        <f t="shared" si="62"/>
        <v>2.8637735926557268E-7</v>
      </c>
      <c r="AW238" s="158">
        <f t="shared" si="62"/>
        <v>6.0472777309975148E-5</v>
      </c>
      <c r="AX238" s="144"/>
      <c r="AY238" s="178">
        <f t="shared" si="54"/>
        <v>0.90904684643979361</v>
      </c>
      <c r="AZ238" s="144">
        <f t="shared" si="55"/>
        <v>1.6432769916411658</v>
      </c>
      <c r="BA238" s="144">
        <f t="shared" si="56"/>
        <v>0.20803187447372201</v>
      </c>
      <c r="BB238" s="144">
        <f t="shared" si="56"/>
        <v>6.2147337290258964</v>
      </c>
      <c r="BC238" s="144">
        <f t="shared" si="56"/>
        <v>1.088233965209176E-2</v>
      </c>
      <c r="BD238" s="178">
        <f t="shared" si="56"/>
        <v>2.2979655377790555</v>
      </c>
      <c r="BE238" s="144"/>
      <c r="BF238" s="160">
        <f t="shared" si="57"/>
        <v>4.2902226694871753E-7</v>
      </c>
      <c r="BG238" s="144">
        <f t="shared" si="58"/>
        <v>2.5851341726397073E-8</v>
      </c>
      <c r="BH238" s="144">
        <f t="shared" si="59"/>
        <v>3.272669856852396E-9</v>
      </c>
      <c r="BI238" s="144">
        <f t="shared" si="59"/>
        <v>9.7767574295044229E-8</v>
      </c>
      <c r="BJ238" s="144">
        <f t="shared" si="59"/>
        <v>1.7119638536895938E-10</v>
      </c>
      <c r="BK238" s="160">
        <f t="shared" si="59"/>
        <v>3.6150626275903152E-8</v>
      </c>
      <c r="BL238" s="144"/>
    </row>
    <row r="239" spans="24:64">
      <c r="X239" s="41" t="s">
        <v>292</v>
      </c>
      <c r="Y239" s="39" t="s">
        <v>188</v>
      </c>
      <c r="Z239" s="155" t="s">
        <v>343</v>
      </c>
      <c r="AA239" s="53">
        <v>0.19523199999999999</v>
      </c>
      <c r="AB239" s="53">
        <v>34.751345000000001</v>
      </c>
      <c r="AC239" s="53" t="s">
        <v>355</v>
      </c>
      <c r="AD239" s="53" t="s">
        <v>330</v>
      </c>
      <c r="AE239" s="116" t="s">
        <v>347</v>
      </c>
      <c r="AF239" s="154" t="s">
        <v>371</v>
      </c>
      <c r="AG239" s="116" t="s">
        <v>687</v>
      </c>
      <c r="AH239" s="41" t="s">
        <v>361</v>
      </c>
      <c r="AI239" s="53" t="s">
        <v>685</v>
      </c>
      <c r="AJ239" s="53" t="s">
        <v>690</v>
      </c>
      <c r="AK239" s="156">
        <v>408.2</v>
      </c>
      <c r="AL239" s="157">
        <v>197.6</v>
      </c>
      <c r="AM239" s="74">
        <v>0.17</v>
      </c>
      <c r="AN239" s="157">
        <v>102</v>
      </c>
      <c r="AO239" s="156">
        <v>0.73899999999999999</v>
      </c>
      <c r="AP239" s="157">
        <v>47.07</v>
      </c>
      <c r="AQ239" s="157"/>
      <c r="AR239" s="158">
        <f t="shared" si="60"/>
        <v>4.6947485161528822E-4</v>
      </c>
      <c r="AS239" s="144">
        <f t="shared" si="61"/>
        <v>2.2726171160994844E-4</v>
      </c>
      <c r="AT239" s="144">
        <f t="shared" si="62"/>
        <v>1.9551867901665602E-7</v>
      </c>
      <c r="AU239" s="144">
        <f t="shared" si="62"/>
        <v>1.1731120740999363E-4</v>
      </c>
      <c r="AV239" s="144">
        <f t="shared" si="62"/>
        <v>8.4993119878416965E-7</v>
      </c>
      <c r="AW239" s="158">
        <f t="shared" si="62"/>
        <v>5.4135671890082351E-5</v>
      </c>
      <c r="AX239" s="144"/>
      <c r="AY239" s="178">
        <f t="shared" si="54"/>
        <v>17.840044361380954</v>
      </c>
      <c r="AZ239" s="144">
        <f t="shared" si="55"/>
        <v>8.6359450411780418</v>
      </c>
      <c r="BA239" s="144">
        <f t="shared" si="56"/>
        <v>7.4297098026329294E-3</v>
      </c>
      <c r="BB239" s="144">
        <f t="shared" si="56"/>
        <v>4.4578258815797582</v>
      </c>
      <c r="BC239" s="144">
        <f t="shared" si="56"/>
        <v>3.2297385553798443E-2</v>
      </c>
      <c r="BD239" s="178">
        <f t="shared" si="56"/>
        <v>2.0571555318231294</v>
      </c>
      <c r="BE239" s="144"/>
      <c r="BF239" s="160">
        <f t="shared" si="57"/>
        <v>8.4195619888685802E-6</v>
      </c>
      <c r="BG239" s="144">
        <f t="shared" si="58"/>
        <v>1.3585705120042718E-7</v>
      </c>
      <c r="BH239" s="144">
        <f t="shared" si="59"/>
        <v>1.1688106631615698E-10</v>
      </c>
      <c r="BI239" s="144">
        <f t="shared" si="59"/>
        <v>7.0128639789694196E-8</v>
      </c>
      <c r="BJ239" s="144">
        <f t="shared" si="59"/>
        <v>5.0808887063317655E-10</v>
      </c>
      <c r="BK239" s="160">
        <f t="shared" si="59"/>
        <v>3.2362304655891234E-8</v>
      </c>
      <c r="BL239" s="144"/>
    </row>
    <row r="240" spans="24:64">
      <c r="X240" s="41" t="s">
        <v>293</v>
      </c>
      <c r="Y240" s="39" t="s">
        <v>206</v>
      </c>
      <c r="Z240" s="155" t="s">
        <v>341</v>
      </c>
      <c r="AA240" s="53">
        <v>0.21768199999999999</v>
      </c>
      <c r="AB240" s="53">
        <v>34.802346</v>
      </c>
      <c r="AC240" s="53" t="s">
        <v>356</v>
      </c>
      <c r="AD240" s="53" t="s">
        <v>330</v>
      </c>
      <c r="AE240" s="116" t="s">
        <v>347</v>
      </c>
      <c r="AF240" s="154" t="s">
        <v>371</v>
      </c>
      <c r="AG240" s="116" t="s">
        <v>687</v>
      </c>
      <c r="AH240" s="41" t="s">
        <v>361</v>
      </c>
      <c r="AI240" s="53" t="s">
        <v>685</v>
      </c>
      <c r="AJ240" s="53" t="s">
        <v>690</v>
      </c>
      <c r="AK240" s="156">
        <v>44.8</v>
      </c>
      <c r="AL240" s="157">
        <v>36.5</v>
      </c>
      <c r="AM240" s="74">
        <v>1.56</v>
      </c>
      <c r="AN240" s="157">
        <v>112.1</v>
      </c>
      <c r="AO240" s="156">
        <v>0.121</v>
      </c>
      <c r="AP240" s="157">
        <v>17.72</v>
      </c>
      <c r="AQ240" s="157"/>
      <c r="AR240" s="158">
        <f t="shared" si="60"/>
        <v>5.1524922470271709E-5</v>
      </c>
      <c r="AS240" s="144">
        <f t="shared" si="61"/>
        <v>4.1979010494752622E-5</v>
      </c>
      <c r="AT240" s="144">
        <f t="shared" si="62"/>
        <v>1.7941714074469616E-6</v>
      </c>
      <c r="AU240" s="144">
        <f t="shared" si="62"/>
        <v>1.2892731716333613E-4</v>
      </c>
      <c r="AV240" s="144">
        <f t="shared" si="62"/>
        <v>1.3916329506479635E-7</v>
      </c>
      <c r="AW240" s="158">
        <f t="shared" si="62"/>
        <v>2.0379947012794971E-5</v>
      </c>
      <c r="AX240" s="144"/>
      <c r="AY240" s="178">
        <f t="shared" si="54"/>
        <v>1.9579470538703247</v>
      </c>
      <c r="AZ240" s="144">
        <f t="shared" si="55"/>
        <v>1.5952023988005994</v>
      </c>
      <c r="BA240" s="144">
        <f t="shared" si="56"/>
        <v>6.8178513482984537E-2</v>
      </c>
      <c r="BB240" s="144">
        <f t="shared" si="56"/>
        <v>4.8992380522067736</v>
      </c>
      <c r="BC240" s="144">
        <f t="shared" si="56"/>
        <v>5.288205212462262E-3</v>
      </c>
      <c r="BD240" s="178">
        <f t="shared" si="56"/>
        <v>0.77443798648620887</v>
      </c>
      <c r="BE240" s="144"/>
      <c r="BF240" s="160">
        <f t="shared" si="57"/>
        <v>9.2404795958185295E-7</v>
      </c>
      <c r="BG240" s="144">
        <f t="shared" si="58"/>
        <v>2.5095052473763117E-8</v>
      </c>
      <c r="BH240" s="144">
        <f t="shared" si="59"/>
        <v>1.0725556673717937E-9</v>
      </c>
      <c r="BI240" s="144">
        <f t="shared" si="59"/>
        <v>7.7072750200242358E-8</v>
      </c>
      <c r="BJ240" s="144">
        <f t="shared" si="59"/>
        <v>8.3191817789735278E-11</v>
      </c>
      <c r="BK240" s="160">
        <f t="shared" si="59"/>
        <v>1.2183132324248833E-8</v>
      </c>
      <c r="BL240" s="144"/>
    </row>
    <row r="241" spans="24:64">
      <c r="X241" s="41" t="s">
        <v>294</v>
      </c>
      <c r="Y241" s="39" t="s">
        <v>240</v>
      </c>
      <c r="Z241" s="155" t="s">
        <v>341</v>
      </c>
      <c r="AA241" s="53">
        <v>0.10542700000000001</v>
      </c>
      <c r="AB241" s="53">
        <v>34.698397999999997</v>
      </c>
      <c r="AC241" s="53" t="s">
        <v>359</v>
      </c>
      <c r="AD241" s="53" t="s">
        <v>334</v>
      </c>
      <c r="AE241" s="116" t="s">
        <v>347</v>
      </c>
      <c r="AF241" s="154" t="s">
        <v>371</v>
      </c>
      <c r="AG241" s="116" t="s">
        <v>687</v>
      </c>
      <c r="AH241" s="41" t="s">
        <v>365</v>
      </c>
      <c r="AI241" s="53" t="s">
        <v>685</v>
      </c>
      <c r="AJ241" s="53" t="s">
        <v>691</v>
      </c>
      <c r="AK241" s="156">
        <v>4062.8</v>
      </c>
      <c r="AL241" s="157">
        <v>230.1</v>
      </c>
      <c r="AM241" s="74">
        <v>5.18</v>
      </c>
      <c r="AN241" s="157">
        <v>183</v>
      </c>
      <c r="AO241" s="156">
        <v>2.093</v>
      </c>
      <c r="AP241" s="157">
        <v>57.05</v>
      </c>
      <c r="AQ241" s="157"/>
      <c r="AR241" s="158">
        <f t="shared" si="60"/>
        <v>4.6726664065227658E-3</v>
      </c>
      <c r="AS241" s="144">
        <f t="shared" si="61"/>
        <v>2.6464028259842682E-4</v>
      </c>
      <c r="AT241" s="144">
        <f t="shared" si="62"/>
        <v>5.9575691606251665E-6</v>
      </c>
      <c r="AU241" s="144">
        <f t="shared" si="62"/>
        <v>2.1047010741204739E-4</v>
      </c>
      <c r="AV241" s="144">
        <f t="shared" si="62"/>
        <v>2.4071799716580064E-6</v>
      </c>
      <c r="AW241" s="158">
        <f t="shared" si="62"/>
        <v>6.561376845823663E-5</v>
      </c>
      <c r="AX241" s="144"/>
      <c r="AY241" s="178">
        <f t="shared" si="54"/>
        <v>177.56132344786511</v>
      </c>
      <c r="AZ241" s="144">
        <f t="shared" si="55"/>
        <v>10.056330738740217</v>
      </c>
      <c r="BA241" s="144">
        <f t="shared" si="56"/>
        <v>0.22638762810375632</v>
      </c>
      <c r="BB241" s="144">
        <f t="shared" si="56"/>
        <v>7.9978640816578013</v>
      </c>
      <c r="BC241" s="144">
        <f t="shared" si="56"/>
        <v>9.1472838923004243E-2</v>
      </c>
      <c r="BD241" s="178">
        <f t="shared" si="56"/>
        <v>2.4933232014129922</v>
      </c>
      <c r="BE241" s="144"/>
      <c r="BF241" s="160">
        <f t="shared" si="57"/>
        <v>8.3799599334579282E-5</v>
      </c>
      <c r="BG241" s="144">
        <f t="shared" si="58"/>
        <v>1.5820196093733954E-7</v>
      </c>
      <c r="BH241" s="144">
        <f t="shared" si="59"/>
        <v>3.5614348442217249E-9</v>
      </c>
      <c r="BI241" s="144">
        <f t="shared" si="59"/>
        <v>1.2581903021092195E-7</v>
      </c>
      <c r="BJ241" s="144">
        <f t="shared" si="59"/>
        <v>1.4390121870571563E-9</v>
      </c>
      <c r="BK241" s="160">
        <f t="shared" si="59"/>
        <v>3.922391078433386E-8</v>
      </c>
      <c r="BL241" s="144"/>
    </row>
    <row r="242" spans="24:64">
      <c r="X242" s="41" t="s">
        <v>295</v>
      </c>
      <c r="Y242" s="39" t="s">
        <v>260</v>
      </c>
      <c r="Z242" s="155" t="s">
        <v>342</v>
      </c>
      <c r="AA242" s="53">
        <v>0.10333000000000001</v>
      </c>
      <c r="AB242" s="53">
        <v>34.713628999999997</v>
      </c>
      <c r="AC242" s="53" t="s">
        <v>335</v>
      </c>
      <c r="AD242" s="53" t="s">
        <v>334</v>
      </c>
      <c r="AE242" s="116" t="s">
        <v>347</v>
      </c>
      <c r="AF242" s="154" t="s">
        <v>371</v>
      </c>
      <c r="AG242" s="116" t="s">
        <v>687</v>
      </c>
      <c r="AH242" s="41" t="s">
        <v>365</v>
      </c>
      <c r="AI242" s="53" t="s">
        <v>685</v>
      </c>
      <c r="AJ242" s="53" t="s">
        <v>691</v>
      </c>
      <c r="AK242" s="156">
        <v>7890.2</v>
      </c>
      <c r="AL242" s="157">
        <v>69.099999999999994</v>
      </c>
      <c r="AM242" s="74">
        <v>15.3</v>
      </c>
      <c r="AN242" s="157">
        <v>76.099999999999994</v>
      </c>
      <c r="AO242" s="156">
        <v>0.83499999999999996</v>
      </c>
      <c r="AP242" s="157">
        <v>50.85</v>
      </c>
      <c r="AQ242" s="157"/>
      <c r="AR242" s="158">
        <f t="shared" si="60"/>
        <v>9.0745969481012927E-3</v>
      </c>
      <c r="AS242" s="144">
        <f t="shared" si="61"/>
        <v>7.9472592470887821E-5</v>
      </c>
      <c r="AT242" s="144">
        <f t="shared" si="62"/>
        <v>1.7596681111499042E-5</v>
      </c>
      <c r="AU242" s="144">
        <f t="shared" si="62"/>
        <v>8.7523361606867776E-5</v>
      </c>
      <c r="AV242" s="144">
        <f t="shared" si="62"/>
        <v>9.6034174693475185E-7</v>
      </c>
      <c r="AW242" s="158">
        <f t="shared" si="62"/>
        <v>5.8483087223511531E-5</v>
      </c>
      <c r="AX242" s="144"/>
      <c r="AY242" s="178">
        <f t="shared" si="54"/>
        <v>344.83468402784911</v>
      </c>
      <c r="AZ242" s="144">
        <f t="shared" si="55"/>
        <v>3.0199585138937382</v>
      </c>
      <c r="BA242" s="144">
        <f t="shared" si="56"/>
        <v>0.66867388223696367</v>
      </c>
      <c r="BB242" s="144">
        <f t="shared" si="56"/>
        <v>3.3258877410609755</v>
      </c>
      <c r="BC242" s="144">
        <f t="shared" si="56"/>
        <v>3.6492986383520568E-2</v>
      </c>
      <c r="BD242" s="178">
        <f t="shared" si="56"/>
        <v>2.2223573144934381</v>
      </c>
      <c r="BE242" s="144"/>
      <c r="BF242" s="160">
        <f t="shared" si="57"/>
        <v>1.6274382166724856E-4</v>
      </c>
      <c r="BG242" s="144">
        <f t="shared" si="58"/>
        <v>4.7508715779096746E-8</v>
      </c>
      <c r="BH242" s="144">
        <f t="shared" si="59"/>
        <v>1.051929596845413E-8</v>
      </c>
      <c r="BI242" s="144">
        <f t="shared" si="59"/>
        <v>5.2321465568585565E-8</v>
      </c>
      <c r="BJ242" s="144">
        <f t="shared" si="59"/>
        <v>5.7409229631759472E-10</v>
      </c>
      <c r="BK242" s="160">
        <f t="shared" si="59"/>
        <v>3.4961189542215199E-8</v>
      </c>
      <c r="BL242" s="144"/>
    </row>
    <row r="243" spans="24:64">
      <c r="X243" s="41" t="s">
        <v>296</v>
      </c>
      <c r="Y243" s="39" t="s">
        <v>282</v>
      </c>
      <c r="Z243" s="155" t="s">
        <v>342</v>
      </c>
      <c r="AA243" s="53">
        <v>0.156392</v>
      </c>
      <c r="AB243" s="53">
        <v>34.817486000000002</v>
      </c>
      <c r="AC243" s="53" t="s">
        <v>360</v>
      </c>
      <c r="AD243" s="53" t="s">
        <v>330</v>
      </c>
      <c r="AE243" s="116" t="s">
        <v>347</v>
      </c>
      <c r="AF243" s="154" t="s">
        <v>371</v>
      </c>
      <c r="AG243" s="116" t="s">
        <v>687</v>
      </c>
      <c r="AH243" s="41" t="s">
        <v>365</v>
      </c>
      <c r="AI243" s="53" t="s">
        <v>685</v>
      </c>
      <c r="AJ243" s="53" t="s">
        <v>691</v>
      </c>
      <c r="AK243" s="156">
        <v>514.4</v>
      </c>
      <c r="AL243" s="157">
        <v>30.4</v>
      </c>
      <c r="AM243" s="74">
        <v>3.62</v>
      </c>
      <c r="AN243" s="157">
        <v>78.400000000000006</v>
      </c>
      <c r="AO243" s="156">
        <v>0.13500000000000001</v>
      </c>
      <c r="AP243" s="157">
        <v>7.08</v>
      </c>
      <c r="AQ243" s="157"/>
      <c r="AR243" s="158">
        <f t="shared" si="60"/>
        <v>5.9161652050686981E-4</v>
      </c>
      <c r="AS243" s="144">
        <f t="shared" si="61"/>
        <v>3.4963340247684374E-5</v>
      </c>
      <c r="AT243" s="144">
        <f t="shared" si="62"/>
        <v>4.1633977531782052E-6</v>
      </c>
      <c r="AU243" s="144">
        <f t="shared" si="62"/>
        <v>9.0168614322975514E-5</v>
      </c>
      <c r="AV243" s="144">
        <f t="shared" si="62"/>
        <v>1.5526483333675628E-7</v>
      </c>
      <c r="AW243" s="158">
        <f t="shared" si="62"/>
        <v>8.1427779261054395E-6</v>
      </c>
      <c r="AX243" s="144"/>
      <c r="AY243" s="178">
        <f t="shared" si="54"/>
        <v>22.48142777926105</v>
      </c>
      <c r="AZ243" s="144">
        <f t="shared" si="55"/>
        <v>1.3286069294120064</v>
      </c>
      <c r="BA243" s="144">
        <f t="shared" si="56"/>
        <v>0.15820911462077181</v>
      </c>
      <c r="BB243" s="144">
        <f t="shared" si="56"/>
        <v>3.4264073442730689</v>
      </c>
      <c r="BC243" s="144">
        <f t="shared" si="56"/>
        <v>5.9000636667967399E-3</v>
      </c>
      <c r="BD243" s="178">
        <f t="shared" si="56"/>
        <v>0.3094255611920067</v>
      </c>
      <c r="BE243" s="144"/>
      <c r="BF243" s="160">
        <f t="shared" si="57"/>
        <v>1.0610050678770205E-5</v>
      </c>
      <c r="BG243" s="144">
        <f t="shared" si="58"/>
        <v>2.0901084800065725E-8</v>
      </c>
      <c r="BH243" s="144">
        <f t="shared" si="59"/>
        <v>2.4888791768499315E-9</v>
      </c>
      <c r="BI243" s="144">
        <f t="shared" si="59"/>
        <v>5.3902797642274757E-8</v>
      </c>
      <c r="BJ243" s="144">
        <f t="shared" si="59"/>
        <v>9.281731736871288E-11</v>
      </c>
      <c r="BK243" s="160">
        <f t="shared" si="59"/>
        <v>4.8677526442258317E-9</v>
      </c>
      <c r="BL243" s="144"/>
    </row>
    <row r="244" spans="24:64">
      <c r="X244" s="53" t="s">
        <v>305</v>
      </c>
      <c r="Y244" s="53" t="s">
        <v>90</v>
      </c>
      <c r="Z244" s="165">
        <v>43887</v>
      </c>
      <c r="AA244" s="166">
        <v>0.258245</v>
      </c>
      <c r="AB244" s="166">
        <v>34.717759999999998</v>
      </c>
      <c r="AC244" s="166" t="s">
        <v>332</v>
      </c>
      <c r="AD244" s="165" t="s">
        <v>330</v>
      </c>
      <c r="AE244" s="116" t="s">
        <v>347</v>
      </c>
      <c r="AF244" s="154" t="s">
        <v>371</v>
      </c>
      <c r="AG244" s="116" t="s">
        <v>687</v>
      </c>
      <c r="AH244" s="165" t="s">
        <v>364</v>
      </c>
      <c r="AI244" s="53" t="s">
        <v>685</v>
      </c>
      <c r="AJ244" s="53" t="s">
        <v>690</v>
      </c>
      <c r="AK244" s="167">
        <v>10.6</v>
      </c>
      <c r="AL244" s="157">
        <v>5.76</v>
      </c>
      <c r="AM244" s="75">
        <v>1.65222</v>
      </c>
      <c r="AN244" s="157">
        <v>173.5</v>
      </c>
      <c r="AO244" s="156">
        <v>3.2000000000000001E-2</v>
      </c>
      <c r="AP244" s="157">
        <v>50</v>
      </c>
      <c r="AQ244" s="157"/>
      <c r="AR244" s="158">
        <f t="shared" si="60"/>
        <v>1.2191164691626788E-5</v>
      </c>
      <c r="AS244" s="144">
        <f t="shared" si="61"/>
        <v>6.6246328890349344E-6</v>
      </c>
      <c r="AT244" s="144">
        <f t="shared" si="62"/>
        <v>1.9002345402641146E-6</v>
      </c>
      <c r="AU244" s="144">
        <f t="shared" si="62"/>
        <v>1.99544063584646E-4</v>
      </c>
      <c r="AV244" s="144">
        <f t="shared" si="62"/>
        <v>3.6803516050194075E-8</v>
      </c>
      <c r="AW244" s="158">
        <f t="shared" si="62"/>
        <v>5.7505493828428249E-5</v>
      </c>
      <c r="AX244" s="144"/>
      <c r="AY244" s="178">
        <f t="shared" si="54"/>
        <v>0.46326425828181794</v>
      </c>
      <c r="AZ244" s="144">
        <f t="shared" si="55"/>
        <v>0.25173604978332748</v>
      </c>
      <c r="BA244" s="144">
        <f t="shared" si="56"/>
        <v>7.2208912530036348E-2</v>
      </c>
      <c r="BB244" s="144">
        <f t="shared" si="56"/>
        <v>7.5826744162165483</v>
      </c>
      <c r="BC244" s="144">
        <f t="shared" si="56"/>
        <v>1.3985336099073752E-3</v>
      </c>
      <c r="BD244" s="178">
        <f t="shared" si="56"/>
        <v>2.1852087654802737</v>
      </c>
      <c r="BE244" s="144"/>
      <c r="BF244" s="160">
        <f t="shared" si="57"/>
        <v>2.1863634757963485E-7</v>
      </c>
      <c r="BG244" s="144">
        <f t="shared" si="58"/>
        <v>3.9602055410650843E-9</v>
      </c>
      <c r="BH244" s="144">
        <f t="shared" si="59"/>
        <v>1.1359602081698879E-9</v>
      </c>
      <c r="BI244" s="144">
        <f t="shared" si="59"/>
        <v>1.1928744121090142E-7</v>
      </c>
      <c r="BJ244" s="144">
        <f t="shared" si="59"/>
        <v>2.2001141894806025E-11</v>
      </c>
      <c r="BK244" s="160">
        <f t="shared" si="59"/>
        <v>3.4376784210634411E-8</v>
      </c>
      <c r="BL244" s="144"/>
    </row>
    <row r="245" spans="24:64">
      <c r="X245" s="53" t="s">
        <v>307</v>
      </c>
      <c r="Y245" s="53" t="s">
        <v>137</v>
      </c>
      <c r="Z245" s="165">
        <v>43888</v>
      </c>
      <c r="AA245" s="166">
        <v>0.25163200000000002</v>
      </c>
      <c r="AB245" s="166">
        <v>34.723950000000002</v>
      </c>
      <c r="AC245" s="166" t="s">
        <v>333</v>
      </c>
      <c r="AD245" s="165" t="s">
        <v>330</v>
      </c>
      <c r="AE245" s="116" t="s">
        <v>347</v>
      </c>
      <c r="AF245" s="154" t="s">
        <v>371</v>
      </c>
      <c r="AG245" s="55" t="s">
        <v>689</v>
      </c>
      <c r="AH245" s="165" t="s">
        <v>369</v>
      </c>
      <c r="AI245" s="53" t="s">
        <v>685</v>
      </c>
      <c r="AJ245" s="53" t="s">
        <v>691</v>
      </c>
      <c r="AK245" s="156">
        <v>2456.5</v>
      </c>
      <c r="AL245" s="157">
        <v>93.53</v>
      </c>
      <c r="AM245" s="75">
        <v>2.9848599999999998</v>
      </c>
      <c r="AN245" s="157">
        <v>200.5</v>
      </c>
      <c r="AO245" s="156">
        <v>5.0279999999999996</v>
      </c>
      <c r="AP245" s="157">
        <v>57.3</v>
      </c>
      <c r="AQ245" s="157"/>
      <c r="AR245" s="158">
        <f t="shared" si="60"/>
        <v>2.82524491179068E-3</v>
      </c>
      <c r="AS245" s="144">
        <f t="shared" si="61"/>
        <v>1.0756977675545787E-4</v>
      </c>
      <c r="AT245" s="144">
        <f t="shared" si="62"/>
        <v>3.4329169661744466E-6</v>
      </c>
      <c r="AU245" s="144">
        <f t="shared" si="62"/>
        <v>2.3059703025199728E-4</v>
      </c>
      <c r="AV245" s="144">
        <f t="shared" si="62"/>
        <v>5.7827524593867438E-6</v>
      </c>
      <c r="AW245" s="158">
        <f t="shared" si="62"/>
        <v>6.5901295927378771E-5</v>
      </c>
      <c r="AX245" s="144"/>
      <c r="AY245" s="178">
        <f t="shared" si="54"/>
        <v>107.35930664804582</v>
      </c>
      <c r="AZ245" s="144">
        <f t="shared" si="55"/>
        <v>4.0876515167073988</v>
      </c>
      <c r="BA245" s="144">
        <f t="shared" si="56"/>
        <v>0.13045084471462898</v>
      </c>
      <c r="BB245" s="144">
        <f t="shared" si="56"/>
        <v>8.7626871495758962</v>
      </c>
      <c r="BC245" s="144">
        <f t="shared" si="56"/>
        <v>0.21974459345669628</v>
      </c>
      <c r="BD245" s="178">
        <f t="shared" si="56"/>
        <v>2.5042492452403935</v>
      </c>
      <c r="BE245" s="144"/>
      <c r="BF245" s="160">
        <f t="shared" si="57"/>
        <v>5.0667942248054057E-5</v>
      </c>
      <c r="BG245" s="144">
        <f t="shared" si="58"/>
        <v>6.4305212544412726E-8</v>
      </c>
      <c r="BH245" s="144">
        <f t="shared" si="59"/>
        <v>2.0521977623790847E-9</v>
      </c>
      <c r="BI245" s="144">
        <f t="shared" si="59"/>
        <v>1.37850904684644E-7</v>
      </c>
      <c r="BJ245" s="144">
        <f t="shared" si="59"/>
        <v>3.456929420221396E-9</v>
      </c>
      <c r="BK245" s="160">
        <f t="shared" si="59"/>
        <v>3.9395794705387034E-8</v>
      </c>
      <c r="BL245" s="144"/>
    </row>
    <row r="246" spans="24:64">
      <c r="X246" s="53" t="s">
        <v>308</v>
      </c>
      <c r="Y246" s="53" t="s">
        <v>309</v>
      </c>
      <c r="Z246" s="165">
        <v>43888</v>
      </c>
      <c r="AA246" s="166">
        <v>0.25193900000000002</v>
      </c>
      <c r="AB246" s="166">
        <v>34.723799999999997</v>
      </c>
      <c r="AC246" s="166" t="s">
        <v>333</v>
      </c>
      <c r="AD246" s="165" t="s">
        <v>330</v>
      </c>
      <c r="AE246" s="116" t="s">
        <v>347</v>
      </c>
      <c r="AF246" s="154" t="s">
        <v>371</v>
      </c>
      <c r="AG246" s="116" t="s">
        <v>687</v>
      </c>
      <c r="AH246" s="165" t="s">
        <v>367</v>
      </c>
      <c r="AI246" s="53" t="s">
        <v>684</v>
      </c>
      <c r="AJ246" s="53" t="s">
        <v>683</v>
      </c>
      <c r="AK246" s="167">
        <v>8</v>
      </c>
      <c r="AL246" s="157">
        <v>16.100000000000001</v>
      </c>
      <c r="AM246" s="75">
        <v>4.1962899999999994</v>
      </c>
      <c r="AN246" s="157">
        <v>299.60000000000002</v>
      </c>
      <c r="AO246" s="156">
        <v>0.28499999999999998</v>
      </c>
      <c r="AP246" s="157">
        <v>110.8</v>
      </c>
      <c r="AQ246" s="157"/>
      <c r="AR246" s="158">
        <f t="shared" si="60"/>
        <v>9.2008790125485199E-6</v>
      </c>
      <c r="AS246" s="144">
        <f t="shared" si="61"/>
        <v>1.8516769012753901E-5</v>
      </c>
      <c r="AT246" s="144">
        <f t="shared" si="62"/>
        <v>4.826194573945903E-6</v>
      </c>
      <c r="AU246" s="144">
        <f t="shared" si="62"/>
        <v>3.4457291901994214E-4</v>
      </c>
      <c r="AV246" s="144">
        <f t="shared" si="62"/>
        <v>3.2778131482204091E-7</v>
      </c>
      <c r="AW246" s="158">
        <f t="shared" si="62"/>
        <v>1.2743217432379701E-4</v>
      </c>
      <c r="AX246" s="144"/>
      <c r="AY246" s="178">
        <f t="shared" si="54"/>
        <v>0.34963340247684377</v>
      </c>
      <c r="AZ246" s="144">
        <f t="shared" si="55"/>
        <v>0.70363722248464811</v>
      </c>
      <c r="BA246" s="144">
        <f t="shared" si="56"/>
        <v>0.18339539380994432</v>
      </c>
      <c r="BB246" s="144">
        <f t="shared" si="56"/>
        <v>13.093770922757798</v>
      </c>
      <c r="BC246" s="144">
        <f t="shared" si="56"/>
        <v>1.245568996323756E-2</v>
      </c>
      <c r="BD246" s="178">
        <f t="shared" si="56"/>
        <v>4.8424226243042865</v>
      </c>
      <c r="BE246" s="144"/>
      <c r="BF246" s="160">
        <f t="shared" si="57"/>
        <v>1.6500856421104517E-7</v>
      </c>
      <c r="BG246" s="144">
        <f t="shared" si="58"/>
        <v>1.1069324515824283E-8</v>
      </c>
      <c r="BH246" s="144">
        <f t="shared" si="59"/>
        <v>2.8850991163048606E-9</v>
      </c>
      <c r="BI246" s="144">
        <f t="shared" si="59"/>
        <v>2.0598569099012147E-7</v>
      </c>
      <c r="BJ246" s="144">
        <f t="shared" si="59"/>
        <v>1.9594767000061611E-10</v>
      </c>
      <c r="BK246" s="160">
        <f t="shared" si="59"/>
        <v>7.6178953810765854E-8</v>
      </c>
      <c r="BL246" s="144"/>
    </row>
    <row r="247" spans="24:64">
      <c r="X247" s="53" t="s">
        <v>310</v>
      </c>
      <c r="Y247" s="53" t="s">
        <v>260</v>
      </c>
      <c r="Z247" s="165">
        <v>43891</v>
      </c>
      <c r="AA247" s="166">
        <v>0.10333000000000001</v>
      </c>
      <c r="AB247" s="166">
        <v>34.713630000000002</v>
      </c>
      <c r="AC247" s="166" t="s">
        <v>344</v>
      </c>
      <c r="AD247" s="166" t="s">
        <v>334</v>
      </c>
      <c r="AE247" s="116" t="s">
        <v>347</v>
      </c>
      <c r="AF247" s="154" t="s">
        <v>371</v>
      </c>
      <c r="AG247" s="116" t="s">
        <v>687</v>
      </c>
      <c r="AH247" s="165" t="s">
        <v>365</v>
      </c>
      <c r="AI247" s="53" t="s">
        <v>685</v>
      </c>
      <c r="AJ247" s="53" t="s">
        <v>691</v>
      </c>
      <c r="AK247" s="156">
        <v>8705.7000000000007</v>
      </c>
      <c r="AL247" s="157">
        <v>69.150000000000006</v>
      </c>
      <c r="AM247" s="75">
        <v>16.282150000000001</v>
      </c>
      <c r="AN247" s="157">
        <v>81.3</v>
      </c>
      <c r="AO247" s="156">
        <v>0.78600000000000003</v>
      </c>
      <c r="AP247" s="157">
        <v>49.9</v>
      </c>
      <c r="AQ247" s="157"/>
      <c r="AR247" s="158">
        <f t="shared" si="60"/>
        <v>1.0012511552442958E-2</v>
      </c>
      <c r="AS247" s="144">
        <f t="shared" si="61"/>
        <v>7.9530097964716288E-5</v>
      </c>
      <c r="AT247" s="144">
        <f t="shared" si="62"/>
        <v>1.8726261526770858E-5</v>
      </c>
      <c r="AU247" s="144">
        <f t="shared" si="62"/>
        <v>9.3503932965024344E-5</v>
      </c>
      <c r="AV247" s="144">
        <f t="shared" si="62"/>
        <v>9.0398636298289218E-7</v>
      </c>
      <c r="AW247" s="158">
        <f t="shared" si="62"/>
        <v>5.7390482840771391E-5</v>
      </c>
      <c r="AX247" s="144"/>
      <c r="AY247" s="178">
        <f t="shared" si="54"/>
        <v>380.47543899283244</v>
      </c>
      <c r="AZ247" s="144">
        <f t="shared" si="55"/>
        <v>3.0221437226592185</v>
      </c>
      <c r="BA247" s="144">
        <f t="shared" si="56"/>
        <v>0.71159793801729276</v>
      </c>
      <c r="BB247" s="144">
        <f t="shared" si="56"/>
        <v>3.5531494526709246</v>
      </c>
      <c r="BC247" s="144">
        <f t="shared" si="56"/>
        <v>3.4351481793349903E-2</v>
      </c>
      <c r="BD247" s="178">
        <f t="shared" si="56"/>
        <v>2.1808383479493125</v>
      </c>
      <c r="BE247" s="144"/>
      <c r="BF247" s="160">
        <f t="shared" si="57"/>
        <v>1.79564382181512E-4</v>
      </c>
      <c r="BG247" s="144">
        <f t="shared" si="58"/>
        <v>4.7543092563307404E-8</v>
      </c>
      <c r="BH247" s="144">
        <f t="shared" si="59"/>
        <v>1.1194559140703621E-8</v>
      </c>
      <c r="BI247" s="144">
        <f t="shared" si="59"/>
        <v>5.5896651126491551E-8</v>
      </c>
      <c r="BJ247" s="144">
        <f t="shared" si="59"/>
        <v>5.4040304779117295E-10</v>
      </c>
      <c r="BK247" s="160">
        <f t="shared" si="59"/>
        <v>3.4308030642213136E-8</v>
      </c>
      <c r="BL247" s="144"/>
    </row>
    <row r="248" spans="24:64">
      <c r="X248" s="53" t="s">
        <v>311</v>
      </c>
      <c r="Y248" s="53" t="s">
        <v>312</v>
      </c>
      <c r="Z248" s="165">
        <v>43891</v>
      </c>
      <c r="AA248" s="166">
        <v>0.1033</v>
      </c>
      <c r="AB248" s="166">
        <v>34.713630000000002</v>
      </c>
      <c r="AC248" s="166" t="s">
        <v>344</v>
      </c>
      <c r="AD248" s="166" t="s">
        <v>334</v>
      </c>
      <c r="AE248" s="116" t="s">
        <v>347</v>
      </c>
      <c r="AF248" s="154" t="s">
        <v>371</v>
      </c>
      <c r="AG248" s="116" t="s">
        <v>687</v>
      </c>
      <c r="AH248" s="165" t="s">
        <v>367</v>
      </c>
      <c r="AI248" s="53" t="s">
        <v>684</v>
      </c>
      <c r="AJ248" s="53" t="s">
        <v>683</v>
      </c>
      <c r="AK248" s="156">
        <v>55.7</v>
      </c>
      <c r="AL248" s="157">
        <v>28.79</v>
      </c>
      <c r="AM248" s="75">
        <v>0.90408999999999995</v>
      </c>
      <c r="AN248" s="157">
        <v>146.69999999999999</v>
      </c>
      <c r="AO248" s="156">
        <v>0.27200000000000002</v>
      </c>
      <c r="AP248" s="157">
        <v>71.900000000000006</v>
      </c>
      <c r="AQ248" s="157"/>
      <c r="AR248" s="158">
        <f t="shared" si="60"/>
        <v>6.4061120124869072E-5</v>
      </c>
      <c r="AS248" s="144">
        <f t="shared" si="61"/>
        <v>3.3111663346408986E-5</v>
      </c>
      <c r="AT248" s="144">
        <f t="shared" si="62"/>
        <v>1.039802838306874E-6</v>
      </c>
      <c r="AU248" s="144">
        <f t="shared" si="62"/>
        <v>1.6872111889260845E-4</v>
      </c>
      <c r="AV248" s="144">
        <f t="shared" si="62"/>
        <v>3.1282988642664974E-7</v>
      </c>
      <c r="AW248" s="158">
        <f t="shared" si="62"/>
        <v>8.2692900125279841E-5</v>
      </c>
      <c r="AX248" s="144"/>
      <c r="AY248" s="178">
        <f t="shared" si="54"/>
        <v>2.4343225647450248</v>
      </c>
      <c r="AZ248" s="144">
        <f t="shared" si="55"/>
        <v>1.2582432071635414</v>
      </c>
      <c r="BA248" s="144">
        <f t="shared" si="56"/>
        <v>3.9512507855661204E-2</v>
      </c>
      <c r="BB248" s="144">
        <f t="shared" si="56"/>
        <v>6.4114025179191216</v>
      </c>
      <c r="BC248" s="144">
        <f t="shared" si="56"/>
        <v>1.1887535684212691E-2</v>
      </c>
      <c r="BD248" s="178">
        <f t="shared" si="56"/>
        <v>3.1423302047606341</v>
      </c>
      <c r="BE248" s="144"/>
      <c r="BF248" s="160">
        <f t="shared" si="57"/>
        <v>1.148872128319402E-6</v>
      </c>
      <c r="BG248" s="144">
        <f t="shared" si="58"/>
        <v>1.9794152348483295E-8</v>
      </c>
      <c r="BH248" s="144">
        <f t="shared" si="59"/>
        <v>6.2159413673984924E-10</v>
      </c>
      <c r="BI248" s="144">
        <f t="shared" si="59"/>
        <v>1.0086148487400133E-7</v>
      </c>
      <c r="BJ248" s="144">
        <f t="shared" si="59"/>
        <v>1.8700970610585118E-10</v>
      </c>
      <c r="BK248" s="160">
        <f t="shared" si="59"/>
        <v>4.9433815694892279E-8</v>
      </c>
      <c r="BL248" s="144"/>
    </row>
    <row r="249" spans="24:64">
      <c r="X249" s="168"/>
      <c r="Y249" s="168"/>
      <c r="Z249" s="168"/>
      <c r="AA249" s="168"/>
      <c r="AB249" s="168"/>
      <c r="AC249" s="168"/>
      <c r="AD249" s="168"/>
      <c r="AE249" s="168"/>
      <c r="AF249" s="168"/>
      <c r="AG249" s="168"/>
      <c r="AH249" s="168"/>
      <c r="AI249" s="168"/>
      <c r="AJ249" s="168"/>
      <c r="AK249" s="169"/>
      <c r="AL249" s="170"/>
      <c r="AM249" s="171"/>
      <c r="AN249" s="170"/>
      <c r="AO249" s="169"/>
      <c r="AP249" s="170"/>
      <c r="AQ249" s="170" t="s">
        <v>957</v>
      </c>
      <c r="AR249" s="173">
        <f t="shared" ref="AR249:AW249" si="63">AVERAGE(AR137:AR248)</f>
        <v>2.0522293647696694E-3</v>
      </c>
      <c r="AS249" s="173">
        <f t="shared" si="63"/>
        <v>1.3802273520773864E-4</v>
      </c>
      <c r="AT249" s="173">
        <f t="shared" si="63"/>
        <v>6.1209365693865411E-6</v>
      </c>
      <c r="AU249" s="173">
        <f t="shared" si="63"/>
        <v>3.6251155244295655E-4</v>
      </c>
      <c r="AV249" s="173">
        <f t="shared" si="63"/>
        <v>6.0903452383397349E-7</v>
      </c>
      <c r="AW249" s="173">
        <f t="shared" si="63"/>
        <v>1.1281551005319262E-4</v>
      </c>
      <c r="AX249" s="173"/>
      <c r="AY249" s="179">
        <f t="shared" ref="AY249:BD249" si="64">AVERAGE(AY137:AY248)</f>
        <v>77.984715861247452</v>
      </c>
      <c r="AZ249" s="179">
        <f t="shared" si="64"/>
        <v>5.244863937894066</v>
      </c>
      <c r="BA249" s="179">
        <f t="shared" si="64"/>
        <v>0.23259558963668847</v>
      </c>
      <c r="BB249" s="179">
        <f t="shared" si="64"/>
        <v>13.775438992832347</v>
      </c>
      <c r="BC249" s="179">
        <f t="shared" si="64"/>
        <v>2.3143311905690987E-2</v>
      </c>
      <c r="BD249" s="179">
        <f t="shared" si="64"/>
        <v>4.286989382021317</v>
      </c>
      <c r="BE249" s="173"/>
      <c r="BF249" s="175">
        <f t="shared" ref="BF249:BK249" si="65">AVERAGE(BF137:BF248)</f>
        <v>3.680468142777927E-5</v>
      </c>
      <c r="BG249" s="175">
        <f t="shared" si="65"/>
        <v>8.2509991107186139E-8</v>
      </c>
      <c r="BH249" s="175">
        <f t="shared" si="65"/>
        <v>3.6590958811792735E-9</v>
      </c>
      <c r="BI249" s="175">
        <f t="shared" si="65"/>
        <v>2.1670940605039949E-7</v>
      </c>
      <c r="BJ249" s="175">
        <f t="shared" si="65"/>
        <v>3.6408083834794937E-10</v>
      </c>
      <c r="BK249" s="175">
        <f t="shared" si="65"/>
        <v>6.7441111909798533E-8</v>
      </c>
      <c r="BL249" s="173"/>
    </row>
    <row r="250" spans="24:64">
      <c r="X250" s="53" t="s">
        <v>313</v>
      </c>
      <c r="Y250" s="53" t="s">
        <v>314</v>
      </c>
      <c r="Z250" s="165">
        <v>44065</v>
      </c>
      <c r="AA250" s="166">
        <v>0.46544799999999997</v>
      </c>
      <c r="AB250" s="166">
        <v>34.870607999999997</v>
      </c>
      <c r="AC250" s="166" t="s">
        <v>331</v>
      </c>
      <c r="AD250" s="165" t="s">
        <v>330</v>
      </c>
      <c r="AE250" s="116" t="s">
        <v>347</v>
      </c>
      <c r="AF250" s="154" t="s">
        <v>362</v>
      </c>
      <c r="AG250" s="154" t="s">
        <v>362</v>
      </c>
      <c r="AH250" s="165" t="s">
        <v>366</v>
      </c>
      <c r="AI250" s="53" t="s">
        <v>684</v>
      </c>
      <c r="AJ250" s="163" t="s">
        <v>683</v>
      </c>
      <c r="AK250" s="78">
        <v>3.6</v>
      </c>
      <c r="AL250" s="78">
        <v>11.14</v>
      </c>
      <c r="AM250" s="78">
        <v>4.7700000000000006E-2</v>
      </c>
      <c r="AN250" s="78">
        <v>221</v>
      </c>
      <c r="AO250" s="78">
        <v>0.152</v>
      </c>
      <c r="AP250" s="78">
        <v>91.2</v>
      </c>
      <c r="AQ250" s="144"/>
      <c r="AR250" s="144">
        <f t="shared" ref="AR250:AR258" si="66">(AK250*200*350*6*0.000001)/(15*66.7*365)</f>
        <v>4.1403955556468344E-6</v>
      </c>
      <c r="AS250" s="144">
        <f t="shared" ref="AS250:AS258" si="67">(AL250*200*350*6*0.000001)/(15*66.7*365)</f>
        <v>1.2812224024973814E-5</v>
      </c>
      <c r="AT250" s="144">
        <f t="shared" ref="AT250:AW258" si="68">(AM250*200*350*6*0.000001)/(15*66.7*365)</f>
        <v>5.4860241112320563E-8</v>
      </c>
      <c r="AU250" s="144">
        <f t="shared" si="68"/>
        <v>2.5417428272165286E-4</v>
      </c>
      <c r="AV250" s="144">
        <f t="shared" si="68"/>
        <v>1.7481670123842188E-7</v>
      </c>
      <c r="AW250" s="144">
        <f t="shared" si="68"/>
        <v>1.0489002074305312E-4</v>
      </c>
      <c r="AX250" s="144"/>
      <c r="AY250" s="144">
        <f t="shared" ref="AY250:AY258" si="69">(AK250*7.6*350*6)/(15*66.7*365)</f>
        <v>0.15733503111457969</v>
      </c>
      <c r="AZ250" s="144">
        <f t="shared" ref="AZ250:AZ258" si="70">(AL250*7.6*350*6)/(15*66.7*365)</f>
        <v>0.48686451294900501</v>
      </c>
      <c r="BA250" s="144">
        <f t="shared" ref="BA250:BD258" si="71">(AM250*7.6*350*6)/(15*66.7*365)</f>
        <v>2.0846891622681809E-3</v>
      </c>
      <c r="BB250" s="144">
        <f t="shared" si="71"/>
        <v>9.6586227434228089</v>
      </c>
      <c r="BC250" s="144">
        <f t="shared" si="71"/>
        <v>6.6430346470600322E-3</v>
      </c>
      <c r="BD250" s="144">
        <f t="shared" si="71"/>
        <v>3.985820788236019</v>
      </c>
      <c r="BF250" s="144">
        <f t="shared" ref="BF250:BF258" si="72">(AK250*2800*0.61*0.07*0.03*350*6*0.000001)/(15*66.7*365)</f>
        <v>7.4253853894970334E-8</v>
      </c>
      <c r="BG250" s="144">
        <f t="shared" ref="BG250:BG258" si="73">(AL250*2800*0.61*0.07*0.001*350*6*0.000001)/(15*66.7*365)</f>
        <v>7.6591475221293462E-9</v>
      </c>
      <c r="BH250" s="144">
        <f t="shared" ref="BH250:BK258" si="74">(AM250*2800*0.61*0.07*0.001*350*6*0.000001)/(15*66.7*365)</f>
        <v>3.2795452136945234E-11</v>
      </c>
      <c r="BI250" s="144">
        <f t="shared" si="74"/>
        <v>1.5194538621100411E-7</v>
      </c>
      <c r="BJ250" s="144">
        <f t="shared" si="74"/>
        <v>1.0450542400032861E-10</v>
      </c>
      <c r="BK250" s="144">
        <f t="shared" si="74"/>
        <v>6.2703254400197164E-8</v>
      </c>
      <c r="BL250" s="144"/>
    </row>
    <row r="251" spans="24:64">
      <c r="X251" s="53" t="s">
        <v>315</v>
      </c>
      <c r="Y251" s="53" t="s">
        <v>316</v>
      </c>
      <c r="Z251" s="165">
        <v>44065</v>
      </c>
      <c r="AA251" s="166">
        <v>0.46544799999999997</v>
      </c>
      <c r="AB251" s="166">
        <v>34.870607999999997</v>
      </c>
      <c r="AC251" s="166" t="s">
        <v>331</v>
      </c>
      <c r="AD251" s="165" t="s">
        <v>330</v>
      </c>
      <c r="AE251" s="116" t="s">
        <v>347</v>
      </c>
      <c r="AF251" s="154" t="s">
        <v>362</v>
      </c>
      <c r="AG251" s="154" t="s">
        <v>362</v>
      </c>
      <c r="AH251" s="165" t="s">
        <v>367</v>
      </c>
      <c r="AI251" s="53" t="s">
        <v>684</v>
      </c>
      <c r="AJ251" s="163" t="s">
        <v>683</v>
      </c>
      <c r="AK251" s="78">
        <v>3.3</v>
      </c>
      <c r="AL251" s="78">
        <v>11.27</v>
      </c>
      <c r="AM251" s="78">
        <v>3.8360000000000005E-2</v>
      </c>
      <c r="AN251" s="78">
        <v>214.7</v>
      </c>
      <c r="AO251" s="78">
        <v>0.18</v>
      </c>
      <c r="AP251" s="78">
        <v>91.1</v>
      </c>
      <c r="AQ251" s="144"/>
      <c r="AR251" s="144">
        <f t="shared" si="66"/>
        <v>3.7953625926762643E-6</v>
      </c>
      <c r="AS251" s="144">
        <f t="shared" si="67"/>
        <v>1.2961738308927728E-5</v>
      </c>
      <c r="AT251" s="144">
        <f t="shared" si="68"/>
        <v>4.4118214865170153E-8</v>
      </c>
      <c r="AU251" s="144">
        <f t="shared" si="68"/>
        <v>2.4692859049927089E-4</v>
      </c>
      <c r="AV251" s="144">
        <f t="shared" si="68"/>
        <v>2.070197777823417E-7</v>
      </c>
      <c r="AW251" s="144">
        <f t="shared" si="68"/>
        <v>1.0477500975539628E-4</v>
      </c>
      <c r="AX251" s="144"/>
      <c r="AY251" s="144">
        <f t="shared" si="69"/>
        <v>0.14422377852169804</v>
      </c>
      <c r="AZ251" s="144">
        <f t="shared" si="70"/>
        <v>0.49254605573925359</v>
      </c>
      <c r="BA251" s="144">
        <f t="shared" si="71"/>
        <v>1.6764921648764661E-3</v>
      </c>
      <c r="BB251" s="144">
        <f t="shared" si="71"/>
        <v>9.3832864389722914</v>
      </c>
      <c r="BC251" s="144">
        <f t="shared" si="71"/>
        <v>7.8667515557289836E-3</v>
      </c>
      <c r="BD251" s="144">
        <f t="shared" si="71"/>
        <v>3.9814503707050579</v>
      </c>
      <c r="BF251" s="144">
        <f t="shared" si="72"/>
        <v>6.8066032737056127E-8</v>
      </c>
      <c r="BG251" s="144">
        <f t="shared" si="73"/>
        <v>7.7485271610769967E-9</v>
      </c>
      <c r="BH251" s="144">
        <f t="shared" si="74"/>
        <v>2.6373868846398725E-11</v>
      </c>
      <c r="BI251" s="144">
        <f t="shared" si="74"/>
        <v>1.4761391140046414E-7</v>
      </c>
      <c r="BJ251" s="144">
        <f t="shared" si="74"/>
        <v>1.2375642315828388E-10</v>
      </c>
      <c r="BK251" s="144">
        <f t="shared" si="74"/>
        <v>6.2634500831775903E-8</v>
      </c>
      <c r="BL251" s="144"/>
    </row>
    <row r="252" spans="24:64">
      <c r="X252" s="53" t="s">
        <v>317</v>
      </c>
      <c r="Y252" s="53" t="s">
        <v>318</v>
      </c>
      <c r="Z252" s="165">
        <v>44065</v>
      </c>
      <c r="AA252" s="166">
        <v>0.46636899999999998</v>
      </c>
      <c r="AB252" s="166">
        <v>34.869613000000001</v>
      </c>
      <c r="AC252" s="166" t="s">
        <v>331</v>
      </c>
      <c r="AD252" s="165" t="s">
        <v>330</v>
      </c>
      <c r="AE252" s="116" t="s">
        <v>347</v>
      </c>
      <c r="AF252" s="154" t="s">
        <v>362</v>
      </c>
      <c r="AG252" s="154" t="s">
        <v>362</v>
      </c>
      <c r="AH252" s="165" t="s">
        <v>708</v>
      </c>
      <c r="AI252" s="53" t="s">
        <v>684</v>
      </c>
      <c r="AJ252" s="163" t="s">
        <v>683</v>
      </c>
      <c r="AK252" s="78">
        <v>2</v>
      </c>
      <c r="AL252" s="78">
        <v>8.51</v>
      </c>
      <c r="AM252" s="78">
        <v>7.8829999999999997E-2</v>
      </c>
      <c r="AN252" s="78">
        <v>175</v>
      </c>
      <c r="AO252" s="78">
        <v>0.33400000000000002</v>
      </c>
      <c r="AP252" s="78">
        <v>91.4</v>
      </c>
      <c r="AQ252" s="144"/>
      <c r="AR252" s="144">
        <f t="shared" si="66"/>
        <v>2.30021975313713E-6</v>
      </c>
      <c r="AS252" s="144">
        <f t="shared" si="67"/>
        <v>9.7874350495984881E-6</v>
      </c>
      <c r="AT252" s="144">
        <f t="shared" si="68"/>
        <v>9.0663161569899991E-8</v>
      </c>
      <c r="AU252" s="144">
        <f t="shared" si="68"/>
        <v>2.0126922839949887E-4</v>
      </c>
      <c r="AV252" s="144">
        <f t="shared" si="68"/>
        <v>3.8413669877390069E-7</v>
      </c>
      <c r="AW252" s="144">
        <f t="shared" si="68"/>
        <v>1.0512004271836684E-4</v>
      </c>
      <c r="AX252" s="144"/>
      <c r="AY252" s="144">
        <f t="shared" si="69"/>
        <v>8.7408350619210942E-2</v>
      </c>
      <c r="AZ252" s="144">
        <f t="shared" si="70"/>
        <v>0.37192253188474256</v>
      </c>
      <c r="BA252" s="144">
        <f t="shared" si="71"/>
        <v>3.4452001396561992E-3</v>
      </c>
      <c r="BB252" s="144">
        <f t="shared" si="71"/>
        <v>7.6482306791809576</v>
      </c>
      <c r="BC252" s="144">
        <f t="shared" si="71"/>
        <v>1.4597194553408228E-2</v>
      </c>
      <c r="BD252" s="144">
        <f t="shared" si="71"/>
        <v>3.99456162329794</v>
      </c>
      <c r="BF252" s="144">
        <f t="shared" si="72"/>
        <v>4.1252141052761292E-8</v>
      </c>
      <c r="BG252" s="144">
        <f t="shared" si="73"/>
        <v>5.8509286726499772E-9</v>
      </c>
      <c r="BH252" s="144">
        <f t="shared" si="74"/>
        <v>5.4198437986486209E-11</v>
      </c>
      <c r="BI252" s="144">
        <f t="shared" si="74"/>
        <v>1.2031874473722045E-7</v>
      </c>
      <c r="BJ252" s="144">
        <f t="shared" si="74"/>
        <v>2.2963691852703788E-10</v>
      </c>
      <c r="BK252" s="144">
        <f t="shared" si="74"/>
        <v>6.28407615370397E-8</v>
      </c>
      <c r="BL252" s="144"/>
    </row>
    <row r="253" spans="24:64">
      <c r="X253" s="53" t="s">
        <v>319</v>
      </c>
      <c r="Y253" s="53" t="s">
        <v>320</v>
      </c>
      <c r="Z253" s="165">
        <v>44065</v>
      </c>
      <c r="AA253" s="166">
        <v>0.46534199999999998</v>
      </c>
      <c r="AB253" s="166">
        <v>34.885432999999999</v>
      </c>
      <c r="AC253" s="166" t="s">
        <v>336</v>
      </c>
      <c r="AD253" s="165" t="s">
        <v>330</v>
      </c>
      <c r="AE253" s="116" t="s">
        <v>347</v>
      </c>
      <c r="AF253" s="154" t="s">
        <v>362</v>
      </c>
      <c r="AG253" s="154" t="s">
        <v>362</v>
      </c>
      <c r="AH253" s="165" t="s">
        <v>370</v>
      </c>
      <c r="AI253" s="53" t="s">
        <v>684</v>
      </c>
      <c r="AJ253" s="163" t="s">
        <v>683</v>
      </c>
      <c r="AK253" s="78">
        <v>2.9</v>
      </c>
      <c r="AL253" s="78">
        <v>16.62</v>
      </c>
      <c r="AM253" s="78">
        <v>0.02</v>
      </c>
      <c r="AN253" s="78">
        <v>101.8</v>
      </c>
      <c r="AO253" s="78">
        <v>4.9000000000000002E-2</v>
      </c>
      <c r="AP253" s="78">
        <v>35</v>
      </c>
      <c r="AQ253" s="144"/>
      <c r="AR253" s="144">
        <f t="shared" si="66"/>
        <v>3.3353186420488384E-6</v>
      </c>
      <c r="AS253" s="144">
        <f t="shared" si="67"/>
        <v>1.9114826148569548E-5</v>
      </c>
      <c r="AT253" s="144">
        <f t="shared" si="68"/>
        <v>2.3002197531371299E-8</v>
      </c>
      <c r="AU253" s="144">
        <f t="shared" si="68"/>
        <v>1.1708118543467993E-4</v>
      </c>
      <c r="AV253" s="144">
        <f t="shared" si="68"/>
        <v>5.635538395185969E-8</v>
      </c>
      <c r="AW253" s="144">
        <f t="shared" si="68"/>
        <v>4.0253845679899774E-5</v>
      </c>
      <c r="AX253" s="144"/>
      <c r="AY253" s="144">
        <f t="shared" si="69"/>
        <v>0.12674210839785588</v>
      </c>
      <c r="AZ253" s="144">
        <f t="shared" si="70"/>
        <v>0.72636339364564284</v>
      </c>
      <c r="BA253" s="144">
        <f t="shared" si="71"/>
        <v>8.7408350619210939E-4</v>
      </c>
      <c r="BB253" s="144">
        <f t="shared" si="71"/>
        <v>4.4490850465178369</v>
      </c>
      <c r="BC253" s="144">
        <f t="shared" si="71"/>
        <v>2.1415045901706678E-3</v>
      </c>
      <c r="BD253" s="144">
        <f t="shared" si="71"/>
        <v>1.5296461358361915</v>
      </c>
      <c r="BF253" s="144">
        <f t="shared" si="72"/>
        <v>5.9815604526503865E-8</v>
      </c>
      <c r="BG253" s="144">
        <f t="shared" si="73"/>
        <v>1.1426843071614877E-8</v>
      </c>
      <c r="BH253" s="144">
        <f t="shared" si="74"/>
        <v>1.3750713684253763E-11</v>
      </c>
      <c r="BI253" s="144">
        <f t="shared" si="74"/>
        <v>6.999113265285166E-8</v>
      </c>
      <c r="BJ253" s="144">
        <f t="shared" si="74"/>
        <v>3.3689248526421724E-11</v>
      </c>
      <c r="BK253" s="144">
        <f t="shared" si="74"/>
        <v>2.4063748947444083E-8</v>
      </c>
      <c r="BL253" s="144"/>
    </row>
    <row r="254" spans="24:64">
      <c r="X254" s="53" t="s">
        <v>321</v>
      </c>
      <c r="Y254" s="53" t="s">
        <v>322</v>
      </c>
      <c r="Z254" s="165">
        <v>44065</v>
      </c>
      <c r="AA254" s="166">
        <v>0.195803</v>
      </c>
      <c r="AB254" s="166">
        <v>34.487564999999996</v>
      </c>
      <c r="AC254" s="166" t="s">
        <v>337</v>
      </c>
      <c r="AD254" s="165" t="s">
        <v>330</v>
      </c>
      <c r="AE254" s="116" t="s">
        <v>347</v>
      </c>
      <c r="AF254" s="154" t="s">
        <v>362</v>
      </c>
      <c r="AG254" s="154" t="s">
        <v>362</v>
      </c>
      <c r="AH254" s="165" t="s">
        <v>366</v>
      </c>
      <c r="AI254" s="53" t="s">
        <v>684</v>
      </c>
      <c r="AJ254" s="163" t="s">
        <v>683</v>
      </c>
      <c r="AK254" s="78">
        <v>13.8</v>
      </c>
      <c r="AL254" s="78">
        <v>15.35</v>
      </c>
      <c r="AM254" s="78">
        <v>4.9710000000000004E-2</v>
      </c>
      <c r="AN254" s="78">
        <v>108.1</v>
      </c>
      <c r="AO254" s="78">
        <v>8.2000000000000003E-2</v>
      </c>
      <c r="AP254" s="78">
        <v>37.700000000000003</v>
      </c>
      <c r="AQ254" s="144"/>
      <c r="AR254" s="144">
        <f t="shared" si="66"/>
        <v>1.5871516296646194E-5</v>
      </c>
      <c r="AS254" s="144">
        <f t="shared" si="67"/>
        <v>1.7654186605327474E-5</v>
      </c>
      <c r="AT254" s="144">
        <f t="shared" si="68"/>
        <v>5.7171961964223365E-8</v>
      </c>
      <c r="AU254" s="144">
        <f t="shared" si="68"/>
        <v>1.243268776570619E-4</v>
      </c>
      <c r="AV254" s="144">
        <f t="shared" si="68"/>
        <v>9.4309009878622347E-8</v>
      </c>
      <c r="AW254" s="144">
        <f t="shared" si="68"/>
        <v>4.3359142346634909E-5</v>
      </c>
      <c r="AX254" s="144"/>
      <c r="AY254" s="144">
        <f t="shared" si="69"/>
        <v>0.60311761927255547</v>
      </c>
      <c r="AZ254" s="144">
        <f t="shared" si="70"/>
        <v>0.67085909100244401</v>
      </c>
      <c r="BA254" s="144">
        <f t="shared" si="71"/>
        <v>2.1725345546404879E-3</v>
      </c>
      <c r="BB254" s="144">
        <f t="shared" si="71"/>
        <v>4.7244213509683517</v>
      </c>
      <c r="BC254" s="144">
        <f t="shared" si="71"/>
        <v>3.5837423753876489E-3</v>
      </c>
      <c r="BD254" s="144">
        <f t="shared" si="71"/>
        <v>1.6476474091721263</v>
      </c>
      <c r="BF254" s="144">
        <f t="shared" si="72"/>
        <v>2.846397732640529E-7</v>
      </c>
      <c r="BG254" s="144">
        <f t="shared" si="73"/>
        <v>1.0553672752664766E-8</v>
      </c>
      <c r="BH254" s="144">
        <f t="shared" si="74"/>
        <v>3.4177398862212735E-11</v>
      </c>
      <c r="BI254" s="144">
        <f t="shared" si="74"/>
        <v>7.4322607463391596E-8</v>
      </c>
      <c r="BJ254" s="144">
        <f t="shared" si="74"/>
        <v>5.6377926105440443E-11</v>
      </c>
      <c r="BK254" s="144">
        <f t="shared" si="74"/>
        <v>2.5920095294818354E-8</v>
      </c>
      <c r="BL254" s="144"/>
    </row>
    <row r="255" spans="24:64">
      <c r="X255" s="53" t="s">
        <v>323</v>
      </c>
      <c r="Y255" s="53" t="s">
        <v>322</v>
      </c>
      <c r="Z255" s="165">
        <v>44065</v>
      </c>
      <c r="AA255" s="166">
        <v>0.195803</v>
      </c>
      <c r="AB255" s="166">
        <v>34.487564999999996</v>
      </c>
      <c r="AC255" s="166" t="s">
        <v>337</v>
      </c>
      <c r="AD255" s="165" t="s">
        <v>330</v>
      </c>
      <c r="AE255" s="116" t="s">
        <v>347</v>
      </c>
      <c r="AF255" s="154" t="s">
        <v>362</v>
      </c>
      <c r="AG255" s="154" t="s">
        <v>362</v>
      </c>
      <c r="AH255" s="165" t="s">
        <v>366</v>
      </c>
      <c r="AI255" s="53" t="s">
        <v>684</v>
      </c>
      <c r="AJ255" s="163" t="s">
        <v>683</v>
      </c>
      <c r="AK255" s="78">
        <v>14.2</v>
      </c>
      <c r="AL255" s="78">
        <v>15.75</v>
      </c>
      <c r="AM255" s="78">
        <v>0.05</v>
      </c>
      <c r="AN255" s="78">
        <v>113.2</v>
      </c>
      <c r="AO255" s="78">
        <v>0.111</v>
      </c>
      <c r="AP255" s="78">
        <v>38.6</v>
      </c>
      <c r="AQ255" s="144"/>
      <c r="AR255" s="144">
        <f t="shared" si="66"/>
        <v>1.6331560247273622E-5</v>
      </c>
      <c r="AS255" s="144">
        <f t="shared" si="67"/>
        <v>1.8114230555954898E-5</v>
      </c>
      <c r="AT255" s="144">
        <f t="shared" si="68"/>
        <v>5.7505493828428245E-8</v>
      </c>
      <c r="AU255" s="144">
        <f t="shared" si="68"/>
        <v>1.3019243802756155E-4</v>
      </c>
      <c r="AV255" s="144">
        <f t="shared" si="68"/>
        <v>1.276621962991107E-7</v>
      </c>
      <c r="AW255" s="144">
        <f t="shared" si="68"/>
        <v>4.439424123554661E-5</v>
      </c>
      <c r="AX255" s="144"/>
      <c r="AY255" s="144">
        <f t="shared" si="69"/>
        <v>0.62059928939639752</v>
      </c>
      <c r="AZ255" s="144">
        <f t="shared" si="70"/>
        <v>0.68834076112628606</v>
      </c>
      <c r="BA255" s="144">
        <f t="shared" si="71"/>
        <v>2.1852087654802735E-3</v>
      </c>
      <c r="BB255" s="144">
        <f t="shared" si="71"/>
        <v>4.9473126450473393</v>
      </c>
      <c r="BC255" s="144">
        <f t="shared" si="71"/>
        <v>4.8511634593662069E-3</v>
      </c>
      <c r="BD255" s="144">
        <f t="shared" si="71"/>
        <v>1.6869811669507713</v>
      </c>
      <c r="BF255" s="144">
        <f t="shared" si="72"/>
        <v>2.9289020147460512E-7</v>
      </c>
      <c r="BG255" s="144">
        <f t="shared" si="73"/>
        <v>1.0828687026349838E-8</v>
      </c>
      <c r="BH255" s="144">
        <f t="shared" si="74"/>
        <v>3.4376784210634402E-11</v>
      </c>
      <c r="BI255" s="144">
        <f t="shared" si="74"/>
        <v>7.7829039452876301E-8</v>
      </c>
      <c r="BJ255" s="144">
        <f t="shared" si="74"/>
        <v>7.631646094760839E-11</v>
      </c>
      <c r="BK255" s="144">
        <f t="shared" si="74"/>
        <v>2.6538877410609764E-8</v>
      </c>
      <c r="BL255" s="144"/>
    </row>
    <row r="256" spans="24:64">
      <c r="X256" s="53" t="s">
        <v>324</v>
      </c>
      <c r="Y256" s="39" t="s">
        <v>325</v>
      </c>
      <c r="Z256" s="165">
        <v>44065</v>
      </c>
      <c r="AA256" s="166">
        <v>0.195803</v>
      </c>
      <c r="AB256" s="166">
        <v>34.487564999999996</v>
      </c>
      <c r="AC256" s="166" t="s">
        <v>338</v>
      </c>
      <c r="AD256" s="165" t="s">
        <v>330</v>
      </c>
      <c r="AE256" s="116" t="s">
        <v>347</v>
      </c>
      <c r="AF256" s="154" t="s">
        <v>362</v>
      </c>
      <c r="AG256" s="154" t="s">
        <v>362</v>
      </c>
      <c r="AH256" s="165" t="s">
        <v>370</v>
      </c>
      <c r="AI256" s="53" t="s">
        <v>684</v>
      </c>
      <c r="AJ256" s="163" t="s">
        <v>683</v>
      </c>
      <c r="AK256" s="78">
        <v>11.6</v>
      </c>
      <c r="AL256" s="78">
        <v>18.75</v>
      </c>
      <c r="AM256" s="78">
        <v>4.1730000000000003E-2</v>
      </c>
      <c r="AN256" s="78">
        <v>139.6</v>
      </c>
      <c r="AO256" s="78">
        <v>0.111</v>
      </c>
      <c r="AP256" s="78">
        <v>27.9</v>
      </c>
      <c r="AQ256" s="144"/>
      <c r="AR256" s="144">
        <f t="shared" si="66"/>
        <v>1.3341274568195353E-5</v>
      </c>
      <c r="AS256" s="144">
        <f t="shared" si="67"/>
        <v>2.1564560185660593E-5</v>
      </c>
      <c r="AT256" s="144">
        <f t="shared" si="68"/>
        <v>4.7994085149206207E-8</v>
      </c>
      <c r="AU256" s="144">
        <f t="shared" si="68"/>
        <v>1.6055533876897167E-4</v>
      </c>
      <c r="AV256" s="144">
        <f t="shared" si="68"/>
        <v>1.276621962991107E-7</v>
      </c>
      <c r="AW256" s="144">
        <f t="shared" si="68"/>
        <v>3.2088065556262962E-5</v>
      </c>
      <c r="AX256" s="144"/>
      <c r="AY256" s="144">
        <f t="shared" si="69"/>
        <v>0.50696843359142352</v>
      </c>
      <c r="AZ256" s="144">
        <f t="shared" si="70"/>
        <v>0.81945328705510256</v>
      </c>
      <c r="BA256" s="144">
        <f t="shared" si="71"/>
        <v>1.823775235669836E-3</v>
      </c>
      <c r="BB256" s="144">
        <f t="shared" si="71"/>
        <v>6.1011028732209223</v>
      </c>
      <c r="BC256" s="144">
        <f t="shared" si="71"/>
        <v>4.8511634593662069E-3</v>
      </c>
      <c r="BD256" s="144">
        <f t="shared" si="71"/>
        <v>1.2193464911379925</v>
      </c>
      <c r="BF256" s="144">
        <f t="shared" si="72"/>
        <v>2.3926241810601546E-7</v>
      </c>
      <c r="BG256" s="144">
        <f t="shared" si="73"/>
        <v>1.2891294078987902E-8</v>
      </c>
      <c r="BH256" s="144">
        <f t="shared" si="74"/>
        <v>2.8690864102195477E-11</v>
      </c>
      <c r="BI256" s="144">
        <f t="shared" si="74"/>
        <v>9.5979981516091272E-8</v>
      </c>
      <c r="BJ256" s="144">
        <f t="shared" si="74"/>
        <v>7.631646094760839E-11</v>
      </c>
      <c r="BK256" s="144">
        <f t="shared" si="74"/>
        <v>1.9182245589534E-8</v>
      </c>
      <c r="BL256" s="144"/>
    </row>
    <row r="257" spans="24:64">
      <c r="X257" s="53" t="s">
        <v>326</v>
      </c>
      <c r="Y257" s="39" t="s">
        <v>327</v>
      </c>
      <c r="Z257" s="165">
        <v>44065</v>
      </c>
      <c r="AA257" s="166">
        <v>0.195803</v>
      </c>
      <c r="AB257" s="166">
        <v>34.487564999999996</v>
      </c>
      <c r="AC257" s="166" t="s">
        <v>337</v>
      </c>
      <c r="AD257" s="165" t="s">
        <v>330</v>
      </c>
      <c r="AE257" s="116" t="s">
        <v>347</v>
      </c>
      <c r="AF257" s="154" t="s">
        <v>362</v>
      </c>
      <c r="AG257" s="154" t="s">
        <v>362</v>
      </c>
      <c r="AH257" s="165" t="s">
        <v>367</v>
      </c>
      <c r="AI257" s="53" t="s">
        <v>684</v>
      </c>
      <c r="AJ257" s="163" t="s">
        <v>683</v>
      </c>
      <c r="AK257" s="78">
        <v>11.1</v>
      </c>
      <c r="AL257" s="78">
        <v>24.11</v>
      </c>
      <c r="AM257" s="78">
        <v>4.2450000000000002E-2</v>
      </c>
      <c r="AN257" s="78">
        <v>130.80000000000001</v>
      </c>
      <c r="AO257" s="78">
        <v>0.188</v>
      </c>
      <c r="AP257" s="78">
        <v>26.9</v>
      </c>
      <c r="AQ257" s="144"/>
      <c r="AR257" s="144">
        <f t="shared" si="66"/>
        <v>1.2766219629911071E-5</v>
      </c>
      <c r="AS257" s="144">
        <f t="shared" si="67"/>
        <v>2.77291491240681E-5</v>
      </c>
      <c r="AT257" s="144">
        <f t="shared" si="68"/>
        <v>4.8822164260335581E-8</v>
      </c>
      <c r="AU257" s="144">
        <f t="shared" si="68"/>
        <v>1.5043437185516834E-4</v>
      </c>
      <c r="AV257" s="144">
        <f t="shared" si="68"/>
        <v>2.1622065679489024E-7</v>
      </c>
      <c r="AW257" s="144">
        <f t="shared" si="68"/>
        <v>3.0937955679694397E-5</v>
      </c>
      <c r="AX257" s="144"/>
      <c r="AY257" s="144">
        <f t="shared" si="69"/>
        <v>0.48511634593662073</v>
      </c>
      <c r="AZ257" s="144">
        <f t="shared" si="70"/>
        <v>1.0537076667145879</v>
      </c>
      <c r="BA257" s="144">
        <f t="shared" si="71"/>
        <v>1.8552422418927521E-3</v>
      </c>
      <c r="BB257" s="144">
        <f t="shared" si="71"/>
        <v>5.7165061304963958</v>
      </c>
      <c r="BC257" s="144">
        <f t="shared" si="71"/>
        <v>8.2163849582058274E-3</v>
      </c>
      <c r="BD257" s="144">
        <f t="shared" si="71"/>
        <v>1.1756423158283869</v>
      </c>
      <c r="BF257" s="144">
        <f t="shared" si="72"/>
        <v>2.2894938284282513E-7</v>
      </c>
      <c r="BG257" s="144">
        <f t="shared" si="73"/>
        <v>1.6576485346367913E-8</v>
      </c>
      <c r="BH257" s="144">
        <f t="shared" si="74"/>
        <v>2.9185889794828613E-11</v>
      </c>
      <c r="BI257" s="144">
        <f t="shared" si="74"/>
        <v>8.9929667495019642E-8</v>
      </c>
      <c r="BJ257" s="144">
        <f t="shared" si="74"/>
        <v>1.2925670863198539E-10</v>
      </c>
      <c r="BK257" s="144">
        <f t="shared" si="74"/>
        <v>1.8494709905321312E-8</v>
      </c>
      <c r="BL257" s="144"/>
    </row>
    <row r="258" spans="24:64">
      <c r="X258" s="53" t="s">
        <v>328</v>
      </c>
      <c r="Y258" s="39" t="s">
        <v>329</v>
      </c>
      <c r="Z258" s="165">
        <v>44065</v>
      </c>
      <c r="AA258" s="166">
        <v>0.49734299999999998</v>
      </c>
      <c r="AB258" s="166">
        <v>35.278543999999997</v>
      </c>
      <c r="AC258" s="166" t="s">
        <v>346</v>
      </c>
      <c r="AD258" s="165" t="s">
        <v>345</v>
      </c>
      <c r="AE258" s="116" t="s">
        <v>347</v>
      </c>
      <c r="AF258" s="154" t="s">
        <v>362</v>
      </c>
      <c r="AG258" s="154" t="s">
        <v>362</v>
      </c>
      <c r="AH258" s="165" t="s">
        <v>368</v>
      </c>
      <c r="AI258" s="53" t="s">
        <v>684</v>
      </c>
      <c r="AJ258" s="163" t="s">
        <v>683</v>
      </c>
      <c r="AK258" s="78">
        <v>10.8</v>
      </c>
      <c r="AL258" s="78">
        <v>36.299999999999997</v>
      </c>
      <c r="AM258" s="78">
        <v>2.2689999999999998E-2</v>
      </c>
      <c r="AN258" s="78">
        <v>69.400000000000006</v>
      </c>
      <c r="AO258" s="78">
        <v>0.16900000000000001</v>
      </c>
      <c r="AP258" s="78">
        <v>28.5</v>
      </c>
      <c r="AQ258" s="144"/>
      <c r="AR258" s="144">
        <f t="shared" si="66"/>
        <v>1.2421186666940501E-5</v>
      </c>
      <c r="AS258" s="144">
        <f t="shared" si="67"/>
        <v>4.1748988519438899E-5</v>
      </c>
      <c r="AT258" s="144">
        <f t="shared" si="68"/>
        <v>2.6095993099340734E-8</v>
      </c>
      <c r="AU258" s="144">
        <f t="shared" si="68"/>
        <v>7.9817625433858429E-5</v>
      </c>
      <c r="AV258" s="144">
        <f t="shared" si="68"/>
        <v>1.9436856914008753E-7</v>
      </c>
      <c r="AW258" s="144">
        <f t="shared" si="68"/>
        <v>3.2778131482204102E-5</v>
      </c>
      <c r="AX258" s="144"/>
      <c r="AY258" s="144">
        <f t="shared" si="69"/>
        <v>0.47200509334373908</v>
      </c>
      <c r="AZ258" s="144">
        <f t="shared" si="70"/>
        <v>1.5864615637386783</v>
      </c>
      <c r="BA258" s="144">
        <f t="shared" si="71"/>
        <v>9.9164773777494814E-4</v>
      </c>
      <c r="BB258" s="144">
        <f t="shared" si="71"/>
        <v>3.0330697664866202</v>
      </c>
      <c r="BC258" s="144">
        <f t="shared" si="71"/>
        <v>7.3860056273233254E-3</v>
      </c>
      <c r="BD258" s="144">
        <f t="shared" si="71"/>
        <v>1.245568996323756</v>
      </c>
      <c r="BF258" s="144">
        <f t="shared" si="72"/>
        <v>2.2276156168491099E-7</v>
      </c>
      <c r="BG258" s="144">
        <f t="shared" si="73"/>
        <v>2.4957545336920575E-8</v>
      </c>
      <c r="BH258" s="144">
        <f t="shared" si="74"/>
        <v>1.5600184674785896E-11</v>
      </c>
      <c r="BI258" s="144">
        <f t="shared" si="74"/>
        <v>4.771497648436057E-8</v>
      </c>
      <c r="BJ258" s="144">
        <f t="shared" si="74"/>
        <v>1.1619353063194432E-10</v>
      </c>
      <c r="BK258" s="144">
        <f t="shared" si="74"/>
        <v>1.9594767000061615E-8</v>
      </c>
      <c r="BL258" s="144"/>
    </row>
    <row r="259" spans="24:64">
      <c r="AQ259" s="144"/>
      <c r="AR259" s="158"/>
      <c r="AS259" s="144"/>
      <c r="AT259" s="144"/>
      <c r="AU259" s="144"/>
      <c r="AV259" s="144"/>
      <c r="AW259" s="158"/>
      <c r="AX259" s="144"/>
      <c r="AY259" s="178"/>
      <c r="AZ259" s="144"/>
      <c r="BA259" s="144"/>
      <c r="BB259" s="144"/>
      <c r="BC259" s="144"/>
      <c r="BD259" s="178"/>
      <c r="BF259" s="177"/>
      <c r="BK259" s="177"/>
    </row>
    <row r="260" spans="24:64">
      <c r="AR260" s="89"/>
      <c r="AW260" s="89"/>
      <c r="AY260" s="176"/>
      <c r="BD260" s="176"/>
      <c r="BF260" s="177"/>
      <c r="BK260" s="177"/>
    </row>
    <row r="261" spans="24:64">
      <c r="AR261" s="89"/>
      <c r="AW261" s="89"/>
      <c r="AY261" s="176"/>
      <c r="BD261" s="176"/>
      <c r="BF261" s="177"/>
      <c r="BK261" s="177"/>
    </row>
    <row r="262" spans="24:64">
      <c r="X262" s="46" t="s">
        <v>1010</v>
      </c>
    </row>
    <row r="263" spans="24:64">
      <c r="X263" s="47" t="s">
        <v>0</v>
      </c>
      <c r="Y263" s="47" t="s">
        <v>692</v>
      </c>
      <c r="Z263" s="47" t="s">
        <v>1</v>
      </c>
      <c r="AA263" s="47" t="s">
        <v>301</v>
      </c>
      <c r="AB263" s="47" t="s">
        <v>300</v>
      </c>
      <c r="AC263" s="47" t="s">
        <v>348</v>
      </c>
      <c r="AD263" s="47" t="s">
        <v>302</v>
      </c>
      <c r="AE263" s="47" t="s">
        <v>303</v>
      </c>
      <c r="AF263" s="26" t="s">
        <v>363</v>
      </c>
      <c r="AG263" s="26" t="s">
        <v>681</v>
      </c>
      <c r="AH263" s="26" t="s">
        <v>475</v>
      </c>
      <c r="AI263" s="83" t="s">
        <v>686</v>
      </c>
      <c r="AJ263" s="83" t="s">
        <v>682</v>
      </c>
      <c r="AK263" s="57" t="s">
        <v>23</v>
      </c>
      <c r="AL263" s="70" t="s">
        <v>55</v>
      </c>
      <c r="AM263" s="150" t="s">
        <v>3</v>
      </c>
      <c r="AN263" s="70" t="s">
        <v>15</v>
      </c>
      <c r="AO263" s="57" t="s">
        <v>32</v>
      </c>
      <c r="AP263" s="70" t="s">
        <v>19</v>
      </c>
      <c r="AQ263" s="70"/>
      <c r="AR263" s="149" t="s">
        <v>999</v>
      </c>
      <c r="AS263" s="70" t="s">
        <v>1000</v>
      </c>
      <c r="AT263" s="70" t="s">
        <v>1001</v>
      </c>
      <c r="AU263" s="70" t="s">
        <v>1002</v>
      </c>
      <c r="AV263" s="70" t="s">
        <v>1003</v>
      </c>
      <c r="AW263" s="149" t="s">
        <v>1004</v>
      </c>
      <c r="AX263" s="80"/>
      <c r="AY263" s="149" t="s">
        <v>999</v>
      </c>
      <c r="AZ263" s="70" t="s">
        <v>1000</v>
      </c>
      <c r="BA263" s="70" t="s">
        <v>1001</v>
      </c>
      <c r="BB263" s="70" t="s">
        <v>1002</v>
      </c>
      <c r="BC263" s="146" t="s">
        <v>1005</v>
      </c>
      <c r="BD263" s="70" t="s">
        <v>1003</v>
      </c>
      <c r="BE263" s="146" t="s">
        <v>1006</v>
      </c>
      <c r="BF263" s="70" t="s">
        <v>1004</v>
      </c>
      <c r="BG263" s="146" t="s">
        <v>1007</v>
      </c>
      <c r="BH263" s="70" t="s">
        <v>1003</v>
      </c>
      <c r="BI263" s="149" t="s">
        <v>1004</v>
      </c>
      <c r="BJ263" s="80"/>
    </row>
    <row r="264" spans="24:64" ht="18">
      <c r="X264" s="53"/>
      <c r="Y264" s="53"/>
      <c r="Z264" s="180"/>
      <c r="AA264" s="53"/>
      <c r="AB264" s="53"/>
      <c r="AC264" s="53"/>
      <c r="AD264" s="53"/>
      <c r="AE264" s="53"/>
      <c r="AF264" s="53"/>
      <c r="AG264" s="53"/>
      <c r="AH264" s="53"/>
      <c r="AI264" s="53"/>
      <c r="AJ264" s="53"/>
      <c r="AK264" s="53" t="s">
        <v>403</v>
      </c>
      <c r="AL264" s="53" t="s">
        <v>403</v>
      </c>
      <c r="AM264" s="53" t="s">
        <v>403</v>
      </c>
      <c r="AN264" s="53" t="s">
        <v>403</v>
      </c>
      <c r="AO264" s="53" t="s">
        <v>403</v>
      </c>
      <c r="AP264" s="53" t="s">
        <v>403</v>
      </c>
      <c r="BI264" s="177"/>
    </row>
    <row r="265" spans="24:64">
      <c r="X265" s="47" t="s">
        <v>297</v>
      </c>
      <c r="Y265" s="53"/>
      <c r="Z265" s="180"/>
      <c r="AA265" s="53"/>
      <c r="AB265" s="53"/>
      <c r="AC265" s="53"/>
      <c r="AD265" s="53"/>
      <c r="AE265" s="53"/>
      <c r="AF265" s="53"/>
      <c r="AG265" s="53"/>
      <c r="AH265" s="53"/>
      <c r="AI265" s="53"/>
      <c r="AJ265" s="53"/>
      <c r="AK265" s="181" t="s">
        <v>77</v>
      </c>
      <c r="AL265" s="181" t="s">
        <v>69</v>
      </c>
      <c r="AM265" s="181">
        <v>9.11E-3</v>
      </c>
      <c r="AN265" s="181" t="s">
        <v>69</v>
      </c>
      <c r="AO265" s="181" t="s">
        <v>83</v>
      </c>
      <c r="AP265" s="181" t="s">
        <v>73</v>
      </c>
      <c r="AQ265" s="80"/>
      <c r="AR265" s="80"/>
      <c r="AS265" s="80"/>
      <c r="AT265" s="80"/>
      <c r="AU265" s="80"/>
      <c r="AV265" s="80"/>
      <c r="AW265" s="80"/>
      <c r="AX265" s="80"/>
      <c r="AY265" s="80"/>
      <c r="AZ265" s="80"/>
      <c r="BA265" s="80"/>
      <c r="BB265" s="80"/>
      <c r="BC265" s="80"/>
      <c r="BD265" s="80"/>
      <c r="BE265" s="80"/>
      <c r="BF265" s="80"/>
      <c r="BG265" s="80"/>
      <c r="BH265" s="80"/>
      <c r="BI265" s="80"/>
      <c r="BJ265" s="80"/>
    </row>
    <row r="266" spans="24:64">
      <c r="X266" s="53" t="s">
        <v>408</v>
      </c>
      <c r="Y266" s="53" t="s">
        <v>409</v>
      </c>
      <c r="Z266" s="155" t="s">
        <v>339</v>
      </c>
      <c r="AA266" s="53">
        <v>0.258158</v>
      </c>
      <c r="AB266" s="53">
        <v>34.720027000000002</v>
      </c>
      <c r="AC266" s="53" t="s">
        <v>372</v>
      </c>
      <c r="AD266" s="53" t="s">
        <v>330</v>
      </c>
      <c r="AE266" s="53" t="s">
        <v>347</v>
      </c>
      <c r="AF266" s="154" t="s">
        <v>371</v>
      </c>
      <c r="AG266" s="154" t="s">
        <v>687</v>
      </c>
      <c r="AH266" s="53" t="s">
        <v>673</v>
      </c>
      <c r="AI266" s="53" t="s">
        <v>685</v>
      </c>
      <c r="AJ266" s="53" t="s">
        <v>691</v>
      </c>
      <c r="AK266" s="156">
        <v>21.1</v>
      </c>
      <c r="AL266" s="157">
        <v>44.6</v>
      </c>
      <c r="AM266" s="75">
        <v>4.3631900000000003</v>
      </c>
      <c r="AN266" s="157">
        <v>637.9</v>
      </c>
      <c r="AO266" s="156">
        <v>0.17899999999999999</v>
      </c>
      <c r="AP266" s="157">
        <v>210.4</v>
      </c>
      <c r="AQ266" s="157"/>
      <c r="AR266" s="160">
        <f>(AK266*5700*0.61*0.2*0.03*350*30*0.000001)/(70*66.7*365)</f>
        <v>2.7121328376907438E-6</v>
      </c>
      <c r="AS266" s="144">
        <f t="shared" ref="AS266:AW300" si="75">(AL266*5700*0.61*0.2*0.001*350*30*0.000001)/(70*66.7*365)</f>
        <v>1.9109182395103813E-7</v>
      </c>
      <c r="AT266" s="144">
        <f t="shared" si="75"/>
        <v>1.8694393169168839E-8</v>
      </c>
      <c r="AU266" s="144">
        <f t="shared" si="75"/>
        <v>2.7331272309050954E-6</v>
      </c>
      <c r="AV266" s="144">
        <f t="shared" si="75"/>
        <v>7.6693803783039975E-10</v>
      </c>
      <c r="AW266" s="160">
        <f t="shared" si="75"/>
        <v>9.0147353720400058E-7</v>
      </c>
      <c r="AX266" s="144"/>
      <c r="AY266" s="160">
        <f t="shared" ref="AY266:AY300" si="76">(AK266*2800*0.61*0.07*0.03*350*6*0.000001)/(15*66.7*365)</f>
        <v>4.3521008810663159E-7</v>
      </c>
      <c r="AZ266" s="144">
        <f t="shared" ref="AZ266:BD300" si="77">(AL266*2800*0.61*0.07*0.001*350*6*0.000001)/(15*66.7*365)</f>
        <v>3.0664091515885895E-8</v>
      </c>
      <c r="BA266" s="144">
        <f t="shared" si="77"/>
        <v>2.9998488219999588E-9</v>
      </c>
      <c r="BB266" s="144">
        <f t="shared" si="77"/>
        <v>4.3857901295927388E-7</v>
      </c>
      <c r="BC266" s="144">
        <f t="shared" si="77"/>
        <v>1.230688874740712E-10</v>
      </c>
      <c r="BD266" s="144">
        <f t="shared" si="77"/>
        <v>1.446575079583496E-7</v>
      </c>
      <c r="BE266" s="144"/>
      <c r="BF266" s="144"/>
      <c r="BG266" s="144"/>
      <c r="BH266" s="144">
        <f t="shared" ref="BH266:BI300" si="78">(AO266*2800*0.001*0.001*0.58*350*6*0.001)/(15*66.7*365)</f>
        <v>1.671661703394878E-9</v>
      </c>
      <c r="BI266" s="160">
        <f t="shared" si="78"/>
        <v>1.9649029184038118E-6</v>
      </c>
      <c r="BJ266" s="144"/>
    </row>
    <row r="267" spans="24:64">
      <c r="X267" s="53" t="s">
        <v>410</v>
      </c>
      <c r="Y267" s="53" t="s">
        <v>411</v>
      </c>
      <c r="Z267" s="155" t="s">
        <v>339</v>
      </c>
      <c r="AA267" s="53">
        <v>0.25792300000000001</v>
      </c>
      <c r="AB267" s="53">
        <v>34.719996000000002</v>
      </c>
      <c r="AC267" s="53" t="s">
        <v>372</v>
      </c>
      <c r="AD267" s="53" t="s">
        <v>330</v>
      </c>
      <c r="AE267" s="53" t="s">
        <v>347</v>
      </c>
      <c r="AF267" s="154" t="s">
        <v>371</v>
      </c>
      <c r="AG267" s="154" t="s">
        <v>687</v>
      </c>
      <c r="AH267" s="53" t="s">
        <v>673</v>
      </c>
      <c r="AI267" s="53" t="s">
        <v>685</v>
      </c>
      <c r="AJ267" s="53" t="s">
        <v>691</v>
      </c>
      <c r="AK267" s="156">
        <v>484.1</v>
      </c>
      <c r="AL267" s="157">
        <v>26.1</v>
      </c>
      <c r="AM267" s="75">
        <v>6.5400200000000002</v>
      </c>
      <c r="AN267" s="157">
        <v>356</v>
      </c>
      <c r="AO267" s="156">
        <v>0.14799999999999999</v>
      </c>
      <c r="AP267" s="157">
        <v>90.11</v>
      </c>
      <c r="AQ267" s="157"/>
      <c r="AR267" s="160">
        <f t="shared" ref="AR267:AR302" si="79">(AK267*5700*0.61*0.2*0.03*350*30*0.000001)/(70*66.7*365)</f>
        <v>6.2224810745312281E-5</v>
      </c>
      <c r="AS267" s="144">
        <f t="shared" si="75"/>
        <v>1.1182727814175103E-7</v>
      </c>
      <c r="AT267" s="144">
        <f t="shared" si="75"/>
        <v>2.802117377749482E-8</v>
      </c>
      <c r="AU267" s="144">
        <f t="shared" si="75"/>
        <v>1.5253069355733093E-6</v>
      </c>
      <c r="AV267" s="144">
        <f t="shared" si="75"/>
        <v>6.3411636647429705E-10</v>
      </c>
      <c r="AW267" s="160">
        <f t="shared" si="75"/>
        <v>3.8608260664188454E-7</v>
      </c>
      <c r="AX267" s="144"/>
      <c r="AY267" s="160">
        <f t="shared" si="76"/>
        <v>9.9850807418208679E-6</v>
      </c>
      <c r="AZ267" s="144">
        <f t="shared" si="77"/>
        <v>1.7944681357951164E-8</v>
      </c>
      <c r="BA267" s="144">
        <f t="shared" si="77"/>
        <v>4.4964971254646657E-9</v>
      </c>
      <c r="BB267" s="144">
        <f t="shared" si="77"/>
        <v>2.4476270357971701E-7</v>
      </c>
      <c r="BC267" s="144">
        <f t="shared" si="77"/>
        <v>1.0175528126347786E-10</v>
      </c>
      <c r="BD267" s="144">
        <f t="shared" si="77"/>
        <v>6.195384050440533E-8</v>
      </c>
      <c r="BE267" s="144"/>
      <c r="BF267" s="144"/>
      <c r="BG267" s="144"/>
      <c r="BH267" s="144">
        <f t="shared" si="78"/>
        <v>1.3821560452650388E-9</v>
      </c>
      <c r="BI267" s="160">
        <f t="shared" si="78"/>
        <v>8.4152757593805816E-7</v>
      </c>
      <c r="BJ267" s="144"/>
    </row>
    <row r="268" spans="24:64">
      <c r="X268" s="53" t="s">
        <v>412</v>
      </c>
      <c r="Y268" s="53" t="s">
        <v>413</v>
      </c>
      <c r="Z268" s="155" t="s">
        <v>339</v>
      </c>
      <c r="AA268" s="53">
        <v>0.25812800000000002</v>
      </c>
      <c r="AB268" s="53">
        <v>34.720103999999999</v>
      </c>
      <c r="AC268" s="53" t="s">
        <v>372</v>
      </c>
      <c r="AD268" s="53" t="s">
        <v>330</v>
      </c>
      <c r="AE268" s="53" t="s">
        <v>347</v>
      </c>
      <c r="AF268" s="154" t="s">
        <v>371</v>
      </c>
      <c r="AG268" s="154" t="s">
        <v>687</v>
      </c>
      <c r="AH268" s="53" t="s">
        <v>673</v>
      </c>
      <c r="AI268" s="53" t="s">
        <v>685</v>
      </c>
      <c r="AJ268" s="53" t="s">
        <v>691</v>
      </c>
      <c r="AK268" s="182">
        <v>9.6</v>
      </c>
      <c r="AL268" s="157">
        <v>16.7</v>
      </c>
      <c r="AM268" s="75">
        <v>1.2013199999999999</v>
      </c>
      <c r="AN268" s="157">
        <v>1807.1</v>
      </c>
      <c r="AO268" s="156">
        <v>6.2E-2</v>
      </c>
      <c r="AP268" s="157">
        <v>159.6</v>
      </c>
      <c r="AQ268" s="157"/>
      <c r="AR268" s="160">
        <f t="shared" si="79"/>
        <v>1.2339561725986321E-6</v>
      </c>
      <c r="AS268" s="144">
        <f t="shared" si="75"/>
        <v>7.1552319730545678E-8</v>
      </c>
      <c r="AT268" s="144">
        <f t="shared" si="75"/>
        <v>5.1471396849520448E-9</v>
      </c>
      <c r="AU268" s="144">
        <f t="shared" si="75"/>
        <v>7.7426465260520432E-6</v>
      </c>
      <c r="AV268" s="144">
        <f t="shared" si="75"/>
        <v>2.6564334271220556E-10</v>
      </c>
      <c r="AW268" s="160">
        <f t="shared" si="75"/>
        <v>6.8381737898174206E-7</v>
      </c>
      <c r="AX268" s="144"/>
      <c r="AY268" s="160">
        <f t="shared" si="76"/>
        <v>1.9801027705325422E-7</v>
      </c>
      <c r="AZ268" s="144">
        <f t="shared" si="77"/>
        <v>1.1481845926351893E-8</v>
      </c>
      <c r="BA268" s="144">
        <f t="shared" si="77"/>
        <v>8.2595036815838641E-10</v>
      </c>
      <c r="BB268" s="144">
        <f t="shared" si="77"/>
        <v>1.2424457349407487E-6</v>
      </c>
      <c r="BC268" s="144">
        <f t="shared" si="77"/>
        <v>4.2627212421186667E-11</v>
      </c>
      <c r="BD268" s="144">
        <f t="shared" si="77"/>
        <v>1.0973069520034503E-7</v>
      </c>
      <c r="BE268" s="144"/>
      <c r="BF268" s="144"/>
      <c r="BG268" s="144"/>
      <c r="BH268" s="144">
        <f t="shared" si="78"/>
        <v>5.7901131625967842E-10</v>
      </c>
      <c r="BI268" s="160">
        <f t="shared" si="78"/>
        <v>1.4904871947587849E-6</v>
      </c>
      <c r="BJ268" s="144"/>
    </row>
    <row r="269" spans="24:64">
      <c r="X269" s="53" t="s">
        <v>414</v>
      </c>
      <c r="Y269" s="53" t="s">
        <v>415</v>
      </c>
      <c r="Z269" s="155" t="s">
        <v>339</v>
      </c>
      <c r="AA269" s="53">
        <v>0.26020300000000002</v>
      </c>
      <c r="AB269" s="53">
        <v>34.719721</v>
      </c>
      <c r="AC269" s="53" t="s">
        <v>372</v>
      </c>
      <c r="AD269" s="53" t="s">
        <v>330</v>
      </c>
      <c r="AE269" s="53" t="s">
        <v>347</v>
      </c>
      <c r="AF269" s="154" t="s">
        <v>371</v>
      </c>
      <c r="AG269" s="154" t="s">
        <v>687</v>
      </c>
      <c r="AH269" s="53" t="s">
        <v>674</v>
      </c>
      <c r="AI269" s="53" t="s">
        <v>684</v>
      </c>
      <c r="AJ269" s="53" t="s">
        <v>683</v>
      </c>
      <c r="AK269" s="182">
        <v>5.9</v>
      </c>
      <c r="AL269" s="157">
        <v>13.8</v>
      </c>
      <c r="AM269" s="75">
        <v>2.4613400000000003</v>
      </c>
      <c r="AN269" s="157">
        <v>1092.7</v>
      </c>
      <c r="AO269" s="156">
        <v>0.115</v>
      </c>
      <c r="AP269" s="157">
        <v>382.75</v>
      </c>
      <c r="AQ269" s="157"/>
      <c r="AR269" s="160">
        <f t="shared" si="79"/>
        <v>7.5836889774290925E-7</v>
      </c>
      <c r="AS269" s="144">
        <f t="shared" si="75"/>
        <v>5.9127066603684456E-8</v>
      </c>
      <c r="AT269" s="144">
        <f t="shared" si="75"/>
        <v>1.0545783631471937E-8</v>
      </c>
      <c r="AU269" s="144">
        <f t="shared" si="75"/>
        <v>4.6817496868004356E-6</v>
      </c>
      <c r="AV269" s="144">
        <f t="shared" si="75"/>
        <v>4.9272555503070377E-10</v>
      </c>
      <c r="AW269" s="160">
        <f t="shared" si="75"/>
        <v>1.6399191842434947E-6</v>
      </c>
      <c r="AX269" s="144"/>
      <c r="AY269" s="160">
        <f t="shared" si="76"/>
        <v>1.2169381610564581E-7</v>
      </c>
      <c r="AZ269" s="144">
        <f t="shared" si="77"/>
        <v>9.4879924421350993E-9</v>
      </c>
      <c r="BA269" s="144">
        <f t="shared" si="77"/>
        <v>1.6922590809800578E-9</v>
      </c>
      <c r="BB269" s="144">
        <f t="shared" si="77"/>
        <v>7.5127024213920431E-7</v>
      </c>
      <c r="BC269" s="144">
        <f t="shared" si="77"/>
        <v>7.906660368445913E-11</v>
      </c>
      <c r="BD269" s="144">
        <f t="shared" si="77"/>
        <v>2.6315428313240644E-7</v>
      </c>
      <c r="BE269" s="144"/>
      <c r="BF269" s="144"/>
      <c r="BG269" s="144"/>
      <c r="BH269" s="144">
        <f t="shared" si="78"/>
        <v>1.0739726027397262E-9</v>
      </c>
      <c r="BI269" s="160">
        <f t="shared" si="78"/>
        <v>3.5744609886837396E-6</v>
      </c>
      <c r="BJ269" s="144"/>
    </row>
    <row r="270" spans="24:64">
      <c r="X270" s="53" t="s">
        <v>416</v>
      </c>
      <c r="Y270" s="53" t="s">
        <v>417</v>
      </c>
      <c r="Z270" s="155" t="s">
        <v>339</v>
      </c>
      <c r="AA270" s="53">
        <v>0.26020300000000002</v>
      </c>
      <c r="AB270" s="53">
        <v>34.719721</v>
      </c>
      <c r="AC270" s="53" t="s">
        <v>372</v>
      </c>
      <c r="AD270" s="53" t="s">
        <v>330</v>
      </c>
      <c r="AE270" s="53" t="s">
        <v>347</v>
      </c>
      <c r="AF270" s="154" t="s">
        <v>371</v>
      </c>
      <c r="AG270" s="154" t="s">
        <v>687</v>
      </c>
      <c r="AH270" s="53" t="s">
        <v>673</v>
      </c>
      <c r="AI270" s="53" t="s">
        <v>685</v>
      </c>
      <c r="AJ270" s="53" t="s">
        <v>691</v>
      </c>
      <c r="AK270" s="156">
        <v>193.6</v>
      </c>
      <c r="AL270" s="157">
        <v>17.2</v>
      </c>
      <c r="AM270" s="75">
        <v>6.2166800000000002</v>
      </c>
      <c r="AN270" s="157">
        <v>457.7</v>
      </c>
      <c r="AO270" s="156">
        <v>0.13400000000000001</v>
      </c>
      <c r="AP270" s="157">
        <v>64.05</v>
      </c>
      <c r="AQ270" s="157"/>
      <c r="AR270" s="160">
        <f t="shared" si="79"/>
        <v>2.4884782814072412E-5</v>
      </c>
      <c r="AS270" s="144">
        <f t="shared" si="75"/>
        <v>7.3694604752418327E-8</v>
      </c>
      <c r="AT270" s="144">
        <f t="shared" si="75"/>
        <v>2.6635800899550221E-8</v>
      </c>
      <c r="AU270" s="144">
        <f t="shared" si="75"/>
        <v>1.9610477090222008E-6</v>
      </c>
      <c r="AV270" s="144">
        <f t="shared" si="75"/>
        <v>5.7413238586186382E-10</v>
      </c>
      <c r="AW270" s="160">
        <f t="shared" si="75"/>
        <v>2.7442671130188332E-7</v>
      </c>
      <c r="AX270" s="144"/>
      <c r="AY270" s="160">
        <f t="shared" si="76"/>
        <v>3.9932072539072927E-6</v>
      </c>
      <c r="AZ270" s="144">
        <f t="shared" si="77"/>
        <v>1.1825613768458239E-8</v>
      </c>
      <c r="BA270" s="144">
        <f t="shared" si="77"/>
        <v>4.2741893373313343E-9</v>
      </c>
      <c r="BB270" s="144">
        <f t="shared" si="77"/>
        <v>3.1468508266414744E-7</v>
      </c>
      <c r="BC270" s="144">
        <f t="shared" si="77"/>
        <v>9.2129781684500234E-11</v>
      </c>
      <c r="BD270" s="144">
        <f t="shared" si="77"/>
        <v>4.4036660573822672E-8</v>
      </c>
      <c r="BE270" s="144"/>
      <c r="BF270" s="144"/>
      <c r="BG270" s="144"/>
      <c r="BH270" s="144">
        <f t="shared" si="78"/>
        <v>1.2514115544967244E-9</v>
      </c>
      <c r="BI270" s="160">
        <f t="shared" si="78"/>
        <v>5.9815604526503868E-7</v>
      </c>
      <c r="BJ270" s="144"/>
    </row>
    <row r="271" spans="24:64">
      <c r="X271" s="53" t="s">
        <v>418</v>
      </c>
      <c r="Y271" s="53" t="s">
        <v>419</v>
      </c>
      <c r="Z271" s="155" t="s">
        <v>339</v>
      </c>
      <c r="AA271" s="53">
        <v>0.26067699999999999</v>
      </c>
      <c r="AB271" s="53">
        <v>34.720677999999999</v>
      </c>
      <c r="AC271" s="53" t="s">
        <v>372</v>
      </c>
      <c r="AD271" s="53" t="s">
        <v>330</v>
      </c>
      <c r="AE271" s="53" t="s">
        <v>347</v>
      </c>
      <c r="AF271" s="154" t="s">
        <v>371</v>
      </c>
      <c r="AG271" s="154" t="s">
        <v>687</v>
      </c>
      <c r="AH271" s="53" t="s">
        <v>675</v>
      </c>
      <c r="AI271" s="53" t="s">
        <v>684</v>
      </c>
      <c r="AJ271" s="53" t="s">
        <v>683</v>
      </c>
      <c r="AK271" s="156">
        <v>10.199999999999999</v>
      </c>
      <c r="AL271" s="157">
        <v>20.5</v>
      </c>
      <c r="AM271" s="75">
        <v>5.9437899999999999</v>
      </c>
      <c r="AN271" s="157">
        <v>1150</v>
      </c>
      <c r="AO271" s="156">
        <v>9.5000000000000001E-2</v>
      </c>
      <c r="AP271" s="157">
        <v>204.55</v>
      </c>
      <c r="AQ271" s="157"/>
      <c r="AR271" s="160">
        <f t="shared" si="79"/>
        <v>1.3110784333860461E-6</v>
      </c>
      <c r="AS271" s="144">
        <f t="shared" si="75"/>
        <v>8.7833685896777643E-8</v>
      </c>
      <c r="AT271" s="144">
        <f t="shared" si="75"/>
        <v>2.5466584580312584E-8</v>
      </c>
      <c r="AU271" s="144">
        <f t="shared" si="75"/>
        <v>4.9272555503070386E-6</v>
      </c>
      <c r="AV271" s="144">
        <f t="shared" si="75"/>
        <v>4.070341541557989E-10</v>
      </c>
      <c r="AW271" s="160">
        <f t="shared" si="75"/>
        <v>8.7640880244809117E-7</v>
      </c>
      <c r="AX271" s="144"/>
      <c r="AY271" s="160">
        <f t="shared" si="76"/>
        <v>2.1038591936908255E-7</v>
      </c>
      <c r="AZ271" s="144">
        <f t="shared" si="77"/>
        <v>1.4094481526360107E-8</v>
      </c>
      <c r="BA271" s="144">
        <f t="shared" si="77"/>
        <v>4.0865677244665334E-9</v>
      </c>
      <c r="BB271" s="144">
        <f t="shared" si="77"/>
        <v>7.9066603684459153E-7</v>
      </c>
      <c r="BC271" s="144">
        <f t="shared" si="77"/>
        <v>6.5315890000205379E-11</v>
      </c>
      <c r="BD271" s="144">
        <f t="shared" si="77"/>
        <v>1.4063542420570536E-7</v>
      </c>
      <c r="BE271" s="144"/>
      <c r="BF271" s="144"/>
      <c r="BG271" s="144"/>
      <c r="BH271" s="144">
        <f t="shared" si="78"/>
        <v>8.8719475878499102E-10</v>
      </c>
      <c r="BI271" s="160">
        <f t="shared" si="78"/>
        <v>1.9102703990470519E-6</v>
      </c>
      <c r="BJ271" s="144"/>
    </row>
    <row r="272" spans="24:64">
      <c r="X272" s="53" t="s">
        <v>420</v>
      </c>
      <c r="Y272" s="53" t="s">
        <v>421</v>
      </c>
      <c r="Z272" s="155" t="s">
        <v>339</v>
      </c>
      <c r="AA272" s="53">
        <v>0.26067699999999999</v>
      </c>
      <c r="AB272" s="53">
        <v>34.720677999999999</v>
      </c>
      <c r="AC272" s="53" t="s">
        <v>372</v>
      </c>
      <c r="AD272" s="53" t="s">
        <v>330</v>
      </c>
      <c r="AE272" s="53" t="s">
        <v>347</v>
      </c>
      <c r="AF272" s="154" t="s">
        <v>371</v>
      </c>
      <c r="AG272" s="154" t="s">
        <v>687</v>
      </c>
      <c r="AH272" s="53" t="s">
        <v>673</v>
      </c>
      <c r="AI272" s="53" t="s">
        <v>685</v>
      </c>
      <c r="AJ272" s="53" t="s">
        <v>691</v>
      </c>
      <c r="AK272" s="156">
        <v>345</v>
      </c>
      <c r="AL272" s="157">
        <v>19.8</v>
      </c>
      <c r="AM272" s="75">
        <v>8.6901899999999994</v>
      </c>
      <c r="AN272" s="157">
        <v>519</v>
      </c>
      <c r="AO272" s="156">
        <v>0.17399999999999999</v>
      </c>
      <c r="AP272" s="157">
        <v>171.29</v>
      </c>
      <c r="AQ272" s="157"/>
      <c r="AR272" s="160">
        <f t="shared" si="79"/>
        <v>4.4345299952763341E-5</v>
      </c>
      <c r="AS272" s="144">
        <f t="shared" si="75"/>
        <v>8.483448686615594E-8</v>
      </c>
      <c r="AT272" s="144">
        <f t="shared" si="75"/>
        <v>3.7233727748454548E-8</v>
      </c>
      <c r="AU272" s="144">
        <f t="shared" si="75"/>
        <v>2.2236918527037854E-6</v>
      </c>
      <c r="AV272" s="144">
        <f t="shared" si="75"/>
        <v>7.4551518761167336E-10</v>
      </c>
      <c r="AW272" s="160">
        <f t="shared" si="75"/>
        <v>7.3390400279312394E-7</v>
      </c>
      <c r="AX272" s="144"/>
      <c r="AY272" s="160">
        <f t="shared" si="76"/>
        <v>7.1159943316013223E-6</v>
      </c>
      <c r="AZ272" s="144">
        <f t="shared" si="77"/>
        <v>1.3613206547411229E-8</v>
      </c>
      <c r="BA272" s="144">
        <f t="shared" si="77"/>
        <v>5.9748157275882607E-9</v>
      </c>
      <c r="BB272" s="144">
        <f t="shared" si="77"/>
        <v>3.5683102010638516E-7</v>
      </c>
      <c r="BC272" s="144">
        <f t="shared" si="77"/>
        <v>1.1963120905300772E-10</v>
      </c>
      <c r="BD272" s="144">
        <f t="shared" si="77"/>
        <v>1.1776798734879136E-7</v>
      </c>
      <c r="BE272" s="144"/>
      <c r="BF272" s="144"/>
      <c r="BG272" s="144"/>
      <c r="BH272" s="144">
        <f t="shared" si="78"/>
        <v>1.6249672424061943E-9</v>
      </c>
      <c r="BI272" s="160">
        <f t="shared" si="78"/>
        <v>1.5996588445503276E-6</v>
      </c>
      <c r="BJ272" s="144"/>
    </row>
    <row r="273" spans="24:62">
      <c r="X273" s="53" t="s">
        <v>422</v>
      </c>
      <c r="Y273" s="53" t="s">
        <v>421</v>
      </c>
      <c r="Z273" s="155" t="s">
        <v>339</v>
      </c>
      <c r="AA273" s="53">
        <v>0.26067699999999999</v>
      </c>
      <c r="AB273" s="53">
        <v>34.720677999999999</v>
      </c>
      <c r="AC273" s="53" t="s">
        <v>372</v>
      </c>
      <c r="AD273" s="53" t="s">
        <v>330</v>
      </c>
      <c r="AE273" s="53" t="s">
        <v>347</v>
      </c>
      <c r="AF273" s="154" t="s">
        <v>371</v>
      </c>
      <c r="AG273" s="154" t="s">
        <v>687</v>
      </c>
      <c r="AH273" s="53" t="s">
        <v>673</v>
      </c>
      <c r="AI273" s="53" t="s">
        <v>685</v>
      </c>
      <c r="AJ273" s="53" t="s">
        <v>691</v>
      </c>
      <c r="AK273" s="156">
        <v>349.5</v>
      </c>
      <c r="AL273" s="157">
        <v>20.100000000000001</v>
      </c>
      <c r="AM273" s="74">
        <v>8.69</v>
      </c>
      <c r="AN273" s="157">
        <v>526.1</v>
      </c>
      <c r="AO273" s="156">
        <v>0.218</v>
      </c>
      <c r="AP273" s="157">
        <v>172.62</v>
      </c>
      <c r="AQ273" s="157"/>
      <c r="AR273" s="160">
        <f t="shared" si="79"/>
        <v>4.4923716908668955E-5</v>
      </c>
      <c r="AS273" s="144">
        <f t="shared" si="75"/>
        <v>8.6119857879279548E-8</v>
      </c>
      <c r="AT273" s="144">
        <f t="shared" si="75"/>
        <v>3.7232913680146236E-8</v>
      </c>
      <c r="AU273" s="144">
        <f t="shared" si="75"/>
        <v>2.2541123000143761E-6</v>
      </c>
      <c r="AV273" s="144">
        <f t="shared" si="75"/>
        <v>9.3403626953646447E-10</v>
      </c>
      <c r="AW273" s="160">
        <f t="shared" si="75"/>
        <v>7.3960248095130511E-7</v>
      </c>
      <c r="AX273" s="144"/>
      <c r="AY273" s="160">
        <f t="shared" si="76"/>
        <v>7.2088116489700359E-6</v>
      </c>
      <c r="AZ273" s="144">
        <f t="shared" si="77"/>
        <v>1.3819467252675036E-8</v>
      </c>
      <c r="BA273" s="144">
        <f t="shared" si="77"/>
        <v>5.9746850958082625E-9</v>
      </c>
      <c r="BB273" s="144">
        <f t="shared" si="77"/>
        <v>3.6171252346429531E-7</v>
      </c>
      <c r="BC273" s="144">
        <f t="shared" si="77"/>
        <v>1.4988277915836601E-10</v>
      </c>
      <c r="BD273" s="144">
        <f t="shared" si="77"/>
        <v>1.1868240980879425E-7</v>
      </c>
      <c r="BE273" s="144"/>
      <c r="BF273" s="144"/>
      <c r="BG273" s="144"/>
      <c r="BH273" s="144">
        <f t="shared" si="78"/>
        <v>2.0358784991066108E-9</v>
      </c>
      <c r="BI273" s="160">
        <f t="shared" si="78"/>
        <v>1.6120795711733177E-6</v>
      </c>
      <c r="BJ273" s="144"/>
    </row>
    <row r="274" spans="24:62">
      <c r="X274" s="53" t="s">
        <v>423</v>
      </c>
      <c r="Y274" s="53" t="s">
        <v>424</v>
      </c>
      <c r="Z274" s="180">
        <v>43887</v>
      </c>
      <c r="AA274" s="53">
        <v>0.31646400000000002</v>
      </c>
      <c r="AB274" s="53">
        <v>34.649081000000002</v>
      </c>
      <c r="AC274" s="53" t="s">
        <v>661</v>
      </c>
      <c r="AD274" s="53"/>
      <c r="AE274" s="53" t="s">
        <v>347</v>
      </c>
      <c r="AF274" s="154" t="s">
        <v>371</v>
      </c>
      <c r="AG274" s="154" t="s">
        <v>688</v>
      </c>
      <c r="AH274" s="53" t="s">
        <v>676</v>
      </c>
      <c r="AI274" s="53" t="s">
        <v>684</v>
      </c>
      <c r="AJ274" s="53" t="s">
        <v>683</v>
      </c>
      <c r="AK274" s="156">
        <v>1.7</v>
      </c>
      <c r="AL274" s="157">
        <v>17.600000000000001</v>
      </c>
      <c r="AM274" s="75">
        <v>1.6597500000000001</v>
      </c>
      <c r="AN274" s="157">
        <v>55.5</v>
      </c>
      <c r="AO274" s="156">
        <v>2.7E-2</v>
      </c>
      <c r="AP274" s="157">
        <v>23.42</v>
      </c>
      <c r="AQ274" s="157"/>
      <c r="AR274" s="160">
        <f t="shared" si="79"/>
        <v>2.1851307223100779E-7</v>
      </c>
      <c r="AS274" s="144">
        <f t="shared" si="75"/>
        <v>7.5408432769916409E-8</v>
      </c>
      <c r="AT274" s="144">
        <f t="shared" si="75"/>
        <v>7.1113151301061809E-9</v>
      </c>
      <c r="AU274" s="144">
        <f t="shared" si="75"/>
        <v>2.3779363742786143E-7</v>
      </c>
      <c r="AV274" s="144">
        <f t="shared" si="75"/>
        <v>1.1568339118112179E-10</v>
      </c>
      <c r="AW274" s="160">
        <f t="shared" si="75"/>
        <v>1.0034463042451377E-7</v>
      </c>
      <c r="AX274" s="144"/>
      <c r="AY274" s="160">
        <f t="shared" si="76"/>
        <v>3.5064319894847092E-8</v>
      </c>
      <c r="AZ274" s="144">
        <f t="shared" si="77"/>
        <v>1.2100628042143313E-8</v>
      </c>
      <c r="BA274" s="144">
        <f t="shared" si="77"/>
        <v>1.1411373518720092E-9</v>
      </c>
      <c r="BB274" s="144">
        <f t="shared" si="77"/>
        <v>3.8158230473804201E-8</v>
      </c>
      <c r="BC274" s="144">
        <f t="shared" si="77"/>
        <v>1.8563463473742574E-11</v>
      </c>
      <c r="BD274" s="144">
        <f t="shared" si="77"/>
        <v>1.6102085724261158E-8</v>
      </c>
      <c r="BE274" s="144"/>
      <c r="BF274" s="144"/>
      <c r="BG274" s="144"/>
      <c r="BH274" s="144">
        <f t="shared" si="78"/>
        <v>2.5215008933889222E-10</v>
      </c>
      <c r="BI274" s="160">
        <f t="shared" si="78"/>
        <v>2.1871685527099468E-7</v>
      </c>
      <c r="BJ274" s="144"/>
    </row>
    <row r="275" spans="24:62">
      <c r="X275" s="53" t="s">
        <v>425</v>
      </c>
      <c r="Y275" s="53" t="s">
        <v>426</v>
      </c>
      <c r="Z275" s="155" t="s">
        <v>339</v>
      </c>
      <c r="AA275" s="53">
        <v>0.31646400000000002</v>
      </c>
      <c r="AB275" s="53">
        <v>34.649081000000002</v>
      </c>
      <c r="AC275" s="53" t="s">
        <v>350</v>
      </c>
      <c r="AD275" s="53"/>
      <c r="AE275" s="53" t="s">
        <v>347</v>
      </c>
      <c r="AF275" s="154" t="s">
        <v>371</v>
      </c>
      <c r="AG275" s="154" t="s">
        <v>688</v>
      </c>
      <c r="AH275" s="53" t="s">
        <v>676</v>
      </c>
      <c r="AI275" s="53" t="s">
        <v>684</v>
      </c>
      <c r="AJ275" s="53" t="s">
        <v>683</v>
      </c>
      <c r="AK275" s="182">
        <v>3.1</v>
      </c>
      <c r="AL275" s="157">
        <v>28.6</v>
      </c>
      <c r="AM275" s="75">
        <v>6.0182399999999996</v>
      </c>
      <c r="AN275" s="157">
        <v>60.9</v>
      </c>
      <c r="AO275" s="156">
        <v>6.4000000000000001E-2</v>
      </c>
      <c r="AP275" s="157">
        <v>25.26</v>
      </c>
      <c r="AQ275" s="157"/>
      <c r="AR275" s="160">
        <f t="shared" si="79"/>
        <v>3.9846501406830819E-7</v>
      </c>
      <c r="AS275" s="144">
        <f t="shared" si="75"/>
        <v>1.2253870325111418E-7</v>
      </c>
      <c r="AT275" s="144">
        <f t="shared" si="75"/>
        <v>2.5785570820069416E-8</v>
      </c>
      <c r="AU275" s="144">
        <f t="shared" si="75"/>
        <v>2.6093031566408571E-7</v>
      </c>
      <c r="AV275" s="144">
        <f t="shared" si="75"/>
        <v>2.7421248279969604E-10</v>
      </c>
      <c r="AW275" s="160">
        <f t="shared" si="75"/>
        <v>1.0822823930500501E-7</v>
      </c>
      <c r="AX275" s="144"/>
      <c r="AY275" s="160">
        <f t="shared" si="76"/>
        <v>6.394081863177999E-8</v>
      </c>
      <c r="AZ275" s="144">
        <f t="shared" si="77"/>
        <v>1.9663520568482883E-8</v>
      </c>
      <c r="BA275" s="144">
        <f t="shared" si="77"/>
        <v>4.1377547561561693E-9</v>
      </c>
      <c r="BB275" s="144">
        <f t="shared" si="77"/>
        <v>4.1870923168552711E-8</v>
      </c>
      <c r="BC275" s="144">
        <f t="shared" si="77"/>
        <v>4.4002283789612049E-11</v>
      </c>
      <c r="BD275" s="144">
        <f t="shared" si="77"/>
        <v>1.7367151383212503E-8</v>
      </c>
      <c r="BE275" s="144"/>
      <c r="BF275" s="144"/>
      <c r="BG275" s="144"/>
      <c r="BH275" s="144">
        <f t="shared" si="78"/>
        <v>5.9768910065515192E-10</v>
      </c>
      <c r="BI275" s="160">
        <f t="shared" si="78"/>
        <v>2.3590041691483027E-7</v>
      </c>
      <c r="BJ275" s="144"/>
    </row>
    <row r="276" spans="24:62">
      <c r="X276" s="53" t="s">
        <v>427</v>
      </c>
      <c r="Y276" s="53" t="s">
        <v>428</v>
      </c>
      <c r="Z276" s="180">
        <v>43888</v>
      </c>
      <c r="AA276" s="53">
        <v>0.25118800000000002</v>
      </c>
      <c r="AB276" s="53">
        <v>34.723633</v>
      </c>
      <c r="AC276" s="53" t="s">
        <v>661</v>
      </c>
      <c r="AD276" s="53"/>
      <c r="AE276" s="53" t="s">
        <v>347</v>
      </c>
      <c r="AF276" s="154" t="s">
        <v>371</v>
      </c>
      <c r="AG276" s="154" t="s">
        <v>687</v>
      </c>
      <c r="AH276" s="53" t="s">
        <v>675</v>
      </c>
      <c r="AI276" s="53" t="s">
        <v>684</v>
      </c>
      <c r="AJ276" s="53" t="s">
        <v>683</v>
      </c>
      <c r="AK276" s="156">
        <v>16</v>
      </c>
      <c r="AL276" s="157">
        <v>13.6</v>
      </c>
      <c r="AM276" s="75">
        <v>7.2234099999999994</v>
      </c>
      <c r="AN276" s="157">
        <v>211.5</v>
      </c>
      <c r="AO276" s="156">
        <v>3.9E-2</v>
      </c>
      <c r="AP276" s="157">
        <v>33.979999999999997</v>
      </c>
      <c r="AQ276" s="157"/>
      <c r="AR276" s="160">
        <f t="shared" si="79"/>
        <v>2.0565936209977206E-6</v>
      </c>
      <c r="AS276" s="144">
        <f t="shared" si="75"/>
        <v>5.8270152594935409E-8</v>
      </c>
      <c r="AT276" s="144">
        <f t="shared" si="75"/>
        <v>3.0949206099689883E-8</v>
      </c>
      <c r="AU276" s="144">
        <f t="shared" si="75"/>
        <v>9.0618656425212049E-7</v>
      </c>
      <c r="AV276" s="144">
        <f t="shared" si="75"/>
        <v>1.6709823170606479E-10</v>
      </c>
      <c r="AW276" s="160">
        <f t="shared" si="75"/>
        <v>1.4558969008646357E-7</v>
      </c>
      <c r="AX276" s="144"/>
      <c r="AY276" s="160">
        <f t="shared" si="76"/>
        <v>3.3001712842209033E-7</v>
      </c>
      <c r="AZ276" s="144">
        <f t="shared" si="77"/>
        <v>9.3504853052925598E-9</v>
      </c>
      <c r="BA276" s="144">
        <f t="shared" si="77"/>
        <v>4.9663521366987746E-9</v>
      </c>
      <c r="BB276" s="144">
        <f t="shared" si="77"/>
        <v>1.4541379721098356E-7</v>
      </c>
      <c r="BC276" s="144">
        <f t="shared" si="77"/>
        <v>2.6813891684294839E-11</v>
      </c>
      <c r="BD276" s="144">
        <f t="shared" si="77"/>
        <v>2.3362462549547144E-8</v>
      </c>
      <c r="BE276" s="144"/>
      <c r="BF276" s="144"/>
      <c r="BG276" s="144"/>
      <c r="BH276" s="144">
        <f t="shared" si="78"/>
        <v>3.6421679571173314E-10</v>
      </c>
      <c r="BI276" s="160">
        <f t="shared" si="78"/>
        <v>3.1733555687909466E-7</v>
      </c>
      <c r="BJ276" s="144"/>
    </row>
    <row r="277" spans="24:62">
      <c r="X277" s="53" t="s">
        <v>429</v>
      </c>
      <c r="Y277" s="53" t="s">
        <v>430</v>
      </c>
      <c r="Z277" s="180">
        <v>43889</v>
      </c>
      <c r="AA277" s="53">
        <v>0.18990299999999999</v>
      </c>
      <c r="AB277" s="53">
        <v>34.745731999999997</v>
      </c>
      <c r="AC277" s="53" t="s">
        <v>663</v>
      </c>
      <c r="AD277" s="53"/>
      <c r="AE277" s="53" t="s">
        <v>347</v>
      </c>
      <c r="AF277" s="154" t="s">
        <v>371</v>
      </c>
      <c r="AG277" s="154" t="s">
        <v>687</v>
      </c>
      <c r="AH277" s="53" t="s">
        <v>673</v>
      </c>
      <c r="AI277" s="53" t="s">
        <v>685</v>
      </c>
      <c r="AJ277" s="53" t="s">
        <v>691</v>
      </c>
      <c r="AK277" s="156">
        <v>39.799999999999997</v>
      </c>
      <c r="AL277" s="157">
        <v>18.100000000000001</v>
      </c>
      <c r="AM277" s="75">
        <v>6.2552899999999996</v>
      </c>
      <c r="AN277" s="157">
        <v>412.9</v>
      </c>
      <c r="AO277" s="156">
        <v>0.13</v>
      </c>
      <c r="AP277" s="157">
        <v>157.13</v>
      </c>
      <c r="AQ277" s="157"/>
      <c r="AR277" s="160">
        <f t="shared" si="79"/>
        <v>5.115776632231828E-6</v>
      </c>
      <c r="AS277" s="144">
        <f t="shared" si="75"/>
        <v>7.7550717791789058E-8</v>
      </c>
      <c r="AT277" s="144">
        <f t="shared" si="75"/>
        <v>2.6801228148939229E-8</v>
      </c>
      <c r="AU277" s="144">
        <f t="shared" si="75"/>
        <v>1.7690989710624142E-6</v>
      </c>
      <c r="AV277" s="144">
        <f t="shared" si="75"/>
        <v>5.5699410568688255E-10</v>
      </c>
      <c r="AW277" s="160">
        <f t="shared" si="75"/>
        <v>6.732344909736913E-7</v>
      </c>
      <c r="AX277" s="144"/>
      <c r="AY277" s="160">
        <f t="shared" si="76"/>
        <v>8.2091760694994953E-7</v>
      </c>
      <c r="AZ277" s="144">
        <f t="shared" si="77"/>
        <v>1.244439588424966E-8</v>
      </c>
      <c r="BA277" s="144">
        <f t="shared" si="77"/>
        <v>4.3007350900987852E-9</v>
      </c>
      <c r="BB277" s="144">
        <f t="shared" si="77"/>
        <v>2.8388348401141891E-7</v>
      </c>
      <c r="BC277" s="144">
        <f t="shared" si="77"/>
        <v>8.9379638947649469E-11</v>
      </c>
      <c r="BD277" s="144">
        <f t="shared" si="77"/>
        <v>1.080324820603397E-7</v>
      </c>
      <c r="BE277" s="144"/>
      <c r="BF277" s="144"/>
      <c r="BG277" s="144"/>
      <c r="BH277" s="144">
        <f t="shared" si="78"/>
        <v>1.2140559857057772E-9</v>
      </c>
      <c r="BI277" s="160">
        <f t="shared" si="78"/>
        <v>1.4674201310303754E-6</v>
      </c>
      <c r="BJ277" s="144"/>
    </row>
    <row r="278" spans="24:62">
      <c r="X278" s="53" t="s">
        <v>431</v>
      </c>
      <c r="Y278" s="53" t="s">
        <v>432</v>
      </c>
      <c r="Z278" s="180">
        <v>43889</v>
      </c>
      <c r="AA278" s="53">
        <v>0.187274</v>
      </c>
      <c r="AB278" s="53">
        <v>34.735595000000004</v>
      </c>
      <c r="AC278" s="53" t="s">
        <v>663</v>
      </c>
      <c r="AD278" s="53"/>
      <c r="AE278" s="53" t="s">
        <v>347</v>
      </c>
      <c r="AF278" s="154" t="s">
        <v>371</v>
      </c>
      <c r="AG278" s="154" t="s">
        <v>687</v>
      </c>
      <c r="AH278" s="53" t="s">
        <v>673</v>
      </c>
      <c r="AI278" s="53" t="s">
        <v>685</v>
      </c>
      <c r="AJ278" s="53" t="s">
        <v>691</v>
      </c>
      <c r="AK278" s="156">
        <v>318.10000000000002</v>
      </c>
      <c r="AL278" s="157">
        <v>19</v>
      </c>
      <c r="AM278" s="75">
        <v>11.98624</v>
      </c>
      <c r="AN278" s="157">
        <v>218.1</v>
      </c>
      <c r="AO278" s="156">
        <v>0.11799999999999999</v>
      </c>
      <c r="AP278" s="157">
        <v>67.67</v>
      </c>
      <c r="AQ278" s="157"/>
      <c r="AR278" s="160">
        <f t="shared" si="79"/>
        <v>4.0887651927460932E-5</v>
      </c>
      <c r="AS278" s="144">
        <f t="shared" si="75"/>
        <v>8.1406830831159749E-8</v>
      </c>
      <c r="AT278" s="144">
        <f t="shared" si="75"/>
        <v>5.1355884841141068E-8</v>
      </c>
      <c r="AU278" s="144">
        <f t="shared" si="75"/>
        <v>9.3446472654083917E-7</v>
      </c>
      <c r="AV278" s="144">
        <f t="shared" si="75"/>
        <v>5.0557926516193948E-10</v>
      </c>
      <c r="AW278" s="160">
        <f t="shared" si="75"/>
        <v>2.8993685486024109E-7</v>
      </c>
      <c r="AX278" s="144"/>
      <c r="AY278" s="160">
        <f t="shared" si="76"/>
        <v>6.561153034441685E-6</v>
      </c>
      <c r="AZ278" s="144">
        <f t="shared" si="77"/>
        <v>1.3063178000041079E-8</v>
      </c>
      <c r="BA278" s="144">
        <f t="shared" si="77"/>
        <v>8.2409677195374936E-9</v>
      </c>
      <c r="BB278" s="144">
        <f t="shared" si="77"/>
        <v>1.4995153272678729E-7</v>
      </c>
      <c r="BC278" s="144">
        <f t="shared" si="77"/>
        <v>8.1129210737097198E-11</v>
      </c>
      <c r="BD278" s="144">
        <f t="shared" si="77"/>
        <v>4.6525539750672611E-8</v>
      </c>
      <c r="BE278" s="144"/>
      <c r="BF278" s="144"/>
      <c r="BG278" s="144"/>
      <c r="BH278" s="144">
        <f t="shared" si="78"/>
        <v>1.1019892793329358E-9</v>
      </c>
      <c r="BI278" s="160">
        <f t="shared" si="78"/>
        <v>6.3196283502084571E-7</v>
      </c>
      <c r="BJ278" s="144"/>
    </row>
    <row r="279" spans="24:62">
      <c r="X279" s="53" t="s">
        <v>433</v>
      </c>
      <c r="Y279" s="53" t="s">
        <v>432</v>
      </c>
      <c r="Z279" s="180">
        <v>43889</v>
      </c>
      <c r="AA279" s="53">
        <v>0.187274</v>
      </c>
      <c r="AB279" s="53">
        <v>34.735595000000004</v>
      </c>
      <c r="AC279" s="53" t="s">
        <v>663</v>
      </c>
      <c r="AD279" s="53"/>
      <c r="AE279" s="53" t="s">
        <v>347</v>
      </c>
      <c r="AF279" s="154" t="s">
        <v>371</v>
      </c>
      <c r="AG279" s="154" t="s">
        <v>687</v>
      </c>
      <c r="AH279" s="53" t="s">
        <v>673</v>
      </c>
      <c r="AI279" s="53" t="s">
        <v>685</v>
      </c>
      <c r="AJ279" s="53" t="s">
        <v>691</v>
      </c>
      <c r="AK279" s="156">
        <v>332</v>
      </c>
      <c r="AL279" s="157">
        <v>19.5</v>
      </c>
      <c r="AM279" s="74">
        <v>12</v>
      </c>
      <c r="AN279" s="157">
        <v>227.5</v>
      </c>
      <c r="AO279" s="156">
        <v>0.11899999999999999</v>
      </c>
      <c r="AP279" s="157">
        <v>69.3</v>
      </c>
      <c r="AQ279" s="157"/>
      <c r="AR279" s="160">
        <f t="shared" si="79"/>
        <v>4.2674317635702691E-5</v>
      </c>
      <c r="AS279" s="144">
        <f t="shared" si="75"/>
        <v>8.3549115853032398E-8</v>
      </c>
      <c r="AT279" s="144">
        <f t="shared" si="75"/>
        <v>5.1414840524943007E-8</v>
      </c>
      <c r="AU279" s="144">
        <f t="shared" si="75"/>
        <v>9.7473968495204441E-7</v>
      </c>
      <c r="AV279" s="144">
        <f t="shared" si="75"/>
        <v>5.0986383520568483E-10</v>
      </c>
      <c r="AW279" s="160">
        <f t="shared" si="75"/>
        <v>2.9692070403154584E-7</v>
      </c>
      <c r="AX279" s="144"/>
      <c r="AY279" s="160">
        <f t="shared" si="76"/>
        <v>6.8478554147583735E-6</v>
      </c>
      <c r="AZ279" s="144">
        <f t="shared" si="77"/>
        <v>1.340694584214742E-8</v>
      </c>
      <c r="BA279" s="144">
        <f t="shared" si="77"/>
        <v>8.2504282105522573E-9</v>
      </c>
      <c r="BB279" s="144">
        <f t="shared" si="77"/>
        <v>1.5641436815838656E-7</v>
      </c>
      <c r="BC279" s="144">
        <f t="shared" si="77"/>
        <v>8.1816746421309895E-11</v>
      </c>
      <c r="BD279" s="144">
        <f t="shared" si="77"/>
        <v>4.7646222915939289E-8</v>
      </c>
      <c r="BE279" s="144"/>
      <c r="BF279" s="144"/>
      <c r="BG279" s="144"/>
      <c r="BH279" s="144">
        <f t="shared" si="78"/>
        <v>1.111328171530673E-9</v>
      </c>
      <c r="BI279" s="160">
        <f t="shared" si="78"/>
        <v>6.471852293031566E-7</v>
      </c>
      <c r="BJ279" s="144"/>
    </row>
    <row r="280" spans="24:62">
      <c r="X280" s="53" t="s">
        <v>434</v>
      </c>
      <c r="Y280" s="53" t="s">
        <v>435</v>
      </c>
      <c r="Z280" s="180">
        <v>43889</v>
      </c>
      <c r="AA280" s="183">
        <v>0.18878500000000001</v>
      </c>
      <c r="AB280" s="183">
        <v>34.739865000000002</v>
      </c>
      <c r="AC280" s="53" t="s">
        <v>665</v>
      </c>
      <c r="AD280" s="53"/>
      <c r="AE280" s="53" t="s">
        <v>347</v>
      </c>
      <c r="AF280" s="154" t="s">
        <v>371</v>
      </c>
      <c r="AG280" s="154" t="s">
        <v>687</v>
      </c>
      <c r="AH280" s="53" t="s">
        <v>675</v>
      </c>
      <c r="AI280" s="53" t="s">
        <v>684</v>
      </c>
      <c r="AJ280" s="53" t="s">
        <v>683</v>
      </c>
      <c r="AK280" s="156">
        <v>104.7</v>
      </c>
      <c r="AL280" s="157">
        <v>41.8</v>
      </c>
      <c r="AM280" s="75">
        <v>4.0749399999999998</v>
      </c>
      <c r="AN280" s="157">
        <v>214</v>
      </c>
      <c r="AO280" s="156">
        <v>0.115</v>
      </c>
      <c r="AP280" s="157">
        <v>122.55</v>
      </c>
      <c r="AQ280" s="157"/>
      <c r="AR280" s="160">
        <f t="shared" si="79"/>
        <v>1.345783450740383E-5</v>
      </c>
      <c r="AS280" s="144">
        <f t="shared" si="75"/>
        <v>1.7909502782855148E-7</v>
      </c>
      <c r="AT280" s="144">
        <f t="shared" si="75"/>
        <v>1.7459365854059272E-8</v>
      </c>
      <c r="AU280" s="144">
        <f t="shared" si="75"/>
        <v>9.1689798936148377E-7</v>
      </c>
      <c r="AV280" s="144">
        <f t="shared" si="75"/>
        <v>4.9272555503070377E-10</v>
      </c>
      <c r="AW280" s="160">
        <f t="shared" si="75"/>
        <v>5.2507405886098049E-7</v>
      </c>
      <c r="AX280" s="144"/>
      <c r="AY280" s="160">
        <f t="shared" si="76"/>
        <v>2.1595495841120537E-6</v>
      </c>
      <c r="AZ280" s="144">
        <f t="shared" si="77"/>
        <v>2.8738991600090365E-8</v>
      </c>
      <c r="BA280" s="144">
        <f t="shared" si="77"/>
        <v>2.8016666610256513E-9</v>
      </c>
      <c r="BB280" s="144">
        <f t="shared" si="77"/>
        <v>1.4713263642151528E-7</v>
      </c>
      <c r="BC280" s="144">
        <f t="shared" si="77"/>
        <v>7.906660368445913E-11</v>
      </c>
      <c r="BD280" s="144">
        <f t="shared" si="77"/>
        <v>8.4257498100264936E-8</v>
      </c>
      <c r="BE280" s="144"/>
      <c r="BF280" s="144"/>
      <c r="BG280" s="144"/>
      <c r="BH280" s="144">
        <f t="shared" si="78"/>
        <v>1.0739726027397262E-9</v>
      </c>
      <c r="BI280" s="160">
        <f t="shared" si="78"/>
        <v>1.1444812388326382E-6</v>
      </c>
      <c r="BJ280" s="144"/>
    </row>
    <row r="281" spans="24:62">
      <c r="X281" s="53" t="s">
        <v>436</v>
      </c>
      <c r="Y281" s="53" t="s">
        <v>437</v>
      </c>
      <c r="Z281" s="180">
        <v>43889</v>
      </c>
      <c r="AA281" s="183">
        <v>0.18942800000000001</v>
      </c>
      <c r="AB281" s="183">
        <v>34.740335999999999</v>
      </c>
      <c r="AC281" s="53" t="s">
        <v>665</v>
      </c>
      <c r="AD281" s="53"/>
      <c r="AE281" s="53" t="s">
        <v>347</v>
      </c>
      <c r="AF281" s="154" t="s">
        <v>371</v>
      </c>
      <c r="AG281" s="154" t="s">
        <v>687</v>
      </c>
      <c r="AH281" s="53" t="s">
        <v>675</v>
      </c>
      <c r="AI281" s="53" t="s">
        <v>684</v>
      </c>
      <c r="AJ281" s="53" t="s">
        <v>683</v>
      </c>
      <c r="AK281" s="156">
        <v>112.8</v>
      </c>
      <c r="AL281" s="157">
        <v>36.5</v>
      </c>
      <c r="AM281" s="75">
        <v>3.0255999999999998</v>
      </c>
      <c r="AN281" s="157">
        <v>261.2</v>
      </c>
      <c r="AO281" s="156">
        <v>0.158</v>
      </c>
      <c r="AP281" s="157">
        <v>95.64</v>
      </c>
      <c r="AQ281" s="157"/>
      <c r="AR281" s="160">
        <f t="shared" si="79"/>
        <v>1.4498985028033926E-5</v>
      </c>
      <c r="AS281" s="144">
        <f t="shared" si="75"/>
        <v>1.5638680659670167E-7</v>
      </c>
      <c r="AT281" s="144">
        <f t="shared" si="75"/>
        <v>1.2963395124355629E-8</v>
      </c>
      <c r="AU281" s="144">
        <f t="shared" si="75"/>
        <v>1.1191296954262594E-6</v>
      </c>
      <c r="AV281" s="144">
        <f t="shared" si="75"/>
        <v>6.7696206691174964E-10</v>
      </c>
      <c r="AW281" s="160">
        <f t="shared" si="75"/>
        <v>4.0977627898379574E-7</v>
      </c>
      <c r="AX281" s="144"/>
      <c r="AY281" s="160">
        <f t="shared" si="76"/>
        <v>2.3266207553757369E-6</v>
      </c>
      <c r="AZ281" s="144">
        <f t="shared" si="77"/>
        <v>2.5095052473763117E-8</v>
      </c>
      <c r="BA281" s="144">
        <f t="shared" si="77"/>
        <v>2.0802079661539096E-9</v>
      </c>
      <c r="BB281" s="144">
        <f t="shared" si="77"/>
        <v>1.7958432071635421E-7</v>
      </c>
      <c r="BC281" s="144">
        <f t="shared" si="77"/>
        <v>1.0863063810560474E-10</v>
      </c>
      <c r="BD281" s="144">
        <f t="shared" si="77"/>
        <v>6.5755912838101496E-8</v>
      </c>
      <c r="BE281" s="144"/>
      <c r="BF281" s="144"/>
      <c r="BG281" s="144"/>
      <c r="BH281" s="144">
        <f t="shared" si="78"/>
        <v>1.4755449672424061E-9</v>
      </c>
      <c r="BI281" s="160">
        <f t="shared" si="78"/>
        <v>8.931716497915426E-7</v>
      </c>
      <c r="BJ281" s="144"/>
    </row>
    <row r="282" spans="24:62">
      <c r="X282" s="53" t="s">
        <v>438</v>
      </c>
      <c r="Y282" s="53" t="s">
        <v>439</v>
      </c>
      <c r="Z282" s="180">
        <v>43889</v>
      </c>
      <c r="AA282" s="53">
        <v>0.19486300000000001</v>
      </c>
      <c r="AB282" s="53">
        <v>34.750653</v>
      </c>
      <c r="AC282" s="53" t="s">
        <v>666</v>
      </c>
      <c r="AD282" s="53"/>
      <c r="AE282" s="53" t="s">
        <v>347</v>
      </c>
      <c r="AF282" s="154" t="s">
        <v>371</v>
      </c>
      <c r="AG282" s="154" t="s">
        <v>688</v>
      </c>
      <c r="AH282" s="53" t="s">
        <v>677</v>
      </c>
      <c r="AI282" s="53" t="s">
        <v>685</v>
      </c>
      <c r="AJ282" s="53" t="s">
        <v>691</v>
      </c>
      <c r="AK282" s="156">
        <v>982.4</v>
      </c>
      <c r="AL282" s="157">
        <v>699.8</v>
      </c>
      <c r="AM282" s="75">
        <v>3.57619</v>
      </c>
      <c r="AN282" s="157">
        <v>235</v>
      </c>
      <c r="AO282" s="156">
        <v>1.4179999999999999</v>
      </c>
      <c r="AP282" s="157">
        <v>43.46</v>
      </c>
      <c r="AQ282" s="157"/>
      <c r="AR282" s="160">
        <f t="shared" si="79"/>
        <v>1.2627484832926003E-4</v>
      </c>
      <c r="AS282" s="144">
        <f t="shared" si="75"/>
        <v>2.9983421166129258E-6</v>
      </c>
      <c r="AT282" s="144">
        <f t="shared" si="75"/>
        <v>1.5322436544741327E-8</v>
      </c>
      <c r="AU282" s="144">
        <f t="shared" si="75"/>
        <v>1.0068739602801339E-6</v>
      </c>
      <c r="AV282" s="144">
        <f t="shared" si="75"/>
        <v>6.0755203220307655E-9</v>
      </c>
      <c r="AW282" s="160">
        <f t="shared" si="75"/>
        <v>1.8620741410116857E-7</v>
      </c>
      <c r="AX282" s="144"/>
      <c r="AY282" s="160">
        <f t="shared" si="76"/>
        <v>2.026305168511635E-5</v>
      </c>
      <c r="AZ282" s="144">
        <f t="shared" si="77"/>
        <v>4.8113747181203928E-7</v>
      </c>
      <c r="BA282" s="144">
        <f t="shared" si="77"/>
        <v>2.4587582385245736E-9</v>
      </c>
      <c r="BB282" s="144">
        <f t="shared" si="77"/>
        <v>1.6157088578998172E-7</v>
      </c>
      <c r="BC282" s="144">
        <f t="shared" si="77"/>
        <v>9.7492560021359179E-10</v>
      </c>
      <c r="BD282" s="144">
        <f t="shared" si="77"/>
        <v>2.9880300835883429E-8</v>
      </c>
      <c r="BE282" s="144"/>
      <c r="BF282" s="144"/>
      <c r="BG282" s="144"/>
      <c r="BH282" s="144">
        <f t="shared" si="78"/>
        <v>1.3242549136390708E-8</v>
      </c>
      <c r="BI282" s="160">
        <f t="shared" si="78"/>
        <v>4.0586825491363905E-7</v>
      </c>
      <c r="BJ282" s="144"/>
    </row>
    <row r="283" spans="24:62">
      <c r="X283" s="53" t="s">
        <v>440</v>
      </c>
      <c r="Y283" s="53" t="s">
        <v>441</v>
      </c>
      <c r="Z283" s="180">
        <v>43889</v>
      </c>
      <c r="AA283" s="53">
        <v>0.19486300000000001</v>
      </c>
      <c r="AB283" s="53">
        <v>34.750653</v>
      </c>
      <c r="AC283" s="53" t="s">
        <v>666</v>
      </c>
      <c r="AD283" s="53"/>
      <c r="AE283" s="53" t="s">
        <v>347</v>
      </c>
      <c r="AF283" s="154" t="s">
        <v>371</v>
      </c>
      <c r="AG283" s="154" t="s">
        <v>688</v>
      </c>
      <c r="AH283" s="53" t="s">
        <v>677</v>
      </c>
      <c r="AI283" s="53" t="s">
        <v>685</v>
      </c>
      <c r="AJ283" s="53" t="s">
        <v>691</v>
      </c>
      <c r="AK283" s="156">
        <v>831.4</v>
      </c>
      <c r="AL283" s="157">
        <v>74</v>
      </c>
      <c r="AM283" s="75">
        <v>1.20129</v>
      </c>
      <c r="AN283" s="157">
        <v>155.80000000000001</v>
      </c>
      <c r="AO283" s="156">
        <v>0.56599999999999995</v>
      </c>
      <c r="AP283" s="157">
        <v>23.01</v>
      </c>
      <c r="AQ283" s="157"/>
      <c r="AR283" s="160">
        <f t="shared" si="79"/>
        <v>1.0686574603109404E-4</v>
      </c>
      <c r="AS283" s="144">
        <f t="shared" si="75"/>
        <v>3.1705818323714867E-7</v>
      </c>
      <c r="AT283" s="144">
        <f t="shared" si="75"/>
        <v>5.1470111478507324E-9</v>
      </c>
      <c r="AU283" s="144">
        <f t="shared" si="75"/>
        <v>6.6753601281551003E-7</v>
      </c>
      <c r="AV283" s="144">
        <f t="shared" si="75"/>
        <v>2.4250666447598112E-9</v>
      </c>
      <c r="AW283" s="160">
        <f t="shared" si="75"/>
        <v>9.858795670657823E-8</v>
      </c>
      <c r="AX283" s="144"/>
      <c r="AY283" s="160">
        <f t="shared" si="76"/>
        <v>1.7148515035632868E-5</v>
      </c>
      <c r="AZ283" s="144">
        <f t="shared" si="77"/>
        <v>5.0877640631738935E-8</v>
      </c>
      <c r="BA283" s="144">
        <f t="shared" si="77"/>
        <v>8.2592974208786026E-10</v>
      </c>
      <c r="BB283" s="144">
        <f t="shared" si="77"/>
        <v>1.0711805960033683E-7</v>
      </c>
      <c r="BC283" s="144">
        <f t="shared" si="77"/>
        <v>3.8914519726438154E-10</v>
      </c>
      <c r="BD283" s="144">
        <f t="shared" si="77"/>
        <v>1.5820196093733955E-8</v>
      </c>
      <c r="BE283" s="144"/>
      <c r="BF283" s="144"/>
      <c r="BG283" s="144"/>
      <c r="BH283" s="144">
        <f t="shared" si="78"/>
        <v>5.2858129839189985E-9</v>
      </c>
      <c r="BI283" s="160">
        <f t="shared" si="78"/>
        <v>2.1488790946992263E-7</v>
      </c>
      <c r="BJ283" s="144"/>
    </row>
    <row r="284" spans="24:62">
      <c r="X284" s="53" t="s">
        <v>442</v>
      </c>
      <c r="Y284" s="53" t="s">
        <v>443</v>
      </c>
      <c r="Z284" s="180">
        <v>43890</v>
      </c>
      <c r="AA284" s="183">
        <v>0.224908</v>
      </c>
      <c r="AB284" s="183">
        <v>34.799022000000001</v>
      </c>
      <c r="AC284" s="53" t="s">
        <v>667</v>
      </c>
      <c r="AD284" s="53"/>
      <c r="AE284" s="53" t="s">
        <v>347</v>
      </c>
      <c r="AF284" s="154" t="s">
        <v>371</v>
      </c>
      <c r="AG284" s="154" t="s">
        <v>687</v>
      </c>
      <c r="AH284" s="53" t="s">
        <v>676</v>
      </c>
      <c r="AI284" s="53" t="s">
        <v>684</v>
      </c>
      <c r="AJ284" s="53" t="s">
        <v>683</v>
      </c>
      <c r="AK284" s="156">
        <v>52.3</v>
      </c>
      <c r="AL284" s="157">
        <v>11.2</v>
      </c>
      <c r="AM284" s="75">
        <v>6.3005499999999994</v>
      </c>
      <c r="AN284" s="157">
        <v>203.1</v>
      </c>
      <c r="AO284" s="156">
        <v>5.6000000000000001E-2</v>
      </c>
      <c r="AP284" s="157">
        <v>54.91</v>
      </c>
      <c r="AQ284" s="157"/>
      <c r="AR284" s="160">
        <f t="shared" si="79"/>
        <v>6.7224903986362993E-6</v>
      </c>
      <c r="AS284" s="144">
        <f t="shared" si="75"/>
        <v>4.7987184489946797E-8</v>
      </c>
      <c r="AT284" s="144">
        <f t="shared" si="75"/>
        <v>2.6995147789119139E-8</v>
      </c>
      <c r="AU284" s="144">
        <f t="shared" si="75"/>
        <v>8.7019617588466031E-7</v>
      </c>
      <c r="AV284" s="144">
        <f t="shared" si="75"/>
        <v>2.3993592244973403E-10</v>
      </c>
      <c r="AW284" s="160">
        <f t="shared" si="75"/>
        <v>2.3526574110205169E-7</v>
      </c>
      <c r="AX284" s="144"/>
      <c r="AY284" s="160">
        <f t="shared" si="76"/>
        <v>1.0787434885297077E-6</v>
      </c>
      <c r="AZ284" s="144">
        <f t="shared" si="77"/>
        <v>7.7003996631821077E-9</v>
      </c>
      <c r="BA284" s="144">
        <f t="shared" si="77"/>
        <v>4.3318529551662531E-9</v>
      </c>
      <c r="BB284" s="144">
        <f t="shared" si="77"/>
        <v>1.3963849746359699E-7</v>
      </c>
      <c r="BC284" s="144">
        <f t="shared" si="77"/>
        <v>3.8501998315910544E-11</v>
      </c>
      <c r="BD284" s="144">
        <f t="shared" si="77"/>
        <v>3.7752584420118707E-8</v>
      </c>
      <c r="BE284" s="144"/>
      <c r="BF284" s="144"/>
      <c r="BG284" s="144"/>
      <c r="BH284" s="144">
        <f t="shared" si="78"/>
        <v>5.2297796307325784E-10</v>
      </c>
      <c r="BI284" s="160">
        <f t="shared" si="78"/>
        <v>5.1279857057772484E-7</v>
      </c>
      <c r="BJ284" s="144"/>
    </row>
    <row r="285" spans="24:62">
      <c r="X285" s="53" t="s">
        <v>444</v>
      </c>
      <c r="Y285" s="53" t="s">
        <v>445</v>
      </c>
      <c r="Z285" s="180">
        <v>43890</v>
      </c>
      <c r="AA285" s="183">
        <v>0.22484799999999999</v>
      </c>
      <c r="AB285" s="183">
        <v>34.799002999999999</v>
      </c>
      <c r="AC285" s="53" t="s">
        <v>667</v>
      </c>
      <c r="AD285" s="53"/>
      <c r="AE285" s="53" t="s">
        <v>347</v>
      </c>
      <c r="AF285" s="154" t="s">
        <v>371</v>
      </c>
      <c r="AG285" s="154" t="s">
        <v>687</v>
      </c>
      <c r="AH285" s="53" t="s">
        <v>676</v>
      </c>
      <c r="AI285" s="53" t="s">
        <v>684</v>
      </c>
      <c r="AJ285" s="53" t="s">
        <v>683</v>
      </c>
      <c r="AK285" s="156">
        <v>74.5</v>
      </c>
      <c r="AL285" s="157">
        <v>12.6</v>
      </c>
      <c r="AM285" s="75">
        <v>8.8212900000000012</v>
      </c>
      <c r="AN285" s="157">
        <v>210.9</v>
      </c>
      <c r="AO285" s="156">
        <v>5.8000000000000003E-2</v>
      </c>
      <c r="AP285" s="157">
        <v>58.79</v>
      </c>
      <c r="AQ285" s="157"/>
      <c r="AR285" s="160">
        <f t="shared" si="79"/>
        <v>9.5760140477706349E-6</v>
      </c>
      <c r="AS285" s="144">
        <f t="shared" si="75"/>
        <v>5.3985582551190144E-8</v>
      </c>
      <c r="AT285" s="144">
        <f t="shared" si="75"/>
        <v>3.7795434881189552E-8</v>
      </c>
      <c r="AU285" s="144">
        <f t="shared" si="75"/>
        <v>9.0361582222587311E-7</v>
      </c>
      <c r="AV285" s="144">
        <f t="shared" si="75"/>
        <v>2.4850506253722456E-10</v>
      </c>
      <c r="AW285" s="160">
        <f t="shared" si="75"/>
        <v>2.5188987287178328E-7</v>
      </c>
      <c r="AX285" s="144"/>
      <c r="AY285" s="160">
        <f t="shared" si="76"/>
        <v>1.5366422542153581E-6</v>
      </c>
      <c r="AZ285" s="144">
        <f t="shared" si="77"/>
        <v>8.6629496210798708E-9</v>
      </c>
      <c r="BA285" s="144">
        <f t="shared" si="77"/>
        <v>6.0649516557885441E-9</v>
      </c>
      <c r="BB285" s="144">
        <f t="shared" si="77"/>
        <v>1.4500127580045594E-7</v>
      </c>
      <c r="BC285" s="144">
        <f t="shared" si="77"/>
        <v>3.9877069684335927E-11</v>
      </c>
      <c r="BD285" s="144">
        <f t="shared" si="77"/>
        <v>4.0420222874863934E-8</v>
      </c>
      <c r="BE285" s="144"/>
      <c r="BF285" s="144"/>
      <c r="BG285" s="144"/>
      <c r="BH285" s="144">
        <f t="shared" si="78"/>
        <v>5.4165574746873143E-10</v>
      </c>
      <c r="BI285" s="160">
        <f t="shared" si="78"/>
        <v>5.4903347230494333E-7</v>
      </c>
      <c r="BJ285" s="144"/>
    </row>
    <row r="286" spans="24:62">
      <c r="X286" s="53" t="s">
        <v>446</v>
      </c>
      <c r="Y286" s="53" t="s">
        <v>445</v>
      </c>
      <c r="Z286" s="180">
        <v>43890</v>
      </c>
      <c r="AA286" s="53">
        <v>0.22484799999999999</v>
      </c>
      <c r="AB286" s="53">
        <v>34.799002999999999</v>
      </c>
      <c r="AC286" s="53" t="s">
        <v>667</v>
      </c>
      <c r="AD286" s="53"/>
      <c r="AE286" s="53" t="s">
        <v>347</v>
      </c>
      <c r="AF286" s="154" t="s">
        <v>371</v>
      </c>
      <c r="AG286" s="154" t="s">
        <v>687</v>
      </c>
      <c r="AH286" s="53" t="s">
        <v>676</v>
      </c>
      <c r="AI286" s="53" t="s">
        <v>684</v>
      </c>
      <c r="AJ286" s="53" t="s">
        <v>683</v>
      </c>
      <c r="AK286" s="156">
        <v>74.5</v>
      </c>
      <c r="AL286" s="157">
        <v>12.6</v>
      </c>
      <c r="AM286" s="75">
        <v>7.9939099999999996</v>
      </c>
      <c r="AN286" s="157">
        <v>210.9</v>
      </c>
      <c r="AO286" s="156">
        <v>5.8000000000000003E-2</v>
      </c>
      <c r="AP286" s="157">
        <v>58.79</v>
      </c>
      <c r="AQ286" s="157"/>
      <c r="AR286" s="160">
        <f t="shared" si="79"/>
        <v>9.5760140477706349E-6</v>
      </c>
      <c r="AS286" s="144">
        <f t="shared" si="75"/>
        <v>5.3985582551190144E-8</v>
      </c>
      <c r="AT286" s="144">
        <f t="shared" si="75"/>
        <v>3.4250467318395607E-8</v>
      </c>
      <c r="AU286" s="144">
        <f t="shared" si="75"/>
        <v>9.0361582222587311E-7</v>
      </c>
      <c r="AV286" s="144">
        <f t="shared" si="75"/>
        <v>2.4850506253722456E-10</v>
      </c>
      <c r="AW286" s="160">
        <f t="shared" si="75"/>
        <v>2.5188987287178328E-7</v>
      </c>
      <c r="AX286" s="144"/>
      <c r="AY286" s="160">
        <f t="shared" si="76"/>
        <v>1.5366422542153581E-6</v>
      </c>
      <c r="AZ286" s="144">
        <f t="shared" si="77"/>
        <v>8.6629496210798708E-9</v>
      </c>
      <c r="BA286" s="144">
        <f t="shared" si="77"/>
        <v>5.4960983813846502E-9</v>
      </c>
      <c r="BB286" s="144">
        <f t="shared" si="77"/>
        <v>1.4500127580045594E-7</v>
      </c>
      <c r="BC286" s="144">
        <f t="shared" si="77"/>
        <v>3.9877069684335927E-11</v>
      </c>
      <c r="BD286" s="144">
        <f t="shared" si="77"/>
        <v>4.0420222874863934E-8</v>
      </c>
      <c r="BE286" s="144"/>
      <c r="BF286" s="144"/>
      <c r="BG286" s="144"/>
      <c r="BH286" s="144">
        <f t="shared" si="78"/>
        <v>5.4165574746873143E-10</v>
      </c>
      <c r="BI286" s="160">
        <f t="shared" si="78"/>
        <v>5.4903347230494333E-7</v>
      </c>
      <c r="BJ286" s="144"/>
    </row>
    <row r="287" spans="24:62">
      <c r="X287" s="53" t="s">
        <v>447</v>
      </c>
      <c r="Y287" s="53" t="s">
        <v>448</v>
      </c>
      <c r="Z287" s="180">
        <v>43890</v>
      </c>
      <c r="AA287" s="183">
        <v>0.218167</v>
      </c>
      <c r="AB287" s="183">
        <v>34.802627999999999</v>
      </c>
      <c r="AC287" s="53" t="s">
        <v>667</v>
      </c>
      <c r="AD287" s="53"/>
      <c r="AE287" s="53" t="s">
        <v>347</v>
      </c>
      <c r="AF287" s="154" t="s">
        <v>371</v>
      </c>
      <c r="AG287" s="154" t="s">
        <v>687</v>
      </c>
      <c r="AH287" s="53" t="s">
        <v>674</v>
      </c>
      <c r="AI287" s="53" t="s">
        <v>684</v>
      </c>
      <c r="AJ287" s="53" t="s">
        <v>683</v>
      </c>
      <c r="AK287" s="156">
        <v>14.3</v>
      </c>
      <c r="AL287" s="157">
        <v>15.4</v>
      </c>
      <c r="AM287" s="75">
        <v>2.4247799999999997</v>
      </c>
      <c r="AN287" s="157">
        <v>71.400000000000006</v>
      </c>
      <c r="AO287" s="156">
        <v>7.4999999999999997E-2</v>
      </c>
      <c r="AP287" s="157">
        <v>23.23</v>
      </c>
      <c r="AQ287" s="157"/>
      <c r="AR287" s="160">
        <f t="shared" si="79"/>
        <v>1.8380805487667126E-6</v>
      </c>
      <c r="AS287" s="144">
        <f t="shared" si="75"/>
        <v>6.5982378673676864E-8</v>
      </c>
      <c r="AT287" s="144">
        <f t="shared" si="75"/>
        <v>1.0389139750672611E-8</v>
      </c>
      <c r="AU287" s="144">
        <f t="shared" si="75"/>
        <v>3.0591830112341096E-7</v>
      </c>
      <c r="AV287" s="144">
        <f t="shared" si="75"/>
        <v>3.2134275328089376E-10</v>
      </c>
      <c r="AW287" s="160">
        <f t="shared" si="75"/>
        <v>9.9530562116202179E-8</v>
      </c>
      <c r="AX287" s="144"/>
      <c r="AY287" s="160">
        <f t="shared" si="76"/>
        <v>2.9495280852724323E-7</v>
      </c>
      <c r="AZ287" s="144">
        <f t="shared" si="77"/>
        <v>1.0588049536875399E-8</v>
      </c>
      <c r="BA287" s="144">
        <f t="shared" si="77"/>
        <v>1.6671227763652421E-9</v>
      </c>
      <c r="BB287" s="144">
        <f t="shared" si="77"/>
        <v>4.9090047852785939E-8</v>
      </c>
      <c r="BC287" s="144">
        <f t="shared" si="77"/>
        <v>5.156517631595161E-11</v>
      </c>
      <c r="BD287" s="144">
        <f t="shared" si="77"/>
        <v>1.5971453944260742E-8</v>
      </c>
      <c r="BE287" s="144"/>
      <c r="BF287" s="144"/>
      <c r="BG287" s="144"/>
      <c r="BH287" s="144">
        <f t="shared" si="78"/>
        <v>7.0041691483025598E-10</v>
      </c>
      <c r="BI287" s="160">
        <f t="shared" si="78"/>
        <v>2.1694246575342464E-7</v>
      </c>
      <c r="BJ287" s="144"/>
    </row>
    <row r="288" spans="24:62">
      <c r="X288" s="53" t="s">
        <v>449</v>
      </c>
      <c r="Y288" s="53" t="s">
        <v>450</v>
      </c>
      <c r="Z288" s="180">
        <v>43890</v>
      </c>
      <c r="AA288" s="183">
        <v>0.21770700000000001</v>
      </c>
      <c r="AB288" s="183">
        <v>34.802644000000001</v>
      </c>
      <c r="AC288" s="53" t="s">
        <v>667</v>
      </c>
      <c r="AD288" s="53"/>
      <c r="AE288" s="53" t="s">
        <v>347</v>
      </c>
      <c r="AF288" s="154" t="s">
        <v>371</v>
      </c>
      <c r="AG288" s="154" t="s">
        <v>687</v>
      </c>
      <c r="AH288" s="53" t="s">
        <v>676</v>
      </c>
      <c r="AI288" s="53" t="s">
        <v>684</v>
      </c>
      <c r="AJ288" s="53" t="s">
        <v>683</v>
      </c>
      <c r="AK288" s="156">
        <v>17.899999999999999</v>
      </c>
      <c r="AL288" s="157">
        <v>17.7</v>
      </c>
      <c r="AM288" s="75">
        <v>4.3590599999999995</v>
      </c>
      <c r="AN288" s="157">
        <v>78</v>
      </c>
      <c r="AO288" s="156">
        <v>5.5E-2</v>
      </c>
      <c r="AP288" s="157">
        <v>17.309999999999999</v>
      </c>
      <c r="AQ288" s="157"/>
      <c r="AR288" s="160">
        <f t="shared" si="79"/>
        <v>2.300814113491199E-6</v>
      </c>
      <c r="AS288" s="144">
        <f t="shared" si="75"/>
        <v>7.5836889774290949E-8</v>
      </c>
      <c r="AT288" s="144">
        <f t="shared" si="75"/>
        <v>1.867669789488817E-8</v>
      </c>
      <c r="AU288" s="144">
        <f t="shared" si="75"/>
        <v>3.3419646341212959E-7</v>
      </c>
      <c r="AV288" s="144">
        <f t="shared" si="75"/>
        <v>2.3565135240598884E-10</v>
      </c>
      <c r="AW288" s="160">
        <f t="shared" si="75"/>
        <v>7.4165907457230275E-8</v>
      </c>
      <c r="AX288" s="144"/>
      <c r="AY288" s="160">
        <f t="shared" si="76"/>
        <v>3.6920666242221344E-7</v>
      </c>
      <c r="AZ288" s="144">
        <f t="shared" si="77"/>
        <v>1.2169381610564583E-8</v>
      </c>
      <c r="BA288" s="144">
        <f t="shared" si="77"/>
        <v>2.9970092996241601E-9</v>
      </c>
      <c r="BB288" s="144">
        <f t="shared" si="77"/>
        <v>5.3627783368589678E-8</v>
      </c>
      <c r="BC288" s="144">
        <f t="shared" si="77"/>
        <v>3.7814462631697853E-11</v>
      </c>
      <c r="BD288" s="144">
        <f t="shared" si="77"/>
        <v>1.1901242693721636E-8</v>
      </c>
      <c r="BE288" s="144"/>
      <c r="BF288" s="144"/>
      <c r="BG288" s="144"/>
      <c r="BH288" s="144">
        <f t="shared" si="78"/>
        <v>5.1363907087552114E-10</v>
      </c>
      <c r="BI288" s="160">
        <f t="shared" si="78"/>
        <v>1.6165622394282313E-7</v>
      </c>
      <c r="BJ288" s="144"/>
    </row>
    <row r="289" spans="24:62">
      <c r="X289" s="53" t="s">
        <v>451</v>
      </c>
      <c r="Y289" s="53" t="s">
        <v>452</v>
      </c>
      <c r="Z289" s="180">
        <v>43890</v>
      </c>
      <c r="AA289" s="183">
        <v>0.21793199999999999</v>
      </c>
      <c r="AB289" s="183">
        <v>34.802683999999999</v>
      </c>
      <c r="AC289" s="53" t="s">
        <v>667</v>
      </c>
      <c r="AD289" s="53"/>
      <c r="AE289" s="53" t="s">
        <v>347</v>
      </c>
      <c r="AF289" s="154" t="s">
        <v>371</v>
      </c>
      <c r="AG289" s="154" t="s">
        <v>687</v>
      </c>
      <c r="AH289" s="53" t="s">
        <v>676</v>
      </c>
      <c r="AI289" s="53" t="s">
        <v>684</v>
      </c>
      <c r="AJ289" s="53" t="s">
        <v>683</v>
      </c>
      <c r="AK289" s="156">
        <v>54.1</v>
      </c>
      <c r="AL289" s="157">
        <v>38.299999999999997</v>
      </c>
      <c r="AM289" s="75">
        <v>12.36927</v>
      </c>
      <c r="AN289" s="157">
        <v>118.8</v>
      </c>
      <c r="AO289" s="156">
        <v>0.122</v>
      </c>
      <c r="AP289" s="157">
        <v>13.42</v>
      </c>
      <c r="AQ289" s="157"/>
      <c r="AR289" s="160">
        <f t="shared" si="79"/>
        <v>6.9538571809985414E-6</v>
      </c>
      <c r="AS289" s="144">
        <f t="shared" si="75"/>
        <v>1.6409903267544308E-7</v>
      </c>
      <c r="AT289" s="144">
        <f t="shared" si="75"/>
        <v>5.2997003704996817E-8</v>
      </c>
      <c r="AU289" s="144">
        <f t="shared" si="75"/>
        <v>5.0900692119693583E-7</v>
      </c>
      <c r="AV289" s="144">
        <f t="shared" si="75"/>
        <v>5.2271754533692054E-10</v>
      </c>
      <c r="AW289" s="160">
        <f t="shared" si="75"/>
        <v>5.7498929987061269E-8</v>
      </c>
      <c r="AX289" s="144"/>
      <c r="AY289" s="160">
        <f t="shared" si="76"/>
        <v>1.1158704154771929E-6</v>
      </c>
      <c r="AZ289" s="144">
        <f t="shared" si="77"/>
        <v>2.6332616705345949E-8</v>
      </c>
      <c r="BA289" s="144">
        <f t="shared" si="77"/>
        <v>8.5043145126614789E-9</v>
      </c>
      <c r="BB289" s="144">
        <f t="shared" si="77"/>
        <v>8.1679239284467353E-8</v>
      </c>
      <c r="BC289" s="144">
        <f t="shared" si="77"/>
        <v>8.3879353473947963E-11</v>
      </c>
      <c r="BD289" s="144">
        <f t="shared" si="77"/>
        <v>9.226728882134277E-9</v>
      </c>
      <c r="BE289" s="144"/>
      <c r="BF289" s="144"/>
      <c r="BG289" s="144"/>
      <c r="BH289" s="144">
        <f t="shared" si="78"/>
        <v>1.139344848123883E-9</v>
      </c>
      <c r="BI289" s="160">
        <f t="shared" si="78"/>
        <v>1.2532793329362716E-7</v>
      </c>
      <c r="BJ289" s="144"/>
    </row>
    <row r="290" spans="24:62">
      <c r="X290" s="53" t="s">
        <v>453</v>
      </c>
      <c r="Y290" s="53" t="s">
        <v>452</v>
      </c>
      <c r="Z290" s="180">
        <v>43890</v>
      </c>
      <c r="AA290" s="183">
        <v>0.21793199999999999</v>
      </c>
      <c r="AB290" s="183">
        <v>34.802683999999999</v>
      </c>
      <c r="AC290" s="53" t="s">
        <v>667</v>
      </c>
      <c r="AD290" s="53"/>
      <c r="AE290" s="53" t="s">
        <v>347</v>
      </c>
      <c r="AF290" s="154" t="s">
        <v>371</v>
      </c>
      <c r="AG290" s="154" t="s">
        <v>687</v>
      </c>
      <c r="AH290" s="53" t="s">
        <v>676</v>
      </c>
      <c r="AI290" s="53" t="s">
        <v>684</v>
      </c>
      <c r="AJ290" s="53" t="s">
        <v>683</v>
      </c>
      <c r="AK290" s="156">
        <v>54.1</v>
      </c>
      <c r="AL290" s="157">
        <v>38.299999999999997</v>
      </c>
      <c r="AM290" s="75">
        <v>12.73893</v>
      </c>
      <c r="AN290" s="157">
        <v>118.8</v>
      </c>
      <c r="AO290" s="156">
        <v>0.122</v>
      </c>
      <c r="AP290" s="157">
        <v>13.42</v>
      </c>
      <c r="AQ290" s="157"/>
      <c r="AR290" s="160">
        <f t="shared" si="79"/>
        <v>6.9538571809985414E-6</v>
      </c>
      <c r="AS290" s="144">
        <f t="shared" si="75"/>
        <v>1.6409903267544308E-7</v>
      </c>
      <c r="AT290" s="144">
        <f t="shared" si="75"/>
        <v>5.4580837867367689E-8</v>
      </c>
      <c r="AU290" s="144">
        <f t="shared" si="75"/>
        <v>5.0900692119693583E-7</v>
      </c>
      <c r="AV290" s="144">
        <f t="shared" si="75"/>
        <v>5.2271754533692054E-10</v>
      </c>
      <c r="AW290" s="160">
        <f t="shared" si="75"/>
        <v>5.7498929987061269E-8</v>
      </c>
      <c r="AX290" s="144"/>
      <c r="AY290" s="160">
        <f t="shared" si="76"/>
        <v>1.1158704154771929E-6</v>
      </c>
      <c r="AZ290" s="144">
        <f t="shared" si="77"/>
        <v>2.6332616705345949E-8</v>
      </c>
      <c r="BA290" s="144">
        <f t="shared" si="77"/>
        <v>8.7584689536875409E-9</v>
      </c>
      <c r="BB290" s="144">
        <f t="shared" si="77"/>
        <v>8.1679239284467353E-8</v>
      </c>
      <c r="BC290" s="144">
        <f t="shared" si="77"/>
        <v>8.3879353473947963E-11</v>
      </c>
      <c r="BD290" s="144">
        <f t="shared" si="77"/>
        <v>9.226728882134277E-9</v>
      </c>
      <c r="BE290" s="144"/>
      <c r="BF290" s="144"/>
      <c r="BG290" s="144"/>
      <c r="BH290" s="144">
        <f t="shared" si="78"/>
        <v>1.139344848123883E-9</v>
      </c>
      <c r="BI290" s="160">
        <f t="shared" si="78"/>
        <v>1.2532793329362716E-7</v>
      </c>
      <c r="BJ290" s="144"/>
    </row>
    <row r="291" spans="24:62">
      <c r="X291" s="53" t="s">
        <v>454</v>
      </c>
      <c r="Y291" s="53" t="s">
        <v>455</v>
      </c>
      <c r="Z291" s="180">
        <v>43890</v>
      </c>
      <c r="AA291" s="183">
        <v>0.16381399999999999</v>
      </c>
      <c r="AB291" s="183">
        <v>34.761139</v>
      </c>
      <c r="AC291" s="53" t="s">
        <v>669</v>
      </c>
      <c r="AD291" s="53"/>
      <c r="AE291" s="53" t="s">
        <v>347</v>
      </c>
      <c r="AF291" s="154" t="s">
        <v>371</v>
      </c>
      <c r="AG291" s="154" t="s">
        <v>687</v>
      </c>
      <c r="AH291" s="53" t="s">
        <v>673</v>
      </c>
      <c r="AI291" s="53" t="s">
        <v>685</v>
      </c>
      <c r="AJ291" s="53" t="s">
        <v>691</v>
      </c>
      <c r="AK291" s="156">
        <v>66</v>
      </c>
      <c r="AL291" s="157">
        <v>36.5</v>
      </c>
      <c r="AM291" s="75">
        <v>2.2230799999999999</v>
      </c>
      <c r="AN291" s="157">
        <v>762.9</v>
      </c>
      <c r="AO291" s="156">
        <v>0.20100000000000001</v>
      </c>
      <c r="AP291" s="157">
        <v>185</v>
      </c>
      <c r="AQ291" s="157"/>
      <c r="AR291" s="160">
        <f t="shared" si="79"/>
        <v>8.4834486866155953E-6</v>
      </c>
      <c r="AS291" s="144">
        <f t="shared" si="75"/>
        <v>1.5638680659670167E-7</v>
      </c>
      <c r="AT291" s="144">
        <f t="shared" si="75"/>
        <v>9.5249419728491916E-9</v>
      </c>
      <c r="AU291" s="144">
        <f t="shared" si="75"/>
        <v>3.2686984863732514E-6</v>
      </c>
      <c r="AV291" s="144">
        <f t="shared" si="75"/>
        <v>8.6119857879279552E-10</v>
      </c>
      <c r="AW291" s="160">
        <f t="shared" si="75"/>
        <v>7.9264545809287143E-7</v>
      </c>
      <c r="AX291" s="144"/>
      <c r="AY291" s="160">
        <f t="shared" si="76"/>
        <v>1.3613206547411227E-6</v>
      </c>
      <c r="AZ291" s="144">
        <f t="shared" si="77"/>
        <v>2.5095052473763117E-8</v>
      </c>
      <c r="BA291" s="144">
        <f t="shared" si="77"/>
        <v>1.5284468288595431E-9</v>
      </c>
      <c r="BB291" s="144">
        <f t="shared" si="77"/>
        <v>5.2452097348585987E-7</v>
      </c>
      <c r="BC291" s="144">
        <f t="shared" si="77"/>
        <v>1.3819467252675034E-10</v>
      </c>
      <c r="BD291" s="144">
        <f t="shared" si="77"/>
        <v>1.2719410157934731E-7</v>
      </c>
      <c r="BE291" s="144"/>
      <c r="BF291" s="144"/>
      <c r="BG291" s="144"/>
      <c r="BH291" s="144">
        <f t="shared" si="78"/>
        <v>1.8771173317450869E-9</v>
      </c>
      <c r="BI291" s="160">
        <f t="shared" si="78"/>
        <v>1.7276950565812984E-6</v>
      </c>
      <c r="BJ291" s="144"/>
    </row>
    <row r="292" spans="24:62">
      <c r="X292" s="53" t="s">
        <v>456</v>
      </c>
      <c r="Y292" s="53" t="s">
        <v>457</v>
      </c>
      <c r="Z292" s="180">
        <v>43890</v>
      </c>
      <c r="AA292" s="183">
        <v>0.16252800000000001</v>
      </c>
      <c r="AB292" s="183">
        <v>34.760970999999998</v>
      </c>
      <c r="AC292" s="53" t="s">
        <v>668</v>
      </c>
      <c r="AD292" s="53"/>
      <c r="AE292" s="53" t="s">
        <v>347</v>
      </c>
      <c r="AF292" s="154" t="s">
        <v>371</v>
      </c>
      <c r="AG292" s="154" t="s">
        <v>687</v>
      </c>
      <c r="AH292" s="53" t="s">
        <v>675</v>
      </c>
      <c r="AI292" s="53" t="s">
        <v>684</v>
      </c>
      <c r="AJ292" s="53" t="s">
        <v>683</v>
      </c>
      <c r="AK292" s="156">
        <v>20.100000000000001</v>
      </c>
      <c r="AL292" s="157">
        <v>14.9</v>
      </c>
      <c r="AM292" s="75">
        <v>3.07653</v>
      </c>
      <c r="AN292" s="157">
        <v>77.5</v>
      </c>
      <c r="AO292" s="156">
        <v>5.7000000000000002E-2</v>
      </c>
      <c r="AP292" s="157">
        <v>57.52</v>
      </c>
      <c r="AQ292" s="157"/>
      <c r="AR292" s="160">
        <f t="shared" si="79"/>
        <v>2.5835957363783869E-6</v>
      </c>
      <c r="AS292" s="144">
        <f t="shared" si="75"/>
        <v>6.3840093651804229E-8</v>
      </c>
      <c r="AT292" s="144">
        <f t="shared" si="75"/>
        <v>1.3181608276683576E-8</v>
      </c>
      <c r="AU292" s="144">
        <f t="shared" si="75"/>
        <v>3.3205417839025696E-7</v>
      </c>
      <c r="AV292" s="144">
        <f t="shared" si="75"/>
        <v>2.4422049249347932E-10</v>
      </c>
      <c r="AW292" s="160">
        <f t="shared" si="75"/>
        <v>2.4644846891622684E-7</v>
      </c>
      <c r="AX292" s="144"/>
      <c r="AY292" s="160">
        <f t="shared" si="76"/>
        <v>4.1458401758025098E-7</v>
      </c>
      <c r="AZ292" s="144">
        <f t="shared" si="77"/>
        <v>1.0244281694769055E-8</v>
      </c>
      <c r="BA292" s="144">
        <f t="shared" si="77"/>
        <v>2.1152241585508619E-9</v>
      </c>
      <c r="BB292" s="144">
        <f t="shared" si="77"/>
        <v>5.3284015526483338E-8</v>
      </c>
      <c r="BC292" s="144">
        <f t="shared" si="77"/>
        <v>3.9189534000123222E-11</v>
      </c>
      <c r="BD292" s="144">
        <f t="shared" si="77"/>
        <v>3.9547052555913825E-8</v>
      </c>
      <c r="BE292" s="144"/>
      <c r="BF292" s="144"/>
      <c r="BG292" s="144"/>
      <c r="BH292" s="144">
        <f t="shared" si="78"/>
        <v>5.3231685527099463E-10</v>
      </c>
      <c r="BI292" s="160">
        <f t="shared" si="78"/>
        <v>5.3717307921381768E-7</v>
      </c>
      <c r="BJ292" s="144"/>
    </row>
    <row r="293" spans="24:62">
      <c r="X293" s="53" t="s">
        <v>458</v>
      </c>
      <c r="Y293" s="53" t="s">
        <v>459</v>
      </c>
      <c r="Z293" s="180">
        <v>43890</v>
      </c>
      <c r="AA293" s="53">
        <v>0.105117</v>
      </c>
      <c r="AB293" s="53">
        <v>34.698954000000001</v>
      </c>
      <c r="AC293" s="53" t="s">
        <v>359</v>
      </c>
      <c r="AD293" s="53"/>
      <c r="AE293" s="53" t="s">
        <v>347</v>
      </c>
      <c r="AF293" s="154" t="s">
        <v>371</v>
      </c>
      <c r="AG293" s="154" t="s">
        <v>687</v>
      </c>
      <c r="AH293" s="53" t="s">
        <v>673</v>
      </c>
      <c r="AI293" s="53" t="s">
        <v>685</v>
      </c>
      <c r="AJ293" s="53" t="s">
        <v>691</v>
      </c>
      <c r="AK293" s="156">
        <v>1734.5</v>
      </c>
      <c r="AL293" s="157">
        <v>326.2</v>
      </c>
      <c r="AM293" s="75">
        <v>6.1126300000000002</v>
      </c>
      <c r="AN293" s="157">
        <v>194.6</v>
      </c>
      <c r="AO293" s="156">
        <v>1.208</v>
      </c>
      <c r="AP293" s="157">
        <v>101.99</v>
      </c>
      <c r="AQ293" s="157"/>
      <c r="AR293" s="160">
        <f t="shared" si="79"/>
        <v>2.2294760222628412E-4</v>
      </c>
      <c r="AS293" s="144">
        <f t="shared" si="75"/>
        <v>1.3976267482697008E-6</v>
      </c>
      <c r="AT293" s="144">
        <f t="shared" si="75"/>
        <v>2.6189991386498532E-8</v>
      </c>
      <c r="AU293" s="144">
        <f t="shared" si="75"/>
        <v>8.3377733051282561E-7</v>
      </c>
      <c r="AV293" s="144">
        <f t="shared" si="75"/>
        <v>5.175760612844263E-9</v>
      </c>
      <c r="AW293" s="160">
        <f t="shared" si="75"/>
        <v>4.3698329876157811E-7</v>
      </c>
      <c r="AX293" s="144"/>
      <c r="AY293" s="160">
        <f t="shared" si="76"/>
        <v>3.577591932800723E-5</v>
      </c>
      <c r="AZ293" s="144">
        <f t="shared" si="77"/>
        <v>2.2427414019017887E-7</v>
      </c>
      <c r="BA293" s="144">
        <f t="shared" si="77"/>
        <v>4.202651249389004E-9</v>
      </c>
      <c r="BB293" s="144">
        <f t="shared" si="77"/>
        <v>1.337944441477891E-7</v>
      </c>
      <c r="BC293" s="144">
        <f t="shared" si="77"/>
        <v>8.3054310652892734E-10</v>
      </c>
      <c r="BD293" s="144">
        <f t="shared" si="77"/>
        <v>7.0121764432852075E-8</v>
      </c>
      <c r="BE293" s="144"/>
      <c r="BF293" s="144"/>
      <c r="BG293" s="144"/>
      <c r="BH293" s="144">
        <f t="shared" si="78"/>
        <v>1.1281381774865991E-8</v>
      </c>
      <c r="BI293" s="160">
        <f t="shared" si="78"/>
        <v>9.5247361524717087E-7</v>
      </c>
      <c r="BJ293" s="144"/>
    </row>
    <row r="294" spans="24:62">
      <c r="X294" s="53" t="s">
        <v>460</v>
      </c>
      <c r="Y294" s="53" t="s">
        <v>461</v>
      </c>
      <c r="Z294" s="180">
        <v>43890</v>
      </c>
      <c r="AA294" s="53">
        <v>0.105629</v>
      </c>
      <c r="AB294" s="53">
        <v>34.699337</v>
      </c>
      <c r="AC294" s="53" t="s">
        <v>359</v>
      </c>
      <c r="AD294" s="53"/>
      <c r="AE294" s="53" t="s">
        <v>347</v>
      </c>
      <c r="AF294" s="154" t="s">
        <v>371</v>
      </c>
      <c r="AG294" s="154" t="s">
        <v>687</v>
      </c>
      <c r="AH294" s="53" t="s">
        <v>673</v>
      </c>
      <c r="AI294" s="53" t="s">
        <v>685</v>
      </c>
      <c r="AJ294" s="53" t="s">
        <v>691</v>
      </c>
      <c r="AK294" s="156">
        <v>533</v>
      </c>
      <c r="AL294" s="157">
        <v>111.6</v>
      </c>
      <c r="AM294" s="75">
        <v>4.1019999999999994</v>
      </c>
      <c r="AN294" s="157">
        <v>213.8</v>
      </c>
      <c r="AO294" s="156">
        <v>0.42599999999999999</v>
      </c>
      <c r="AP294" s="157">
        <v>122.3</v>
      </c>
      <c r="AQ294" s="157"/>
      <c r="AR294" s="160">
        <f t="shared" si="79"/>
        <v>6.8510274999486554E-5</v>
      </c>
      <c r="AS294" s="144">
        <f t="shared" si="75"/>
        <v>4.7815801688196987E-7</v>
      </c>
      <c r="AT294" s="144">
        <f t="shared" si="75"/>
        <v>1.757530631944302E-8</v>
      </c>
      <c r="AU294" s="144">
        <f t="shared" si="75"/>
        <v>9.160410753527343E-7</v>
      </c>
      <c r="AV294" s="144">
        <f t="shared" si="75"/>
        <v>1.8252268386354763E-9</v>
      </c>
      <c r="AW294" s="160">
        <f t="shared" si="75"/>
        <v>5.2400291635004417E-7</v>
      </c>
      <c r="AX294" s="144"/>
      <c r="AY294" s="160">
        <f t="shared" si="76"/>
        <v>1.0993695590560882E-5</v>
      </c>
      <c r="AZ294" s="144">
        <f t="shared" si="77"/>
        <v>7.6728982358135998E-8</v>
      </c>
      <c r="BA294" s="144">
        <f t="shared" si="77"/>
        <v>2.8202713766404466E-9</v>
      </c>
      <c r="BB294" s="144">
        <f t="shared" si="77"/>
        <v>1.4699512928467276E-7</v>
      </c>
      <c r="BC294" s="144">
        <f t="shared" si="77"/>
        <v>2.9289020147460508E-10</v>
      </c>
      <c r="BD294" s="144">
        <f t="shared" si="77"/>
        <v>8.4085614179211756E-8</v>
      </c>
      <c r="BE294" s="144"/>
      <c r="BF294" s="144"/>
      <c r="BG294" s="144"/>
      <c r="BH294" s="144">
        <f t="shared" si="78"/>
        <v>3.9783680762358554E-9</v>
      </c>
      <c r="BI294" s="160">
        <f t="shared" si="78"/>
        <v>1.1421465157832043E-6</v>
      </c>
      <c r="BJ294" s="144"/>
    </row>
    <row r="295" spans="24:62">
      <c r="X295" s="53" t="s">
        <v>462</v>
      </c>
      <c r="Y295" s="53" t="s">
        <v>461</v>
      </c>
      <c r="Z295" s="180">
        <v>43890</v>
      </c>
      <c r="AA295" s="53">
        <v>0.105629</v>
      </c>
      <c r="AB295" s="53">
        <v>34.699337</v>
      </c>
      <c r="AC295" s="53" t="s">
        <v>359</v>
      </c>
      <c r="AD295" s="53"/>
      <c r="AE295" s="53" t="s">
        <v>347</v>
      </c>
      <c r="AF295" s="154" t="s">
        <v>371</v>
      </c>
      <c r="AG295" s="154" t="s">
        <v>687</v>
      </c>
      <c r="AH295" s="53" t="s">
        <v>673</v>
      </c>
      <c r="AI295" s="53" t="s">
        <v>685</v>
      </c>
      <c r="AJ295" s="53" t="s">
        <v>691</v>
      </c>
      <c r="AK295" s="156">
        <v>528.6</v>
      </c>
      <c r="AL295" s="157">
        <v>111.2</v>
      </c>
      <c r="AM295" s="74">
        <v>4.0999999999999996</v>
      </c>
      <c r="AN295" s="157">
        <v>213.1</v>
      </c>
      <c r="AO295" s="156">
        <v>0.40600000000000003</v>
      </c>
      <c r="AP295" s="157">
        <v>124.39</v>
      </c>
      <c r="AQ295" s="157"/>
      <c r="AR295" s="160">
        <f t="shared" si="79"/>
        <v>6.7944711753712173E-5</v>
      </c>
      <c r="AS295" s="144">
        <f t="shared" si="75"/>
        <v>4.7644418886447187E-7</v>
      </c>
      <c r="AT295" s="144">
        <f t="shared" si="75"/>
        <v>1.7566737179355527E-8</v>
      </c>
      <c r="AU295" s="144">
        <f t="shared" si="75"/>
        <v>9.1304187632211292E-7</v>
      </c>
      <c r="AV295" s="144">
        <f t="shared" si="75"/>
        <v>1.739535437760572E-9</v>
      </c>
      <c r="AW295" s="160">
        <f t="shared" si="75"/>
        <v>5.3295766774147166E-7</v>
      </c>
      <c r="AX295" s="144"/>
      <c r="AY295" s="160">
        <f t="shared" si="76"/>
        <v>1.0902940880244809E-5</v>
      </c>
      <c r="AZ295" s="144">
        <f t="shared" si="77"/>
        <v>7.6453968084450939E-8</v>
      </c>
      <c r="BA295" s="144">
        <f t="shared" si="77"/>
        <v>2.8188963052720211E-9</v>
      </c>
      <c r="BB295" s="144">
        <f t="shared" si="77"/>
        <v>1.4651385430572385E-7</v>
      </c>
      <c r="BC295" s="144">
        <f t="shared" si="77"/>
        <v>2.7913948779035143E-10</v>
      </c>
      <c r="BD295" s="144">
        <f t="shared" si="77"/>
        <v>8.5522563759216297E-8</v>
      </c>
      <c r="BE295" s="144"/>
      <c r="BF295" s="144"/>
      <c r="BG295" s="144"/>
      <c r="BH295" s="144">
        <f t="shared" si="78"/>
        <v>3.7915902322811207E-9</v>
      </c>
      <c r="BI295" s="160">
        <f t="shared" si="78"/>
        <v>1.1616648004764741E-6</v>
      </c>
      <c r="BJ295" s="144"/>
    </row>
    <row r="296" spans="24:62">
      <c r="X296" s="53" t="s">
        <v>463</v>
      </c>
      <c r="Y296" s="53" t="s">
        <v>464</v>
      </c>
      <c r="Z296" s="180">
        <v>43891</v>
      </c>
      <c r="AA296" s="53">
        <v>0.10255300000000001</v>
      </c>
      <c r="AB296" s="53">
        <v>34.713514000000004</v>
      </c>
      <c r="AC296" s="53" t="s">
        <v>344</v>
      </c>
      <c r="AD296" s="53"/>
      <c r="AE296" s="53" t="s">
        <v>347</v>
      </c>
      <c r="AF296" s="154" t="s">
        <v>371</v>
      </c>
      <c r="AG296" s="154" t="s">
        <v>687</v>
      </c>
      <c r="AH296" s="53" t="s">
        <v>673</v>
      </c>
      <c r="AI296" s="53" t="s">
        <v>685</v>
      </c>
      <c r="AJ296" s="53" t="s">
        <v>691</v>
      </c>
      <c r="AK296" s="156">
        <v>6462.7</v>
      </c>
      <c r="AL296" s="157">
        <v>65.8</v>
      </c>
      <c r="AM296" s="75">
        <v>9.3978200000000012</v>
      </c>
      <c r="AN296" s="157">
        <v>144.5</v>
      </c>
      <c r="AO296" s="156">
        <v>0.52200000000000002</v>
      </c>
      <c r="AP296" s="157">
        <v>65.41</v>
      </c>
      <c r="AQ296" s="157"/>
      <c r="AR296" s="160">
        <f t="shared" si="79"/>
        <v>8.3069672465137289E-4</v>
      </c>
      <c r="AS296" s="144">
        <f t="shared" si="75"/>
        <v>2.8192470887843749E-7</v>
      </c>
      <c r="AT296" s="144">
        <f t="shared" si="75"/>
        <v>4.0265618048510002E-8</v>
      </c>
      <c r="AU296" s="144">
        <f t="shared" si="75"/>
        <v>6.1912037132118878E-7</v>
      </c>
      <c r="AV296" s="144">
        <f t="shared" si="75"/>
        <v>2.2365455628350207E-9</v>
      </c>
      <c r="AW296" s="160">
        <f t="shared" si="75"/>
        <v>2.802537265613768E-7</v>
      </c>
      <c r="AX296" s="144"/>
      <c r="AY296" s="160">
        <f t="shared" si="76"/>
        <v>1.333001059908402E-4</v>
      </c>
      <c r="AZ296" s="144">
        <f t="shared" si="77"/>
        <v>4.523984802119488E-8</v>
      </c>
      <c r="BA296" s="144">
        <f t="shared" si="77"/>
        <v>6.4613366038076858E-9</v>
      </c>
      <c r="BB296" s="144">
        <f t="shared" si="77"/>
        <v>9.9348906368733455E-8</v>
      </c>
      <c r="BC296" s="144">
        <f t="shared" si="77"/>
        <v>3.5889362715902314E-10</v>
      </c>
      <c r="BD296" s="144">
        <f t="shared" si="77"/>
        <v>4.4971709104351935E-8</v>
      </c>
      <c r="BE296" s="144"/>
      <c r="BF296" s="144"/>
      <c r="BG296" s="144"/>
      <c r="BH296" s="144">
        <f t="shared" si="78"/>
        <v>4.8749017272185831E-9</v>
      </c>
      <c r="BI296" s="160">
        <f t="shared" si="78"/>
        <v>6.1085693865396059E-7</v>
      </c>
      <c r="BJ296" s="144"/>
    </row>
    <row r="297" spans="24:62">
      <c r="X297" s="53" t="s">
        <v>465</v>
      </c>
      <c r="Y297" s="53" t="s">
        <v>466</v>
      </c>
      <c r="Z297" s="180">
        <v>43891</v>
      </c>
      <c r="AA297" s="53">
        <v>0.15733900000000001</v>
      </c>
      <c r="AB297" s="53">
        <v>34.817802</v>
      </c>
      <c r="AC297" s="53" t="s">
        <v>679</v>
      </c>
      <c r="AD297" s="53"/>
      <c r="AE297" s="53" t="s">
        <v>347</v>
      </c>
      <c r="AF297" s="154" t="s">
        <v>371</v>
      </c>
      <c r="AG297" s="154" t="s">
        <v>687</v>
      </c>
      <c r="AH297" s="53" t="s">
        <v>675</v>
      </c>
      <c r="AI297" s="53" t="s">
        <v>684</v>
      </c>
      <c r="AJ297" s="53" t="s">
        <v>683</v>
      </c>
      <c r="AK297" s="156">
        <v>169.6</v>
      </c>
      <c r="AL297" s="157">
        <v>15.4</v>
      </c>
      <c r="AM297" s="75">
        <v>3.643005</v>
      </c>
      <c r="AN297" s="157">
        <v>51.6</v>
      </c>
      <c r="AO297" s="156">
        <v>5.3999999999999999E-2</v>
      </c>
      <c r="AP297" s="157">
        <v>11.44</v>
      </c>
      <c r="AQ297" s="157"/>
      <c r="AR297" s="160">
        <f t="shared" si="79"/>
        <v>2.179989238257583E-5</v>
      </c>
      <c r="AS297" s="144">
        <f t="shared" si="75"/>
        <v>6.5982378673676864E-8</v>
      </c>
      <c r="AT297" s="144">
        <f t="shared" si="75"/>
        <v>1.5608710092214165E-8</v>
      </c>
      <c r="AU297" s="144">
        <f t="shared" si="75"/>
        <v>2.2108381425725495E-7</v>
      </c>
      <c r="AV297" s="144">
        <f t="shared" si="75"/>
        <v>2.3136678236224358E-10</v>
      </c>
      <c r="AW297" s="160">
        <f t="shared" si="75"/>
        <v>4.9015481300445667E-8</v>
      </c>
      <c r="AX297" s="144"/>
      <c r="AY297" s="160">
        <f t="shared" si="76"/>
        <v>3.4981815612741576E-6</v>
      </c>
      <c r="AZ297" s="144">
        <f t="shared" si="77"/>
        <v>1.0588049536875399E-8</v>
      </c>
      <c r="BA297" s="144">
        <f t="shared" si="77"/>
        <v>2.504695935265245E-9</v>
      </c>
      <c r="BB297" s="144">
        <f t="shared" si="77"/>
        <v>3.547684130537472E-8</v>
      </c>
      <c r="BC297" s="144">
        <f t="shared" si="77"/>
        <v>3.7126926947485148E-11</v>
      </c>
      <c r="BD297" s="144">
        <f t="shared" si="77"/>
        <v>7.8654082273931538E-9</v>
      </c>
      <c r="BE297" s="144"/>
      <c r="BF297" s="144"/>
      <c r="BG297" s="144"/>
      <c r="BH297" s="144">
        <f t="shared" si="78"/>
        <v>5.0430017867778445E-10</v>
      </c>
      <c r="BI297" s="160">
        <f t="shared" si="78"/>
        <v>1.0683692674210841E-7</v>
      </c>
      <c r="BJ297" s="144"/>
    </row>
    <row r="298" spans="24:62">
      <c r="X298" s="53" t="s">
        <v>467</v>
      </c>
      <c r="Y298" s="53" t="s">
        <v>468</v>
      </c>
      <c r="Z298" s="155" t="s">
        <v>342</v>
      </c>
      <c r="AA298" s="53">
        <v>0.15733900000000001</v>
      </c>
      <c r="AB298" s="53">
        <v>34.817802</v>
      </c>
      <c r="AC298" s="53" t="s">
        <v>679</v>
      </c>
      <c r="AD298" s="53" t="s">
        <v>334</v>
      </c>
      <c r="AE298" s="116" t="s">
        <v>347</v>
      </c>
      <c r="AF298" s="154" t="s">
        <v>371</v>
      </c>
      <c r="AG298" s="154" t="s">
        <v>687</v>
      </c>
      <c r="AH298" s="53" t="s">
        <v>673</v>
      </c>
      <c r="AI298" s="53" t="s">
        <v>685</v>
      </c>
      <c r="AJ298" s="53" t="s">
        <v>691</v>
      </c>
      <c r="AK298" s="156">
        <v>343</v>
      </c>
      <c r="AL298" s="157">
        <v>17.399999999999999</v>
      </c>
      <c r="AM298" s="75">
        <v>1.09558</v>
      </c>
      <c r="AN298" s="157">
        <v>103.2</v>
      </c>
      <c r="AO298" s="156">
        <v>0.1</v>
      </c>
      <c r="AP298" s="157">
        <v>10.87</v>
      </c>
      <c r="AQ298" s="157"/>
      <c r="AR298" s="160">
        <f t="shared" si="79"/>
        <v>4.4088225750138623E-5</v>
      </c>
      <c r="AS298" s="144">
        <f t="shared" si="75"/>
        <v>7.4551518761167355E-8</v>
      </c>
      <c r="AT298" s="144">
        <f t="shared" si="75"/>
        <v>4.6940892485264216E-9</v>
      </c>
      <c r="AU298" s="144">
        <f t="shared" si="75"/>
        <v>4.4216762851450991E-7</v>
      </c>
      <c r="AV298" s="144">
        <f t="shared" si="75"/>
        <v>4.2845700437452509E-10</v>
      </c>
      <c r="AW298" s="160">
        <f t="shared" si="75"/>
        <v>4.657327637551088E-8</v>
      </c>
      <c r="AX298" s="144"/>
      <c r="AY298" s="160">
        <f t="shared" si="76"/>
        <v>7.0747421905485616E-6</v>
      </c>
      <c r="AZ298" s="144">
        <f t="shared" si="77"/>
        <v>1.1963120905300773E-8</v>
      </c>
      <c r="BA298" s="144">
        <f t="shared" si="77"/>
        <v>7.5325034490973675E-10</v>
      </c>
      <c r="BB298" s="144">
        <f t="shared" si="77"/>
        <v>7.095368261074944E-8</v>
      </c>
      <c r="BC298" s="144">
        <f t="shared" si="77"/>
        <v>6.8753568421268804E-11</v>
      </c>
      <c r="BD298" s="144">
        <f t="shared" si="77"/>
        <v>7.4735128873919227E-9</v>
      </c>
      <c r="BE298" s="144"/>
      <c r="BF298" s="144"/>
      <c r="BG298" s="144"/>
      <c r="BH298" s="144">
        <f t="shared" si="78"/>
        <v>9.3388921977367512E-10</v>
      </c>
      <c r="BI298" s="160">
        <f t="shared" si="78"/>
        <v>1.0151375818939842E-7</v>
      </c>
      <c r="BJ298" s="144"/>
    </row>
    <row r="299" spans="24:62">
      <c r="X299" s="53" t="s">
        <v>469</v>
      </c>
      <c r="Y299" s="53" t="s">
        <v>470</v>
      </c>
      <c r="Z299" s="155" t="s">
        <v>342</v>
      </c>
      <c r="AA299" s="53">
        <v>0.156809</v>
      </c>
      <c r="AB299" s="53">
        <v>34.818221000000001</v>
      </c>
      <c r="AC299" s="53" t="s">
        <v>679</v>
      </c>
      <c r="AD299" s="53" t="s">
        <v>334</v>
      </c>
      <c r="AE299" s="53" t="s">
        <v>347</v>
      </c>
      <c r="AF299" s="154" t="s">
        <v>371</v>
      </c>
      <c r="AG299" s="154" t="s">
        <v>687</v>
      </c>
      <c r="AH299" s="53" t="s">
        <v>673</v>
      </c>
      <c r="AI299" s="53" t="s">
        <v>685</v>
      </c>
      <c r="AJ299" s="53" t="s">
        <v>691</v>
      </c>
      <c r="AK299" s="156">
        <v>765.8</v>
      </c>
      <c r="AL299" s="157">
        <v>42.6</v>
      </c>
      <c r="AM299" s="75">
        <v>6.1019500000000004</v>
      </c>
      <c r="AN299" s="157">
        <v>173.3</v>
      </c>
      <c r="AO299" s="156">
        <v>0.185</v>
      </c>
      <c r="AP299" s="157">
        <v>18.05</v>
      </c>
      <c r="AQ299" s="157"/>
      <c r="AR299" s="160">
        <f t="shared" si="79"/>
        <v>9.8433712185003392E-5</v>
      </c>
      <c r="AS299" s="144">
        <f t="shared" si="75"/>
        <v>1.8252268386354767E-7</v>
      </c>
      <c r="AT299" s="144">
        <f t="shared" si="75"/>
        <v>2.6144232178431332E-8</v>
      </c>
      <c r="AU299" s="144">
        <f t="shared" si="75"/>
        <v>7.4251598858105217E-7</v>
      </c>
      <c r="AV299" s="144">
        <f t="shared" si="75"/>
        <v>7.9264545809287139E-10</v>
      </c>
      <c r="AW299" s="160">
        <f t="shared" si="75"/>
        <v>7.7336489289601768E-8</v>
      </c>
      <c r="AX299" s="144"/>
      <c r="AY299" s="160">
        <f t="shared" si="76"/>
        <v>1.5795444809102295E-5</v>
      </c>
      <c r="AZ299" s="144">
        <f t="shared" si="77"/>
        <v>2.9289020147460513E-8</v>
      </c>
      <c r="BA299" s="144">
        <f t="shared" si="77"/>
        <v>4.1953083682816142E-9</v>
      </c>
      <c r="BB299" s="144">
        <f t="shared" si="77"/>
        <v>1.1914993407405886E-7</v>
      </c>
      <c r="BC299" s="144">
        <f t="shared" si="77"/>
        <v>1.2719410157934733E-10</v>
      </c>
      <c r="BD299" s="144">
        <f t="shared" si="77"/>
        <v>1.2410019100039021E-8</v>
      </c>
      <c r="BE299" s="144"/>
      <c r="BF299" s="144"/>
      <c r="BG299" s="144"/>
      <c r="BH299" s="144">
        <f t="shared" si="78"/>
        <v>1.7276950565812982E-9</v>
      </c>
      <c r="BI299" s="160">
        <f t="shared" si="78"/>
        <v>1.6856700416914832E-7</v>
      </c>
      <c r="BJ299" s="144"/>
    </row>
    <row r="300" spans="24:62">
      <c r="X300" s="53" t="s">
        <v>471</v>
      </c>
      <c r="Y300" s="53" t="s">
        <v>472</v>
      </c>
      <c r="Z300" s="155" t="s">
        <v>342</v>
      </c>
      <c r="AA300" s="53">
        <v>0.156392</v>
      </c>
      <c r="AB300" s="53">
        <v>34.817486000000002</v>
      </c>
      <c r="AC300" s="53" t="s">
        <v>679</v>
      </c>
      <c r="AD300" s="53" t="s">
        <v>334</v>
      </c>
      <c r="AE300" s="53" t="s">
        <v>347</v>
      </c>
      <c r="AF300" s="154" t="s">
        <v>371</v>
      </c>
      <c r="AG300" s="154" t="s">
        <v>687</v>
      </c>
      <c r="AH300" s="53" t="s">
        <v>673</v>
      </c>
      <c r="AI300" s="53" t="s">
        <v>685</v>
      </c>
      <c r="AJ300" s="53" t="s">
        <v>691</v>
      </c>
      <c r="AK300" s="156">
        <v>381.7</v>
      </c>
      <c r="AL300" s="157">
        <v>17.5</v>
      </c>
      <c r="AM300" s="75">
        <v>0.72155999999999998</v>
      </c>
      <c r="AN300" s="157">
        <v>57.6</v>
      </c>
      <c r="AO300" s="156">
        <v>5.6000000000000001E-2</v>
      </c>
      <c r="AP300" s="157">
        <v>3.15</v>
      </c>
      <c r="AQ300" s="157"/>
      <c r="AR300" s="160">
        <f t="shared" si="79"/>
        <v>4.9062611570926861E-5</v>
      </c>
      <c r="AS300" s="144">
        <f t="shared" si="75"/>
        <v>7.4979975765541895E-8</v>
      </c>
      <c r="AT300" s="144">
        <f t="shared" si="75"/>
        <v>3.0915743607648227E-9</v>
      </c>
      <c r="AU300" s="144">
        <f t="shared" si="75"/>
        <v>2.4679123451972642E-7</v>
      </c>
      <c r="AV300" s="144">
        <f t="shared" si="75"/>
        <v>2.3993592244973403E-10</v>
      </c>
      <c r="AW300" s="160">
        <f t="shared" si="75"/>
        <v>1.3496395637797536E-8</v>
      </c>
      <c r="AX300" s="144"/>
      <c r="AY300" s="160">
        <f t="shared" si="76"/>
        <v>7.8729711199194922E-6</v>
      </c>
      <c r="AZ300" s="144">
        <f t="shared" si="77"/>
        <v>1.2031874473722041E-8</v>
      </c>
      <c r="BA300" s="144">
        <f t="shared" si="77"/>
        <v>4.9609824830050722E-10</v>
      </c>
      <c r="BB300" s="144">
        <f t="shared" si="77"/>
        <v>3.9602055410650844E-8</v>
      </c>
      <c r="BC300" s="144">
        <f t="shared" si="77"/>
        <v>3.8501998315910544E-11</v>
      </c>
      <c r="BD300" s="144">
        <f t="shared" si="77"/>
        <v>2.1657374052699677E-9</v>
      </c>
      <c r="BE300" s="144"/>
      <c r="BF300" s="144"/>
      <c r="BG300" s="144"/>
      <c r="BH300" s="144">
        <f t="shared" si="78"/>
        <v>5.2297796307325784E-10</v>
      </c>
      <c r="BI300" s="160">
        <f t="shared" si="78"/>
        <v>2.9417510422870758E-8</v>
      </c>
    </row>
    <row r="301" spans="24:62">
      <c r="X301" s="184"/>
      <c r="Y301" s="184"/>
      <c r="Z301" s="184"/>
      <c r="AA301" s="184"/>
      <c r="AB301" s="184"/>
      <c r="AC301" s="184"/>
      <c r="AD301" s="184"/>
      <c r="AE301" s="184"/>
      <c r="AF301" s="184"/>
      <c r="AG301" s="184"/>
      <c r="AH301" s="184"/>
      <c r="AI301" s="184"/>
      <c r="AJ301" s="184"/>
      <c r="AK301" s="185"/>
      <c r="AL301" s="184"/>
      <c r="AM301" s="186"/>
      <c r="AN301" s="187"/>
      <c r="AO301" s="185"/>
      <c r="AP301" s="187"/>
      <c r="AQ301" s="187" t="s">
        <v>957</v>
      </c>
      <c r="AR301" s="188">
        <f t="shared" ref="AR301:AW301" si="80">AVERAGE(AR266:AR300)</f>
        <v>5.6951851600618485E-5</v>
      </c>
      <c r="AS301" s="188">
        <f t="shared" si="80"/>
        <v>2.5125942899391797E-7</v>
      </c>
      <c r="AT301" s="188">
        <f t="shared" si="80"/>
        <v>2.4080437419352948E-8</v>
      </c>
      <c r="AU301" s="188">
        <f t="shared" si="80"/>
        <v>1.4203839360163367E-6</v>
      </c>
      <c r="AV301" s="188">
        <f t="shared" si="80"/>
        <v>9.3526043240610605E-10</v>
      </c>
      <c r="AW301" s="188">
        <f t="shared" si="80"/>
        <v>3.7419965766627456E-7</v>
      </c>
      <c r="AX301" s="189"/>
      <c r="AY301" s="188">
        <f>AVERAGE(AY266:AY300)</f>
        <v>9.1389403971986612E-6</v>
      </c>
      <c r="AZ301" s="188">
        <f t="shared" ref="AZ301:BI301" si="81">AVERAGE(AZ266:AZ300)</f>
        <v>4.0319056909901225E-8</v>
      </c>
      <c r="BA301" s="188">
        <f t="shared" si="81"/>
        <v>3.8641356888131276E-9</v>
      </c>
      <c r="BB301" s="188">
        <f t="shared" si="81"/>
        <v>2.2792593686718291E-7</v>
      </c>
      <c r="BC301" s="188">
        <f t="shared" si="81"/>
        <v>1.5007921792528392E-10</v>
      </c>
      <c r="BD301" s="188">
        <f t="shared" si="81"/>
        <v>6.0047009393933174E-8</v>
      </c>
      <c r="BE301" s="188" t="e">
        <f t="shared" si="81"/>
        <v>#DIV/0!</v>
      </c>
      <c r="BF301" s="188" t="e">
        <f t="shared" si="81"/>
        <v>#DIV/0!</v>
      </c>
      <c r="BG301" s="188" t="e">
        <f t="shared" si="81"/>
        <v>#DIV/0!</v>
      </c>
      <c r="BH301" s="188">
        <f t="shared" si="81"/>
        <v>2.0385467540202499E-9</v>
      </c>
      <c r="BI301" s="188">
        <f t="shared" si="81"/>
        <v>8.1562682549136379E-7</v>
      </c>
    </row>
    <row r="302" spans="24:62">
      <c r="X302" s="53" t="s">
        <v>473</v>
      </c>
      <c r="Y302" s="53" t="s">
        <v>474</v>
      </c>
      <c r="Z302" s="180">
        <v>44065</v>
      </c>
      <c r="AA302" s="53">
        <v>0.46604000000000001</v>
      </c>
      <c r="AB302" s="53">
        <v>34.870392000000002</v>
      </c>
      <c r="AC302" s="53" t="s">
        <v>331</v>
      </c>
      <c r="AD302" s="53" t="s">
        <v>330</v>
      </c>
      <c r="AE302" s="53" t="s">
        <v>347</v>
      </c>
      <c r="AF302" s="154" t="s">
        <v>362</v>
      </c>
      <c r="AG302" s="154" t="s">
        <v>687</v>
      </c>
      <c r="AH302" s="53" t="s">
        <v>675</v>
      </c>
      <c r="AI302" s="53" t="s">
        <v>684</v>
      </c>
      <c r="AJ302" s="53" t="s">
        <v>683</v>
      </c>
      <c r="AK302" s="78">
        <v>6.2</v>
      </c>
      <c r="AL302" s="78">
        <v>15.82</v>
      </c>
      <c r="AM302" s="78">
        <v>0.02</v>
      </c>
      <c r="AN302" s="78">
        <v>612.6</v>
      </c>
      <c r="AO302" s="78">
        <v>0.125</v>
      </c>
      <c r="AP302" s="78">
        <v>95.1</v>
      </c>
      <c r="AR302" s="160">
        <f t="shared" si="79"/>
        <v>7.9693002813661638E-7</v>
      </c>
      <c r="AS302" s="144">
        <f>(AL302*5700*0.61*0.2*0.001*350*30*0.000001)/(70*66.7*365)</f>
        <v>6.7781898092049868E-8</v>
      </c>
      <c r="AT302" s="144">
        <f>(AM302*5700*0.61*0.2*0.001*350*30*0.000001)/(70*66.7*365)</f>
        <v>8.5691400874905002E-11</v>
      </c>
      <c r="AU302" s="144">
        <f>(AN302*5700*0.61*0.2*0.001*350*30*0.000001)/(70*66.7*365)</f>
        <v>2.6247276087983402E-6</v>
      </c>
      <c r="AV302" s="144">
        <f>(AO302*5700*0.61*0.2*0.001*350*30*0.000001)/(70*66.7*365)</f>
        <v>5.3557125546815646E-10</v>
      </c>
      <c r="AW302" s="160">
        <f>(AP302*5700*0.61*0.2*0.001*350*30*0.000001)/(70*66.7*365)</f>
        <v>4.0746261116017337E-7</v>
      </c>
      <c r="AY302" s="160">
        <f>(AK302*2800*0.61*0.07*0.03*350*6*0.000001)/(15*66.7*365)</f>
        <v>1.2788163726355998E-7</v>
      </c>
      <c r="AZ302" s="144">
        <f>(AL302*2800*0.61*0.07*0.001*350*6*0.000001)/(15*66.7*365)</f>
        <v>1.0876814524244727E-8</v>
      </c>
      <c r="BA302" s="144">
        <f>(AM302*2800*0.61*0.07*0.001*350*6*0.000001)/(15*66.7*365)</f>
        <v>1.3750713684253763E-11</v>
      </c>
      <c r="BB302" s="144">
        <f>(AN302*2800*0.61*0.07*0.001*350*6*0.000001)/(15*66.7*365)</f>
        <v>4.2118436014869277E-7</v>
      </c>
      <c r="BC302" s="144">
        <f>(AO302*2800*0.61*0.07*0.001*350*6*0.000001)/(15*66.7*365)</f>
        <v>8.5941960526586031E-11</v>
      </c>
      <c r="BD302" s="144">
        <f>(AP302*2800*0.61*0.07*0.001*350*6*0.000001)/(15*66.7*365)</f>
        <v>6.5384643568626652E-8</v>
      </c>
      <c r="BE302" s="190"/>
      <c r="BF302" s="190"/>
      <c r="BG302" s="190"/>
      <c r="BH302" s="144">
        <f>(AO302*2800*0.001*0.001*0.58*350*6*0.001)/(15*66.7*365)</f>
        <v>1.1673615247170937E-9</v>
      </c>
      <c r="BI302" s="160">
        <f>(AP302*2800*0.001*0.001*0.58*350*6*0.001)/(15*66.7*365)</f>
        <v>8.8812864800476474E-7</v>
      </c>
    </row>
    <row r="303" spans="24:62">
      <c r="AR303" s="160"/>
      <c r="AS303" s="144"/>
      <c r="AT303" s="144"/>
      <c r="AU303" s="144"/>
      <c r="AV303" s="144"/>
      <c r="AW303" s="160"/>
      <c r="AX303" s="144"/>
      <c r="AY303" s="160"/>
      <c r="AZ303" s="144"/>
      <c r="BA303" s="144"/>
      <c r="BB303" s="144"/>
      <c r="BC303" s="144"/>
      <c r="BD303" s="144"/>
      <c r="BE303" s="144"/>
      <c r="BF303" s="144"/>
      <c r="BG303" s="144"/>
      <c r="BH303" s="144"/>
      <c r="BI303" s="160"/>
      <c r="BJ303" s="144"/>
    </row>
    <row r="304" spans="24:62">
      <c r="AR304" s="160"/>
      <c r="AS304" s="144"/>
      <c r="AT304" s="144"/>
      <c r="AU304" s="144"/>
      <c r="AV304" s="144"/>
      <c r="AW304" s="160"/>
      <c r="AX304" s="144"/>
      <c r="AY304" s="160"/>
      <c r="AZ304" s="144"/>
      <c r="BA304" s="144"/>
      <c r="BB304" s="144"/>
      <c r="BC304" s="144"/>
      <c r="BD304" s="144"/>
      <c r="BE304" s="144"/>
      <c r="BF304" s="144"/>
      <c r="BG304" s="144"/>
      <c r="BH304" s="144"/>
      <c r="BI304" s="160"/>
      <c r="BJ304" s="144"/>
    </row>
    <row r="306" spans="24:58">
      <c r="X306" s="107" t="s">
        <v>966</v>
      </c>
    </row>
    <row r="307" spans="24:58">
      <c r="X307" s="47" t="s">
        <v>0</v>
      </c>
      <c r="Y307" s="47" t="s">
        <v>405</v>
      </c>
      <c r="Z307" s="47" t="s">
        <v>1</v>
      </c>
      <c r="AA307" s="47" t="s">
        <v>301</v>
      </c>
      <c r="AB307" s="47" t="s">
        <v>300</v>
      </c>
      <c r="AC307" s="47" t="s">
        <v>664</v>
      </c>
      <c r="AD307" s="47" t="s">
        <v>302</v>
      </c>
      <c r="AE307" s="47" t="s">
        <v>303</v>
      </c>
      <c r="AF307" s="26" t="s">
        <v>363</v>
      </c>
      <c r="AG307" s="26" t="s">
        <v>681</v>
      </c>
      <c r="AH307" s="26" t="s">
        <v>680</v>
      </c>
      <c r="AI307" s="83" t="s">
        <v>738</v>
      </c>
      <c r="AJ307" s="83" t="s">
        <v>686</v>
      </c>
      <c r="AK307" s="83" t="s">
        <v>693</v>
      </c>
      <c r="AL307" s="83"/>
      <c r="AM307" s="57" t="s">
        <v>23</v>
      </c>
      <c r="AN307" s="70" t="s">
        <v>55</v>
      </c>
      <c r="AO307" s="70" t="s">
        <v>15</v>
      </c>
      <c r="AP307" s="57" t="s">
        <v>32</v>
      </c>
      <c r="AQ307" s="70" t="s">
        <v>19</v>
      </c>
      <c r="AR307" s="146" t="s">
        <v>987</v>
      </c>
      <c r="AS307" s="70" t="s">
        <v>988</v>
      </c>
      <c r="AT307" s="70" t="s">
        <v>989</v>
      </c>
      <c r="AU307" s="70" t="s">
        <v>990</v>
      </c>
      <c r="AV307" s="70" t="s">
        <v>991</v>
      </c>
      <c r="AW307" s="146" t="s">
        <v>992</v>
      </c>
      <c r="AX307" s="70"/>
      <c r="AY307" s="149" t="s">
        <v>999</v>
      </c>
      <c r="AZ307" s="70" t="s">
        <v>1000</v>
      </c>
      <c r="BA307" s="70" t="s">
        <v>1001</v>
      </c>
      <c r="BB307" s="70" t="s">
        <v>1002</v>
      </c>
      <c r="BC307" s="70" t="s">
        <v>1003</v>
      </c>
      <c r="BD307" s="149" t="s">
        <v>1004</v>
      </c>
      <c r="BE307" s="147"/>
    </row>
    <row r="308" spans="24:58" ht="18">
      <c r="X308" s="53"/>
      <c r="Y308" s="53"/>
      <c r="Z308" s="53"/>
      <c r="AA308" s="53"/>
      <c r="AB308" s="53"/>
      <c r="AC308" s="53"/>
      <c r="AD308" s="53"/>
      <c r="AE308" s="53"/>
      <c r="AF308" s="53"/>
      <c r="AG308" s="53"/>
      <c r="AH308" s="53"/>
      <c r="AI308" s="53"/>
      <c r="AJ308" s="53"/>
      <c r="AK308" s="53"/>
      <c r="AL308" s="53"/>
      <c r="AM308" s="53" t="s">
        <v>659</v>
      </c>
      <c r="AN308" s="53" t="s">
        <v>659</v>
      </c>
      <c r="AO308" s="53" t="s">
        <v>659</v>
      </c>
      <c r="AP308" s="53" t="s">
        <v>659</v>
      </c>
      <c r="AQ308" s="53" t="s">
        <v>659</v>
      </c>
      <c r="AR308" s="89"/>
      <c r="AW308" s="89"/>
      <c r="AY308" s="177"/>
      <c r="BD308" s="177"/>
    </row>
    <row r="309" spans="24:58">
      <c r="X309" s="47" t="s">
        <v>297</v>
      </c>
      <c r="Y309" s="47"/>
      <c r="Z309" s="47"/>
      <c r="AA309" s="47"/>
      <c r="AB309" s="47"/>
      <c r="AC309" s="47"/>
      <c r="AD309" s="47"/>
      <c r="AE309" s="47"/>
      <c r="AF309" s="47"/>
      <c r="AG309" s="47"/>
      <c r="AH309" s="47"/>
      <c r="AI309" s="47"/>
      <c r="AJ309" s="47"/>
      <c r="AK309" s="47"/>
      <c r="AL309" s="47"/>
      <c r="AM309" s="97" t="s">
        <v>60</v>
      </c>
      <c r="AN309" s="97" t="s">
        <v>76</v>
      </c>
      <c r="AO309" s="97" t="s">
        <v>520</v>
      </c>
      <c r="AP309" s="97" t="s">
        <v>82</v>
      </c>
      <c r="AQ309" s="97" t="s">
        <v>78</v>
      </c>
      <c r="AR309" s="147"/>
      <c r="AS309" s="147"/>
      <c r="AT309" s="147"/>
      <c r="AU309" s="147"/>
      <c r="AV309" s="147"/>
      <c r="AW309" s="147"/>
      <c r="AX309" s="147"/>
      <c r="AY309" s="147"/>
      <c r="AZ309" s="147"/>
      <c r="BA309" s="147"/>
      <c r="BB309" s="147"/>
      <c r="BC309" s="147"/>
      <c r="BD309" s="147"/>
      <c r="BE309" s="147"/>
      <c r="BF309" s="147"/>
    </row>
    <row r="310" spans="24:58">
      <c r="X310" s="53" t="s">
        <v>525</v>
      </c>
      <c r="Y310" s="53" t="s">
        <v>526</v>
      </c>
      <c r="Z310" s="180">
        <v>43887</v>
      </c>
      <c r="AA310" s="183">
        <v>0.26076500000000002</v>
      </c>
      <c r="AB310" s="183">
        <v>34.720081</v>
      </c>
      <c r="AC310" s="53" t="s">
        <v>661</v>
      </c>
      <c r="AD310" s="53" t="s">
        <v>330</v>
      </c>
      <c r="AE310" s="53" t="s">
        <v>347</v>
      </c>
      <c r="AF310" s="154" t="s">
        <v>371</v>
      </c>
      <c r="AG310" s="116" t="s">
        <v>687</v>
      </c>
      <c r="AH310" s="53" t="s">
        <v>527</v>
      </c>
      <c r="AI310" s="53" t="s">
        <v>740</v>
      </c>
      <c r="AJ310" s="53" t="s">
        <v>685</v>
      </c>
      <c r="AK310" s="53" t="s">
        <v>691</v>
      </c>
      <c r="AL310" s="53"/>
      <c r="AM310" s="156">
        <v>1.21</v>
      </c>
      <c r="AN310" s="191">
        <v>0.11</v>
      </c>
      <c r="AO310" s="192">
        <v>0.6</v>
      </c>
      <c r="AP310" s="193">
        <v>2.4E-2</v>
      </c>
      <c r="AQ310" s="192">
        <v>2.79</v>
      </c>
      <c r="AR310" s="158">
        <f>(AM310*1.488*350*30*0.001)/(70*66.7*365)</f>
        <v>1.1093302663736625E-5</v>
      </c>
      <c r="AS310" s="144">
        <f>(AN310*1.488*350*30*0.001)/(70*66.7*365)</f>
        <v>1.0084820603396931E-6</v>
      </c>
      <c r="AT310" s="144"/>
      <c r="AU310" s="144">
        <f t="shared" ref="AU310:AU346" si="82">(AO310*1.488*350*6*0.001)/(70*66.7*365)</f>
        <v>1.1001622476433014E-6</v>
      </c>
      <c r="AV310" s="144">
        <f t="shared" ref="AV310:AW346" si="83">(AP310*1.488*350*30*0.001)/(70*66.7*365)</f>
        <v>2.2003244952866035E-7</v>
      </c>
      <c r="AW310" s="158">
        <f t="shared" si="83"/>
        <v>2.5578772257706765E-5</v>
      </c>
      <c r="AX310" s="144"/>
      <c r="AY310" s="160">
        <f t="shared" ref="AY310:AY346" si="84">(AM310*5700*0.001*0.03*0.58*350*30*0.001)/(70*66.7*365)</f>
        <v>7.3940440738534839E-7</v>
      </c>
      <c r="AZ310" s="144">
        <f t="shared" ref="AZ310:AZ346" si="85">(AN310*5700*0.001*0.001*0.58*350*30*0.001)/(70*66.7*365)</f>
        <v>2.2406194163192377E-9</v>
      </c>
      <c r="BA310" s="144"/>
      <c r="BB310" s="144">
        <f t="shared" ref="BB310:BD346" si="86">(AO310*5700*0.001*0.001*0.58*350*30*0.001)/(70*66.7*365)</f>
        <v>1.2221560452650387E-8</v>
      </c>
      <c r="BC310" s="144">
        <f t="shared" si="86"/>
        <v>4.8886241810601554E-10</v>
      </c>
      <c r="BD310" s="160">
        <f t="shared" si="86"/>
        <v>5.6830256104824293E-8</v>
      </c>
      <c r="BE310" s="144"/>
      <c r="BF310" s="144"/>
    </row>
    <row r="311" spans="24:58">
      <c r="X311" s="53" t="s">
        <v>528</v>
      </c>
      <c r="Y311" s="53" t="s">
        <v>529</v>
      </c>
      <c r="Z311" s="180">
        <v>43887</v>
      </c>
      <c r="AA311" s="183">
        <v>0.26020300000000002</v>
      </c>
      <c r="AB311" s="183">
        <v>34.719721</v>
      </c>
      <c r="AC311" s="53" t="s">
        <v>661</v>
      </c>
      <c r="AD311" s="53" t="s">
        <v>330</v>
      </c>
      <c r="AE311" s="53" t="s">
        <v>347</v>
      </c>
      <c r="AF311" s="154" t="s">
        <v>371</v>
      </c>
      <c r="AG311" s="116" t="s">
        <v>687</v>
      </c>
      <c r="AH311" s="53" t="s">
        <v>530</v>
      </c>
      <c r="AI311" s="53" t="s">
        <v>740</v>
      </c>
      <c r="AJ311" s="53" t="s">
        <v>684</v>
      </c>
      <c r="AK311" s="53" t="s">
        <v>683</v>
      </c>
      <c r="AL311" s="53"/>
      <c r="AM311" s="156">
        <v>0.89</v>
      </c>
      <c r="AN311" s="191">
        <v>0.33</v>
      </c>
      <c r="AO311" s="192">
        <v>2.95</v>
      </c>
      <c r="AP311" s="193">
        <v>3.9E-2</v>
      </c>
      <c r="AQ311" s="192">
        <v>5.87</v>
      </c>
      <c r="AR311" s="158">
        <f t="shared" ref="AR311:AS352" si="87">(AM311*1.488*350*30*0.001)/(70*66.7*365)</f>
        <v>8.1595366700211544E-6</v>
      </c>
      <c r="AS311" s="144">
        <f t="shared" si="87"/>
        <v>3.0254461810190794E-6</v>
      </c>
      <c r="AT311" s="144"/>
      <c r="AU311" s="144">
        <f t="shared" si="82"/>
        <v>5.4091310509128993E-6</v>
      </c>
      <c r="AV311" s="144">
        <f t="shared" si="83"/>
        <v>3.57552730484073E-7</v>
      </c>
      <c r="AW311" s="158">
        <f t="shared" si="83"/>
        <v>5.3816269947218178E-5</v>
      </c>
      <c r="AX311" s="144"/>
      <c r="AY311" s="160">
        <f t="shared" si="84"/>
        <v>5.4385944014294224E-7</v>
      </c>
      <c r="AZ311" s="144">
        <f t="shared" si="85"/>
        <v>6.7218582489577136E-9</v>
      </c>
      <c r="BA311" s="144"/>
      <c r="BB311" s="144">
        <f t="shared" si="86"/>
        <v>6.0089338892197735E-8</v>
      </c>
      <c r="BC311" s="144">
        <f t="shared" si="86"/>
        <v>7.9440142942227538E-10</v>
      </c>
      <c r="BD311" s="160">
        <f t="shared" si="86"/>
        <v>1.1956759976176296E-7</v>
      </c>
      <c r="BE311" s="144"/>
      <c r="BF311" s="144"/>
    </row>
    <row r="312" spans="24:58">
      <c r="X312" s="53" t="s">
        <v>531</v>
      </c>
      <c r="Y312" s="53" t="s">
        <v>532</v>
      </c>
      <c r="Z312" s="180">
        <v>43887</v>
      </c>
      <c r="AA312" s="183">
        <v>0.25792300000000001</v>
      </c>
      <c r="AB312" s="183">
        <v>34.719996000000002</v>
      </c>
      <c r="AC312" s="53" t="s">
        <v>661</v>
      </c>
      <c r="AD312" s="53" t="s">
        <v>330</v>
      </c>
      <c r="AE312" s="53" t="s">
        <v>347</v>
      </c>
      <c r="AF312" s="154" t="s">
        <v>371</v>
      </c>
      <c r="AG312" s="116" t="s">
        <v>687</v>
      </c>
      <c r="AH312" s="53" t="s">
        <v>527</v>
      </c>
      <c r="AI312" s="53" t="s">
        <v>740</v>
      </c>
      <c r="AJ312" s="53" t="s">
        <v>685</v>
      </c>
      <c r="AK312" s="53" t="s">
        <v>691</v>
      </c>
      <c r="AL312" s="53"/>
      <c r="AM312" s="156">
        <v>0.41</v>
      </c>
      <c r="AN312" s="191">
        <v>0.11</v>
      </c>
      <c r="AO312" s="192">
        <v>0.85</v>
      </c>
      <c r="AP312" s="193">
        <v>3.4000000000000002E-2</v>
      </c>
      <c r="AQ312" s="192">
        <v>4.8099999999999996</v>
      </c>
      <c r="AR312" s="158">
        <f t="shared" si="87"/>
        <v>3.7588876794479475E-6</v>
      </c>
      <c r="AS312" s="144">
        <f t="shared" si="87"/>
        <v>1.0084820603396931E-6</v>
      </c>
      <c r="AT312" s="144"/>
      <c r="AU312" s="144">
        <f t="shared" si="82"/>
        <v>1.558563184161344E-6</v>
      </c>
      <c r="AV312" s="144">
        <f t="shared" si="83"/>
        <v>3.117126368322688E-7</v>
      </c>
      <c r="AW312" s="158">
        <f t="shared" si="83"/>
        <v>4.4098170093035668E-5</v>
      </c>
      <c r="AX312" s="144"/>
      <c r="AY312" s="160">
        <f t="shared" si="84"/>
        <v>2.5054198927933292E-7</v>
      </c>
      <c r="AZ312" s="144">
        <f t="shared" si="85"/>
        <v>2.2406194163192377E-9</v>
      </c>
      <c r="BA312" s="144"/>
      <c r="BB312" s="144">
        <f t="shared" si="86"/>
        <v>1.731387730792138E-8</v>
      </c>
      <c r="BC312" s="144">
        <f t="shared" si="86"/>
        <v>6.9255509231685522E-10</v>
      </c>
      <c r="BD312" s="160">
        <f t="shared" si="86"/>
        <v>9.7976176295413917E-8</v>
      </c>
      <c r="BE312" s="144"/>
      <c r="BF312" s="144"/>
    </row>
    <row r="313" spans="24:58">
      <c r="X313" s="53" t="s">
        <v>533</v>
      </c>
      <c r="Y313" s="53" t="s">
        <v>534</v>
      </c>
      <c r="Z313" s="180">
        <v>43887</v>
      </c>
      <c r="AA313" s="183">
        <v>0.26020300000000002</v>
      </c>
      <c r="AB313" s="183">
        <v>34.719721</v>
      </c>
      <c r="AC313" s="53" t="s">
        <v>661</v>
      </c>
      <c r="AD313" s="53" t="s">
        <v>330</v>
      </c>
      <c r="AE313" s="53" t="s">
        <v>347</v>
      </c>
      <c r="AF313" s="154" t="s">
        <v>371</v>
      </c>
      <c r="AG313" s="116" t="s">
        <v>687</v>
      </c>
      <c r="AH313" s="53" t="s">
        <v>535</v>
      </c>
      <c r="AI313" s="53" t="s">
        <v>739</v>
      </c>
      <c r="AJ313" s="53" t="s">
        <v>684</v>
      </c>
      <c r="AK313" s="53" t="s">
        <v>683</v>
      </c>
      <c r="AL313" s="53"/>
      <c r="AM313" s="156">
        <v>0.78</v>
      </c>
      <c r="AN313" s="191">
        <v>0.09</v>
      </c>
      <c r="AO313" s="192">
        <v>2.46</v>
      </c>
      <c r="AP313" s="193">
        <v>1.9E-2</v>
      </c>
      <c r="AQ313" s="192">
        <v>3.45</v>
      </c>
      <c r="AR313" s="158">
        <f t="shared" si="87"/>
        <v>7.1510546096814609E-6</v>
      </c>
      <c r="AS313" s="144">
        <f t="shared" si="87"/>
        <v>8.2512168573247613E-7</v>
      </c>
      <c r="AT313" s="144"/>
      <c r="AU313" s="144">
        <f t="shared" si="82"/>
        <v>4.5106652153375363E-6</v>
      </c>
      <c r="AV313" s="144">
        <f t="shared" si="83"/>
        <v>1.741923558768561E-7</v>
      </c>
      <c r="AW313" s="158">
        <f t="shared" si="83"/>
        <v>3.1629664619744925E-5</v>
      </c>
      <c r="AX313" s="144"/>
      <c r="AY313" s="160">
        <f t="shared" si="84"/>
        <v>4.7664085765336511E-7</v>
      </c>
      <c r="AZ313" s="144">
        <f t="shared" si="85"/>
        <v>1.833234067897558E-9</v>
      </c>
      <c r="BA313" s="144"/>
      <c r="BB313" s="144">
        <f t="shared" si="86"/>
        <v>5.0108397855866586E-8</v>
      </c>
      <c r="BC313" s="144">
        <f t="shared" si="86"/>
        <v>3.8701608100059555E-10</v>
      </c>
      <c r="BD313" s="160">
        <f t="shared" si="86"/>
        <v>7.0273972602739714E-8</v>
      </c>
      <c r="BE313" s="144"/>
      <c r="BF313" s="144"/>
    </row>
    <row r="314" spans="24:58">
      <c r="X314" s="53" t="s">
        <v>536</v>
      </c>
      <c r="Y314" s="53" t="s">
        <v>537</v>
      </c>
      <c r="Z314" s="180">
        <v>43887</v>
      </c>
      <c r="AA314" s="183">
        <v>0.26076500000000002</v>
      </c>
      <c r="AB314" s="183">
        <v>34.720081</v>
      </c>
      <c r="AC314" s="53" t="s">
        <v>661</v>
      </c>
      <c r="AD314" s="53" t="s">
        <v>330</v>
      </c>
      <c r="AE314" s="53" t="s">
        <v>347</v>
      </c>
      <c r="AF314" s="154" t="s">
        <v>371</v>
      </c>
      <c r="AG314" s="116" t="s">
        <v>687</v>
      </c>
      <c r="AH314" s="53" t="s">
        <v>538</v>
      </c>
      <c r="AI314" s="53" t="s">
        <v>739</v>
      </c>
      <c r="AJ314" s="53" t="s">
        <v>726</v>
      </c>
      <c r="AK314" s="53" t="s">
        <v>727</v>
      </c>
      <c r="AL314" s="53"/>
      <c r="AM314" s="156">
        <v>0.71</v>
      </c>
      <c r="AN314" s="191">
        <v>0.13</v>
      </c>
      <c r="AO314" s="192">
        <v>0.5</v>
      </c>
      <c r="AP314" s="193">
        <v>2.5999999999999999E-2</v>
      </c>
      <c r="AQ314" s="192">
        <v>1.98</v>
      </c>
      <c r="AR314" s="158">
        <f t="shared" si="87"/>
        <v>6.5092932985562005E-6</v>
      </c>
      <c r="AS314" s="144">
        <f t="shared" si="87"/>
        <v>1.1918424349469101E-6</v>
      </c>
      <c r="AT314" s="144"/>
      <c r="AU314" s="144">
        <f t="shared" si="82"/>
        <v>9.1680187303608453E-7</v>
      </c>
      <c r="AV314" s="144">
        <f t="shared" si="83"/>
        <v>2.3836848698938205E-7</v>
      </c>
      <c r="AW314" s="158">
        <f t="shared" si="83"/>
        <v>1.8152677086114476E-5</v>
      </c>
      <c r="AX314" s="144"/>
      <c r="AY314" s="160">
        <f t="shared" si="84"/>
        <v>4.3386539606908865E-7</v>
      </c>
      <c r="AZ314" s="144">
        <f t="shared" si="85"/>
        <v>2.6480047647409171E-9</v>
      </c>
      <c r="BA314" s="144"/>
      <c r="BB314" s="144">
        <f t="shared" si="86"/>
        <v>1.0184633710541989E-8</v>
      </c>
      <c r="BC314" s="144">
        <f t="shared" si="86"/>
        <v>5.2960095294818338E-10</v>
      </c>
      <c r="BD314" s="160">
        <f t="shared" si="86"/>
        <v>4.0331149493746268E-8</v>
      </c>
      <c r="BE314" s="144"/>
      <c r="BF314" s="144"/>
    </row>
    <row r="315" spans="24:58">
      <c r="X315" s="53" t="s">
        <v>539</v>
      </c>
      <c r="Y315" s="53" t="s">
        <v>540</v>
      </c>
      <c r="Z315" s="180">
        <v>43887</v>
      </c>
      <c r="AA315" s="183">
        <v>0.25792300000000001</v>
      </c>
      <c r="AB315" s="183">
        <v>34.719996000000002</v>
      </c>
      <c r="AC315" s="53" t="s">
        <v>661</v>
      </c>
      <c r="AD315" s="53" t="s">
        <v>330</v>
      </c>
      <c r="AE315" s="53" t="s">
        <v>347</v>
      </c>
      <c r="AF315" s="154" t="s">
        <v>371</v>
      </c>
      <c r="AG315" s="116" t="s">
        <v>687</v>
      </c>
      <c r="AH315" s="53" t="s">
        <v>538</v>
      </c>
      <c r="AI315" s="53" t="s">
        <v>739</v>
      </c>
      <c r="AJ315" s="53" t="s">
        <v>726</v>
      </c>
      <c r="AK315" s="53" t="s">
        <v>727</v>
      </c>
      <c r="AL315" s="53"/>
      <c r="AM315" s="156">
        <v>0.75</v>
      </c>
      <c r="AN315" s="191">
        <v>0.11</v>
      </c>
      <c r="AO315" s="192">
        <v>0.82</v>
      </c>
      <c r="AP315" s="193">
        <v>3.2000000000000001E-2</v>
      </c>
      <c r="AQ315" s="192">
        <v>4.96</v>
      </c>
      <c r="AR315" s="158">
        <f t="shared" si="87"/>
        <v>6.8760140477706354E-6</v>
      </c>
      <c r="AS315" s="144">
        <f t="shared" si="87"/>
        <v>1.0084820603396931E-6</v>
      </c>
      <c r="AT315" s="144"/>
      <c r="AU315" s="144">
        <f t="shared" si="82"/>
        <v>1.5035550717791787E-6</v>
      </c>
      <c r="AV315" s="144">
        <f t="shared" si="83"/>
        <v>2.9337659937154708E-7</v>
      </c>
      <c r="AW315" s="158">
        <f t="shared" si="83"/>
        <v>4.5473372902589792E-5</v>
      </c>
      <c r="AX315" s="144"/>
      <c r="AY315" s="160">
        <f t="shared" si="84"/>
        <v>4.5830851697438959E-7</v>
      </c>
      <c r="AZ315" s="144">
        <f t="shared" si="85"/>
        <v>2.2406194163192377E-9</v>
      </c>
      <c r="BA315" s="144"/>
      <c r="BB315" s="144">
        <f t="shared" si="86"/>
        <v>1.6702799285288862E-8</v>
      </c>
      <c r="BC315" s="144">
        <f t="shared" si="86"/>
        <v>6.5181655747468739E-10</v>
      </c>
      <c r="BD315" s="160">
        <f t="shared" si="86"/>
        <v>1.0103156640857653E-7</v>
      </c>
      <c r="BE315" s="144"/>
      <c r="BF315" s="144"/>
    </row>
    <row r="316" spans="24:58">
      <c r="X316" s="53" t="s">
        <v>541</v>
      </c>
      <c r="Y316" s="53" t="s">
        <v>542</v>
      </c>
      <c r="Z316" s="180">
        <v>43887</v>
      </c>
      <c r="AA316" s="183">
        <v>0.25792300000000001</v>
      </c>
      <c r="AB316" s="183">
        <v>34.719996000000002</v>
      </c>
      <c r="AC316" s="53" t="s">
        <v>661</v>
      </c>
      <c r="AD316" s="53" t="s">
        <v>330</v>
      </c>
      <c r="AE316" s="53" t="s">
        <v>347</v>
      </c>
      <c r="AF316" s="154" t="s">
        <v>371</v>
      </c>
      <c r="AG316" s="116" t="s">
        <v>687</v>
      </c>
      <c r="AH316" s="53" t="s">
        <v>538</v>
      </c>
      <c r="AI316" s="53" t="s">
        <v>739</v>
      </c>
      <c r="AJ316" s="53" t="s">
        <v>726</v>
      </c>
      <c r="AK316" s="53" t="s">
        <v>727</v>
      </c>
      <c r="AL316" s="53"/>
      <c r="AM316" s="156">
        <v>0.4</v>
      </c>
      <c r="AN316" s="191">
        <v>0.17</v>
      </c>
      <c r="AO316" s="192">
        <v>0.86</v>
      </c>
      <c r="AP316" s="193">
        <v>5.5E-2</v>
      </c>
      <c r="AQ316" s="192">
        <v>4.79</v>
      </c>
      <c r="AR316" s="158">
        <f t="shared" si="87"/>
        <v>3.6672074921443394E-6</v>
      </c>
      <c r="AS316" s="144">
        <f t="shared" si="87"/>
        <v>1.558563184161344E-6</v>
      </c>
      <c r="AT316" s="144"/>
      <c r="AU316" s="144">
        <f t="shared" si="82"/>
        <v>1.5768992216220656E-6</v>
      </c>
      <c r="AV316" s="144">
        <f t="shared" si="83"/>
        <v>5.0424103016984657E-7</v>
      </c>
      <c r="AW316" s="158">
        <f t="shared" si="83"/>
        <v>4.3914809718428463E-5</v>
      </c>
      <c r="AX316" s="144"/>
      <c r="AY316" s="160">
        <f t="shared" si="84"/>
        <v>2.4443120905300771E-7</v>
      </c>
      <c r="AZ316" s="144">
        <f t="shared" si="85"/>
        <v>3.4627754615842762E-9</v>
      </c>
      <c r="BA316" s="144"/>
      <c r="BB316" s="144">
        <f t="shared" si="86"/>
        <v>1.7517569982132221E-8</v>
      </c>
      <c r="BC316" s="144">
        <f t="shared" si="86"/>
        <v>1.1203097081596189E-9</v>
      </c>
      <c r="BD316" s="160">
        <f t="shared" si="86"/>
        <v>9.7568790946992256E-8</v>
      </c>
      <c r="BE316" s="144"/>
      <c r="BF316" s="144"/>
    </row>
    <row r="317" spans="24:58">
      <c r="X317" s="53" t="s">
        <v>543</v>
      </c>
      <c r="Y317" s="53" t="s">
        <v>544</v>
      </c>
      <c r="Z317" s="180">
        <v>43887</v>
      </c>
      <c r="AA317" s="183">
        <v>0.258245</v>
      </c>
      <c r="AB317" s="183">
        <v>34.717754999999997</v>
      </c>
      <c r="AC317" s="53" t="s">
        <v>661</v>
      </c>
      <c r="AD317" s="53" t="s">
        <v>330</v>
      </c>
      <c r="AE317" s="53" t="s">
        <v>347</v>
      </c>
      <c r="AF317" s="154" t="s">
        <v>371</v>
      </c>
      <c r="AG317" s="116" t="s">
        <v>687</v>
      </c>
      <c r="AH317" s="53" t="s">
        <v>527</v>
      </c>
      <c r="AI317" s="53" t="s">
        <v>740</v>
      </c>
      <c r="AJ317" s="53" t="s">
        <v>685</v>
      </c>
      <c r="AK317" s="53" t="s">
        <v>691</v>
      </c>
      <c r="AL317" s="53"/>
      <c r="AM317" s="156">
        <v>0.82</v>
      </c>
      <c r="AN317" s="191">
        <v>0.15</v>
      </c>
      <c r="AO317" s="192">
        <v>2.42</v>
      </c>
      <c r="AP317" s="193">
        <v>5.5E-2</v>
      </c>
      <c r="AQ317" s="192">
        <v>3.38</v>
      </c>
      <c r="AR317" s="158">
        <f t="shared" si="87"/>
        <v>7.5177753588958949E-6</v>
      </c>
      <c r="AS317" s="144">
        <f t="shared" si="87"/>
        <v>1.3752028095541269E-6</v>
      </c>
      <c r="AT317" s="144"/>
      <c r="AU317" s="144">
        <f t="shared" si="82"/>
        <v>4.4373210654946498E-6</v>
      </c>
      <c r="AV317" s="144">
        <f t="shared" si="83"/>
        <v>5.0424103016984657E-7</v>
      </c>
      <c r="AW317" s="158">
        <f t="shared" si="83"/>
        <v>3.098790330861967E-5</v>
      </c>
      <c r="AX317" s="144"/>
      <c r="AY317" s="160">
        <f t="shared" si="84"/>
        <v>5.0108397855866584E-7</v>
      </c>
      <c r="AZ317" s="144">
        <f t="shared" si="85"/>
        <v>3.0553901131625969E-9</v>
      </c>
      <c r="BA317" s="144"/>
      <c r="BB317" s="144">
        <f t="shared" si="86"/>
        <v>4.9293627159023237E-8</v>
      </c>
      <c r="BC317" s="144">
        <f t="shared" si="86"/>
        <v>1.1203097081596189E-9</v>
      </c>
      <c r="BD317" s="160">
        <f t="shared" si="86"/>
        <v>6.8848123883263847E-8</v>
      </c>
      <c r="BE317" s="144"/>
      <c r="BF317" s="144"/>
    </row>
    <row r="318" spans="24:58">
      <c r="X318" s="53" t="s">
        <v>545</v>
      </c>
      <c r="Y318" s="53" t="s">
        <v>546</v>
      </c>
      <c r="Z318" s="180">
        <v>43887</v>
      </c>
      <c r="AA318" s="183">
        <v>0.26067699999999999</v>
      </c>
      <c r="AB318" s="183">
        <v>34.720677999999999</v>
      </c>
      <c r="AC318" s="53" t="s">
        <v>661</v>
      </c>
      <c r="AD318" s="53" t="s">
        <v>330</v>
      </c>
      <c r="AE318" s="53" t="s">
        <v>347</v>
      </c>
      <c r="AF318" s="154" t="s">
        <v>371</v>
      </c>
      <c r="AG318" s="116" t="s">
        <v>687</v>
      </c>
      <c r="AH318" s="53" t="s">
        <v>728</v>
      </c>
      <c r="AI318" s="53" t="s">
        <v>739</v>
      </c>
      <c r="AJ318" s="53" t="s">
        <v>726</v>
      </c>
      <c r="AK318" s="53" t="s">
        <v>727</v>
      </c>
      <c r="AL318" s="53"/>
      <c r="AM318" s="156">
        <v>4.26</v>
      </c>
      <c r="AN318" s="191">
        <v>0.15</v>
      </c>
      <c r="AO318" s="192">
        <v>0.27</v>
      </c>
      <c r="AP318" s="193">
        <v>1.6E-2</v>
      </c>
      <c r="AQ318" s="192">
        <v>1.86</v>
      </c>
      <c r="AR318" s="158">
        <f t="shared" si="87"/>
        <v>3.9055759791337205E-5</v>
      </c>
      <c r="AS318" s="144">
        <f t="shared" si="87"/>
        <v>1.3752028095541269E-6</v>
      </c>
      <c r="AT318" s="144"/>
      <c r="AU318" s="144">
        <f t="shared" si="82"/>
        <v>4.9507301143948576E-7</v>
      </c>
      <c r="AV318" s="144">
        <f t="shared" si="83"/>
        <v>1.4668829968577354E-7</v>
      </c>
      <c r="AW318" s="158">
        <f t="shared" si="83"/>
        <v>1.7052514838471174E-5</v>
      </c>
      <c r="AX318" s="144"/>
      <c r="AY318" s="160">
        <f t="shared" si="84"/>
        <v>2.6031923764145322E-6</v>
      </c>
      <c r="AZ318" s="144">
        <f t="shared" si="85"/>
        <v>3.0553901131625969E-9</v>
      </c>
      <c r="BA318" s="144"/>
      <c r="BB318" s="144">
        <f t="shared" si="86"/>
        <v>5.4997022036926739E-9</v>
      </c>
      <c r="BC318" s="144">
        <f t="shared" si="86"/>
        <v>3.259082787373437E-10</v>
      </c>
      <c r="BD318" s="160">
        <f t="shared" si="86"/>
        <v>3.7886837403216202E-8</v>
      </c>
      <c r="BE318" s="144"/>
      <c r="BF318" s="144"/>
    </row>
    <row r="319" spans="24:58">
      <c r="X319" s="53" t="s">
        <v>547</v>
      </c>
      <c r="Y319" s="53" t="s">
        <v>548</v>
      </c>
      <c r="Z319" s="180">
        <v>43887</v>
      </c>
      <c r="AA319" s="183">
        <v>0.31578899999999999</v>
      </c>
      <c r="AB319" s="183">
        <v>34.648187999999998</v>
      </c>
      <c r="AC319" s="53" t="s">
        <v>661</v>
      </c>
      <c r="AD319" s="53" t="s">
        <v>330</v>
      </c>
      <c r="AE319" s="53" t="s">
        <v>347</v>
      </c>
      <c r="AF319" s="154" t="s">
        <v>371</v>
      </c>
      <c r="AG319" s="39" t="s">
        <v>688</v>
      </c>
      <c r="AH319" s="53" t="s">
        <v>535</v>
      </c>
      <c r="AI319" s="53" t="s">
        <v>739</v>
      </c>
      <c r="AJ319" s="53" t="s">
        <v>684</v>
      </c>
      <c r="AK319" s="53" t="s">
        <v>683</v>
      </c>
      <c r="AL319" s="53"/>
      <c r="AM319" s="156">
        <v>1.32</v>
      </c>
      <c r="AN319" s="191">
        <v>0.38</v>
      </c>
      <c r="AO319" s="192">
        <v>0.22</v>
      </c>
      <c r="AP319" s="193">
        <v>3.9E-2</v>
      </c>
      <c r="AQ319" s="192">
        <v>1.33</v>
      </c>
      <c r="AR319" s="158">
        <f t="shared" si="87"/>
        <v>1.2101784724076318E-5</v>
      </c>
      <c r="AS319" s="144">
        <f t="shared" si="87"/>
        <v>3.4838471175371224E-6</v>
      </c>
      <c r="AT319" s="144"/>
      <c r="AU319" s="144">
        <f t="shared" si="82"/>
        <v>4.0339282413587725E-7</v>
      </c>
      <c r="AV319" s="144">
        <f t="shared" si="83"/>
        <v>3.57552730484073E-7</v>
      </c>
      <c r="AW319" s="158">
        <f t="shared" si="83"/>
        <v>1.2193464911379927E-5</v>
      </c>
      <c r="AX319" s="144"/>
      <c r="AY319" s="160">
        <f t="shared" si="84"/>
        <v>8.0662298987492563E-7</v>
      </c>
      <c r="AZ319" s="144">
        <f t="shared" si="85"/>
        <v>7.7403216200119112E-9</v>
      </c>
      <c r="BA319" s="144"/>
      <c r="BB319" s="144">
        <f t="shared" si="86"/>
        <v>4.4812388326384755E-9</v>
      </c>
      <c r="BC319" s="144">
        <f t="shared" si="86"/>
        <v>7.9440142942227538E-10</v>
      </c>
      <c r="BD319" s="160">
        <f t="shared" si="86"/>
        <v>2.7091125670041692E-8</v>
      </c>
      <c r="BE319" s="144"/>
      <c r="BF319" s="144"/>
    </row>
    <row r="320" spans="24:58">
      <c r="X320" s="53" t="s">
        <v>549</v>
      </c>
      <c r="Y320" s="53" t="s">
        <v>550</v>
      </c>
      <c r="Z320" s="180">
        <v>43887</v>
      </c>
      <c r="AA320" s="53">
        <v>0.31646400000000002</v>
      </c>
      <c r="AB320" s="53">
        <v>34.649081000000002</v>
      </c>
      <c r="AC320" s="53" t="s">
        <v>661</v>
      </c>
      <c r="AD320" s="53" t="s">
        <v>330</v>
      </c>
      <c r="AE320" s="53" t="s">
        <v>347</v>
      </c>
      <c r="AF320" s="53" t="s">
        <v>371</v>
      </c>
      <c r="AG320" s="39" t="s">
        <v>688</v>
      </c>
      <c r="AH320" s="53" t="s">
        <v>535</v>
      </c>
      <c r="AI320" s="53" t="s">
        <v>739</v>
      </c>
      <c r="AJ320" s="53" t="s">
        <v>684</v>
      </c>
      <c r="AK320" s="53" t="s">
        <v>683</v>
      </c>
      <c r="AL320" s="53"/>
      <c r="AM320" s="156">
        <v>0.15</v>
      </c>
      <c r="AN320" s="191">
        <v>0.18</v>
      </c>
      <c r="AO320" s="192">
        <v>0.21</v>
      </c>
      <c r="AP320" s="193">
        <v>5.3999999999999999E-2</v>
      </c>
      <c r="AQ320" s="192">
        <v>1.5</v>
      </c>
      <c r="AR320" s="158">
        <f t="shared" si="87"/>
        <v>1.3752028095541269E-6</v>
      </c>
      <c r="AS320" s="144">
        <f t="shared" si="87"/>
        <v>1.6502433714649523E-6</v>
      </c>
      <c r="AT320" s="144"/>
      <c r="AU320" s="144">
        <f t="shared" si="82"/>
        <v>3.8505678667515559E-7</v>
      </c>
      <c r="AV320" s="144">
        <f t="shared" si="83"/>
        <v>4.9507301143948565E-7</v>
      </c>
      <c r="AW320" s="158">
        <f t="shared" si="83"/>
        <v>1.3752028095541271E-5</v>
      </c>
      <c r="AX320" s="144"/>
      <c r="AY320" s="160">
        <f t="shared" si="84"/>
        <v>9.1661703394877891E-8</v>
      </c>
      <c r="AZ320" s="144">
        <f t="shared" si="85"/>
        <v>3.6664681357951159E-9</v>
      </c>
      <c r="BA320" s="144"/>
      <c r="BB320" s="144">
        <f t="shared" si="86"/>
        <v>4.2775461584276358E-9</v>
      </c>
      <c r="BC320" s="144">
        <f t="shared" si="86"/>
        <v>1.0999404407385349E-9</v>
      </c>
      <c r="BD320" s="160">
        <f t="shared" si="86"/>
        <v>3.0553901131625964E-8</v>
      </c>
      <c r="BE320" s="144"/>
      <c r="BF320" s="144"/>
    </row>
    <row r="321" spans="24:58">
      <c r="X321" s="53" t="s">
        <v>551</v>
      </c>
      <c r="Y321" s="53" t="s">
        <v>552</v>
      </c>
      <c r="Z321" s="180">
        <v>43888</v>
      </c>
      <c r="AA321" s="53">
        <v>0.25118800000000002</v>
      </c>
      <c r="AB321" s="53">
        <v>34.723633</v>
      </c>
      <c r="AC321" s="53" t="s">
        <v>661</v>
      </c>
      <c r="AD321" s="53" t="s">
        <v>330</v>
      </c>
      <c r="AE321" s="53" t="s">
        <v>347</v>
      </c>
      <c r="AF321" s="53" t="s">
        <v>371</v>
      </c>
      <c r="AG321" s="39" t="s">
        <v>688</v>
      </c>
      <c r="AH321" s="53" t="s">
        <v>538</v>
      </c>
      <c r="AI321" s="53" t="s">
        <v>739</v>
      </c>
      <c r="AJ321" s="53" t="s">
        <v>726</v>
      </c>
      <c r="AK321" s="53" t="s">
        <v>727</v>
      </c>
      <c r="AL321" s="53"/>
      <c r="AM321" s="156">
        <v>0.12</v>
      </c>
      <c r="AN321" s="191">
        <v>0.13</v>
      </c>
      <c r="AO321" s="192">
        <v>0.6</v>
      </c>
      <c r="AP321" s="193">
        <v>2.5000000000000001E-2</v>
      </c>
      <c r="AQ321" s="192">
        <v>1.1599999999999999</v>
      </c>
      <c r="AR321" s="158">
        <f t="shared" si="87"/>
        <v>1.1001622476433016E-6</v>
      </c>
      <c r="AS321" s="144">
        <f t="shared" si="87"/>
        <v>1.1918424349469101E-6</v>
      </c>
      <c r="AT321" s="144"/>
      <c r="AU321" s="144">
        <f t="shared" si="82"/>
        <v>1.1001622476433014E-6</v>
      </c>
      <c r="AV321" s="144">
        <f t="shared" si="83"/>
        <v>2.2920046825902121E-7</v>
      </c>
      <c r="AW321" s="158">
        <f t="shared" si="83"/>
        <v>1.0634901727218582E-5</v>
      </c>
      <c r="AX321" s="144"/>
      <c r="AY321" s="160">
        <f t="shared" si="84"/>
        <v>7.3329362715902318E-8</v>
      </c>
      <c r="AZ321" s="144">
        <f t="shared" si="85"/>
        <v>2.6480047647409171E-9</v>
      </c>
      <c r="BA321" s="144"/>
      <c r="BB321" s="144">
        <f t="shared" si="86"/>
        <v>1.2221560452650387E-8</v>
      </c>
      <c r="BC321" s="144">
        <f t="shared" si="86"/>
        <v>5.0923168552709951E-10</v>
      </c>
      <c r="BD321" s="160">
        <f t="shared" si="86"/>
        <v>2.3628350208457413E-8</v>
      </c>
      <c r="BE321" s="144"/>
      <c r="BF321" s="144"/>
    </row>
    <row r="322" spans="24:58">
      <c r="X322" s="53" t="s">
        <v>553</v>
      </c>
      <c r="Y322" s="53" t="s">
        <v>554</v>
      </c>
      <c r="Z322" s="180">
        <v>43888</v>
      </c>
      <c r="AA322" s="53">
        <v>0.26495800000000003</v>
      </c>
      <c r="AB322" s="53">
        <v>34.729039</v>
      </c>
      <c r="AC322" s="53" t="s">
        <v>660</v>
      </c>
      <c r="AD322" s="53" t="s">
        <v>330</v>
      </c>
      <c r="AE322" s="53" t="s">
        <v>347</v>
      </c>
      <c r="AF322" s="53" t="s">
        <v>371</v>
      </c>
      <c r="AG322" s="116" t="s">
        <v>687</v>
      </c>
      <c r="AH322" s="53" t="s">
        <v>555</v>
      </c>
      <c r="AI322" s="53" t="s">
        <v>739</v>
      </c>
      <c r="AJ322" s="53" t="s">
        <v>684</v>
      </c>
      <c r="AK322" s="53" t="s">
        <v>683</v>
      </c>
      <c r="AL322" s="53"/>
      <c r="AM322" s="156">
        <v>0.06</v>
      </c>
      <c r="AN322" s="191">
        <v>0.21</v>
      </c>
      <c r="AO322" s="192">
        <v>0.38</v>
      </c>
      <c r="AP322" s="193">
        <v>4.3999999999999997E-2</v>
      </c>
      <c r="AQ322" s="157">
        <v>32.200000000000003</v>
      </c>
      <c r="AR322" s="158">
        <f t="shared" si="87"/>
        <v>5.5008112382165082E-7</v>
      </c>
      <c r="AS322" s="144">
        <f t="shared" si="87"/>
        <v>1.9252839333757778E-6</v>
      </c>
      <c r="AT322" s="144"/>
      <c r="AU322" s="144">
        <f t="shared" si="82"/>
        <v>6.9676942350742449E-7</v>
      </c>
      <c r="AV322" s="144">
        <f t="shared" si="83"/>
        <v>4.0339282413587731E-7</v>
      </c>
      <c r="AW322" s="158">
        <f t="shared" si="83"/>
        <v>2.9521020311761931E-4</v>
      </c>
      <c r="AX322" s="144"/>
      <c r="AY322" s="160">
        <f t="shared" si="84"/>
        <v>3.6664681357951159E-8</v>
      </c>
      <c r="AZ322" s="144">
        <f t="shared" si="85"/>
        <v>4.2775461584276358E-9</v>
      </c>
      <c r="BA322" s="144"/>
      <c r="BB322" s="144">
        <f t="shared" si="86"/>
        <v>7.7403216200119112E-9</v>
      </c>
      <c r="BC322" s="144">
        <f t="shared" si="86"/>
        <v>8.9624776652769491E-10</v>
      </c>
      <c r="BD322" s="160">
        <f t="shared" si="86"/>
        <v>6.5589041095890417E-7</v>
      </c>
      <c r="BE322" s="144"/>
      <c r="BF322" s="144"/>
    </row>
    <row r="323" spans="24:58">
      <c r="X323" s="53" t="s">
        <v>556</v>
      </c>
      <c r="Y323" s="53" t="s">
        <v>557</v>
      </c>
      <c r="Z323" s="180">
        <v>43888</v>
      </c>
      <c r="AA323" s="53">
        <v>0.21136199999999999</v>
      </c>
      <c r="AB323" s="53">
        <v>34.729503000000001</v>
      </c>
      <c r="AC323" s="53" t="s">
        <v>662</v>
      </c>
      <c r="AD323" s="53" t="s">
        <v>330</v>
      </c>
      <c r="AE323" s="53" t="s">
        <v>347</v>
      </c>
      <c r="AF323" s="53" t="s">
        <v>371</v>
      </c>
      <c r="AG323" s="116" t="s">
        <v>687</v>
      </c>
      <c r="AH323" s="53" t="s">
        <v>538</v>
      </c>
      <c r="AI323" s="53" t="s">
        <v>739</v>
      </c>
      <c r="AJ323" s="53" t="s">
        <v>726</v>
      </c>
      <c r="AK323" s="53" t="s">
        <v>727</v>
      </c>
      <c r="AL323" s="53"/>
      <c r="AM323" s="156">
        <v>8.09</v>
      </c>
      <c r="AN323" s="191">
        <v>0.24</v>
      </c>
      <c r="AO323" s="192">
        <v>0.51</v>
      </c>
      <c r="AP323" s="193">
        <v>4.9000000000000002E-2</v>
      </c>
      <c r="AQ323" s="192">
        <v>1.64</v>
      </c>
      <c r="AR323" s="158">
        <f t="shared" si="87"/>
        <v>7.4169271528619251E-5</v>
      </c>
      <c r="AS323" s="144">
        <f t="shared" si="87"/>
        <v>2.2003244952866033E-6</v>
      </c>
      <c r="AT323" s="144"/>
      <c r="AU323" s="144">
        <f t="shared" si="82"/>
        <v>9.3513791049680646E-7</v>
      </c>
      <c r="AV323" s="144">
        <f t="shared" si="83"/>
        <v>4.4923291778768151E-7</v>
      </c>
      <c r="AW323" s="158">
        <f t="shared" si="83"/>
        <v>1.503555071779179E-5</v>
      </c>
      <c r="AX323" s="144"/>
      <c r="AY323" s="160">
        <f t="shared" si="84"/>
        <v>4.9436212030970813E-6</v>
      </c>
      <c r="AZ323" s="144">
        <f t="shared" si="85"/>
        <v>4.8886241810601556E-9</v>
      </c>
      <c r="BA323" s="144"/>
      <c r="BB323" s="144">
        <f t="shared" si="86"/>
        <v>1.038832638475283E-8</v>
      </c>
      <c r="BC323" s="144">
        <f t="shared" si="86"/>
        <v>9.9809410363311506E-10</v>
      </c>
      <c r="BD323" s="160">
        <f t="shared" si="86"/>
        <v>3.3405598570577724E-8</v>
      </c>
      <c r="BE323" s="144"/>
      <c r="BF323" s="144"/>
    </row>
    <row r="324" spans="24:58">
      <c r="X324" s="53" t="s">
        <v>558</v>
      </c>
      <c r="Y324" s="53" t="s">
        <v>559</v>
      </c>
      <c r="Z324" s="180">
        <v>43888</v>
      </c>
      <c r="AA324" s="183">
        <v>0.20258399999999999</v>
      </c>
      <c r="AB324" s="183">
        <v>34.714993</v>
      </c>
      <c r="AC324" s="53" t="s">
        <v>662</v>
      </c>
      <c r="AD324" s="53" t="s">
        <v>330</v>
      </c>
      <c r="AE324" s="53" t="s">
        <v>347</v>
      </c>
      <c r="AF324" s="154" t="s">
        <v>371</v>
      </c>
      <c r="AG324" s="116" t="s">
        <v>687</v>
      </c>
      <c r="AH324" s="53" t="s">
        <v>535</v>
      </c>
      <c r="AI324" s="53" t="s">
        <v>739</v>
      </c>
      <c r="AJ324" s="53" t="s">
        <v>684</v>
      </c>
      <c r="AK324" s="53" t="s">
        <v>683</v>
      </c>
      <c r="AL324" s="53"/>
      <c r="AM324" s="156">
        <v>0.23</v>
      </c>
      <c r="AN324" s="191">
        <v>0.15</v>
      </c>
      <c r="AO324" s="192">
        <v>4.8899999999999997</v>
      </c>
      <c r="AP324" s="193">
        <v>4.8000000000000001E-2</v>
      </c>
      <c r="AQ324" s="192">
        <v>2.87</v>
      </c>
      <c r="AR324" s="158">
        <f t="shared" si="87"/>
        <v>2.1086443079829944E-6</v>
      </c>
      <c r="AS324" s="144">
        <f t="shared" si="87"/>
        <v>1.3752028095541269E-6</v>
      </c>
      <c r="AT324" s="144"/>
      <c r="AU324" s="144">
        <f t="shared" si="82"/>
        <v>8.9663223182929073E-6</v>
      </c>
      <c r="AV324" s="144">
        <f t="shared" si="83"/>
        <v>4.400648990573207E-7</v>
      </c>
      <c r="AW324" s="158">
        <f t="shared" si="83"/>
        <v>2.631221375613563E-5</v>
      </c>
      <c r="AX324" s="144"/>
      <c r="AY324" s="160">
        <f t="shared" si="84"/>
        <v>1.4054794520547943E-7</v>
      </c>
      <c r="AZ324" s="144">
        <f t="shared" si="85"/>
        <v>3.0553901131625969E-9</v>
      </c>
      <c r="BA324" s="144"/>
      <c r="BB324" s="144">
        <f t="shared" si="86"/>
        <v>9.9605717689100628E-8</v>
      </c>
      <c r="BC324" s="144">
        <f t="shared" si="86"/>
        <v>9.7772483621203109E-10</v>
      </c>
      <c r="BD324" s="160">
        <f t="shared" si="86"/>
        <v>5.8459797498511024E-8</v>
      </c>
      <c r="BE324" s="144"/>
      <c r="BF324" s="144"/>
    </row>
    <row r="325" spans="24:58">
      <c r="X325" s="53" t="s">
        <v>560</v>
      </c>
      <c r="Y325" s="53" t="s">
        <v>561</v>
      </c>
      <c r="Z325" s="180">
        <v>43889</v>
      </c>
      <c r="AA325" s="183">
        <v>0.18987899999999999</v>
      </c>
      <c r="AB325" s="183">
        <v>34.735692999999998</v>
      </c>
      <c r="AC325" s="53" t="s">
        <v>663</v>
      </c>
      <c r="AD325" s="53" t="s">
        <v>330</v>
      </c>
      <c r="AE325" s="53" t="s">
        <v>347</v>
      </c>
      <c r="AF325" s="154" t="s">
        <v>371</v>
      </c>
      <c r="AG325" s="116" t="s">
        <v>687</v>
      </c>
      <c r="AH325" s="53" t="s">
        <v>555</v>
      </c>
      <c r="AI325" s="53" t="s">
        <v>739</v>
      </c>
      <c r="AJ325" s="53" t="s">
        <v>684</v>
      </c>
      <c r="AK325" s="53" t="s">
        <v>683</v>
      </c>
      <c r="AL325" s="53"/>
      <c r="AM325" s="156">
        <v>12.97</v>
      </c>
      <c r="AN325" s="191">
        <v>0.16</v>
      </c>
      <c r="AO325" s="192">
        <v>0.08</v>
      </c>
      <c r="AP325" s="193">
        <v>0.122</v>
      </c>
      <c r="AQ325" s="192">
        <v>5.8</v>
      </c>
      <c r="AR325" s="158">
        <f t="shared" si="87"/>
        <v>1.1890920293278018E-4</v>
      </c>
      <c r="AS325" s="144">
        <f t="shared" si="87"/>
        <v>1.4668829968577357E-6</v>
      </c>
      <c r="AT325" s="144"/>
      <c r="AU325" s="144">
        <f t="shared" si="82"/>
        <v>1.4668829968577357E-7</v>
      </c>
      <c r="AV325" s="144">
        <f t="shared" si="83"/>
        <v>1.1184982851040233E-6</v>
      </c>
      <c r="AW325" s="158">
        <f t="shared" si="83"/>
        <v>5.3174508636092909E-5</v>
      </c>
      <c r="AX325" s="144"/>
      <c r="AY325" s="160">
        <f t="shared" si="84"/>
        <v>7.9256819535437751E-6</v>
      </c>
      <c r="AZ325" s="144">
        <f t="shared" si="85"/>
        <v>3.2590827873734365E-9</v>
      </c>
      <c r="BA325" s="144"/>
      <c r="BB325" s="144">
        <f t="shared" si="86"/>
        <v>1.6295413936867183E-9</v>
      </c>
      <c r="BC325" s="144">
        <f t="shared" si="86"/>
        <v>2.4850506253722458E-9</v>
      </c>
      <c r="BD325" s="160">
        <f t="shared" si="86"/>
        <v>1.1814175104228708E-7</v>
      </c>
      <c r="BE325" s="144"/>
      <c r="BF325" s="144"/>
    </row>
    <row r="326" spans="24:58">
      <c r="X326" s="53" t="s">
        <v>562</v>
      </c>
      <c r="Y326" s="53" t="s">
        <v>563</v>
      </c>
      <c r="Z326" s="180">
        <v>43889</v>
      </c>
      <c r="AA326" s="183">
        <v>0.18990299999999999</v>
      </c>
      <c r="AB326" s="183">
        <v>34.745731999999997</v>
      </c>
      <c r="AC326" s="161" t="s">
        <v>663</v>
      </c>
      <c r="AD326" s="53" t="s">
        <v>330</v>
      </c>
      <c r="AE326" s="53" t="s">
        <v>347</v>
      </c>
      <c r="AF326" s="154" t="s">
        <v>371</v>
      </c>
      <c r="AG326" s="116" t="s">
        <v>687</v>
      </c>
      <c r="AH326" s="53" t="s">
        <v>535</v>
      </c>
      <c r="AI326" s="53" t="s">
        <v>739</v>
      </c>
      <c r="AJ326" s="53" t="s">
        <v>684</v>
      </c>
      <c r="AK326" s="53" t="s">
        <v>683</v>
      </c>
      <c r="AL326" s="53"/>
      <c r="AM326" s="156">
        <v>1.63</v>
      </c>
      <c r="AN326" s="191">
        <v>0.18</v>
      </c>
      <c r="AO326" s="192">
        <v>0.51</v>
      </c>
      <c r="AP326" s="193">
        <v>4.4999999999999998E-2</v>
      </c>
      <c r="AQ326" s="192">
        <v>2.08</v>
      </c>
      <c r="AR326" s="158">
        <f t="shared" si="87"/>
        <v>1.4943870530488179E-5</v>
      </c>
      <c r="AS326" s="144">
        <f t="shared" si="87"/>
        <v>1.6502433714649523E-6</v>
      </c>
      <c r="AT326" s="144"/>
      <c r="AU326" s="144">
        <f t="shared" si="82"/>
        <v>9.3513791049680646E-7</v>
      </c>
      <c r="AV326" s="144">
        <f t="shared" si="83"/>
        <v>4.1256084286623806E-7</v>
      </c>
      <c r="AW326" s="158">
        <f t="shared" si="83"/>
        <v>1.9069478959150562E-5</v>
      </c>
      <c r="AX326" s="144"/>
      <c r="AY326" s="160">
        <f t="shared" si="84"/>
        <v>9.9605717689100662E-7</v>
      </c>
      <c r="AZ326" s="144">
        <f t="shared" si="85"/>
        <v>3.6664681357951159E-9</v>
      </c>
      <c r="BA326" s="144"/>
      <c r="BB326" s="144">
        <f t="shared" si="86"/>
        <v>1.038832638475283E-8</v>
      </c>
      <c r="BC326" s="144">
        <f t="shared" si="86"/>
        <v>9.1661703394877898E-10</v>
      </c>
      <c r="BD326" s="160">
        <f t="shared" si="86"/>
        <v>4.2368076235854673E-8</v>
      </c>
      <c r="BE326" s="144"/>
      <c r="BF326" s="144"/>
    </row>
    <row r="327" spans="24:58">
      <c r="X327" s="53" t="s">
        <v>564</v>
      </c>
      <c r="Y327" s="53" t="s">
        <v>565</v>
      </c>
      <c r="Z327" s="180">
        <v>43889</v>
      </c>
      <c r="AA327" s="183">
        <v>0.187274</v>
      </c>
      <c r="AB327" s="183">
        <v>34.735595000000004</v>
      </c>
      <c r="AC327" s="161" t="s">
        <v>663</v>
      </c>
      <c r="AD327" s="53" t="s">
        <v>330</v>
      </c>
      <c r="AE327" s="53" t="s">
        <v>347</v>
      </c>
      <c r="AF327" s="154" t="s">
        <v>371</v>
      </c>
      <c r="AG327" s="116" t="s">
        <v>687</v>
      </c>
      <c r="AH327" s="53" t="s">
        <v>527</v>
      </c>
      <c r="AI327" s="53" t="s">
        <v>740</v>
      </c>
      <c r="AJ327" s="53" t="s">
        <v>685</v>
      </c>
      <c r="AK327" s="53" t="s">
        <v>691</v>
      </c>
      <c r="AL327" s="53"/>
      <c r="AM327" s="156">
        <v>14.63</v>
      </c>
      <c r="AN327" s="191">
        <v>0.22</v>
      </c>
      <c r="AO327" s="192">
        <v>0.18</v>
      </c>
      <c r="AP327" s="193">
        <v>6.3E-2</v>
      </c>
      <c r="AQ327" s="192">
        <v>4.53</v>
      </c>
      <c r="AR327" s="158">
        <f t="shared" si="87"/>
        <v>1.3412811402517918E-4</v>
      </c>
      <c r="AS327" s="144">
        <f t="shared" si="87"/>
        <v>2.0169641206793863E-6</v>
      </c>
      <c r="AT327" s="144"/>
      <c r="AU327" s="144">
        <f t="shared" si="82"/>
        <v>3.3004867429299047E-7</v>
      </c>
      <c r="AV327" s="144">
        <f t="shared" si="83"/>
        <v>5.7758518001273335E-7</v>
      </c>
      <c r="AW327" s="158">
        <f t="shared" si="83"/>
        <v>4.1531124848534633E-5</v>
      </c>
      <c r="AX327" s="144"/>
      <c r="AY327" s="160">
        <f t="shared" si="84"/>
        <v>8.9400714711137588E-6</v>
      </c>
      <c r="AZ327" s="144">
        <f t="shared" si="85"/>
        <v>4.4812388326384755E-9</v>
      </c>
      <c r="BA327" s="144"/>
      <c r="BB327" s="144">
        <f t="shared" si="86"/>
        <v>3.6664681357951159E-9</v>
      </c>
      <c r="BC327" s="144">
        <f t="shared" si="86"/>
        <v>1.283263847528291E-9</v>
      </c>
      <c r="BD327" s="160">
        <f t="shared" si="86"/>
        <v>9.2272781417510423E-8</v>
      </c>
      <c r="BE327" s="144"/>
      <c r="BF327" s="144"/>
    </row>
    <row r="328" spans="24:58">
      <c r="X328" s="53" t="s">
        <v>566</v>
      </c>
      <c r="Y328" s="53" t="s">
        <v>567</v>
      </c>
      <c r="Z328" s="180">
        <v>43889</v>
      </c>
      <c r="AA328" s="183">
        <v>0.18942800000000001</v>
      </c>
      <c r="AB328" s="183">
        <v>34.740335999999999</v>
      </c>
      <c r="AC328" s="161" t="s">
        <v>665</v>
      </c>
      <c r="AD328" s="53" t="s">
        <v>330</v>
      </c>
      <c r="AE328" s="53" t="s">
        <v>347</v>
      </c>
      <c r="AF328" s="154" t="s">
        <v>371</v>
      </c>
      <c r="AG328" s="116" t="s">
        <v>687</v>
      </c>
      <c r="AH328" s="53" t="s">
        <v>538</v>
      </c>
      <c r="AI328" s="53" t="s">
        <v>739</v>
      </c>
      <c r="AJ328" s="53" t="s">
        <v>726</v>
      </c>
      <c r="AK328" s="53" t="s">
        <v>727</v>
      </c>
      <c r="AL328" s="53"/>
      <c r="AM328" s="156">
        <v>2.11</v>
      </c>
      <c r="AN328" s="191">
        <v>0.26</v>
      </c>
      <c r="AO328" s="192">
        <v>0.27</v>
      </c>
      <c r="AP328" s="193">
        <v>3.5999999999999997E-2</v>
      </c>
      <c r="AQ328" s="192">
        <v>1.75</v>
      </c>
      <c r="AR328" s="158">
        <f t="shared" si="87"/>
        <v>1.9344519521061387E-5</v>
      </c>
      <c r="AS328" s="144">
        <f t="shared" si="87"/>
        <v>2.3836848698938203E-6</v>
      </c>
      <c r="AT328" s="144"/>
      <c r="AU328" s="144">
        <f t="shared" si="82"/>
        <v>4.9507301143948576E-7</v>
      </c>
      <c r="AV328" s="144">
        <f t="shared" si="83"/>
        <v>3.3004867429299047E-7</v>
      </c>
      <c r="AW328" s="158">
        <f t="shared" si="83"/>
        <v>1.6044032778131484E-5</v>
      </c>
      <c r="AX328" s="144"/>
      <c r="AY328" s="160">
        <f t="shared" si="84"/>
        <v>1.2893746277546162E-6</v>
      </c>
      <c r="AZ328" s="144">
        <f t="shared" si="85"/>
        <v>5.2960095294818342E-9</v>
      </c>
      <c r="BA328" s="144"/>
      <c r="BB328" s="144">
        <f t="shared" si="86"/>
        <v>5.4997022036926739E-9</v>
      </c>
      <c r="BC328" s="144">
        <f t="shared" si="86"/>
        <v>7.3329362715902306E-10</v>
      </c>
      <c r="BD328" s="160">
        <f t="shared" si="86"/>
        <v>3.5646217986896953E-8</v>
      </c>
      <c r="BE328" s="144"/>
      <c r="BF328" s="144"/>
    </row>
    <row r="329" spans="24:58">
      <c r="X329" s="53" t="s">
        <v>568</v>
      </c>
      <c r="Y329" s="53" t="s">
        <v>569</v>
      </c>
      <c r="Z329" s="180">
        <v>43889</v>
      </c>
      <c r="AA329" s="183">
        <v>0.18878500000000001</v>
      </c>
      <c r="AB329" s="183">
        <v>34.739865000000002</v>
      </c>
      <c r="AC329" s="161" t="s">
        <v>665</v>
      </c>
      <c r="AD329" s="53" t="s">
        <v>330</v>
      </c>
      <c r="AE329" s="53" t="s">
        <v>347</v>
      </c>
      <c r="AF329" s="154" t="s">
        <v>371</v>
      </c>
      <c r="AG329" s="116" t="s">
        <v>687</v>
      </c>
      <c r="AH329" s="53" t="s">
        <v>538</v>
      </c>
      <c r="AI329" s="53" t="s">
        <v>739</v>
      </c>
      <c r="AJ329" s="53" t="s">
        <v>726</v>
      </c>
      <c r="AK329" s="53" t="s">
        <v>727</v>
      </c>
      <c r="AL329" s="53"/>
      <c r="AM329" s="156">
        <v>2.48</v>
      </c>
      <c r="AN329" s="191">
        <v>0.2</v>
      </c>
      <c r="AO329" s="192">
        <v>0.24</v>
      </c>
      <c r="AP329" s="193">
        <v>5.8999999999999997E-2</v>
      </c>
      <c r="AQ329" s="192">
        <v>2.68</v>
      </c>
      <c r="AR329" s="158">
        <f t="shared" si="87"/>
        <v>2.2736686451294896E-5</v>
      </c>
      <c r="AS329" s="144">
        <f t="shared" si="87"/>
        <v>1.8336037460721697E-6</v>
      </c>
      <c r="AT329" s="144"/>
      <c r="AU329" s="144">
        <f t="shared" si="82"/>
        <v>4.400648990573207E-7</v>
      </c>
      <c r="AV329" s="144">
        <f t="shared" si="83"/>
        <v>5.4091310509129001E-7</v>
      </c>
      <c r="AW329" s="158">
        <f t="shared" si="83"/>
        <v>2.4570290197367076E-5</v>
      </c>
      <c r="AX329" s="144"/>
      <c r="AY329" s="160">
        <f t="shared" si="84"/>
        <v>1.5154734961286479E-6</v>
      </c>
      <c r="AZ329" s="144">
        <f t="shared" si="85"/>
        <v>4.0738534842167961E-9</v>
      </c>
      <c r="BA329" s="144"/>
      <c r="BB329" s="144">
        <f t="shared" si="86"/>
        <v>4.8886241810601556E-9</v>
      </c>
      <c r="BC329" s="144">
        <f t="shared" si="86"/>
        <v>1.2017867778439545E-9</v>
      </c>
      <c r="BD329" s="160">
        <f t="shared" si="86"/>
        <v>5.4589636688505064E-8</v>
      </c>
      <c r="BE329" s="144"/>
      <c r="BF329" s="144"/>
    </row>
    <row r="330" spans="24:58">
      <c r="X330" s="53" t="s">
        <v>570</v>
      </c>
      <c r="Y330" s="53" t="s">
        <v>571</v>
      </c>
      <c r="Z330" s="180">
        <v>43889</v>
      </c>
      <c r="AA330" s="183">
        <v>0.19486300000000001</v>
      </c>
      <c r="AB330" s="183">
        <v>34.750653</v>
      </c>
      <c r="AC330" s="161" t="s">
        <v>666</v>
      </c>
      <c r="AD330" s="53" t="s">
        <v>330</v>
      </c>
      <c r="AE330" s="53" t="s">
        <v>347</v>
      </c>
      <c r="AF330" s="154" t="s">
        <v>371</v>
      </c>
      <c r="AG330" s="116" t="s">
        <v>687</v>
      </c>
      <c r="AH330" s="53" t="s">
        <v>728</v>
      </c>
      <c r="AI330" s="53" t="s">
        <v>739</v>
      </c>
      <c r="AJ330" s="53" t="s">
        <v>726</v>
      </c>
      <c r="AK330" s="53" t="s">
        <v>727</v>
      </c>
      <c r="AL330" s="53"/>
      <c r="AM330" s="156">
        <v>22.1</v>
      </c>
      <c r="AN330" s="191">
        <v>0.52</v>
      </c>
      <c r="AO330" s="192">
        <v>0.88</v>
      </c>
      <c r="AP330" s="193">
        <v>7.0999999999999994E-2</v>
      </c>
      <c r="AQ330" s="192">
        <v>0.89</v>
      </c>
      <c r="AR330" s="158">
        <f t="shared" si="87"/>
        <v>2.0261321394097475E-4</v>
      </c>
      <c r="AS330" s="144">
        <f t="shared" si="87"/>
        <v>4.7673697397876406E-6</v>
      </c>
      <c r="AT330" s="144"/>
      <c r="AU330" s="144">
        <f t="shared" si="82"/>
        <v>1.613571296543509E-6</v>
      </c>
      <c r="AV330" s="144">
        <f t="shared" si="83"/>
        <v>6.5092932985562003E-7</v>
      </c>
      <c r="AW330" s="158">
        <f t="shared" si="83"/>
        <v>8.1595366700211544E-6</v>
      </c>
      <c r="AX330" s="144"/>
      <c r="AY330" s="160">
        <f t="shared" si="84"/>
        <v>1.3504824300178677E-5</v>
      </c>
      <c r="AZ330" s="144">
        <f t="shared" si="85"/>
        <v>1.0592019058963668E-8</v>
      </c>
      <c r="BA330" s="144"/>
      <c r="BB330" s="144">
        <f t="shared" si="86"/>
        <v>1.7924955330553902E-8</v>
      </c>
      <c r="BC330" s="144">
        <f t="shared" si="86"/>
        <v>1.4462179868969626E-9</v>
      </c>
      <c r="BD330" s="160">
        <f t="shared" si="86"/>
        <v>1.8128648004764742E-8</v>
      </c>
      <c r="BE330" s="144"/>
      <c r="BF330" s="144"/>
    </row>
    <row r="331" spans="24:58">
      <c r="X331" s="53" t="s">
        <v>572</v>
      </c>
      <c r="Y331" s="53" t="s">
        <v>573</v>
      </c>
      <c r="Z331" s="180">
        <v>43889</v>
      </c>
      <c r="AA331" s="183">
        <v>0.19523199999999999</v>
      </c>
      <c r="AB331" s="183">
        <v>34.751345000000001</v>
      </c>
      <c r="AC331" s="161" t="s">
        <v>666</v>
      </c>
      <c r="AD331" s="53" t="s">
        <v>330</v>
      </c>
      <c r="AE331" s="53" t="s">
        <v>347</v>
      </c>
      <c r="AF331" s="154" t="s">
        <v>371</v>
      </c>
      <c r="AG331" s="116" t="s">
        <v>687</v>
      </c>
      <c r="AH331" s="53" t="s">
        <v>555</v>
      </c>
      <c r="AI331" s="53" t="s">
        <v>739</v>
      </c>
      <c r="AJ331" s="53" t="s">
        <v>684</v>
      </c>
      <c r="AK331" s="53" t="s">
        <v>683</v>
      </c>
      <c r="AL331" s="53"/>
      <c r="AM331" s="156">
        <v>17.170000000000002</v>
      </c>
      <c r="AN331" s="191">
        <v>0.13</v>
      </c>
      <c r="AO331" s="192">
        <v>0.77</v>
      </c>
      <c r="AP331" s="193">
        <v>4.7E-2</v>
      </c>
      <c r="AQ331" s="192">
        <v>1.2</v>
      </c>
      <c r="AR331" s="158">
        <f t="shared" si="87"/>
        <v>1.5741488160029576E-4</v>
      </c>
      <c r="AS331" s="144">
        <f t="shared" si="87"/>
        <v>1.1918424349469101E-6</v>
      </c>
      <c r="AT331" s="144"/>
      <c r="AU331" s="144">
        <f t="shared" si="82"/>
        <v>1.4118748844755706E-6</v>
      </c>
      <c r="AV331" s="144">
        <f t="shared" si="83"/>
        <v>4.3089688032695979E-7</v>
      </c>
      <c r="AW331" s="158">
        <f t="shared" si="83"/>
        <v>1.1001622476433016E-5</v>
      </c>
      <c r="AX331" s="144"/>
      <c r="AY331" s="160">
        <f t="shared" si="84"/>
        <v>1.049220964860036E-5</v>
      </c>
      <c r="AZ331" s="144">
        <f t="shared" si="85"/>
        <v>2.6480047647409171E-9</v>
      </c>
      <c r="BA331" s="144"/>
      <c r="BB331" s="144">
        <f t="shared" si="86"/>
        <v>1.5684335914234666E-8</v>
      </c>
      <c r="BC331" s="144">
        <f t="shared" si="86"/>
        <v>9.5735556879094671E-10</v>
      </c>
      <c r="BD331" s="160">
        <f t="shared" si="86"/>
        <v>2.4443120905300775E-8</v>
      </c>
      <c r="BE331" s="144"/>
      <c r="BF331" s="144"/>
    </row>
    <row r="332" spans="24:58">
      <c r="X332" s="53" t="s">
        <v>574</v>
      </c>
      <c r="Y332" s="53" t="s">
        <v>573</v>
      </c>
      <c r="Z332" s="180">
        <v>43889</v>
      </c>
      <c r="AA332" s="183">
        <v>0.19523199999999999</v>
      </c>
      <c r="AB332" s="183">
        <v>34.751345000000001</v>
      </c>
      <c r="AC332" s="161" t="s">
        <v>666</v>
      </c>
      <c r="AD332" s="53" t="s">
        <v>330</v>
      </c>
      <c r="AE332" s="53" t="s">
        <v>347</v>
      </c>
      <c r="AF332" s="154" t="s">
        <v>371</v>
      </c>
      <c r="AG332" s="116" t="s">
        <v>687</v>
      </c>
      <c r="AH332" s="53" t="s">
        <v>555</v>
      </c>
      <c r="AI332" s="53" t="s">
        <v>739</v>
      </c>
      <c r="AJ332" s="53" t="s">
        <v>684</v>
      </c>
      <c r="AK332" s="53" t="s">
        <v>683</v>
      </c>
      <c r="AL332" s="53"/>
      <c r="AM332" s="156">
        <v>17.09</v>
      </c>
      <c r="AN332" s="191">
        <v>0.02</v>
      </c>
      <c r="AO332" s="192">
        <v>0.72</v>
      </c>
      <c r="AP332" s="193">
        <v>1.9E-2</v>
      </c>
      <c r="AQ332" s="192">
        <v>1.1100000000000001</v>
      </c>
      <c r="AR332" s="158">
        <f t="shared" si="87"/>
        <v>1.5668144010186688E-4</v>
      </c>
      <c r="AS332" s="144">
        <f t="shared" si="87"/>
        <v>1.8336037460721696E-7</v>
      </c>
      <c r="AT332" s="144"/>
      <c r="AU332" s="144">
        <f t="shared" si="82"/>
        <v>1.3201946971719619E-6</v>
      </c>
      <c r="AV332" s="144">
        <f t="shared" si="83"/>
        <v>1.741923558768561E-7</v>
      </c>
      <c r="AW332" s="158">
        <f t="shared" si="83"/>
        <v>1.017650079070054E-5</v>
      </c>
      <c r="AX332" s="144"/>
      <c r="AY332" s="160">
        <f t="shared" si="84"/>
        <v>1.0443323406789752E-5</v>
      </c>
      <c r="AZ332" s="144">
        <f t="shared" si="85"/>
        <v>4.0738534842167957E-10</v>
      </c>
      <c r="BA332" s="144"/>
      <c r="BB332" s="144">
        <f t="shared" si="86"/>
        <v>1.4665872543180464E-8</v>
      </c>
      <c r="BC332" s="144">
        <f t="shared" si="86"/>
        <v>3.8701608100059555E-10</v>
      </c>
      <c r="BD332" s="160">
        <f t="shared" si="86"/>
        <v>2.260988683740322E-8</v>
      </c>
      <c r="BE332" s="144"/>
      <c r="BF332" s="144"/>
    </row>
    <row r="333" spans="24:58">
      <c r="X333" s="53" t="s">
        <v>575</v>
      </c>
      <c r="Y333" s="53" t="s">
        <v>576</v>
      </c>
      <c r="Z333" s="180">
        <v>43890</v>
      </c>
      <c r="AA333" s="183">
        <v>0.224908</v>
      </c>
      <c r="AB333" s="183">
        <v>34.799022000000001</v>
      </c>
      <c r="AC333" s="53" t="s">
        <v>667</v>
      </c>
      <c r="AD333" s="53" t="s">
        <v>330</v>
      </c>
      <c r="AE333" s="53" t="s">
        <v>347</v>
      </c>
      <c r="AF333" s="154" t="s">
        <v>371</v>
      </c>
      <c r="AG333" s="116" t="s">
        <v>687</v>
      </c>
      <c r="AH333" s="53" t="s">
        <v>535</v>
      </c>
      <c r="AI333" s="53" t="s">
        <v>739</v>
      </c>
      <c r="AJ333" s="53" t="s">
        <v>684</v>
      </c>
      <c r="AK333" s="53" t="s">
        <v>683</v>
      </c>
      <c r="AL333" s="53"/>
      <c r="AM333" s="156">
        <v>3.36</v>
      </c>
      <c r="AN333" s="191">
        <v>0.13</v>
      </c>
      <c r="AO333" s="192">
        <v>2.35</v>
      </c>
      <c r="AP333" s="193">
        <v>5.6000000000000001E-2</v>
      </c>
      <c r="AQ333" s="192">
        <v>3.49</v>
      </c>
      <c r="AR333" s="158">
        <f t="shared" si="87"/>
        <v>3.0804542934012444E-5</v>
      </c>
      <c r="AS333" s="144">
        <f t="shared" si="87"/>
        <v>1.1918424349469101E-6</v>
      </c>
      <c r="AT333" s="144"/>
      <c r="AU333" s="144">
        <f t="shared" si="82"/>
        <v>4.3089688032695972E-6</v>
      </c>
      <c r="AV333" s="144">
        <f t="shared" si="83"/>
        <v>5.1340904890020738E-7</v>
      </c>
      <c r="AW333" s="158">
        <f t="shared" si="83"/>
        <v>3.1996385368959356E-5</v>
      </c>
      <c r="AX333" s="144"/>
      <c r="AY333" s="160">
        <f t="shared" si="84"/>
        <v>2.0532221560452646E-6</v>
      </c>
      <c r="AZ333" s="144">
        <f t="shared" si="85"/>
        <v>2.6480047647409171E-9</v>
      </c>
      <c r="BA333" s="144"/>
      <c r="BB333" s="144">
        <f t="shared" si="86"/>
        <v>4.7867778439547351E-8</v>
      </c>
      <c r="BC333" s="144">
        <f t="shared" si="86"/>
        <v>1.1406789755807028E-9</v>
      </c>
      <c r="BD333" s="160">
        <f t="shared" si="86"/>
        <v>7.1088743299583089E-8</v>
      </c>
      <c r="BE333" s="144"/>
      <c r="BF333" s="144"/>
    </row>
    <row r="334" spans="24:58">
      <c r="X334" s="53" t="s">
        <v>577</v>
      </c>
      <c r="Y334" s="53" t="s">
        <v>578</v>
      </c>
      <c r="Z334" s="180">
        <v>43890</v>
      </c>
      <c r="AA334" s="183">
        <v>0.22484799999999999</v>
      </c>
      <c r="AB334" s="183">
        <v>34.799002999999999</v>
      </c>
      <c r="AC334" s="53" t="s">
        <v>667</v>
      </c>
      <c r="AD334" s="53" t="s">
        <v>330</v>
      </c>
      <c r="AE334" s="53" t="s">
        <v>347</v>
      </c>
      <c r="AF334" s="154" t="s">
        <v>371</v>
      </c>
      <c r="AG334" s="116" t="s">
        <v>687</v>
      </c>
      <c r="AH334" s="53" t="s">
        <v>535</v>
      </c>
      <c r="AI334" s="53" t="s">
        <v>739</v>
      </c>
      <c r="AJ334" s="53" t="s">
        <v>684</v>
      </c>
      <c r="AK334" s="53" t="s">
        <v>683</v>
      </c>
      <c r="AL334" s="53"/>
      <c r="AM334" s="156">
        <v>4.88</v>
      </c>
      <c r="AN334" s="191">
        <v>0.25</v>
      </c>
      <c r="AO334" s="192">
        <v>0.8</v>
      </c>
      <c r="AP334" s="193">
        <v>9.6000000000000002E-2</v>
      </c>
      <c r="AQ334" s="192">
        <v>3.73</v>
      </c>
      <c r="AR334" s="158">
        <f t="shared" si="87"/>
        <v>4.473993140416093E-5</v>
      </c>
      <c r="AS334" s="144">
        <f t="shared" si="87"/>
        <v>2.2920046825902114E-6</v>
      </c>
      <c r="AT334" s="144"/>
      <c r="AU334" s="144">
        <f t="shared" si="82"/>
        <v>1.4668829968577357E-6</v>
      </c>
      <c r="AV334" s="144">
        <f t="shared" si="83"/>
        <v>8.801297981146414E-7</v>
      </c>
      <c r="AW334" s="158">
        <f t="shared" si="83"/>
        <v>3.419670986424596E-5</v>
      </c>
      <c r="AX334" s="144"/>
      <c r="AY334" s="160">
        <f t="shared" si="84"/>
        <v>2.9820607504466938E-6</v>
      </c>
      <c r="AZ334" s="144">
        <f t="shared" si="85"/>
        <v>5.0923168552709945E-9</v>
      </c>
      <c r="BA334" s="144"/>
      <c r="BB334" s="144">
        <f t="shared" si="86"/>
        <v>1.6295413936867184E-8</v>
      </c>
      <c r="BC334" s="144">
        <f t="shared" si="86"/>
        <v>1.9554496724240622E-9</v>
      </c>
      <c r="BD334" s="160">
        <f t="shared" si="86"/>
        <v>7.5977367480643222E-8</v>
      </c>
      <c r="BE334" s="144"/>
      <c r="BF334" s="144"/>
    </row>
    <row r="335" spans="24:58">
      <c r="X335" s="53" t="s">
        <v>579</v>
      </c>
      <c r="Y335" s="53" t="s">
        <v>580</v>
      </c>
      <c r="Z335" s="180">
        <v>43890</v>
      </c>
      <c r="AA335" s="183">
        <v>0.21770700000000001</v>
      </c>
      <c r="AB335" s="183">
        <v>34.802644000000001</v>
      </c>
      <c r="AC335" s="53" t="s">
        <v>667</v>
      </c>
      <c r="AD335" s="53" t="s">
        <v>330</v>
      </c>
      <c r="AE335" s="53" t="s">
        <v>347</v>
      </c>
      <c r="AF335" s="154" t="s">
        <v>371</v>
      </c>
      <c r="AG335" s="116" t="s">
        <v>687</v>
      </c>
      <c r="AH335" s="53" t="s">
        <v>535</v>
      </c>
      <c r="AI335" s="53" t="s">
        <v>739</v>
      </c>
      <c r="AJ335" s="53" t="s">
        <v>684</v>
      </c>
      <c r="AK335" s="53" t="s">
        <v>683</v>
      </c>
      <c r="AL335" s="53"/>
      <c r="AM335" s="156">
        <v>1.2</v>
      </c>
      <c r="AN335" s="191">
        <v>0.22</v>
      </c>
      <c r="AO335" s="192">
        <v>0.23</v>
      </c>
      <c r="AP335" s="193">
        <v>4.2999999999999997E-2</v>
      </c>
      <c r="AQ335" s="192">
        <v>1.2</v>
      </c>
      <c r="AR335" s="158">
        <f t="shared" si="87"/>
        <v>1.1001622476433016E-5</v>
      </c>
      <c r="AS335" s="144">
        <f t="shared" si="87"/>
        <v>2.0169641206793863E-6</v>
      </c>
      <c r="AT335" s="144"/>
      <c r="AU335" s="144">
        <f t="shared" si="82"/>
        <v>4.2172886159659898E-7</v>
      </c>
      <c r="AV335" s="144">
        <f t="shared" si="83"/>
        <v>3.9422480540551639E-7</v>
      </c>
      <c r="AW335" s="158">
        <f t="shared" si="83"/>
        <v>1.1001622476433016E-5</v>
      </c>
      <c r="AX335" s="144"/>
      <c r="AY335" s="160">
        <f t="shared" si="84"/>
        <v>7.3329362715902313E-7</v>
      </c>
      <c r="AZ335" s="144">
        <f t="shared" si="85"/>
        <v>4.4812388326384755E-9</v>
      </c>
      <c r="BA335" s="144"/>
      <c r="BB335" s="144">
        <f t="shared" si="86"/>
        <v>4.6849315068493143E-9</v>
      </c>
      <c r="BC335" s="144">
        <f t="shared" si="86"/>
        <v>8.7587849910661094E-10</v>
      </c>
      <c r="BD335" s="160">
        <f t="shared" si="86"/>
        <v>2.4443120905300775E-8</v>
      </c>
      <c r="BE335" s="144"/>
      <c r="BF335" s="144"/>
    </row>
    <row r="336" spans="24:58">
      <c r="X336" s="53" t="s">
        <v>581</v>
      </c>
      <c r="Y336" s="53" t="s">
        <v>582</v>
      </c>
      <c r="Z336" s="180">
        <v>43890</v>
      </c>
      <c r="AA336" s="183">
        <v>0.21793199999999999</v>
      </c>
      <c r="AB336" s="183">
        <v>34.802683999999999</v>
      </c>
      <c r="AC336" s="53" t="s">
        <v>667</v>
      </c>
      <c r="AD336" s="53" t="s">
        <v>330</v>
      </c>
      <c r="AE336" s="53" t="s">
        <v>347</v>
      </c>
      <c r="AF336" s="154" t="s">
        <v>371</v>
      </c>
      <c r="AG336" s="116" t="s">
        <v>687</v>
      </c>
      <c r="AH336" s="53" t="s">
        <v>535</v>
      </c>
      <c r="AI336" s="53" t="s">
        <v>739</v>
      </c>
      <c r="AJ336" s="53" t="s">
        <v>684</v>
      </c>
      <c r="AK336" s="53" t="s">
        <v>683</v>
      </c>
      <c r="AL336" s="53"/>
      <c r="AM336" s="156">
        <v>6.12</v>
      </c>
      <c r="AN336" s="191">
        <v>7.0000000000000007E-2</v>
      </c>
      <c r="AO336" s="192">
        <v>0.08</v>
      </c>
      <c r="AP336" s="193">
        <v>7.0000000000000001E-3</v>
      </c>
      <c r="AQ336" s="192">
        <v>1.21</v>
      </c>
      <c r="AR336" s="158">
        <f t="shared" si="87"/>
        <v>5.6108274629808375E-5</v>
      </c>
      <c r="AS336" s="144">
        <f t="shared" si="87"/>
        <v>6.4176131112525933E-7</v>
      </c>
      <c r="AT336" s="144"/>
      <c r="AU336" s="144">
        <f t="shared" si="82"/>
        <v>1.4668829968577357E-7</v>
      </c>
      <c r="AV336" s="144">
        <f t="shared" si="83"/>
        <v>6.4176131112525922E-8</v>
      </c>
      <c r="AW336" s="158">
        <f t="shared" si="83"/>
        <v>1.1093302663736625E-5</v>
      </c>
      <c r="AX336" s="144"/>
      <c r="AY336" s="160">
        <f t="shared" si="84"/>
        <v>3.7397974985110177E-6</v>
      </c>
      <c r="AZ336" s="144">
        <f t="shared" si="85"/>
        <v>1.4258487194758788E-9</v>
      </c>
      <c r="BA336" s="144"/>
      <c r="BB336" s="144">
        <f t="shared" si="86"/>
        <v>1.6295413936867183E-9</v>
      </c>
      <c r="BC336" s="144">
        <f t="shared" si="86"/>
        <v>1.4258487194758785E-10</v>
      </c>
      <c r="BD336" s="160">
        <f t="shared" si="86"/>
        <v>2.4646813579511619E-8</v>
      </c>
      <c r="BE336" s="144"/>
      <c r="BF336" s="144"/>
    </row>
    <row r="337" spans="24:58">
      <c r="X337" s="53" t="s">
        <v>583</v>
      </c>
      <c r="Y337" s="53" t="s">
        <v>584</v>
      </c>
      <c r="Z337" s="180">
        <v>43890</v>
      </c>
      <c r="AA337" s="183">
        <v>0.218167</v>
      </c>
      <c r="AB337" s="183">
        <v>34.802627999999999</v>
      </c>
      <c r="AC337" s="53" t="s">
        <v>667</v>
      </c>
      <c r="AD337" s="53" t="s">
        <v>330</v>
      </c>
      <c r="AE337" s="53" t="s">
        <v>347</v>
      </c>
      <c r="AF337" s="154" t="s">
        <v>371</v>
      </c>
      <c r="AG337" s="116" t="s">
        <v>687</v>
      </c>
      <c r="AH337" s="53" t="s">
        <v>530</v>
      </c>
      <c r="AI337" s="53" t="s">
        <v>740</v>
      </c>
      <c r="AJ337" s="53" t="s">
        <v>684</v>
      </c>
      <c r="AK337" s="53" t="s">
        <v>683</v>
      </c>
      <c r="AL337" s="53"/>
      <c r="AM337" s="156">
        <v>3.13</v>
      </c>
      <c r="AN337" s="191">
        <v>0.17</v>
      </c>
      <c r="AO337" s="192">
        <v>0.13</v>
      </c>
      <c r="AP337" s="193">
        <v>1.4E-2</v>
      </c>
      <c r="AQ337" s="192">
        <v>1.33</v>
      </c>
      <c r="AR337" s="158">
        <f t="shared" si="87"/>
        <v>2.8695898626029453E-5</v>
      </c>
      <c r="AS337" s="144">
        <f t="shared" si="87"/>
        <v>1.558563184161344E-6</v>
      </c>
      <c r="AT337" s="144"/>
      <c r="AU337" s="144">
        <f t="shared" si="82"/>
        <v>2.3836848698938197E-7</v>
      </c>
      <c r="AV337" s="144">
        <f t="shared" si="83"/>
        <v>1.2835226222505184E-7</v>
      </c>
      <c r="AW337" s="158">
        <f t="shared" si="83"/>
        <v>1.2193464911379927E-5</v>
      </c>
      <c r="AX337" s="144"/>
      <c r="AY337" s="160">
        <f t="shared" si="84"/>
        <v>1.9126742108397855E-6</v>
      </c>
      <c r="AZ337" s="144">
        <f t="shared" si="85"/>
        <v>3.4627754615842762E-9</v>
      </c>
      <c r="BA337" s="144"/>
      <c r="BB337" s="144">
        <f t="shared" si="86"/>
        <v>2.6480047647409171E-9</v>
      </c>
      <c r="BC337" s="144">
        <f t="shared" si="86"/>
        <v>2.8516974389517571E-10</v>
      </c>
      <c r="BD337" s="160">
        <f t="shared" si="86"/>
        <v>2.7091125670041692E-8</v>
      </c>
      <c r="BE337" s="144"/>
      <c r="BF337" s="144"/>
    </row>
    <row r="338" spans="24:58">
      <c r="X338" s="53" t="s">
        <v>585</v>
      </c>
      <c r="Y338" s="53" t="s">
        <v>586</v>
      </c>
      <c r="Z338" s="180">
        <v>43890</v>
      </c>
      <c r="AA338" s="183">
        <v>0.16252800000000001</v>
      </c>
      <c r="AB338" s="183">
        <v>34.760970999999998</v>
      </c>
      <c r="AC338" s="53" t="s">
        <v>668</v>
      </c>
      <c r="AD338" s="53" t="s">
        <v>330</v>
      </c>
      <c r="AE338" s="53" t="s">
        <v>347</v>
      </c>
      <c r="AF338" s="154" t="s">
        <v>371</v>
      </c>
      <c r="AG338" s="116" t="s">
        <v>687</v>
      </c>
      <c r="AH338" s="53" t="s">
        <v>538</v>
      </c>
      <c r="AI338" s="53" t="s">
        <v>739</v>
      </c>
      <c r="AJ338" s="53" t="s">
        <v>726</v>
      </c>
      <c r="AK338" s="53" t="s">
        <v>727</v>
      </c>
      <c r="AL338" s="53"/>
      <c r="AM338" s="156">
        <v>0.19</v>
      </c>
      <c r="AN338" s="191">
        <v>0.1</v>
      </c>
      <c r="AO338" s="192">
        <v>0.11</v>
      </c>
      <c r="AP338" s="193">
        <v>8.0000000000000002E-3</v>
      </c>
      <c r="AQ338" s="192">
        <v>0.32</v>
      </c>
      <c r="AR338" s="158">
        <f t="shared" si="87"/>
        <v>1.7419235587685612E-6</v>
      </c>
      <c r="AS338" s="144">
        <f t="shared" si="87"/>
        <v>9.1680187303608484E-7</v>
      </c>
      <c r="AT338" s="144"/>
      <c r="AU338" s="144">
        <f t="shared" si="82"/>
        <v>2.0169641206793863E-7</v>
      </c>
      <c r="AV338" s="144">
        <f t="shared" si="83"/>
        <v>7.334414984288677E-8</v>
      </c>
      <c r="AW338" s="158">
        <f t="shared" si="83"/>
        <v>2.9337659937154713E-6</v>
      </c>
      <c r="AX338" s="144"/>
      <c r="AY338" s="160">
        <f t="shared" si="84"/>
        <v>1.1610482430017867E-7</v>
      </c>
      <c r="AZ338" s="144">
        <f t="shared" si="85"/>
        <v>2.036926742108398E-9</v>
      </c>
      <c r="BA338" s="144"/>
      <c r="BB338" s="144">
        <f t="shared" si="86"/>
        <v>2.2406194163192377E-9</v>
      </c>
      <c r="BC338" s="144">
        <f t="shared" si="86"/>
        <v>1.6295413936867185E-10</v>
      </c>
      <c r="BD338" s="160">
        <f t="shared" si="86"/>
        <v>6.5181655747468731E-9</v>
      </c>
      <c r="BE338" s="144"/>
      <c r="BF338" s="144"/>
    </row>
    <row r="339" spans="24:58">
      <c r="X339" s="53" t="s">
        <v>587</v>
      </c>
      <c r="Y339" s="53" t="s">
        <v>588</v>
      </c>
      <c r="Z339" s="180">
        <v>43890</v>
      </c>
      <c r="AA339" s="183">
        <v>0.16381399999999999</v>
      </c>
      <c r="AB339" s="183">
        <v>34.761139</v>
      </c>
      <c r="AC339" s="53" t="s">
        <v>669</v>
      </c>
      <c r="AD339" s="53" t="s">
        <v>330</v>
      </c>
      <c r="AE339" s="53" t="s">
        <v>347</v>
      </c>
      <c r="AF339" s="154" t="s">
        <v>371</v>
      </c>
      <c r="AG339" s="116" t="s">
        <v>687</v>
      </c>
      <c r="AH339" s="53" t="s">
        <v>527</v>
      </c>
      <c r="AI339" s="53" t="s">
        <v>740</v>
      </c>
      <c r="AJ339" s="53" t="s">
        <v>685</v>
      </c>
      <c r="AK339" s="53" t="s">
        <v>691</v>
      </c>
      <c r="AL339" s="53"/>
      <c r="AM339" s="156">
        <v>2.29</v>
      </c>
      <c r="AN339" s="191">
        <v>0.35</v>
      </c>
      <c r="AO339" s="192">
        <v>0.76</v>
      </c>
      <c r="AP339" s="193">
        <v>3.9E-2</v>
      </c>
      <c r="AQ339" s="192">
        <v>5.03</v>
      </c>
      <c r="AR339" s="158">
        <f t="shared" si="87"/>
        <v>2.0994762892526338E-5</v>
      </c>
      <c r="AS339" s="144">
        <f t="shared" si="87"/>
        <v>3.2088065556262964E-6</v>
      </c>
      <c r="AT339" s="144"/>
      <c r="AU339" s="144">
        <f t="shared" si="82"/>
        <v>1.393538847014849E-6</v>
      </c>
      <c r="AV339" s="144">
        <f t="shared" si="83"/>
        <v>3.57552730484073E-7</v>
      </c>
      <c r="AW339" s="158">
        <f t="shared" si="83"/>
        <v>4.6115134213715067E-5</v>
      </c>
      <c r="AX339" s="144"/>
      <c r="AY339" s="160">
        <f t="shared" si="84"/>
        <v>1.399368671828469E-6</v>
      </c>
      <c r="AZ339" s="144">
        <f t="shared" si="85"/>
        <v>7.129243597379393E-9</v>
      </c>
      <c r="BA339" s="144"/>
      <c r="BB339" s="144">
        <f t="shared" si="86"/>
        <v>1.5480643240023822E-8</v>
      </c>
      <c r="BC339" s="144">
        <f t="shared" si="86"/>
        <v>7.9440142942227538E-10</v>
      </c>
      <c r="BD339" s="160">
        <f t="shared" si="86"/>
        <v>1.024574151280524E-7</v>
      </c>
      <c r="BE339" s="144"/>
      <c r="BF339" s="144"/>
    </row>
    <row r="340" spans="24:58">
      <c r="X340" s="53" t="s">
        <v>589</v>
      </c>
      <c r="Y340" s="53" t="s">
        <v>590</v>
      </c>
      <c r="Z340" s="180">
        <v>43890</v>
      </c>
      <c r="AA340" s="183">
        <v>0.105117</v>
      </c>
      <c r="AB340" s="183">
        <v>34.698954000000001</v>
      </c>
      <c r="AC340" s="53" t="s">
        <v>359</v>
      </c>
      <c r="AD340" s="53" t="s">
        <v>334</v>
      </c>
      <c r="AE340" s="53" t="s">
        <v>347</v>
      </c>
      <c r="AF340" s="154" t="s">
        <v>371</v>
      </c>
      <c r="AG340" s="116" t="s">
        <v>687</v>
      </c>
      <c r="AH340" s="53" t="s">
        <v>527</v>
      </c>
      <c r="AI340" s="53" t="s">
        <v>740</v>
      </c>
      <c r="AJ340" s="53" t="s">
        <v>685</v>
      </c>
      <c r="AK340" s="53" t="s">
        <v>691</v>
      </c>
      <c r="AL340" s="53"/>
      <c r="AM340" s="156">
        <v>204.51</v>
      </c>
      <c r="AN340" s="191">
        <v>0.2</v>
      </c>
      <c r="AO340" s="192">
        <v>0.08</v>
      </c>
      <c r="AP340" s="193">
        <v>8.7999999999999995E-2</v>
      </c>
      <c r="AQ340" s="157">
        <v>19.47</v>
      </c>
      <c r="AR340" s="158">
        <f t="shared" si="87"/>
        <v>1.8749515105460971E-3</v>
      </c>
      <c r="AS340" s="144">
        <f t="shared" si="87"/>
        <v>1.8336037460721697E-6</v>
      </c>
      <c r="AT340" s="144"/>
      <c r="AU340" s="144">
        <f t="shared" si="82"/>
        <v>1.4668829968577357E-7</v>
      </c>
      <c r="AV340" s="144">
        <f t="shared" si="83"/>
        <v>8.0678564827175462E-7</v>
      </c>
      <c r="AW340" s="158">
        <f t="shared" si="83"/>
        <v>1.7850132468012568E-4</v>
      </c>
      <c r="AX340" s="144"/>
      <c r="AY340" s="160">
        <f t="shared" si="84"/>
        <v>1.2497156640857651E-4</v>
      </c>
      <c r="AZ340" s="144">
        <f t="shared" si="85"/>
        <v>4.0738534842167961E-9</v>
      </c>
      <c r="BA340" s="144"/>
      <c r="BB340" s="144">
        <f t="shared" si="86"/>
        <v>1.6295413936867183E-9</v>
      </c>
      <c r="BC340" s="144">
        <f t="shared" si="86"/>
        <v>1.7924955330553898E-9</v>
      </c>
      <c r="BD340" s="160">
        <f t="shared" si="86"/>
        <v>3.9658963668850516E-7</v>
      </c>
      <c r="BE340" s="144"/>
      <c r="BF340" s="144"/>
    </row>
    <row r="341" spans="24:58">
      <c r="X341" s="53" t="s">
        <v>591</v>
      </c>
      <c r="Y341" s="53" t="s">
        <v>592</v>
      </c>
      <c r="Z341" s="180">
        <v>43890</v>
      </c>
      <c r="AA341" s="183">
        <v>0.105629</v>
      </c>
      <c r="AB341" s="183">
        <v>34.699337</v>
      </c>
      <c r="AC341" s="53" t="s">
        <v>359</v>
      </c>
      <c r="AD341" s="53" t="s">
        <v>334</v>
      </c>
      <c r="AE341" s="53" t="s">
        <v>347</v>
      </c>
      <c r="AF341" s="154" t="s">
        <v>371</v>
      </c>
      <c r="AG341" s="116" t="s">
        <v>687</v>
      </c>
      <c r="AH341" s="53" t="s">
        <v>527</v>
      </c>
      <c r="AI341" s="53" t="s">
        <v>740</v>
      </c>
      <c r="AJ341" s="53" t="s">
        <v>685</v>
      </c>
      <c r="AK341" s="53" t="s">
        <v>691</v>
      </c>
      <c r="AL341" s="53"/>
      <c r="AM341" s="156">
        <v>7.75</v>
      </c>
      <c r="AN341" s="191">
        <v>0.12</v>
      </c>
      <c r="AO341" s="192">
        <v>0.18</v>
      </c>
      <c r="AP341" s="193">
        <v>2.91</v>
      </c>
      <c r="AQ341" s="157">
        <v>218.01</v>
      </c>
      <c r="AR341" s="158">
        <f t="shared" si="87"/>
        <v>7.1052145160296567E-5</v>
      </c>
      <c r="AS341" s="144">
        <f t="shared" si="87"/>
        <v>1.1001622476433016E-6</v>
      </c>
      <c r="AT341" s="144"/>
      <c r="AU341" s="144">
        <f t="shared" si="82"/>
        <v>3.3004867429299047E-7</v>
      </c>
      <c r="AV341" s="144">
        <f t="shared" si="83"/>
        <v>2.6678934505350074E-5</v>
      </c>
      <c r="AW341" s="158">
        <f t="shared" si="83"/>
        <v>1.9987197634059681E-3</v>
      </c>
      <c r="AX341" s="144"/>
      <c r="AY341" s="160">
        <f t="shared" si="84"/>
        <v>4.7358546754020254E-6</v>
      </c>
      <c r="AZ341" s="144">
        <f t="shared" si="85"/>
        <v>2.4443120905300778E-9</v>
      </c>
      <c r="BA341" s="144"/>
      <c r="BB341" s="144">
        <f t="shared" si="86"/>
        <v>3.6664681357951159E-9</v>
      </c>
      <c r="BC341" s="144">
        <f t="shared" si="86"/>
        <v>5.9274568195354366E-8</v>
      </c>
      <c r="BD341" s="160">
        <f t="shared" si="86"/>
        <v>4.4407039904705175E-6</v>
      </c>
      <c r="BE341" s="144"/>
      <c r="BF341" s="144"/>
    </row>
    <row r="342" spans="24:58">
      <c r="X342" s="53" t="s">
        <v>593</v>
      </c>
      <c r="Y342" s="53" t="s">
        <v>594</v>
      </c>
      <c r="Z342" s="180">
        <v>43891</v>
      </c>
      <c r="AA342" s="183">
        <v>0.10255300000000001</v>
      </c>
      <c r="AB342" s="183">
        <v>34.713514000000004</v>
      </c>
      <c r="AC342" s="53" t="s">
        <v>335</v>
      </c>
      <c r="AD342" s="53" t="s">
        <v>334</v>
      </c>
      <c r="AE342" s="53" t="s">
        <v>347</v>
      </c>
      <c r="AF342" s="154" t="s">
        <v>371</v>
      </c>
      <c r="AG342" s="116" t="s">
        <v>687</v>
      </c>
      <c r="AH342" s="53" t="s">
        <v>527</v>
      </c>
      <c r="AI342" s="53" t="s">
        <v>740</v>
      </c>
      <c r="AJ342" s="53" t="s">
        <v>685</v>
      </c>
      <c r="AK342" s="53" t="s">
        <v>691</v>
      </c>
      <c r="AL342" s="53"/>
      <c r="AM342" s="156">
        <v>863.94</v>
      </c>
      <c r="AN342" s="191">
        <v>0.2</v>
      </c>
      <c r="AO342" s="192">
        <v>0.39</v>
      </c>
      <c r="AP342" s="193">
        <v>0.05</v>
      </c>
      <c r="AQ342" s="157">
        <v>10.68</v>
      </c>
      <c r="AR342" s="158">
        <f t="shared" si="87"/>
        <v>7.9206181019079516E-3</v>
      </c>
      <c r="AS342" s="144">
        <f t="shared" si="87"/>
        <v>1.8336037460721697E-6</v>
      </c>
      <c r="AT342" s="144"/>
      <c r="AU342" s="144">
        <f t="shared" si="82"/>
        <v>7.15105460968146E-7</v>
      </c>
      <c r="AV342" s="144">
        <f t="shared" si="83"/>
        <v>4.5840093651804242E-7</v>
      </c>
      <c r="AW342" s="158">
        <f t="shared" si="83"/>
        <v>9.7914440040253853E-5</v>
      </c>
      <c r="AX342" s="144"/>
      <c r="AY342" s="160">
        <f t="shared" si="84"/>
        <v>5.2793474687313883E-4</v>
      </c>
      <c r="AZ342" s="144">
        <f t="shared" si="85"/>
        <v>4.0738534842167961E-9</v>
      </c>
      <c r="BA342" s="144"/>
      <c r="BB342" s="144">
        <f t="shared" si="86"/>
        <v>7.94401429422275E-9</v>
      </c>
      <c r="BC342" s="144">
        <f t="shared" si="86"/>
        <v>1.018463371054199E-9</v>
      </c>
      <c r="BD342" s="160">
        <f t="shared" si="86"/>
        <v>2.1754377605717686E-7</v>
      </c>
      <c r="BE342" s="144"/>
      <c r="BF342" s="144"/>
    </row>
    <row r="343" spans="24:58">
      <c r="X343" s="53" t="s">
        <v>595</v>
      </c>
      <c r="Y343" s="53" t="s">
        <v>596</v>
      </c>
      <c r="Z343" s="180">
        <v>43891</v>
      </c>
      <c r="AA343" s="183">
        <v>0.15733900000000001</v>
      </c>
      <c r="AB343" s="183">
        <v>34.817802</v>
      </c>
      <c r="AC343" s="53" t="s">
        <v>360</v>
      </c>
      <c r="AD343" s="53" t="s">
        <v>330</v>
      </c>
      <c r="AE343" s="53" t="s">
        <v>347</v>
      </c>
      <c r="AF343" s="154" t="s">
        <v>371</v>
      </c>
      <c r="AG343" s="116" t="s">
        <v>687</v>
      </c>
      <c r="AH343" s="53" t="s">
        <v>538</v>
      </c>
      <c r="AI343" s="53" t="s">
        <v>739</v>
      </c>
      <c r="AJ343" s="53" t="s">
        <v>726</v>
      </c>
      <c r="AK343" s="53" t="s">
        <v>727</v>
      </c>
      <c r="AL343" s="53"/>
      <c r="AM343" s="156">
        <v>2.1800000000000002</v>
      </c>
      <c r="AN343" s="191">
        <v>0.36</v>
      </c>
      <c r="AO343" s="192">
        <v>0.45</v>
      </c>
      <c r="AP343" s="193">
        <v>7.0999999999999994E-2</v>
      </c>
      <c r="AQ343" s="192">
        <v>1.06</v>
      </c>
      <c r="AR343" s="158">
        <f t="shared" si="87"/>
        <v>1.9986280832186646E-5</v>
      </c>
      <c r="AS343" s="144">
        <f t="shared" si="87"/>
        <v>3.3004867429299045E-6</v>
      </c>
      <c r="AT343" s="144"/>
      <c r="AU343" s="144">
        <f t="shared" si="82"/>
        <v>8.2512168573247613E-7</v>
      </c>
      <c r="AV343" s="144">
        <f t="shared" si="83"/>
        <v>6.5092932985562003E-7</v>
      </c>
      <c r="AW343" s="158">
        <f t="shared" si="83"/>
        <v>9.7180998541824965E-6</v>
      </c>
      <c r="AX343" s="144"/>
      <c r="AY343" s="160">
        <f t="shared" si="84"/>
        <v>1.3321500893388924E-6</v>
      </c>
      <c r="AZ343" s="144">
        <f t="shared" si="85"/>
        <v>7.3329362715902318E-9</v>
      </c>
      <c r="BA343" s="144"/>
      <c r="BB343" s="144">
        <f t="shared" si="86"/>
        <v>9.1661703394877898E-9</v>
      </c>
      <c r="BC343" s="144">
        <f t="shared" si="86"/>
        <v>1.4462179868969626E-9</v>
      </c>
      <c r="BD343" s="160">
        <f t="shared" si="86"/>
        <v>2.1591423466349014E-8</v>
      </c>
      <c r="BE343" s="144"/>
      <c r="BF343" s="144"/>
    </row>
    <row r="344" spans="24:58">
      <c r="X344" s="53" t="s">
        <v>597</v>
      </c>
      <c r="Y344" s="53" t="s">
        <v>598</v>
      </c>
      <c r="Z344" s="180">
        <v>43891</v>
      </c>
      <c r="AA344" s="183">
        <v>0.15733900000000001</v>
      </c>
      <c r="AB344" s="183">
        <v>34.817802</v>
      </c>
      <c r="AC344" s="53" t="s">
        <v>360</v>
      </c>
      <c r="AD344" s="53" t="s">
        <v>330</v>
      </c>
      <c r="AE344" s="53" t="s">
        <v>347</v>
      </c>
      <c r="AF344" s="154" t="s">
        <v>371</v>
      </c>
      <c r="AG344" s="116" t="s">
        <v>687</v>
      </c>
      <c r="AH344" s="53" t="s">
        <v>527</v>
      </c>
      <c r="AI344" s="53" t="s">
        <v>740</v>
      </c>
      <c r="AJ344" s="53" t="s">
        <v>685</v>
      </c>
      <c r="AK344" s="53" t="s">
        <v>691</v>
      </c>
      <c r="AL344" s="53"/>
      <c r="AM344" s="156">
        <v>27.67</v>
      </c>
      <c r="AN344" s="191">
        <v>0.19</v>
      </c>
      <c r="AO344" s="192">
        <v>0.26</v>
      </c>
      <c r="AP344" s="193">
        <v>5.3999999999999999E-2</v>
      </c>
      <c r="AQ344" s="157">
        <v>12.58</v>
      </c>
      <c r="AR344" s="158">
        <f t="shared" si="87"/>
        <v>2.5367907826908466E-4</v>
      </c>
      <c r="AS344" s="144">
        <f t="shared" si="87"/>
        <v>1.7419235587685612E-6</v>
      </c>
      <c r="AT344" s="144"/>
      <c r="AU344" s="144">
        <f t="shared" si="82"/>
        <v>4.7673697397876393E-7</v>
      </c>
      <c r="AV344" s="144">
        <f t="shared" si="83"/>
        <v>4.9507301143948565E-7</v>
      </c>
      <c r="AW344" s="158">
        <f t="shared" si="83"/>
        <v>1.1533367562793945E-4</v>
      </c>
      <c r="AX344" s="144"/>
      <c r="AY344" s="160">
        <f t="shared" si="84"/>
        <v>1.6908528886241807E-5</v>
      </c>
      <c r="AZ344" s="144">
        <f t="shared" si="85"/>
        <v>3.8701608100059556E-9</v>
      </c>
      <c r="BA344" s="144"/>
      <c r="BB344" s="144">
        <f t="shared" si="86"/>
        <v>5.2960095294818342E-9</v>
      </c>
      <c r="BC344" s="144">
        <f t="shared" si="86"/>
        <v>1.0999404407385349E-9</v>
      </c>
      <c r="BD344" s="160">
        <f t="shared" si="86"/>
        <v>2.5624538415723644E-7</v>
      </c>
      <c r="BE344" s="144"/>
      <c r="BF344" s="144"/>
    </row>
    <row r="345" spans="24:58">
      <c r="X345" s="53" t="s">
        <v>599</v>
      </c>
      <c r="Y345" s="53" t="s">
        <v>600</v>
      </c>
      <c r="Z345" s="180">
        <v>43891</v>
      </c>
      <c r="AA345" s="183">
        <v>0.156809</v>
      </c>
      <c r="AB345" s="183">
        <v>34.818221000000001</v>
      </c>
      <c r="AC345" s="53" t="s">
        <v>360</v>
      </c>
      <c r="AD345" s="53" t="s">
        <v>330</v>
      </c>
      <c r="AE345" s="53" t="s">
        <v>347</v>
      </c>
      <c r="AF345" s="154" t="s">
        <v>371</v>
      </c>
      <c r="AG345" s="116" t="s">
        <v>687</v>
      </c>
      <c r="AH345" s="53" t="s">
        <v>527</v>
      </c>
      <c r="AI345" s="53" t="s">
        <v>740</v>
      </c>
      <c r="AJ345" s="53" t="s">
        <v>685</v>
      </c>
      <c r="AK345" s="53" t="s">
        <v>691</v>
      </c>
      <c r="AL345" s="53"/>
      <c r="AM345" s="156">
        <v>13.39</v>
      </c>
      <c r="AN345" s="191">
        <v>0.65</v>
      </c>
      <c r="AO345" s="192">
        <v>0.67</v>
      </c>
      <c r="AP345" s="193">
        <v>4.1000000000000002E-2</v>
      </c>
      <c r="AQ345" s="192">
        <v>2.21</v>
      </c>
      <c r="AR345" s="158">
        <f t="shared" si="87"/>
        <v>1.2275977079953174E-4</v>
      </c>
      <c r="AS345" s="144">
        <f t="shared" si="87"/>
        <v>5.9592121747345503E-6</v>
      </c>
      <c r="AT345" s="144"/>
      <c r="AU345" s="144">
        <f t="shared" si="82"/>
        <v>1.2285145098683534E-6</v>
      </c>
      <c r="AV345" s="144">
        <f t="shared" si="83"/>
        <v>3.7588876794479467E-7</v>
      </c>
      <c r="AW345" s="158">
        <f t="shared" si="83"/>
        <v>2.026132139409747E-5</v>
      </c>
      <c r="AX345" s="144"/>
      <c r="AY345" s="160">
        <f t="shared" si="84"/>
        <v>8.1823347230494357E-6</v>
      </c>
      <c r="AZ345" s="144">
        <f t="shared" si="85"/>
        <v>1.3240023823704585E-8</v>
      </c>
      <c r="BA345" s="144"/>
      <c r="BB345" s="144">
        <f t="shared" si="86"/>
        <v>1.3647409172126266E-8</v>
      </c>
      <c r="BC345" s="144">
        <f t="shared" si="86"/>
        <v>8.3513996426444321E-10</v>
      </c>
      <c r="BD345" s="160">
        <f t="shared" si="86"/>
        <v>4.501608100059559E-8</v>
      </c>
      <c r="BE345" s="144"/>
      <c r="BF345" s="144"/>
    </row>
    <row r="346" spans="24:58">
      <c r="X346" s="53" t="s">
        <v>601</v>
      </c>
      <c r="Y346" s="53" t="s">
        <v>602</v>
      </c>
      <c r="Z346" s="180">
        <v>43891</v>
      </c>
      <c r="AA346" s="183">
        <v>0.156392</v>
      </c>
      <c r="AB346" s="183">
        <v>34.817486000000002</v>
      </c>
      <c r="AC346" s="53" t="s">
        <v>360</v>
      </c>
      <c r="AD346" s="53" t="s">
        <v>330</v>
      </c>
      <c r="AE346" s="53" t="s">
        <v>347</v>
      </c>
      <c r="AF346" s="154" t="s">
        <v>371</v>
      </c>
      <c r="AG346" s="116" t="s">
        <v>687</v>
      </c>
      <c r="AH346" s="53" t="s">
        <v>527</v>
      </c>
      <c r="AI346" s="53" t="s">
        <v>740</v>
      </c>
      <c r="AJ346" s="53" t="s">
        <v>685</v>
      </c>
      <c r="AK346" s="53" t="s">
        <v>691</v>
      </c>
      <c r="AL346" s="53"/>
      <c r="AM346" s="156">
        <v>23.24</v>
      </c>
      <c r="AN346" s="191">
        <v>0.28000000000000003</v>
      </c>
      <c r="AO346" s="192">
        <v>0.25</v>
      </c>
      <c r="AP346" s="193">
        <v>2.1999999999999999E-2</v>
      </c>
      <c r="AQ346" s="192">
        <v>3.04</v>
      </c>
      <c r="AR346" s="158">
        <f t="shared" si="87"/>
        <v>2.1306475529358609E-4</v>
      </c>
      <c r="AS346" s="144">
        <f t="shared" si="87"/>
        <v>2.5670452445010373E-6</v>
      </c>
      <c r="AT346" s="144"/>
      <c r="AU346" s="144">
        <f t="shared" si="82"/>
        <v>4.5840093651804226E-7</v>
      </c>
      <c r="AV346" s="144">
        <f t="shared" si="83"/>
        <v>2.0169641206793865E-7</v>
      </c>
      <c r="AW346" s="158">
        <f t="shared" si="83"/>
        <v>2.7870776940296979E-5</v>
      </c>
      <c r="AX346" s="144"/>
      <c r="AY346" s="160">
        <f t="shared" si="84"/>
        <v>1.4201453245979746E-5</v>
      </c>
      <c r="AZ346" s="144">
        <f t="shared" si="85"/>
        <v>5.7033948779035152E-9</v>
      </c>
      <c r="BA346" s="144"/>
      <c r="BB346" s="144">
        <f t="shared" si="86"/>
        <v>5.0923168552709945E-9</v>
      </c>
      <c r="BC346" s="144">
        <f t="shared" si="86"/>
        <v>4.4812388326384745E-10</v>
      </c>
      <c r="BD346" s="160">
        <f t="shared" si="86"/>
        <v>6.1922572960095289E-8</v>
      </c>
      <c r="BE346" s="144"/>
      <c r="BF346" s="144"/>
    </row>
    <row r="347" spans="24:58">
      <c r="X347" s="168"/>
      <c r="Y347" s="168"/>
      <c r="Z347" s="168"/>
      <c r="AA347" s="168"/>
      <c r="AB347" s="168"/>
      <c r="AC347" s="168"/>
      <c r="AD347" s="168"/>
      <c r="AE347" s="168"/>
      <c r="AF347" s="168"/>
      <c r="AG347" s="168"/>
      <c r="AH347" s="168"/>
      <c r="AI347" s="168"/>
      <c r="AJ347" s="168"/>
      <c r="AK347" s="168"/>
      <c r="AL347" s="194" t="s">
        <v>957</v>
      </c>
      <c r="AM347" s="169"/>
      <c r="AN347" s="172"/>
      <c r="AO347" s="195"/>
      <c r="AP347" s="196"/>
      <c r="AQ347" s="195"/>
      <c r="AR347" s="173">
        <f>AVERAGE(AR310:AR346)</f>
        <v>3.1573417585912714E-4</v>
      </c>
      <c r="AS347" s="173">
        <f>AVERAGE(AS310:AS346)</f>
        <v>1.8881162898743147E-6</v>
      </c>
      <c r="AT347" s="173"/>
      <c r="AU347" s="173">
        <f>AVERAGE(AU310:AU346)</f>
        <v>1.433679901996429E-6</v>
      </c>
      <c r="AV347" s="173">
        <f>AVERAGE(AV310:AV346)</f>
        <v>1.1199849908440819E-6</v>
      </c>
      <c r="AW347" s="173">
        <f>AVERAGE(AW310:AW346)</f>
        <v>9.36599837807864E-5</v>
      </c>
      <c r="AX347" s="173"/>
      <c r="AY347" s="175">
        <f t="shared" ref="AY347:BD347" si="88">AVERAGE(AY310:AY346)</f>
        <v>2.1044701318352303E-5</v>
      </c>
      <c r="AZ347" s="175">
        <f t="shared" si="88"/>
        <v>4.1949680472610779E-9</v>
      </c>
      <c r="BA347" s="175"/>
      <c r="BB347" s="175">
        <f t="shared" si="88"/>
        <v>1.592656504032323E-8</v>
      </c>
      <c r="BC347" s="175">
        <f t="shared" si="88"/>
        <v>2.488353749818907E-9</v>
      </c>
      <c r="BD347" s="175">
        <f t="shared" si="88"/>
        <v>2.0809133493231172E-7</v>
      </c>
      <c r="BE347" s="173"/>
      <c r="BF347" s="173"/>
    </row>
    <row r="348" spans="24:58">
      <c r="X348" s="53" t="s">
        <v>618</v>
      </c>
      <c r="Y348" s="53" t="s">
        <v>619</v>
      </c>
      <c r="Z348" s="180">
        <v>44065</v>
      </c>
      <c r="AA348" s="183">
        <v>0.46654299999999999</v>
      </c>
      <c r="AB348" s="183">
        <v>34.870725999999998</v>
      </c>
      <c r="AC348" s="53" t="s">
        <v>331</v>
      </c>
      <c r="AD348" s="53" t="s">
        <v>330</v>
      </c>
      <c r="AE348" s="53" t="s">
        <v>347</v>
      </c>
      <c r="AF348" s="154" t="s">
        <v>362</v>
      </c>
      <c r="AG348" s="154" t="s">
        <v>362</v>
      </c>
      <c r="AH348" s="53" t="s">
        <v>620</v>
      </c>
      <c r="AI348" s="53" t="s">
        <v>739</v>
      </c>
      <c r="AJ348" s="53" t="s">
        <v>684</v>
      </c>
      <c r="AK348" s="53" t="s">
        <v>683</v>
      </c>
      <c r="AL348" s="53"/>
      <c r="AM348" s="156">
        <v>0.04</v>
      </c>
      <c r="AN348" s="192">
        <v>0.18</v>
      </c>
      <c r="AO348" s="157">
        <v>1.1000000000000001</v>
      </c>
      <c r="AP348" s="197">
        <v>8.0000000000000002E-3</v>
      </c>
      <c r="AQ348" s="192">
        <v>0.64</v>
      </c>
      <c r="AR348" s="158">
        <f t="shared" si="87"/>
        <v>3.6672074921443392E-7</v>
      </c>
      <c r="AS348" s="144">
        <f>(AN348*1.488*350*30*0.001)/(70*66.7*365)</f>
        <v>1.6502433714649523E-6</v>
      </c>
      <c r="AT348" s="144"/>
      <c r="AU348" s="144">
        <f>(AO348*1.488*350*6*0.001)/(70*66.7*365)</f>
        <v>2.0169641206793863E-6</v>
      </c>
      <c r="AV348" s="144">
        <f t="shared" ref="AV348:AW352" si="89">(AP348*1.488*350*30*0.001)/(70*66.7*365)</f>
        <v>7.334414984288677E-8</v>
      </c>
      <c r="AW348" s="158">
        <f t="shared" si="89"/>
        <v>5.8675319874309427E-6</v>
      </c>
      <c r="AX348" s="144"/>
      <c r="AY348" s="160">
        <f>(AM348*5700*0.001*0.03*0.58*350*30*0.001)/(70*66.7*365)</f>
        <v>2.4443120905300775E-8</v>
      </c>
      <c r="AZ348" s="144">
        <f>(AN348*5700*0.001*0.001*0.58*350*30*0.001)/(70*66.7*365)</f>
        <v>3.6664681357951159E-9</v>
      </c>
      <c r="BA348" s="144"/>
      <c r="BB348" s="144">
        <f t="shared" ref="BB348:BD352" si="90">(AO348*5700*0.001*0.001*0.58*350*30*0.001)/(70*66.7*365)</f>
        <v>2.2406194163192383E-8</v>
      </c>
      <c r="BC348" s="144">
        <f t="shared" si="90"/>
        <v>1.6295413936867185E-10</v>
      </c>
      <c r="BD348" s="160">
        <f t="shared" si="90"/>
        <v>1.3036331149493746E-8</v>
      </c>
      <c r="BE348" s="144"/>
      <c r="BF348" s="144"/>
    </row>
    <row r="349" spans="24:58">
      <c r="X349" s="53" t="s">
        <v>621</v>
      </c>
      <c r="Y349" s="53" t="s">
        <v>622</v>
      </c>
      <c r="Z349" s="180">
        <v>44065</v>
      </c>
      <c r="AA349" s="183">
        <v>0.46604000000000001</v>
      </c>
      <c r="AB349" s="183">
        <v>34.870392000000002</v>
      </c>
      <c r="AC349" s="53" t="s">
        <v>331</v>
      </c>
      <c r="AD349" s="53" t="s">
        <v>330</v>
      </c>
      <c r="AE349" s="53" t="s">
        <v>347</v>
      </c>
      <c r="AF349" s="154" t="s">
        <v>362</v>
      </c>
      <c r="AG349" s="154" t="s">
        <v>362</v>
      </c>
      <c r="AH349" s="53" t="s">
        <v>623</v>
      </c>
      <c r="AI349" s="53" t="s">
        <v>739</v>
      </c>
      <c r="AJ349" s="53" t="s">
        <v>684</v>
      </c>
      <c r="AK349" s="53" t="s">
        <v>683</v>
      </c>
      <c r="AL349" s="53"/>
      <c r="AM349" s="156">
        <v>0.04</v>
      </c>
      <c r="AN349" s="192">
        <v>0.1</v>
      </c>
      <c r="AO349" s="157">
        <v>0.3</v>
      </c>
      <c r="AP349" s="197">
        <v>5.0000000000000001E-3</v>
      </c>
      <c r="AQ349" s="192">
        <v>0.56999999999999995</v>
      </c>
      <c r="AR349" s="158">
        <f t="shared" si="87"/>
        <v>3.6672074921443392E-7</v>
      </c>
      <c r="AS349" s="144">
        <f>(AN349*1.488*350*30*0.001)/(70*66.7*365)</f>
        <v>9.1680187303608484E-7</v>
      </c>
      <c r="AT349" s="144"/>
      <c r="AU349" s="144">
        <f>(AO349*1.488*350*6*0.001)/(70*66.7*365)</f>
        <v>5.5008112382165072E-7</v>
      </c>
      <c r="AV349" s="144">
        <f t="shared" si="89"/>
        <v>4.584009365180424E-8</v>
      </c>
      <c r="AW349" s="158">
        <f t="shared" si="89"/>
        <v>5.2257706763056831E-6</v>
      </c>
      <c r="AX349" s="144"/>
      <c r="AY349" s="160">
        <f>(AM349*5700*0.001*0.03*0.58*350*30*0.001)/(70*66.7*365)</f>
        <v>2.4443120905300775E-8</v>
      </c>
      <c r="AZ349" s="144">
        <f>(AN349*5700*0.001*0.001*0.58*350*30*0.001)/(70*66.7*365)</f>
        <v>2.036926742108398E-9</v>
      </c>
      <c r="BA349" s="144"/>
      <c r="BB349" s="144">
        <f t="shared" si="90"/>
        <v>6.1107802263251937E-9</v>
      </c>
      <c r="BC349" s="144">
        <f t="shared" si="90"/>
        <v>1.0184633710541989E-10</v>
      </c>
      <c r="BD349" s="160">
        <f t="shared" si="90"/>
        <v>1.1610482430017866E-8</v>
      </c>
      <c r="BE349" s="144"/>
      <c r="BF349" s="144"/>
    </row>
    <row r="350" spans="24:58">
      <c r="X350" s="53" t="s">
        <v>624</v>
      </c>
      <c r="Y350" s="53" t="s">
        <v>625</v>
      </c>
      <c r="Z350" s="180">
        <v>44065</v>
      </c>
      <c r="AA350" s="183">
        <v>0.195803</v>
      </c>
      <c r="AB350" s="183">
        <v>34.487564999999996</v>
      </c>
      <c r="AC350" s="53" t="s">
        <v>338</v>
      </c>
      <c r="AD350" s="53" t="s">
        <v>330</v>
      </c>
      <c r="AE350" s="53" t="s">
        <v>347</v>
      </c>
      <c r="AF350" s="154" t="s">
        <v>362</v>
      </c>
      <c r="AG350" s="154" t="s">
        <v>362</v>
      </c>
      <c r="AH350" s="53" t="s">
        <v>626</v>
      </c>
      <c r="AI350" s="53" t="s">
        <v>739</v>
      </c>
      <c r="AJ350" s="53" t="s">
        <v>684</v>
      </c>
      <c r="AK350" s="53" t="s">
        <v>683</v>
      </c>
      <c r="AL350" s="53"/>
      <c r="AM350" s="156">
        <v>0.65</v>
      </c>
      <c r="AN350" s="192">
        <v>7.0000000000000007E-2</v>
      </c>
      <c r="AO350" s="157">
        <v>0.2</v>
      </c>
      <c r="AP350" s="197">
        <v>5.0000000000000001E-3</v>
      </c>
      <c r="AQ350" s="192">
        <v>2.63</v>
      </c>
      <c r="AR350" s="158">
        <f t="shared" si="87"/>
        <v>5.9592121747345503E-6</v>
      </c>
      <c r="AS350" s="144">
        <f>(AN350*1.488*350*30*0.001)/(70*66.7*365)</f>
        <v>6.4176131112525933E-7</v>
      </c>
      <c r="AT350" s="144"/>
      <c r="AU350" s="144">
        <f>(AO350*1.488*350*6*0.001)/(70*66.7*365)</f>
        <v>3.6672074921443392E-7</v>
      </c>
      <c r="AV350" s="144">
        <f t="shared" si="89"/>
        <v>4.584009365180424E-8</v>
      </c>
      <c r="AW350" s="158">
        <f t="shared" si="89"/>
        <v>2.4111889260849026E-5</v>
      </c>
      <c r="AX350" s="144"/>
      <c r="AY350" s="160">
        <f>(AM350*5700*0.001*0.03*0.58*350*30*0.001)/(70*66.7*365)</f>
        <v>3.9720071471113755E-7</v>
      </c>
      <c r="AZ350" s="144">
        <f>(AN350*5700*0.001*0.001*0.58*350*30*0.001)/(70*66.7*365)</f>
        <v>1.4258487194758788E-9</v>
      </c>
      <c r="BA350" s="144"/>
      <c r="BB350" s="144">
        <f t="shared" si="90"/>
        <v>4.0738534842167961E-9</v>
      </c>
      <c r="BC350" s="144">
        <f t="shared" si="90"/>
        <v>1.0184633710541989E-10</v>
      </c>
      <c r="BD350" s="160">
        <f t="shared" si="90"/>
        <v>5.3571173317450865E-8</v>
      </c>
      <c r="BE350" s="144"/>
      <c r="BF350" s="144"/>
    </row>
    <row r="351" spans="24:58">
      <c r="X351" s="53" t="s">
        <v>627</v>
      </c>
      <c r="Y351" s="53" t="s">
        <v>628</v>
      </c>
      <c r="Z351" s="180">
        <v>44065</v>
      </c>
      <c r="AA351" s="183">
        <v>0.195803</v>
      </c>
      <c r="AB351" s="183">
        <v>34.487564999999996</v>
      </c>
      <c r="AC351" s="53" t="s">
        <v>337</v>
      </c>
      <c r="AD351" s="53" t="s">
        <v>330</v>
      </c>
      <c r="AE351" s="53" t="s">
        <v>347</v>
      </c>
      <c r="AF351" s="154" t="s">
        <v>362</v>
      </c>
      <c r="AG351" s="154" t="s">
        <v>362</v>
      </c>
      <c r="AH351" s="53" t="s">
        <v>629</v>
      </c>
      <c r="AI351" s="53" t="s">
        <v>739</v>
      </c>
      <c r="AJ351" s="53" t="s">
        <v>684</v>
      </c>
      <c r="AK351" s="53" t="s">
        <v>683</v>
      </c>
      <c r="AL351" s="53"/>
      <c r="AM351" s="156">
        <v>0.06</v>
      </c>
      <c r="AN351" s="192">
        <v>0.06</v>
      </c>
      <c r="AO351" s="157">
        <v>1.5</v>
      </c>
      <c r="AP351" s="197">
        <v>3.3000000000000002E-2</v>
      </c>
      <c r="AQ351" s="157">
        <v>16.64</v>
      </c>
      <c r="AR351" s="158">
        <f t="shared" si="87"/>
        <v>5.5008112382165082E-7</v>
      </c>
      <c r="AS351" s="144">
        <f>(AN351*1.488*350*30*0.001)/(70*66.7*365)</f>
        <v>5.5008112382165082E-7</v>
      </c>
      <c r="AT351" s="144"/>
      <c r="AU351" s="144">
        <f>(AO351*1.488*350*6*0.001)/(70*66.7*365)</f>
        <v>2.7504056191082543E-6</v>
      </c>
      <c r="AV351" s="144">
        <f t="shared" si="89"/>
        <v>3.0254461810190799E-7</v>
      </c>
      <c r="AW351" s="158">
        <f t="shared" si="89"/>
        <v>1.525558316732045E-4</v>
      </c>
      <c r="AX351" s="144"/>
      <c r="AY351" s="160">
        <f>(AM351*5700*0.001*0.03*0.58*350*30*0.001)/(70*66.7*365)</f>
        <v>3.6664681357951159E-8</v>
      </c>
      <c r="AZ351" s="144">
        <f>(AN351*5700*0.001*0.001*0.58*350*30*0.001)/(70*66.7*365)</f>
        <v>1.2221560452650389E-9</v>
      </c>
      <c r="BA351" s="144"/>
      <c r="BB351" s="144">
        <f t="shared" si="90"/>
        <v>3.0553901131625964E-8</v>
      </c>
      <c r="BC351" s="144">
        <f t="shared" si="90"/>
        <v>6.7218582489577136E-10</v>
      </c>
      <c r="BD351" s="160">
        <f t="shared" si="90"/>
        <v>3.3894460988683739E-7</v>
      </c>
      <c r="BE351" s="144"/>
      <c r="BF351" s="144"/>
    </row>
    <row r="352" spans="24:58">
      <c r="X352" s="53" t="s">
        <v>630</v>
      </c>
      <c r="Y352" s="53" t="s">
        <v>631</v>
      </c>
      <c r="Z352" s="180">
        <v>44065</v>
      </c>
      <c r="AA352" s="183">
        <v>0.49734299999999998</v>
      </c>
      <c r="AB352" s="183">
        <v>35.278543999999997</v>
      </c>
      <c r="AC352" s="53" t="s">
        <v>633</v>
      </c>
      <c r="AD352" s="53" t="s">
        <v>632</v>
      </c>
      <c r="AE352" s="53" t="s">
        <v>347</v>
      </c>
      <c r="AF352" s="154" t="s">
        <v>362</v>
      </c>
      <c r="AG352" s="154" t="s">
        <v>362</v>
      </c>
      <c r="AH352" s="53" t="s">
        <v>672</v>
      </c>
      <c r="AI352" s="53" t="s">
        <v>739</v>
      </c>
      <c r="AJ352" s="53" t="s">
        <v>684</v>
      </c>
      <c r="AK352" s="53" t="s">
        <v>683</v>
      </c>
      <c r="AL352" s="53"/>
      <c r="AM352" s="156">
        <v>1.08</v>
      </c>
      <c r="AN352" s="192">
        <v>0.28000000000000003</v>
      </c>
      <c r="AO352" s="157">
        <v>0.2</v>
      </c>
      <c r="AP352" s="197">
        <v>1.4E-2</v>
      </c>
      <c r="AQ352" s="192">
        <v>0.1</v>
      </c>
      <c r="AR352" s="158">
        <f t="shared" si="87"/>
        <v>9.9014602287897152E-6</v>
      </c>
      <c r="AS352" s="144">
        <f>(AN352*1.488*350*30*0.001)/(70*66.7*365)</f>
        <v>2.5670452445010373E-6</v>
      </c>
      <c r="AT352" s="144"/>
      <c r="AU352" s="144">
        <f>(AO352*1.488*350*6*0.001)/(70*66.7*365)</f>
        <v>3.6672074921443392E-7</v>
      </c>
      <c r="AV352" s="144">
        <f t="shared" si="89"/>
        <v>1.2835226222505184E-7</v>
      </c>
      <c r="AW352" s="158">
        <f t="shared" si="89"/>
        <v>9.1680187303608484E-7</v>
      </c>
      <c r="AX352" s="144"/>
      <c r="AY352" s="160">
        <f>(AM352*5700*0.001*0.03*0.58*350*30*0.001)/(70*66.7*365)</f>
        <v>6.5996426444312084E-7</v>
      </c>
      <c r="AZ352" s="144">
        <f>(AN352*5700*0.001*0.001*0.58*350*30*0.001)/(70*66.7*365)</f>
        <v>5.7033948779035152E-9</v>
      </c>
      <c r="BA352" s="144"/>
      <c r="BB352" s="144">
        <f t="shared" si="90"/>
        <v>4.0738534842167961E-9</v>
      </c>
      <c r="BC352" s="144">
        <f t="shared" si="90"/>
        <v>2.8516974389517571E-10</v>
      </c>
      <c r="BD352" s="160">
        <f t="shared" si="90"/>
        <v>2.036926742108398E-9</v>
      </c>
      <c r="BE352" s="144"/>
      <c r="BF352" s="144"/>
    </row>
    <row r="353" spans="24:58">
      <c r="AR353" s="158"/>
      <c r="AS353" s="144"/>
      <c r="AT353" s="144"/>
      <c r="AU353" s="144"/>
      <c r="AV353" s="144"/>
      <c r="AW353" s="158"/>
      <c r="AX353" s="144"/>
      <c r="AY353" s="160"/>
      <c r="AZ353" s="144"/>
      <c r="BA353" s="144"/>
      <c r="BB353" s="144"/>
      <c r="BC353" s="144"/>
      <c r="BD353" s="160"/>
      <c r="BE353" s="144"/>
      <c r="BF353" s="144"/>
    </row>
    <row r="354" spans="24:58">
      <c r="AR354" s="158"/>
      <c r="AS354" s="144"/>
      <c r="AT354" s="144"/>
      <c r="AU354" s="144"/>
      <c r="AV354" s="144"/>
      <c r="AW354" s="158"/>
      <c r="AX354" s="144"/>
      <c r="AY354" s="160"/>
      <c r="AZ354" s="144"/>
      <c r="BA354" s="144"/>
      <c r="BB354" s="144"/>
      <c r="BC354" s="144"/>
      <c r="BD354" s="160"/>
      <c r="BE354" s="144"/>
      <c r="BF354" s="144"/>
    </row>
    <row r="356" spans="24:58">
      <c r="X356" s="107" t="s">
        <v>1011</v>
      </c>
    </row>
    <row r="357" spans="24:58">
      <c r="X357" s="47" t="s">
        <v>0</v>
      </c>
      <c r="Y357" s="47" t="s">
        <v>405</v>
      </c>
      <c r="Z357" s="47" t="s">
        <v>1</v>
      </c>
      <c r="AA357" s="47" t="s">
        <v>301</v>
      </c>
      <c r="AB357" s="47" t="s">
        <v>300</v>
      </c>
      <c r="AC357" s="47" t="s">
        <v>664</v>
      </c>
      <c r="AD357" s="47" t="s">
        <v>302</v>
      </c>
      <c r="AE357" s="47" t="s">
        <v>303</v>
      </c>
      <c r="AF357" s="26" t="s">
        <v>363</v>
      </c>
      <c r="AG357" s="26" t="s">
        <v>681</v>
      </c>
      <c r="AH357" s="26" t="s">
        <v>680</v>
      </c>
      <c r="AI357" s="83" t="s">
        <v>738</v>
      </c>
      <c r="AJ357" s="83" t="s">
        <v>686</v>
      </c>
      <c r="AK357" s="83" t="s">
        <v>693</v>
      </c>
      <c r="AL357" s="83"/>
      <c r="AM357" s="57" t="s">
        <v>23</v>
      </c>
      <c r="AN357" s="70" t="s">
        <v>55</v>
      </c>
      <c r="AO357" s="70" t="s">
        <v>15</v>
      </c>
      <c r="AP357" s="57" t="s">
        <v>32</v>
      </c>
      <c r="AQ357" s="70" t="s">
        <v>19</v>
      </c>
      <c r="AR357" s="70"/>
      <c r="AS357" s="146" t="s">
        <v>987</v>
      </c>
      <c r="AT357" s="70" t="s">
        <v>988</v>
      </c>
      <c r="AU357" s="70" t="s">
        <v>989</v>
      </c>
      <c r="AV357" s="70" t="s">
        <v>990</v>
      </c>
      <c r="AW357" s="70" t="s">
        <v>991</v>
      </c>
      <c r="AX357" s="146" t="s">
        <v>992</v>
      </c>
      <c r="AY357" s="149" t="s">
        <v>999</v>
      </c>
      <c r="AZ357" s="70" t="s">
        <v>1000</v>
      </c>
      <c r="BA357" s="70" t="s">
        <v>1001</v>
      </c>
      <c r="BB357" s="70" t="s">
        <v>1002</v>
      </c>
      <c r="BC357" s="70" t="s">
        <v>1003</v>
      </c>
      <c r="BD357" s="149" t="s">
        <v>1004</v>
      </c>
    </row>
    <row r="358" spans="24:58" ht="18">
      <c r="X358" s="53"/>
      <c r="Y358" s="53"/>
      <c r="Z358" s="53"/>
      <c r="AA358" s="53"/>
      <c r="AB358" s="53"/>
      <c r="AC358" s="53"/>
      <c r="AD358" s="53"/>
      <c r="AE358" s="53"/>
      <c r="AF358" s="53"/>
      <c r="AG358" s="53"/>
      <c r="AH358" s="53"/>
      <c r="AI358" s="53"/>
      <c r="AJ358" s="53"/>
      <c r="AK358" s="53"/>
      <c r="AL358" s="53"/>
      <c r="AM358" s="53" t="s">
        <v>659</v>
      </c>
      <c r="AN358" s="53" t="s">
        <v>659</v>
      </c>
      <c r="AO358" s="53" t="s">
        <v>659</v>
      </c>
      <c r="AP358" s="53" t="s">
        <v>659</v>
      </c>
      <c r="AQ358" s="53" t="s">
        <v>659</v>
      </c>
      <c r="AR358" s="53"/>
      <c r="AS358" s="89"/>
      <c r="AX358" s="89"/>
      <c r="AY358" s="177"/>
      <c r="BD358" s="177"/>
    </row>
    <row r="359" spans="24:58">
      <c r="X359" s="47" t="s">
        <v>297</v>
      </c>
      <c r="Y359" s="47"/>
      <c r="Z359" s="47"/>
      <c r="AA359" s="47"/>
      <c r="AB359" s="47"/>
      <c r="AC359" s="47"/>
      <c r="AD359" s="47"/>
      <c r="AE359" s="47"/>
      <c r="AF359" s="47"/>
      <c r="AG359" s="47"/>
      <c r="AH359" s="47"/>
      <c r="AI359" s="47"/>
      <c r="AJ359" s="47"/>
      <c r="AK359" s="47"/>
      <c r="AL359" s="47"/>
      <c r="AM359" s="97" t="s">
        <v>60</v>
      </c>
      <c r="AN359" s="97" t="s">
        <v>76</v>
      </c>
      <c r="AO359" s="97" t="s">
        <v>520</v>
      </c>
      <c r="AP359" s="97" t="s">
        <v>82</v>
      </c>
      <c r="AQ359" s="97" t="s">
        <v>78</v>
      </c>
      <c r="AR359" s="97"/>
      <c r="AS359" s="80"/>
      <c r="AT359" s="80"/>
      <c r="AU359" s="80"/>
      <c r="AV359" s="80"/>
      <c r="AW359" s="80"/>
      <c r="AX359" s="80"/>
      <c r="AY359" s="80"/>
      <c r="AZ359" s="80"/>
      <c r="BA359" s="80"/>
      <c r="BB359" s="80"/>
      <c r="BC359" s="80"/>
      <c r="BD359" s="80"/>
      <c r="BE359" s="80"/>
    </row>
    <row r="360" spans="24:58">
      <c r="X360" s="53" t="s">
        <v>525</v>
      </c>
      <c r="Y360" s="53" t="s">
        <v>526</v>
      </c>
      <c r="Z360" s="180">
        <v>43887</v>
      </c>
      <c r="AA360" s="183">
        <v>0.26076500000000002</v>
      </c>
      <c r="AB360" s="183">
        <v>34.720081</v>
      </c>
      <c r="AC360" s="53" t="s">
        <v>661</v>
      </c>
      <c r="AD360" s="53" t="s">
        <v>330</v>
      </c>
      <c r="AE360" s="53" t="s">
        <v>347</v>
      </c>
      <c r="AF360" s="154" t="s">
        <v>371</v>
      </c>
      <c r="AG360" s="116" t="s">
        <v>687</v>
      </c>
      <c r="AH360" s="53" t="s">
        <v>527</v>
      </c>
      <c r="AI360" s="53" t="s">
        <v>740</v>
      </c>
      <c r="AJ360" s="53" t="s">
        <v>685</v>
      </c>
      <c r="AK360" s="53" t="s">
        <v>691</v>
      </c>
      <c r="AL360" s="53"/>
      <c r="AM360" s="156">
        <v>1.21</v>
      </c>
      <c r="AN360" s="191">
        <v>0.11</v>
      </c>
      <c r="AO360" s="192">
        <v>0.6</v>
      </c>
      <c r="AP360" s="193">
        <v>2.4E-2</v>
      </c>
      <c r="AQ360" s="192">
        <v>2.79</v>
      </c>
      <c r="AR360" s="192"/>
      <c r="AS360" s="158">
        <f>(AM360*0.78*350*6*0.001)/(15*66.7*365)</f>
        <v>5.4273685075270588E-6</v>
      </c>
      <c r="AT360" s="144">
        <f>(AN360*0.78*350*6*0.001)/(15*66.7*365)</f>
        <v>4.9339713704791443E-7</v>
      </c>
      <c r="AU360" s="144" t="s">
        <v>288</v>
      </c>
      <c r="AV360" s="144">
        <f t="shared" ref="AV360:AX396" si="91">(AO360*0.78*350*6*0.001)/(15*66.7*365)</f>
        <v>2.691257111170442E-6</v>
      </c>
      <c r="AW360" s="144">
        <f t="shared" si="91"/>
        <v>1.076502844468177E-7</v>
      </c>
      <c r="AX360" s="158">
        <f t="shared" si="91"/>
        <v>1.2514345566942558E-5</v>
      </c>
      <c r="AY360" s="160">
        <f t="shared" ref="AY360:AY396" si="92">(AM360*2800*0.001*0.003*0.58*350*6*0.001)/(15*66.7*365)</f>
        <v>3.3900178677784392E-8</v>
      </c>
      <c r="AZ360" s="144">
        <f t="shared" ref="AZ360:AZ396" si="93">(AN360*2800*0.001*0.001*0.58*350*6*0.001)/(15*66.7*365)</f>
        <v>1.0272781417510423E-9</v>
      </c>
      <c r="BA360" s="144" t="s">
        <v>288</v>
      </c>
      <c r="BB360" s="144">
        <f t="shared" ref="BB360:BD396" si="94">(AO360*2800*0.001*0.001*0.58*350*6*0.001)/(15*66.7*365)</f>
        <v>5.6033353186420478E-9</v>
      </c>
      <c r="BC360" s="144">
        <f t="shared" si="94"/>
        <v>2.2413341274568196E-10</v>
      </c>
      <c r="BD360" s="160">
        <f t="shared" si="94"/>
        <v>2.6055509231685525E-8</v>
      </c>
      <c r="BE360" s="144"/>
    </row>
    <row r="361" spans="24:58">
      <c r="X361" s="53" t="s">
        <v>528</v>
      </c>
      <c r="Y361" s="53" t="s">
        <v>529</v>
      </c>
      <c r="Z361" s="180">
        <v>43887</v>
      </c>
      <c r="AA361" s="183">
        <v>0.26020300000000002</v>
      </c>
      <c r="AB361" s="183">
        <v>34.719721</v>
      </c>
      <c r="AC361" s="53" t="s">
        <v>661</v>
      </c>
      <c r="AD361" s="53" t="s">
        <v>330</v>
      </c>
      <c r="AE361" s="53" t="s">
        <v>347</v>
      </c>
      <c r="AF361" s="154" t="s">
        <v>371</v>
      </c>
      <c r="AG361" s="116" t="s">
        <v>687</v>
      </c>
      <c r="AH361" s="53" t="s">
        <v>530</v>
      </c>
      <c r="AI361" s="53" t="s">
        <v>740</v>
      </c>
      <c r="AJ361" s="53" t="s">
        <v>684</v>
      </c>
      <c r="AK361" s="53" t="s">
        <v>683</v>
      </c>
      <c r="AL361" s="53"/>
      <c r="AM361" s="156">
        <v>0.89</v>
      </c>
      <c r="AN361" s="191">
        <v>0.33</v>
      </c>
      <c r="AO361" s="192">
        <v>2.95</v>
      </c>
      <c r="AP361" s="193">
        <v>3.9E-2</v>
      </c>
      <c r="AQ361" s="192">
        <v>5.87</v>
      </c>
      <c r="AR361" s="192"/>
      <c r="AS361" s="158">
        <f t="shared" ref="AS361:AS396" si="95">(AM361*0.78*350*6*0.001)/(15*66.7*365)</f>
        <v>3.9920313815694893E-6</v>
      </c>
      <c r="AT361" s="144">
        <f t="shared" ref="AT361:AT396" si="96">(AN361*0.78*350*6*0.001)/(15*66.7*365)</f>
        <v>1.4801914111437433E-6</v>
      </c>
      <c r="AU361" s="144" t="s">
        <v>288</v>
      </c>
      <c r="AV361" s="144">
        <f t="shared" si="91"/>
        <v>1.3232014129921342E-5</v>
      </c>
      <c r="AW361" s="144">
        <f t="shared" si="91"/>
        <v>1.7493171222607877E-7</v>
      </c>
      <c r="AX361" s="158">
        <f t="shared" si="91"/>
        <v>2.6329465404284164E-5</v>
      </c>
      <c r="AY361" s="160">
        <f t="shared" si="92"/>
        <v>2.4934842167957118E-8</v>
      </c>
      <c r="AZ361" s="144">
        <f t="shared" si="93"/>
        <v>3.0818344252531268E-9</v>
      </c>
      <c r="BA361" s="144" t="s">
        <v>288</v>
      </c>
      <c r="BB361" s="144">
        <f t="shared" si="94"/>
        <v>2.7549731983323409E-8</v>
      </c>
      <c r="BC361" s="144">
        <f t="shared" si="94"/>
        <v>3.6421679571173314E-10</v>
      </c>
      <c r="BD361" s="160">
        <f t="shared" si="94"/>
        <v>5.4819297200714702E-8</v>
      </c>
      <c r="BE361" s="144"/>
    </row>
    <row r="362" spans="24:58">
      <c r="X362" s="53" t="s">
        <v>531</v>
      </c>
      <c r="Y362" s="53" t="s">
        <v>532</v>
      </c>
      <c r="Z362" s="180">
        <v>43887</v>
      </c>
      <c r="AA362" s="183">
        <v>0.25792300000000001</v>
      </c>
      <c r="AB362" s="183">
        <v>34.719996000000002</v>
      </c>
      <c r="AC362" s="53" t="s">
        <v>661</v>
      </c>
      <c r="AD362" s="53" t="s">
        <v>330</v>
      </c>
      <c r="AE362" s="53" t="s">
        <v>347</v>
      </c>
      <c r="AF362" s="154" t="s">
        <v>371</v>
      </c>
      <c r="AG362" s="116" t="s">
        <v>687</v>
      </c>
      <c r="AH362" s="53" t="s">
        <v>527</v>
      </c>
      <c r="AI362" s="53" t="s">
        <v>740</v>
      </c>
      <c r="AJ362" s="53" t="s">
        <v>685</v>
      </c>
      <c r="AK362" s="53" t="s">
        <v>691</v>
      </c>
      <c r="AL362" s="53"/>
      <c r="AM362" s="156">
        <v>0.41</v>
      </c>
      <c r="AN362" s="191">
        <v>0.11</v>
      </c>
      <c r="AO362" s="192">
        <v>0.85</v>
      </c>
      <c r="AP362" s="193">
        <v>3.4000000000000002E-2</v>
      </c>
      <c r="AQ362" s="192">
        <v>4.8099999999999996</v>
      </c>
      <c r="AR362" s="192"/>
      <c r="AS362" s="158">
        <f t="shared" si="95"/>
        <v>1.8390256926331354E-6</v>
      </c>
      <c r="AT362" s="144">
        <f t="shared" si="96"/>
        <v>4.9339713704791443E-7</v>
      </c>
      <c r="AU362" s="144" t="s">
        <v>288</v>
      </c>
      <c r="AV362" s="144">
        <f t="shared" si="91"/>
        <v>3.8126142408247938E-6</v>
      </c>
      <c r="AW362" s="144">
        <f t="shared" si="91"/>
        <v>1.5250456963299172E-7</v>
      </c>
      <c r="AX362" s="158">
        <f t="shared" si="91"/>
        <v>2.1574911174549708E-5</v>
      </c>
      <c r="AY362" s="160">
        <f t="shared" si="92"/>
        <v>1.1486837403216201E-8</v>
      </c>
      <c r="AZ362" s="144">
        <f t="shared" si="93"/>
        <v>1.0272781417510423E-9</v>
      </c>
      <c r="BA362" s="144" t="s">
        <v>288</v>
      </c>
      <c r="BB362" s="144">
        <f t="shared" si="94"/>
        <v>7.9380583680762333E-9</v>
      </c>
      <c r="BC362" s="144">
        <f t="shared" si="94"/>
        <v>3.175223347230495E-10</v>
      </c>
      <c r="BD362" s="160">
        <f t="shared" si="94"/>
        <v>4.4920071471113757E-8</v>
      </c>
      <c r="BE362" s="144"/>
    </row>
    <row r="363" spans="24:58">
      <c r="X363" s="53" t="s">
        <v>533</v>
      </c>
      <c r="Y363" s="53" t="s">
        <v>534</v>
      </c>
      <c r="Z363" s="180">
        <v>43887</v>
      </c>
      <c r="AA363" s="183">
        <v>0.26020300000000002</v>
      </c>
      <c r="AB363" s="183">
        <v>34.719721</v>
      </c>
      <c r="AC363" s="53" t="s">
        <v>661</v>
      </c>
      <c r="AD363" s="53" t="s">
        <v>330</v>
      </c>
      <c r="AE363" s="53" t="s">
        <v>347</v>
      </c>
      <c r="AF363" s="154" t="s">
        <v>371</v>
      </c>
      <c r="AG363" s="116" t="s">
        <v>687</v>
      </c>
      <c r="AH363" s="53" t="s">
        <v>535</v>
      </c>
      <c r="AI363" s="53" t="s">
        <v>739</v>
      </c>
      <c r="AJ363" s="53" t="s">
        <v>684</v>
      </c>
      <c r="AK363" s="53" t="s">
        <v>683</v>
      </c>
      <c r="AL363" s="53"/>
      <c r="AM363" s="156">
        <v>0.78</v>
      </c>
      <c r="AN363" s="191">
        <v>0.09</v>
      </c>
      <c r="AO363" s="192">
        <v>2.46</v>
      </c>
      <c r="AP363" s="193">
        <v>1.9E-2</v>
      </c>
      <c r="AQ363" s="192">
        <v>3.45</v>
      </c>
      <c r="AR363" s="192"/>
      <c r="AS363" s="158">
        <f t="shared" si="95"/>
        <v>3.4986342445215753E-6</v>
      </c>
      <c r="AT363" s="144">
        <f t="shared" si="96"/>
        <v>4.036885666755664E-7</v>
      </c>
      <c r="AU363" s="144" t="s">
        <v>288</v>
      </c>
      <c r="AV363" s="144">
        <f t="shared" si="91"/>
        <v>1.1034154155798815E-5</v>
      </c>
      <c r="AW363" s="144">
        <f t="shared" si="91"/>
        <v>8.5223141853730665E-8</v>
      </c>
      <c r="AX363" s="158">
        <f t="shared" si="91"/>
        <v>1.5474728389230043E-5</v>
      </c>
      <c r="AY363" s="160">
        <f t="shared" si="92"/>
        <v>2.1853007742703988E-8</v>
      </c>
      <c r="AZ363" s="144">
        <f t="shared" si="93"/>
        <v>8.4050029779630734E-10</v>
      </c>
      <c r="BA363" s="144" t="s">
        <v>288</v>
      </c>
      <c r="BB363" s="144">
        <f t="shared" si="94"/>
        <v>2.2973674806432401E-8</v>
      </c>
      <c r="BC363" s="144">
        <f t="shared" si="94"/>
        <v>1.7743895175699819E-10</v>
      </c>
      <c r="BD363" s="160">
        <f t="shared" si="94"/>
        <v>3.2219178082191779E-8</v>
      </c>
      <c r="BE363" s="144"/>
    </row>
    <row r="364" spans="24:58">
      <c r="X364" s="53" t="s">
        <v>536</v>
      </c>
      <c r="Y364" s="53" t="s">
        <v>537</v>
      </c>
      <c r="Z364" s="180">
        <v>43887</v>
      </c>
      <c r="AA364" s="183">
        <v>0.26076500000000002</v>
      </c>
      <c r="AB364" s="183">
        <v>34.720081</v>
      </c>
      <c r="AC364" s="53" t="s">
        <v>661</v>
      </c>
      <c r="AD364" s="53" t="s">
        <v>330</v>
      </c>
      <c r="AE364" s="53" t="s">
        <v>347</v>
      </c>
      <c r="AF364" s="154" t="s">
        <v>371</v>
      </c>
      <c r="AG364" s="116" t="s">
        <v>687</v>
      </c>
      <c r="AH364" s="53" t="s">
        <v>538</v>
      </c>
      <c r="AI364" s="53" t="s">
        <v>739</v>
      </c>
      <c r="AJ364" s="53" t="s">
        <v>726</v>
      </c>
      <c r="AK364" s="53" t="s">
        <v>727</v>
      </c>
      <c r="AL364" s="53"/>
      <c r="AM364" s="156">
        <v>0.71</v>
      </c>
      <c r="AN364" s="191">
        <v>0.13</v>
      </c>
      <c r="AO364" s="192">
        <v>0.5</v>
      </c>
      <c r="AP364" s="193">
        <v>2.5999999999999999E-2</v>
      </c>
      <c r="AQ364" s="192">
        <v>1.98</v>
      </c>
      <c r="AR364" s="192"/>
      <c r="AS364" s="158">
        <f t="shared" si="95"/>
        <v>3.1846542482183569E-6</v>
      </c>
      <c r="AT364" s="144">
        <f t="shared" si="96"/>
        <v>5.8310570742026241E-7</v>
      </c>
      <c r="AU364" s="144" t="s">
        <v>288</v>
      </c>
      <c r="AV364" s="144">
        <f t="shared" si="91"/>
        <v>2.2427142593087019E-6</v>
      </c>
      <c r="AW364" s="144">
        <f t="shared" si="91"/>
        <v>1.1662114148405249E-7</v>
      </c>
      <c r="AX364" s="158">
        <f t="shared" si="91"/>
        <v>8.8811484668624581E-6</v>
      </c>
      <c r="AY364" s="160">
        <f t="shared" si="92"/>
        <v>1.9891840381179271E-8</v>
      </c>
      <c r="AZ364" s="144">
        <f t="shared" si="93"/>
        <v>1.2140559857057772E-9</v>
      </c>
      <c r="BA364" s="144" t="s">
        <v>288</v>
      </c>
      <c r="BB364" s="144">
        <f t="shared" si="94"/>
        <v>4.669446098868375E-9</v>
      </c>
      <c r="BC364" s="144">
        <f t="shared" si="94"/>
        <v>2.4281119714115548E-10</v>
      </c>
      <c r="BD364" s="160">
        <f t="shared" si="94"/>
        <v>1.8491006551518761E-8</v>
      </c>
      <c r="BE364" s="144"/>
    </row>
    <row r="365" spans="24:58">
      <c r="X365" s="53" t="s">
        <v>539</v>
      </c>
      <c r="Y365" s="53" t="s">
        <v>540</v>
      </c>
      <c r="Z365" s="180">
        <v>43887</v>
      </c>
      <c r="AA365" s="183">
        <v>0.25792300000000001</v>
      </c>
      <c r="AB365" s="183">
        <v>34.719996000000002</v>
      </c>
      <c r="AC365" s="53" t="s">
        <v>661</v>
      </c>
      <c r="AD365" s="53" t="s">
        <v>330</v>
      </c>
      <c r="AE365" s="53" t="s">
        <v>347</v>
      </c>
      <c r="AF365" s="154" t="s">
        <v>371</v>
      </c>
      <c r="AG365" s="116" t="s">
        <v>687</v>
      </c>
      <c r="AH365" s="53" t="s">
        <v>538</v>
      </c>
      <c r="AI365" s="53" t="s">
        <v>739</v>
      </c>
      <c r="AJ365" s="53" t="s">
        <v>726</v>
      </c>
      <c r="AK365" s="53" t="s">
        <v>727</v>
      </c>
      <c r="AL365" s="53"/>
      <c r="AM365" s="156">
        <v>0.75</v>
      </c>
      <c r="AN365" s="191">
        <v>0.11</v>
      </c>
      <c r="AO365" s="192">
        <v>0.82</v>
      </c>
      <c r="AP365" s="193">
        <v>3.2000000000000001E-2</v>
      </c>
      <c r="AQ365" s="192">
        <v>4.96</v>
      </c>
      <c r="AR365" s="192"/>
      <c r="AS365" s="158">
        <f t="shared" si="95"/>
        <v>3.3640713889630524E-6</v>
      </c>
      <c r="AT365" s="144">
        <f t="shared" si="96"/>
        <v>4.9339713704791443E-7</v>
      </c>
      <c r="AU365" s="144" t="s">
        <v>288</v>
      </c>
      <c r="AV365" s="144">
        <f t="shared" si="91"/>
        <v>3.6780513852662709E-6</v>
      </c>
      <c r="AW365" s="144">
        <f t="shared" si="91"/>
        <v>1.4353371259575693E-7</v>
      </c>
      <c r="AX365" s="158">
        <f t="shared" si="91"/>
        <v>2.2247725452342328E-5</v>
      </c>
      <c r="AY365" s="160">
        <f t="shared" si="92"/>
        <v>2.1012507444907681E-8</v>
      </c>
      <c r="AZ365" s="144">
        <f t="shared" si="93"/>
        <v>1.0272781417510423E-9</v>
      </c>
      <c r="BA365" s="144" t="s">
        <v>288</v>
      </c>
      <c r="BB365" s="144">
        <f t="shared" si="94"/>
        <v>7.6578916021441332E-9</v>
      </c>
      <c r="BC365" s="144">
        <f t="shared" si="94"/>
        <v>2.9884455032757596E-10</v>
      </c>
      <c r="BD365" s="160">
        <f t="shared" si="94"/>
        <v>4.6320905300774274E-8</v>
      </c>
      <c r="BE365" s="144"/>
    </row>
    <row r="366" spans="24:58">
      <c r="X366" s="53" t="s">
        <v>541</v>
      </c>
      <c r="Y366" s="53" t="s">
        <v>542</v>
      </c>
      <c r="Z366" s="180">
        <v>43887</v>
      </c>
      <c r="AA366" s="183">
        <v>0.25792300000000001</v>
      </c>
      <c r="AB366" s="183">
        <v>34.719996000000002</v>
      </c>
      <c r="AC366" s="53" t="s">
        <v>661</v>
      </c>
      <c r="AD366" s="53" t="s">
        <v>330</v>
      </c>
      <c r="AE366" s="53" t="s">
        <v>347</v>
      </c>
      <c r="AF366" s="154" t="s">
        <v>371</v>
      </c>
      <c r="AG366" s="116" t="s">
        <v>687</v>
      </c>
      <c r="AH366" s="53" t="s">
        <v>538</v>
      </c>
      <c r="AI366" s="53" t="s">
        <v>739</v>
      </c>
      <c r="AJ366" s="53" t="s">
        <v>726</v>
      </c>
      <c r="AK366" s="53" t="s">
        <v>727</v>
      </c>
      <c r="AL366" s="53"/>
      <c r="AM366" s="156">
        <v>0.4</v>
      </c>
      <c r="AN366" s="191">
        <v>0.17</v>
      </c>
      <c r="AO366" s="192">
        <v>0.86</v>
      </c>
      <c r="AP366" s="193">
        <v>5.5E-2</v>
      </c>
      <c r="AQ366" s="192">
        <v>4.79</v>
      </c>
      <c r="AR366" s="192"/>
      <c r="AS366" s="158">
        <f t="shared" si="95"/>
        <v>1.7941714074469616E-6</v>
      </c>
      <c r="AT366" s="144">
        <f t="shared" si="96"/>
        <v>7.625228481649587E-7</v>
      </c>
      <c r="AU366" s="144" t="s">
        <v>288</v>
      </c>
      <c r="AV366" s="144">
        <f t="shared" si="91"/>
        <v>3.8574685260109685E-6</v>
      </c>
      <c r="AW366" s="144">
        <f t="shared" si="91"/>
        <v>2.4669856852395722E-7</v>
      </c>
      <c r="AX366" s="158">
        <f t="shared" si="91"/>
        <v>2.1485202604177364E-5</v>
      </c>
      <c r="AY366" s="160">
        <f t="shared" si="92"/>
        <v>1.1206670637284097E-8</v>
      </c>
      <c r="AZ366" s="144">
        <f t="shared" si="93"/>
        <v>1.5876116736152473E-9</v>
      </c>
      <c r="BA366" s="144" t="s">
        <v>288</v>
      </c>
      <c r="BB366" s="144">
        <f t="shared" si="94"/>
        <v>8.0314472900536043E-9</v>
      </c>
      <c r="BC366" s="144">
        <f t="shared" si="94"/>
        <v>5.1363907087552114E-10</v>
      </c>
      <c r="BD366" s="160">
        <f t="shared" si="94"/>
        <v>4.4733293627159035E-8</v>
      </c>
      <c r="BE366" s="144"/>
    </row>
    <row r="367" spans="24:58">
      <c r="X367" s="53" t="s">
        <v>543</v>
      </c>
      <c r="Y367" s="53" t="s">
        <v>544</v>
      </c>
      <c r="Z367" s="180">
        <v>43887</v>
      </c>
      <c r="AA367" s="183">
        <v>0.258245</v>
      </c>
      <c r="AB367" s="183">
        <v>34.717754999999997</v>
      </c>
      <c r="AC367" s="53" t="s">
        <v>661</v>
      </c>
      <c r="AD367" s="53" t="s">
        <v>330</v>
      </c>
      <c r="AE367" s="53" t="s">
        <v>347</v>
      </c>
      <c r="AF367" s="154" t="s">
        <v>371</v>
      </c>
      <c r="AG367" s="116" t="s">
        <v>687</v>
      </c>
      <c r="AH367" s="53" t="s">
        <v>527</v>
      </c>
      <c r="AI367" s="53" t="s">
        <v>740</v>
      </c>
      <c r="AJ367" s="53" t="s">
        <v>685</v>
      </c>
      <c r="AK367" s="53" t="s">
        <v>691</v>
      </c>
      <c r="AL367" s="53"/>
      <c r="AM367" s="156">
        <v>0.82</v>
      </c>
      <c r="AN367" s="191">
        <v>0.15</v>
      </c>
      <c r="AO367" s="192">
        <v>2.42</v>
      </c>
      <c r="AP367" s="193">
        <v>5.5E-2</v>
      </c>
      <c r="AQ367" s="192">
        <v>3.38</v>
      </c>
      <c r="AR367" s="192"/>
      <c r="AS367" s="158">
        <f t="shared" si="95"/>
        <v>3.6780513852662709E-6</v>
      </c>
      <c r="AT367" s="144">
        <f t="shared" si="96"/>
        <v>6.728142777926105E-7</v>
      </c>
      <c r="AU367" s="144" t="s">
        <v>288</v>
      </c>
      <c r="AV367" s="144">
        <f t="shared" si="91"/>
        <v>1.0854737015054118E-5</v>
      </c>
      <c r="AW367" s="144">
        <f t="shared" si="91"/>
        <v>2.4669856852395722E-7</v>
      </c>
      <c r="AX367" s="158">
        <f t="shared" si="91"/>
        <v>1.5160748392926826E-5</v>
      </c>
      <c r="AY367" s="160">
        <f t="shared" si="92"/>
        <v>2.2973674806432401E-8</v>
      </c>
      <c r="AZ367" s="144">
        <f t="shared" si="93"/>
        <v>1.400833829660512E-9</v>
      </c>
      <c r="BA367" s="144" t="s">
        <v>288</v>
      </c>
      <c r="BB367" s="144">
        <f t="shared" si="94"/>
        <v>2.2600119118522927E-8</v>
      </c>
      <c r="BC367" s="144">
        <f t="shared" si="94"/>
        <v>5.1363907087552114E-10</v>
      </c>
      <c r="BD367" s="160">
        <f t="shared" si="94"/>
        <v>3.1565455628350211E-8</v>
      </c>
      <c r="BE367" s="144"/>
    </row>
    <row r="368" spans="24:58">
      <c r="X368" s="53" t="s">
        <v>545</v>
      </c>
      <c r="Y368" s="53" t="s">
        <v>546</v>
      </c>
      <c r="Z368" s="180">
        <v>43887</v>
      </c>
      <c r="AA368" s="183">
        <v>0.26067699999999999</v>
      </c>
      <c r="AB368" s="183">
        <v>34.720677999999999</v>
      </c>
      <c r="AC368" s="53" t="s">
        <v>661</v>
      </c>
      <c r="AD368" s="53" t="s">
        <v>330</v>
      </c>
      <c r="AE368" s="53" t="s">
        <v>347</v>
      </c>
      <c r="AF368" s="154" t="s">
        <v>371</v>
      </c>
      <c r="AG368" s="116" t="s">
        <v>687</v>
      </c>
      <c r="AH368" s="53" t="s">
        <v>728</v>
      </c>
      <c r="AI368" s="53" t="s">
        <v>739</v>
      </c>
      <c r="AJ368" s="53" t="s">
        <v>726</v>
      </c>
      <c r="AK368" s="53" t="s">
        <v>727</v>
      </c>
      <c r="AL368" s="53"/>
      <c r="AM368" s="156">
        <v>4.26</v>
      </c>
      <c r="AN368" s="191">
        <v>0.15</v>
      </c>
      <c r="AO368" s="192">
        <v>0.27</v>
      </c>
      <c r="AP368" s="193">
        <v>1.6E-2</v>
      </c>
      <c r="AQ368" s="192">
        <v>1.86</v>
      </c>
      <c r="AR368" s="192"/>
      <c r="AS368" s="158">
        <f t="shared" si="95"/>
        <v>1.9107925489310139E-5</v>
      </c>
      <c r="AT368" s="144">
        <f t="shared" si="96"/>
        <v>6.728142777926105E-7</v>
      </c>
      <c r="AU368" s="144" t="s">
        <v>288</v>
      </c>
      <c r="AV368" s="144">
        <f t="shared" si="91"/>
        <v>1.2110657000266991E-6</v>
      </c>
      <c r="AW368" s="144">
        <f t="shared" si="91"/>
        <v>7.1766856297878463E-8</v>
      </c>
      <c r="AX368" s="158">
        <f t="shared" si="91"/>
        <v>8.3428970446283715E-6</v>
      </c>
      <c r="AY368" s="160">
        <f t="shared" si="92"/>
        <v>1.1935104228707565E-7</v>
      </c>
      <c r="AZ368" s="144">
        <f t="shared" si="93"/>
        <v>1.400833829660512E-9</v>
      </c>
      <c r="BA368" s="144" t="s">
        <v>288</v>
      </c>
      <c r="BB368" s="144">
        <f t="shared" si="94"/>
        <v>2.5215008933889218E-9</v>
      </c>
      <c r="BC368" s="144">
        <f t="shared" si="94"/>
        <v>1.4942227516378798E-10</v>
      </c>
      <c r="BD368" s="160">
        <f t="shared" si="94"/>
        <v>1.7370339487790351E-8</v>
      </c>
      <c r="BE368" s="144"/>
    </row>
    <row r="369" spans="24:57">
      <c r="X369" s="53" t="s">
        <v>547</v>
      </c>
      <c r="Y369" s="53" t="s">
        <v>548</v>
      </c>
      <c r="Z369" s="180">
        <v>43887</v>
      </c>
      <c r="AA369" s="183">
        <v>0.31578899999999999</v>
      </c>
      <c r="AB369" s="183">
        <v>34.648187999999998</v>
      </c>
      <c r="AC369" s="53" t="s">
        <v>661</v>
      </c>
      <c r="AD369" s="53" t="s">
        <v>330</v>
      </c>
      <c r="AE369" s="53" t="s">
        <v>347</v>
      </c>
      <c r="AF369" s="154" t="s">
        <v>371</v>
      </c>
      <c r="AG369" s="39" t="s">
        <v>688</v>
      </c>
      <c r="AH369" s="53" t="s">
        <v>535</v>
      </c>
      <c r="AI369" s="53" t="s">
        <v>739</v>
      </c>
      <c r="AJ369" s="53" t="s">
        <v>684</v>
      </c>
      <c r="AK369" s="53" t="s">
        <v>683</v>
      </c>
      <c r="AL369" s="53"/>
      <c r="AM369" s="156">
        <v>1.32</v>
      </c>
      <c r="AN369" s="191">
        <v>0.38</v>
      </c>
      <c r="AO369" s="192">
        <v>0.22</v>
      </c>
      <c r="AP369" s="193">
        <v>3.9E-2</v>
      </c>
      <c r="AQ369" s="192">
        <v>1.33</v>
      </c>
      <c r="AR369" s="192"/>
      <c r="AS369" s="158">
        <f t="shared" si="95"/>
        <v>5.9207656445749732E-6</v>
      </c>
      <c r="AT369" s="144">
        <f t="shared" si="96"/>
        <v>1.7044628370746134E-6</v>
      </c>
      <c r="AU369" s="144" t="s">
        <v>288</v>
      </c>
      <c r="AV369" s="144">
        <f t="shared" si="91"/>
        <v>9.8679427409582886E-7</v>
      </c>
      <c r="AW369" s="144">
        <f t="shared" si="91"/>
        <v>1.7493171222607877E-7</v>
      </c>
      <c r="AX369" s="158">
        <f t="shared" si="91"/>
        <v>5.9656199297611462E-6</v>
      </c>
      <c r="AY369" s="160">
        <f t="shared" si="92"/>
        <v>3.6982013103037522E-8</v>
      </c>
      <c r="AZ369" s="144">
        <f t="shared" si="93"/>
        <v>3.5487790351399641E-9</v>
      </c>
      <c r="BA369" s="144" t="s">
        <v>288</v>
      </c>
      <c r="BB369" s="144">
        <f t="shared" si="94"/>
        <v>2.0545562835020846E-9</v>
      </c>
      <c r="BC369" s="144">
        <f t="shared" si="94"/>
        <v>3.6421679571173314E-10</v>
      </c>
      <c r="BD369" s="160">
        <f t="shared" si="94"/>
        <v>1.2420726622989875E-8</v>
      </c>
      <c r="BE369" s="144"/>
    </row>
    <row r="370" spans="24:57">
      <c r="X370" s="53" t="s">
        <v>549</v>
      </c>
      <c r="Y370" s="53" t="s">
        <v>550</v>
      </c>
      <c r="Z370" s="180">
        <v>43887</v>
      </c>
      <c r="AA370" s="53">
        <v>0.31646400000000002</v>
      </c>
      <c r="AB370" s="53">
        <v>34.649081000000002</v>
      </c>
      <c r="AC370" s="53" t="s">
        <v>661</v>
      </c>
      <c r="AD370" s="53" t="s">
        <v>330</v>
      </c>
      <c r="AE370" s="53" t="s">
        <v>347</v>
      </c>
      <c r="AF370" s="53" t="s">
        <v>371</v>
      </c>
      <c r="AG370" s="39" t="s">
        <v>688</v>
      </c>
      <c r="AH370" s="53" t="s">
        <v>535</v>
      </c>
      <c r="AI370" s="53" t="s">
        <v>739</v>
      </c>
      <c r="AJ370" s="53" t="s">
        <v>684</v>
      </c>
      <c r="AK370" s="53" t="s">
        <v>683</v>
      </c>
      <c r="AL370" s="53"/>
      <c r="AM370" s="156">
        <v>0.15</v>
      </c>
      <c r="AN370" s="191">
        <v>0.18</v>
      </c>
      <c r="AO370" s="192">
        <v>0.21</v>
      </c>
      <c r="AP370" s="193">
        <v>5.3999999999999999E-2</v>
      </c>
      <c r="AQ370" s="192">
        <v>1.5</v>
      </c>
      <c r="AR370" s="192"/>
      <c r="AS370" s="158">
        <f t="shared" si="95"/>
        <v>6.728142777926105E-7</v>
      </c>
      <c r="AT370" s="144">
        <f t="shared" si="96"/>
        <v>8.0737713335113279E-7</v>
      </c>
      <c r="AU370" s="144" t="s">
        <v>288</v>
      </c>
      <c r="AV370" s="144">
        <f t="shared" si="91"/>
        <v>9.4193998890965477E-7</v>
      </c>
      <c r="AW370" s="144">
        <f t="shared" si="91"/>
        <v>2.4221314000533981E-7</v>
      </c>
      <c r="AX370" s="158">
        <f t="shared" si="91"/>
        <v>6.7281427779261048E-6</v>
      </c>
      <c r="AY370" s="160">
        <f t="shared" si="92"/>
        <v>4.2025014889815369E-9</v>
      </c>
      <c r="AZ370" s="144">
        <f t="shared" si="93"/>
        <v>1.6810005955926147E-9</v>
      </c>
      <c r="BA370" s="144" t="s">
        <v>288</v>
      </c>
      <c r="BB370" s="144">
        <f t="shared" si="94"/>
        <v>1.9611673615247168E-9</v>
      </c>
      <c r="BC370" s="144">
        <f t="shared" si="94"/>
        <v>5.0430017867778445E-10</v>
      </c>
      <c r="BD370" s="160">
        <f t="shared" si="94"/>
        <v>1.4008338296605124E-8</v>
      </c>
      <c r="BE370" s="144"/>
    </row>
    <row r="371" spans="24:57">
      <c r="X371" s="53" t="s">
        <v>551</v>
      </c>
      <c r="Y371" s="53" t="s">
        <v>552</v>
      </c>
      <c r="Z371" s="180">
        <v>43888</v>
      </c>
      <c r="AA371" s="53">
        <v>0.25118800000000002</v>
      </c>
      <c r="AB371" s="53">
        <v>34.723633</v>
      </c>
      <c r="AC371" s="53" t="s">
        <v>661</v>
      </c>
      <c r="AD371" s="53" t="s">
        <v>330</v>
      </c>
      <c r="AE371" s="53" t="s">
        <v>347</v>
      </c>
      <c r="AF371" s="53" t="s">
        <v>371</v>
      </c>
      <c r="AG371" s="39" t="s">
        <v>688</v>
      </c>
      <c r="AH371" s="53" t="s">
        <v>538</v>
      </c>
      <c r="AI371" s="53" t="s">
        <v>739</v>
      </c>
      <c r="AJ371" s="53" t="s">
        <v>726</v>
      </c>
      <c r="AK371" s="53" t="s">
        <v>727</v>
      </c>
      <c r="AL371" s="53"/>
      <c r="AM371" s="156">
        <v>0.12</v>
      </c>
      <c r="AN371" s="191">
        <v>0.13</v>
      </c>
      <c r="AO371" s="192">
        <v>0.6</v>
      </c>
      <c r="AP371" s="193">
        <v>2.5000000000000001E-2</v>
      </c>
      <c r="AQ371" s="192">
        <v>1.1599999999999999</v>
      </c>
      <c r="AR371" s="192"/>
      <c r="AS371" s="158">
        <f t="shared" si="95"/>
        <v>5.3825142223408842E-7</v>
      </c>
      <c r="AT371" s="144">
        <f t="shared" si="96"/>
        <v>5.8310570742026241E-7</v>
      </c>
      <c r="AU371" s="144" t="s">
        <v>288</v>
      </c>
      <c r="AV371" s="144">
        <f t="shared" si="91"/>
        <v>2.691257111170442E-6</v>
      </c>
      <c r="AW371" s="144">
        <f t="shared" si="91"/>
        <v>1.121357129654351E-7</v>
      </c>
      <c r="AX371" s="158">
        <f t="shared" si="91"/>
        <v>5.2030970815961876E-6</v>
      </c>
      <c r="AY371" s="160">
        <f t="shared" si="92"/>
        <v>3.3620011911852294E-9</v>
      </c>
      <c r="AZ371" s="144">
        <f t="shared" si="93"/>
        <v>1.2140559857057772E-9</v>
      </c>
      <c r="BA371" s="144" t="s">
        <v>288</v>
      </c>
      <c r="BB371" s="144">
        <f t="shared" si="94"/>
        <v>5.6033353186420478E-9</v>
      </c>
      <c r="BC371" s="144">
        <f t="shared" si="94"/>
        <v>2.3347230494341878E-10</v>
      </c>
      <c r="BD371" s="160">
        <f t="shared" si="94"/>
        <v>1.0833114949374629E-8</v>
      </c>
      <c r="BE371" s="144"/>
    </row>
    <row r="372" spans="24:57">
      <c r="X372" s="53" t="s">
        <v>553</v>
      </c>
      <c r="Y372" s="53" t="s">
        <v>554</v>
      </c>
      <c r="Z372" s="180">
        <v>43888</v>
      </c>
      <c r="AA372" s="53">
        <v>0.26495800000000003</v>
      </c>
      <c r="AB372" s="53">
        <v>34.729039</v>
      </c>
      <c r="AC372" s="53" t="s">
        <v>660</v>
      </c>
      <c r="AD372" s="53" t="s">
        <v>330</v>
      </c>
      <c r="AE372" s="53" t="s">
        <v>347</v>
      </c>
      <c r="AF372" s="53" t="s">
        <v>371</v>
      </c>
      <c r="AG372" s="116" t="s">
        <v>687</v>
      </c>
      <c r="AH372" s="53" t="s">
        <v>555</v>
      </c>
      <c r="AI372" s="53" t="s">
        <v>739</v>
      </c>
      <c r="AJ372" s="53" t="s">
        <v>684</v>
      </c>
      <c r="AK372" s="53" t="s">
        <v>683</v>
      </c>
      <c r="AL372" s="53"/>
      <c r="AM372" s="156">
        <v>0.06</v>
      </c>
      <c r="AN372" s="191">
        <v>0.21</v>
      </c>
      <c r="AO372" s="192">
        <v>0.38</v>
      </c>
      <c r="AP372" s="193">
        <v>4.3999999999999997E-2</v>
      </c>
      <c r="AQ372" s="157">
        <v>32.200000000000003</v>
      </c>
      <c r="AR372" s="157"/>
      <c r="AS372" s="158">
        <f t="shared" si="95"/>
        <v>2.6912571111704421E-7</v>
      </c>
      <c r="AT372" s="144">
        <f t="shared" si="96"/>
        <v>9.4193998890965477E-7</v>
      </c>
      <c r="AU372" s="144" t="s">
        <v>288</v>
      </c>
      <c r="AV372" s="144">
        <f t="shared" si="91"/>
        <v>1.7044628370746134E-6</v>
      </c>
      <c r="AW372" s="144">
        <f t="shared" si="91"/>
        <v>1.9735885481916571E-7</v>
      </c>
      <c r="AX372" s="158">
        <f t="shared" si="91"/>
        <v>1.4443079829948042E-4</v>
      </c>
      <c r="AY372" s="160">
        <f t="shared" si="92"/>
        <v>1.6810005955926147E-9</v>
      </c>
      <c r="AZ372" s="144">
        <f t="shared" si="93"/>
        <v>1.9611673615247168E-9</v>
      </c>
      <c r="BA372" s="144" t="s">
        <v>288</v>
      </c>
      <c r="BB372" s="144">
        <f t="shared" si="94"/>
        <v>3.5487790351399641E-9</v>
      </c>
      <c r="BC372" s="144">
        <f t="shared" si="94"/>
        <v>4.1091125670041687E-10</v>
      </c>
      <c r="BD372" s="160">
        <f t="shared" si="94"/>
        <v>3.0071232876712335E-7</v>
      </c>
      <c r="BE372" s="144"/>
    </row>
    <row r="373" spans="24:57">
      <c r="X373" s="53" t="s">
        <v>556</v>
      </c>
      <c r="Y373" s="53" t="s">
        <v>557</v>
      </c>
      <c r="Z373" s="180">
        <v>43888</v>
      </c>
      <c r="AA373" s="53">
        <v>0.21136199999999999</v>
      </c>
      <c r="AB373" s="53">
        <v>34.729503000000001</v>
      </c>
      <c r="AC373" s="53" t="s">
        <v>662</v>
      </c>
      <c r="AD373" s="53" t="s">
        <v>330</v>
      </c>
      <c r="AE373" s="53" t="s">
        <v>347</v>
      </c>
      <c r="AF373" s="53" t="s">
        <v>371</v>
      </c>
      <c r="AG373" s="116" t="s">
        <v>687</v>
      </c>
      <c r="AH373" s="53" t="s">
        <v>538</v>
      </c>
      <c r="AI373" s="53" t="s">
        <v>739</v>
      </c>
      <c r="AJ373" s="53" t="s">
        <v>726</v>
      </c>
      <c r="AK373" s="53" t="s">
        <v>727</v>
      </c>
      <c r="AL373" s="53"/>
      <c r="AM373" s="156">
        <v>8.09</v>
      </c>
      <c r="AN373" s="191">
        <v>0.24</v>
      </c>
      <c r="AO373" s="192">
        <v>0.51</v>
      </c>
      <c r="AP373" s="193">
        <v>4.9000000000000002E-2</v>
      </c>
      <c r="AQ373" s="192">
        <v>1.64</v>
      </c>
      <c r="AR373" s="192"/>
      <c r="AS373" s="158">
        <f t="shared" si="95"/>
        <v>3.62871167156148E-5</v>
      </c>
      <c r="AT373" s="144">
        <f t="shared" si="96"/>
        <v>1.0765028444681768E-6</v>
      </c>
      <c r="AU373" s="144" t="s">
        <v>288</v>
      </c>
      <c r="AV373" s="144">
        <f t="shared" si="91"/>
        <v>2.2875685444948762E-6</v>
      </c>
      <c r="AW373" s="144">
        <f t="shared" si="91"/>
        <v>2.1978599741225278E-7</v>
      </c>
      <c r="AX373" s="158">
        <f t="shared" si="91"/>
        <v>7.3561027705325417E-6</v>
      </c>
      <c r="AY373" s="160">
        <f t="shared" si="92"/>
        <v>2.2665491363907089E-7</v>
      </c>
      <c r="AZ373" s="144">
        <f t="shared" si="93"/>
        <v>2.2413341274568201E-9</v>
      </c>
      <c r="BA373" s="144" t="s">
        <v>288</v>
      </c>
      <c r="BB373" s="144">
        <f t="shared" si="94"/>
        <v>4.7628350208457403E-9</v>
      </c>
      <c r="BC373" s="144">
        <f t="shared" si="94"/>
        <v>4.5760571768910071E-10</v>
      </c>
      <c r="BD373" s="160">
        <f t="shared" si="94"/>
        <v>1.5315783204288266E-8</v>
      </c>
      <c r="BE373" s="144"/>
    </row>
    <row r="374" spans="24:57">
      <c r="X374" s="53" t="s">
        <v>558</v>
      </c>
      <c r="Y374" s="53" t="s">
        <v>559</v>
      </c>
      <c r="Z374" s="180">
        <v>43888</v>
      </c>
      <c r="AA374" s="183">
        <v>0.20258399999999999</v>
      </c>
      <c r="AB374" s="183">
        <v>34.714993</v>
      </c>
      <c r="AC374" s="53" t="s">
        <v>662</v>
      </c>
      <c r="AD374" s="53" t="s">
        <v>330</v>
      </c>
      <c r="AE374" s="53" t="s">
        <v>347</v>
      </c>
      <c r="AF374" s="154" t="s">
        <v>371</v>
      </c>
      <c r="AG374" s="116" t="s">
        <v>687</v>
      </c>
      <c r="AH374" s="53" t="s">
        <v>535</v>
      </c>
      <c r="AI374" s="53" t="s">
        <v>739</v>
      </c>
      <c r="AJ374" s="53" t="s">
        <v>684</v>
      </c>
      <c r="AK374" s="53" t="s">
        <v>683</v>
      </c>
      <c r="AL374" s="53"/>
      <c r="AM374" s="156">
        <v>0.23</v>
      </c>
      <c r="AN374" s="191">
        <v>0.15</v>
      </c>
      <c r="AO374" s="192">
        <v>4.8899999999999997</v>
      </c>
      <c r="AP374" s="193">
        <v>4.8000000000000001E-2</v>
      </c>
      <c r="AQ374" s="192">
        <v>2.87</v>
      </c>
      <c r="AR374" s="192"/>
      <c r="AS374" s="158">
        <f t="shared" si="95"/>
        <v>1.031648559282003E-6</v>
      </c>
      <c r="AT374" s="144">
        <f t="shared" si="96"/>
        <v>6.728142777926105E-7</v>
      </c>
      <c r="AU374" s="144" t="s">
        <v>288</v>
      </c>
      <c r="AV374" s="144">
        <f t="shared" si="91"/>
        <v>2.1933745456039103E-5</v>
      </c>
      <c r="AW374" s="144">
        <f t="shared" si="91"/>
        <v>2.153005688936354E-7</v>
      </c>
      <c r="AX374" s="158">
        <f t="shared" si="91"/>
        <v>1.2873179848431951E-5</v>
      </c>
      <c r="AY374" s="160">
        <f t="shared" si="92"/>
        <v>6.4438356164383554E-9</v>
      </c>
      <c r="AZ374" s="144">
        <f t="shared" si="93"/>
        <v>1.400833829660512E-9</v>
      </c>
      <c r="BA374" s="144" t="s">
        <v>288</v>
      </c>
      <c r="BB374" s="144">
        <f t="shared" si="94"/>
        <v>4.5667182846932699E-8</v>
      </c>
      <c r="BC374" s="144">
        <f t="shared" si="94"/>
        <v>4.4826682549136391E-10</v>
      </c>
      <c r="BD374" s="160">
        <f t="shared" si="94"/>
        <v>2.6802620607504464E-8</v>
      </c>
      <c r="BE374" s="144"/>
    </row>
    <row r="375" spans="24:57">
      <c r="X375" s="53" t="s">
        <v>560</v>
      </c>
      <c r="Y375" s="53" t="s">
        <v>561</v>
      </c>
      <c r="Z375" s="180">
        <v>43889</v>
      </c>
      <c r="AA375" s="183">
        <v>0.18987899999999999</v>
      </c>
      <c r="AB375" s="183">
        <v>34.735692999999998</v>
      </c>
      <c r="AC375" s="53" t="s">
        <v>663</v>
      </c>
      <c r="AD375" s="53" t="s">
        <v>330</v>
      </c>
      <c r="AE375" s="53" t="s">
        <v>347</v>
      </c>
      <c r="AF375" s="154" t="s">
        <v>371</v>
      </c>
      <c r="AG375" s="116" t="s">
        <v>687</v>
      </c>
      <c r="AH375" s="53" t="s">
        <v>555</v>
      </c>
      <c r="AI375" s="53" t="s">
        <v>739</v>
      </c>
      <c r="AJ375" s="53" t="s">
        <v>684</v>
      </c>
      <c r="AK375" s="53" t="s">
        <v>683</v>
      </c>
      <c r="AL375" s="53"/>
      <c r="AM375" s="156">
        <v>12.97</v>
      </c>
      <c r="AN375" s="191">
        <v>0.16</v>
      </c>
      <c r="AO375" s="192">
        <v>0.08</v>
      </c>
      <c r="AP375" s="193">
        <v>0.122</v>
      </c>
      <c r="AQ375" s="192">
        <v>5.8</v>
      </c>
      <c r="AR375" s="192"/>
      <c r="AS375" s="158">
        <f t="shared" si="95"/>
        <v>5.8176007886467731E-5</v>
      </c>
      <c r="AT375" s="144">
        <f t="shared" si="96"/>
        <v>7.1766856297878449E-7</v>
      </c>
      <c r="AU375" s="144" t="s">
        <v>288</v>
      </c>
      <c r="AV375" s="144">
        <f t="shared" si="91"/>
        <v>3.5883428148939225E-7</v>
      </c>
      <c r="AW375" s="144">
        <f t="shared" si="91"/>
        <v>5.4722227927132324E-7</v>
      </c>
      <c r="AX375" s="158">
        <f t="shared" si="91"/>
        <v>2.6015485407980945E-5</v>
      </c>
      <c r="AY375" s="160">
        <f t="shared" si="92"/>
        <v>3.6337629541393687E-7</v>
      </c>
      <c r="AZ375" s="144">
        <f t="shared" si="93"/>
        <v>1.4942227516378795E-9</v>
      </c>
      <c r="BA375" s="144" t="s">
        <v>288</v>
      </c>
      <c r="BB375" s="144">
        <f t="shared" si="94"/>
        <v>7.4711137581893977E-10</v>
      </c>
      <c r="BC375" s="144">
        <f t="shared" si="94"/>
        <v>1.139344848123883E-9</v>
      </c>
      <c r="BD375" s="160">
        <f t="shared" si="94"/>
        <v>5.4165574746873128E-8</v>
      </c>
      <c r="BE375" s="144"/>
    </row>
    <row r="376" spans="24:57">
      <c r="X376" s="53" t="s">
        <v>562</v>
      </c>
      <c r="Y376" s="53" t="s">
        <v>563</v>
      </c>
      <c r="Z376" s="180">
        <v>43889</v>
      </c>
      <c r="AA376" s="183">
        <v>0.18990299999999999</v>
      </c>
      <c r="AB376" s="183">
        <v>34.745731999999997</v>
      </c>
      <c r="AC376" s="198" t="s">
        <v>663</v>
      </c>
      <c r="AD376" s="53" t="s">
        <v>330</v>
      </c>
      <c r="AE376" s="53" t="s">
        <v>347</v>
      </c>
      <c r="AF376" s="154" t="s">
        <v>371</v>
      </c>
      <c r="AG376" s="116" t="s">
        <v>687</v>
      </c>
      <c r="AH376" s="53" t="s">
        <v>535</v>
      </c>
      <c r="AI376" s="53" t="s">
        <v>739</v>
      </c>
      <c r="AJ376" s="53" t="s">
        <v>684</v>
      </c>
      <c r="AK376" s="53" t="s">
        <v>683</v>
      </c>
      <c r="AL376" s="53"/>
      <c r="AM376" s="156">
        <v>1.63</v>
      </c>
      <c r="AN376" s="191">
        <v>0.18</v>
      </c>
      <c r="AO376" s="192">
        <v>0.51</v>
      </c>
      <c r="AP376" s="193">
        <v>4.4999999999999998E-2</v>
      </c>
      <c r="AQ376" s="192">
        <v>2.08</v>
      </c>
      <c r="AR376" s="192"/>
      <c r="AS376" s="158">
        <f t="shared" si="95"/>
        <v>7.311248485346367E-6</v>
      </c>
      <c r="AT376" s="144">
        <f t="shared" si="96"/>
        <v>8.0737713335113279E-7</v>
      </c>
      <c r="AU376" s="144" t="s">
        <v>288</v>
      </c>
      <c r="AV376" s="144">
        <f t="shared" si="91"/>
        <v>2.2875685444948762E-6</v>
      </c>
      <c r="AW376" s="144">
        <f t="shared" si="91"/>
        <v>2.018442833377832E-7</v>
      </c>
      <c r="AX376" s="158">
        <f t="shared" si="91"/>
        <v>9.3296913187241986E-6</v>
      </c>
      <c r="AY376" s="160">
        <f t="shared" si="92"/>
        <v>4.5667182846932699E-8</v>
      </c>
      <c r="AZ376" s="144">
        <f t="shared" si="93"/>
        <v>1.6810005955926147E-9</v>
      </c>
      <c r="BA376" s="144" t="s">
        <v>288</v>
      </c>
      <c r="BB376" s="144">
        <f t="shared" si="94"/>
        <v>4.7628350208457403E-9</v>
      </c>
      <c r="BC376" s="144">
        <f t="shared" si="94"/>
        <v>4.2025014889815367E-10</v>
      </c>
      <c r="BD376" s="160">
        <f t="shared" si="94"/>
        <v>1.9424895771292436E-8</v>
      </c>
      <c r="BE376" s="144"/>
    </row>
    <row r="377" spans="24:57">
      <c r="X377" s="53" t="s">
        <v>564</v>
      </c>
      <c r="Y377" s="53" t="s">
        <v>565</v>
      </c>
      <c r="Z377" s="180">
        <v>43889</v>
      </c>
      <c r="AA377" s="183">
        <v>0.187274</v>
      </c>
      <c r="AB377" s="183">
        <v>34.735595000000004</v>
      </c>
      <c r="AC377" s="198" t="s">
        <v>663</v>
      </c>
      <c r="AD377" s="53" t="s">
        <v>330</v>
      </c>
      <c r="AE377" s="53" t="s">
        <v>347</v>
      </c>
      <c r="AF377" s="154" t="s">
        <v>371</v>
      </c>
      <c r="AG377" s="116" t="s">
        <v>687</v>
      </c>
      <c r="AH377" s="53" t="s">
        <v>527</v>
      </c>
      <c r="AI377" s="53" t="s">
        <v>740</v>
      </c>
      <c r="AJ377" s="53" t="s">
        <v>685</v>
      </c>
      <c r="AK377" s="53" t="s">
        <v>691</v>
      </c>
      <c r="AL377" s="53"/>
      <c r="AM377" s="156">
        <v>14.63</v>
      </c>
      <c r="AN377" s="191">
        <v>0.22</v>
      </c>
      <c r="AO377" s="192">
        <v>0.18</v>
      </c>
      <c r="AP377" s="193">
        <v>6.3E-2</v>
      </c>
      <c r="AQ377" s="192">
        <v>4.53</v>
      </c>
      <c r="AR377" s="192"/>
      <c r="AS377" s="158">
        <f t="shared" si="95"/>
        <v>6.5621819227372626E-5</v>
      </c>
      <c r="AT377" s="144">
        <f t="shared" si="96"/>
        <v>9.8679427409582886E-7</v>
      </c>
      <c r="AU377" s="144" t="s">
        <v>288</v>
      </c>
      <c r="AV377" s="144">
        <f t="shared" si="91"/>
        <v>8.0737713335113279E-7</v>
      </c>
      <c r="AW377" s="144">
        <f t="shared" si="91"/>
        <v>2.8258199667289649E-7</v>
      </c>
      <c r="AX377" s="158">
        <f t="shared" si="91"/>
        <v>2.0318991189336839E-5</v>
      </c>
      <c r="AY377" s="160">
        <f t="shared" si="92"/>
        <v>4.0988397855866587E-7</v>
      </c>
      <c r="AZ377" s="144">
        <f t="shared" si="93"/>
        <v>2.0545562835020846E-9</v>
      </c>
      <c r="BA377" s="144" t="s">
        <v>288</v>
      </c>
      <c r="BB377" s="144">
        <f t="shared" si="94"/>
        <v>1.6810005955926147E-9</v>
      </c>
      <c r="BC377" s="144">
        <f t="shared" si="94"/>
        <v>5.8835020845741512E-10</v>
      </c>
      <c r="BD377" s="160">
        <f t="shared" si="94"/>
        <v>4.2305181655747466E-8</v>
      </c>
      <c r="BE377" s="144"/>
    </row>
    <row r="378" spans="24:57">
      <c r="X378" s="53" t="s">
        <v>566</v>
      </c>
      <c r="Y378" s="53" t="s">
        <v>567</v>
      </c>
      <c r="Z378" s="180">
        <v>43889</v>
      </c>
      <c r="AA378" s="183">
        <v>0.18942800000000001</v>
      </c>
      <c r="AB378" s="183">
        <v>34.740335999999999</v>
      </c>
      <c r="AC378" s="198" t="s">
        <v>665</v>
      </c>
      <c r="AD378" s="53" t="s">
        <v>330</v>
      </c>
      <c r="AE378" s="53" t="s">
        <v>347</v>
      </c>
      <c r="AF378" s="154" t="s">
        <v>371</v>
      </c>
      <c r="AG378" s="116" t="s">
        <v>687</v>
      </c>
      <c r="AH378" s="53" t="s">
        <v>538</v>
      </c>
      <c r="AI378" s="53" t="s">
        <v>739</v>
      </c>
      <c r="AJ378" s="53" t="s">
        <v>726</v>
      </c>
      <c r="AK378" s="53" t="s">
        <v>727</v>
      </c>
      <c r="AL378" s="53"/>
      <c r="AM378" s="156">
        <v>2.11</v>
      </c>
      <c r="AN378" s="191">
        <v>0.26</v>
      </c>
      <c r="AO378" s="192">
        <v>0.27</v>
      </c>
      <c r="AP378" s="193">
        <v>3.5999999999999997E-2</v>
      </c>
      <c r="AQ378" s="192">
        <v>1.75</v>
      </c>
      <c r="AR378" s="192"/>
      <c r="AS378" s="158">
        <f t="shared" si="95"/>
        <v>9.4642541742827203E-6</v>
      </c>
      <c r="AT378" s="144">
        <f t="shared" si="96"/>
        <v>1.1662114148405248E-6</v>
      </c>
      <c r="AU378" s="144" t="s">
        <v>288</v>
      </c>
      <c r="AV378" s="144">
        <f t="shared" si="91"/>
        <v>1.2110657000266991E-6</v>
      </c>
      <c r="AW378" s="144">
        <f t="shared" si="91"/>
        <v>1.6147542667022654E-7</v>
      </c>
      <c r="AX378" s="158">
        <f t="shared" si="91"/>
        <v>7.849499907580457E-6</v>
      </c>
      <c r="AY378" s="160">
        <f t="shared" si="92"/>
        <v>5.9115187611673607E-8</v>
      </c>
      <c r="AZ378" s="144">
        <f t="shared" si="93"/>
        <v>2.4281119714115544E-9</v>
      </c>
      <c r="BA378" s="144" t="s">
        <v>288</v>
      </c>
      <c r="BB378" s="144">
        <f t="shared" si="94"/>
        <v>2.5215008933889218E-9</v>
      </c>
      <c r="BC378" s="144">
        <f t="shared" si="94"/>
        <v>3.3620011911852295E-10</v>
      </c>
      <c r="BD378" s="160">
        <f t="shared" si="94"/>
        <v>1.6343061346039312E-8</v>
      </c>
      <c r="BE378" s="144"/>
    </row>
    <row r="379" spans="24:57">
      <c r="X379" s="53" t="s">
        <v>568</v>
      </c>
      <c r="Y379" s="53" t="s">
        <v>569</v>
      </c>
      <c r="Z379" s="180">
        <v>43889</v>
      </c>
      <c r="AA379" s="183">
        <v>0.18878500000000001</v>
      </c>
      <c r="AB379" s="183">
        <v>34.739865000000002</v>
      </c>
      <c r="AC379" s="198" t="s">
        <v>665</v>
      </c>
      <c r="AD379" s="53" t="s">
        <v>330</v>
      </c>
      <c r="AE379" s="53" t="s">
        <v>347</v>
      </c>
      <c r="AF379" s="154" t="s">
        <v>371</v>
      </c>
      <c r="AG379" s="116" t="s">
        <v>687</v>
      </c>
      <c r="AH379" s="53" t="s">
        <v>538</v>
      </c>
      <c r="AI379" s="53" t="s">
        <v>739</v>
      </c>
      <c r="AJ379" s="53" t="s">
        <v>726</v>
      </c>
      <c r="AK379" s="53" t="s">
        <v>727</v>
      </c>
      <c r="AL379" s="53"/>
      <c r="AM379" s="156">
        <v>2.48</v>
      </c>
      <c r="AN379" s="191">
        <v>0.2</v>
      </c>
      <c r="AO379" s="192">
        <v>0.24</v>
      </c>
      <c r="AP379" s="193">
        <v>5.8999999999999997E-2</v>
      </c>
      <c r="AQ379" s="192">
        <v>2.68</v>
      </c>
      <c r="AR379" s="192"/>
      <c r="AS379" s="158">
        <f t="shared" si="95"/>
        <v>1.1123862726171164E-5</v>
      </c>
      <c r="AT379" s="144">
        <f t="shared" si="96"/>
        <v>8.9708570372348078E-7</v>
      </c>
      <c r="AU379" s="144" t="s">
        <v>288</v>
      </c>
      <c r="AV379" s="144">
        <f t="shared" si="91"/>
        <v>1.0765028444681768E-6</v>
      </c>
      <c r="AW379" s="144">
        <f t="shared" si="91"/>
        <v>2.646402825984268E-7</v>
      </c>
      <c r="AX379" s="158">
        <f t="shared" si="91"/>
        <v>1.2020948429894644E-5</v>
      </c>
      <c r="AY379" s="160">
        <f t="shared" si="92"/>
        <v>6.9481357951161404E-8</v>
      </c>
      <c r="AZ379" s="144">
        <f t="shared" si="93"/>
        <v>1.8677784395473502E-9</v>
      </c>
      <c r="BA379" s="144" t="s">
        <v>288</v>
      </c>
      <c r="BB379" s="144">
        <f t="shared" si="94"/>
        <v>2.2413341274568201E-9</v>
      </c>
      <c r="BC379" s="144">
        <f t="shared" si="94"/>
        <v>5.5099463966646792E-10</v>
      </c>
      <c r="BD379" s="160">
        <f t="shared" si="94"/>
        <v>2.5028231089934486E-8</v>
      </c>
      <c r="BE379" s="144"/>
    </row>
    <row r="380" spans="24:57">
      <c r="X380" s="53" t="s">
        <v>570</v>
      </c>
      <c r="Y380" s="53" t="s">
        <v>571</v>
      </c>
      <c r="Z380" s="180">
        <v>43889</v>
      </c>
      <c r="AA380" s="183">
        <v>0.19486300000000001</v>
      </c>
      <c r="AB380" s="183">
        <v>34.750653</v>
      </c>
      <c r="AC380" s="198" t="s">
        <v>666</v>
      </c>
      <c r="AD380" s="53" t="s">
        <v>330</v>
      </c>
      <c r="AE380" s="53" t="s">
        <v>347</v>
      </c>
      <c r="AF380" s="154" t="s">
        <v>371</v>
      </c>
      <c r="AG380" s="116" t="s">
        <v>687</v>
      </c>
      <c r="AH380" s="53" t="s">
        <v>728</v>
      </c>
      <c r="AI380" s="53" t="s">
        <v>739</v>
      </c>
      <c r="AJ380" s="53" t="s">
        <v>726</v>
      </c>
      <c r="AK380" s="53" t="s">
        <v>727</v>
      </c>
      <c r="AL380" s="53"/>
      <c r="AM380" s="156">
        <v>22.1</v>
      </c>
      <c r="AN380" s="191">
        <v>0.52</v>
      </c>
      <c r="AO380" s="192">
        <v>0.88</v>
      </c>
      <c r="AP380" s="193">
        <v>7.0999999999999994E-2</v>
      </c>
      <c r="AQ380" s="192">
        <v>0.89</v>
      </c>
      <c r="AR380" s="192"/>
      <c r="AS380" s="158">
        <f t="shared" si="95"/>
        <v>9.9127970261444635E-5</v>
      </c>
      <c r="AT380" s="144">
        <f t="shared" si="96"/>
        <v>2.3324228296810497E-6</v>
      </c>
      <c r="AU380" s="144" t="s">
        <v>288</v>
      </c>
      <c r="AV380" s="144">
        <f t="shared" si="91"/>
        <v>3.9471770963833155E-6</v>
      </c>
      <c r="AW380" s="144">
        <f t="shared" si="91"/>
        <v>3.1846542482183567E-7</v>
      </c>
      <c r="AX380" s="158">
        <f t="shared" si="91"/>
        <v>3.9920313815694893E-6</v>
      </c>
      <c r="AY380" s="160">
        <f t="shared" si="92"/>
        <v>6.1916855270994648E-7</v>
      </c>
      <c r="AZ380" s="144">
        <f t="shared" si="93"/>
        <v>4.8562239428231089E-9</v>
      </c>
      <c r="BA380" s="144" t="s">
        <v>288</v>
      </c>
      <c r="BB380" s="144">
        <f t="shared" si="94"/>
        <v>8.2182251340083382E-9</v>
      </c>
      <c r="BC380" s="144">
        <f t="shared" si="94"/>
        <v>6.6306134603930909E-10</v>
      </c>
      <c r="BD380" s="160">
        <f t="shared" si="94"/>
        <v>8.311614055985706E-9</v>
      </c>
      <c r="BE380" s="144"/>
    </row>
    <row r="381" spans="24:57">
      <c r="X381" s="53" t="s">
        <v>572</v>
      </c>
      <c r="Y381" s="53" t="s">
        <v>573</v>
      </c>
      <c r="Z381" s="180">
        <v>43889</v>
      </c>
      <c r="AA381" s="183">
        <v>0.19523199999999999</v>
      </c>
      <c r="AB381" s="183">
        <v>34.751345000000001</v>
      </c>
      <c r="AC381" s="198" t="s">
        <v>666</v>
      </c>
      <c r="AD381" s="53" t="s">
        <v>330</v>
      </c>
      <c r="AE381" s="53" t="s">
        <v>347</v>
      </c>
      <c r="AF381" s="154" t="s">
        <v>371</v>
      </c>
      <c r="AG381" s="116" t="s">
        <v>687</v>
      </c>
      <c r="AH381" s="53" t="s">
        <v>555</v>
      </c>
      <c r="AI381" s="53" t="s">
        <v>739</v>
      </c>
      <c r="AJ381" s="53" t="s">
        <v>684</v>
      </c>
      <c r="AK381" s="53" t="s">
        <v>683</v>
      </c>
      <c r="AL381" s="53"/>
      <c r="AM381" s="156">
        <v>17.170000000000002</v>
      </c>
      <c r="AN381" s="191">
        <v>0.13</v>
      </c>
      <c r="AO381" s="192">
        <v>0.77</v>
      </c>
      <c r="AP381" s="193">
        <v>4.7E-2</v>
      </c>
      <c r="AQ381" s="192">
        <v>1.2</v>
      </c>
      <c r="AR381" s="192"/>
      <c r="AS381" s="158">
        <f t="shared" si="95"/>
        <v>7.7014807664660837E-5</v>
      </c>
      <c r="AT381" s="144">
        <f t="shared" si="96"/>
        <v>5.8310570742026241E-7</v>
      </c>
      <c r="AU381" s="144" t="s">
        <v>288</v>
      </c>
      <c r="AV381" s="144">
        <f t="shared" si="91"/>
        <v>3.453779959335401E-6</v>
      </c>
      <c r="AW381" s="144">
        <f t="shared" si="91"/>
        <v>2.1081514037501794E-7</v>
      </c>
      <c r="AX381" s="158">
        <f t="shared" si="91"/>
        <v>5.382514222340884E-6</v>
      </c>
      <c r="AY381" s="160">
        <f t="shared" si="92"/>
        <v>4.810463371054199E-7</v>
      </c>
      <c r="AZ381" s="144">
        <f t="shared" si="93"/>
        <v>1.2140559857057772E-9</v>
      </c>
      <c r="BA381" s="144" t="s">
        <v>288</v>
      </c>
      <c r="BB381" s="144">
        <f t="shared" si="94"/>
        <v>7.1909469922572968E-9</v>
      </c>
      <c r="BC381" s="144">
        <f t="shared" si="94"/>
        <v>4.3892793329362716E-10</v>
      </c>
      <c r="BD381" s="160">
        <f t="shared" si="94"/>
        <v>1.1206670637284096E-8</v>
      </c>
      <c r="BE381" s="144"/>
    </row>
    <row r="382" spans="24:57">
      <c r="X382" s="53" t="s">
        <v>574</v>
      </c>
      <c r="Y382" s="53" t="s">
        <v>573</v>
      </c>
      <c r="Z382" s="180">
        <v>43889</v>
      </c>
      <c r="AA382" s="183">
        <v>0.19523199999999999</v>
      </c>
      <c r="AB382" s="183">
        <v>34.751345000000001</v>
      </c>
      <c r="AC382" s="198" t="s">
        <v>666</v>
      </c>
      <c r="AD382" s="53" t="s">
        <v>330</v>
      </c>
      <c r="AE382" s="53" t="s">
        <v>347</v>
      </c>
      <c r="AF382" s="154" t="s">
        <v>371</v>
      </c>
      <c r="AG382" s="116" t="s">
        <v>687</v>
      </c>
      <c r="AH382" s="53" t="s">
        <v>555</v>
      </c>
      <c r="AI382" s="53" t="s">
        <v>739</v>
      </c>
      <c r="AJ382" s="53" t="s">
        <v>684</v>
      </c>
      <c r="AK382" s="53" t="s">
        <v>683</v>
      </c>
      <c r="AL382" s="53"/>
      <c r="AM382" s="156">
        <v>17.09</v>
      </c>
      <c r="AN382" s="191">
        <v>0.02</v>
      </c>
      <c r="AO382" s="192">
        <v>0.72</v>
      </c>
      <c r="AP382" s="193">
        <v>1.9E-2</v>
      </c>
      <c r="AQ382" s="192">
        <v>1.1100000000000001</v>
      </c>
      <c r="AR382" s="192"/>
      <c r="AS382" s="158">
        <f t="shared" si="95"/>
        <v>7.6655973383171432E-5</v>
      </c>
      <c r="AT382" s="144">
        <f t="shared" si="96"/>
        <v>8.9708570372348062E-8</v>
      </c>
      <c r="AU382" s="144" t="s">
        <v>288</v>
      </c>
      <c r="AV382" s="144">
        <f t="shared" si="91"/>
        <v>3.2295085334045312E-6</v>
      </c>
      <c r="AW382" s="144">
        <f t="shared" si="91"/>
        <v>8.5223141853730665E-8</v>
      </c>
      <c r="AX382" s="158">
        <f t="shared" si="91"/>
        <v>4.9788256556653191E-6</v>
      </c>
      <c r="AY382" s="160">
        <f t="shared" si="92"/>
        <v>4.7880500297796297E-7</v>
      </c>
      <c r="AZ382" s="144">
        <f t="shared" si="93"/>
        <v>1.8677784395473494E-10</v>
      </c>
      <c r="BA382" s="144" t="s">
        <v>288</v>
      </c>
      <c r="BB382" s="144">
        <f t="shared" si="94"/>
        <v>6.7240023823704587E-9</v>
      </c>
      <c r="BC382" s="144">
        <f t="shared" si="94"/>
        <v>1.7743895175699819E-10</v>
      </c>
      <c r="BD382" s="160">
        <f t="shared" si="94"/>
        <v>1.0366170339487792E-8</v>
      </c>
      <c r="BE382" s="144"/>
    </row>
    <row r="383" spans="24:57">
      <c r="X383" s="53" t="s">
        <v>575</v>
      </c>
      <c r="Y383" s="53" t="s">
        <v>576</v>
      </c>
      <c r="Z383" s="180">
        <v>43890</v>
      </c>
      <c r="AA383" s="183">
        <v>0.224908</v>
      </c>
      <c r="AB383" s="183">
        <v>34.799022000000001</v>
      </c>
      <c r="AC383" s="53" t="s">
        <v>667</v>
      </c>
      <c r="AD383" s="53" t="s">
        <v>330</v>
      </c>
      <c r="AE383" s="53" t="s">
        <v>347</v>
      </c>
      <c r="AF383" s="154" t="s">
        <v>371</v>
      </c>
      <c r="AG383" s="116" t="s">
        <v>687</v>
      </c>
      <c r="AH383" s="53" t="s">
        <v>535</v>
      </c>
      <c r="AI383" s="53" t="s">
        <v>739</v>
      </c>
      <c r="AJ383" s="53" t="s">
        <v>684</v>
      </c>
      <c r="AK383" s="53" t="s">
        <v>683</v>
      </c>
      <c r="AL383" s="53"/>
      <c r="AM383" s="156">
        <v>3.36</v>
      </c>
      <c r="AN383" s="191">
        <v>0.13</v>
      </c>
      <c r="AO383" s="192">
        <v>2.35</v>
      </c>
      <c r="AP383" s="193">
        <v>5.6000000000000001E-2</v>
      </c>
      <c r="AQ383" s="192">
        <v>3.49</v>
      </c>
      <c r="AR383" s="192"/>
      <c r="AS383" s="158">
        <f t="shared" si="95"/>
        <v>1.5071039822554476E-5</v>
      </c>
      <c r="AT383" s="144">
        <f t="shared" si="96"/>
        <v>5.8310570742026241E-7</v>
      </c>
      <c r="AU383" s="144" t="s">
        <v>288</v>
      </c>
      <c r="AV383" s="144">
        <f t="shared" si="91"/>
        <v>1.05407570187509E-5</v>
      </c>
      <c r="AW383" s="144">
        <f t="shared" si="91"/>
        <v>2.5118399704257463E-7</v>
      </c>
      <c r="AX383" s="158">
        <f t="shared" si="91"/>
        <v>1.5654145529974742E-5</v>
      </c>
      <c r="AY383" s="160">
        <f t="shared" si="92"/>
        <v>9.4136033353186405E-8</v>
      </c>
      <c r="AZ383" s="144">
        <f t="shared" si="93"/>
        <v>1.2140559857057772E-9</v>
      </c>
      <c r="BA383" s="144" t="s">
        <v>288</v>
      </c>
      <c r="BB383" s="144">
        <f t="shared" si="94"/>
        <v>2.1946396664681362E-8</v>
      </c>
      <c r="BC383" s="144">
        <f t="shared" si="94"/>
        <v>5.2297796307325784E-10</v>
      </c>
      <c r="BD383" s="160">
        <f t="shared" si="94"/>
        <v>3.259273377010125E-8</v>
      </c>
      <c r="BE383" s="144"/>
    </row>
    <row r="384" spans="24:57">
      <c r="X384" s="53" t="s">
        <v>577</v>
      </c>
      <c r="Y384" s="53" t="s">
        <v>578</v>
      </c>
      <c r="Z384" s="180">
        <v>43890</v>
      </c>
      <c r="AA384" s="183">
        <v>0.22484799999999999</v>
      </c>
      <c r="AB384" s="183">
        <v>34.799002999999999</v>
      </c>
      <c r="AC384" s="53" t="s">
        <v>667</v>
      </c>
      <c r="AD384" s="53" t="s">
        <v>330</v>
      </c>
      <c r="AE384" s="53" t="s">
        <v>347</v>
      </c>
      <c r="AF384" s="154" t="s">
        <v>371</v>
      </c>
      <c r="AG384" s="116" t="s">
        <v>687</v>
      </c>
      <c r="AH384" s="53" t="s">
        <v>535</v>
      </c>
      <c r="AI384" s="53" t="s">
        <v>739</v>
      </c>
      <c r="AJ384" s="53" t="s">
        <v>684</v>
      </c>
      <c r="AK384" s="53" t="s">
        <v>683</v>
      </c>
      <c r="AL384" s="53"/>
      <c r="AM384" s="156">
        <v>4.88</v>
      </c>
      <c r="AN384" s="191">
        <v>0.25</v>
      </c>
      <c r="AO384" s="192">
        <v>0.8</v>
      </c>
      <c r="AP384" s="193">
        <v>9.6000000000000002E-2</v>
      </c>
      <c r="AQ384" s="192">
        <v>3.73</v>
      </c>
      <c r="AR384" s="192"/>
      <c r="AS384" s="158">
        <f t="shared" si="95"/>
        <v>2.1888891170852931E-5</v>
      </c>
      <c r="AT384" s="144">
        <f t="shared" si="96"/>
        <v>1.1213571296543509E-6</v>
      </c>
      <c r="AU384" s="144" t="s">
        <v>288</v>
      </c>
      <c r="AV384" s="144">
        <f t="shared" si="91"/>
        <v>3.5883428148939231E-6</v>
      </c>
      <c r="AW384" s="144">
        <f t="shared" si="91"/>
        <v>4.306011377872708E-7</v>
      </c>
      <c r="AX384" s="158">
        <f t="shared" si="91"/>
        <v>1.6730648374442915E-5</v>
      </c>
      <c r="AY384" s="160">
        <f t="shared" si="92"/>
        <v>1.3672138177486595E-7</v>
      </c>
      <c r="AZ384" s="144">
        <f t="shared" si="93"/>
        <v>2.3347230494341875E-9</v>
      </c>
      <c r="BA384" s="144" t="s">
        <v>288</v>
      </c>
      <c r="BB384" s="144">
        <f t="shared" si="94"/>
        <v>7.471113758189401E-9</v>
      </c>
      <c r="BC384" s="144">
        <f t="shared" si="94"/>
        <v>8.9653365098272782E-10</v>
      </c>
      <c r="BD384" s="160">
        <f t="shared" si="94"/>
        <v>3.483406789755807E-8</v>
      </c>
      <c r="BE384" s="144"/>
    </row>
    <row r="385" spans="24:57">
      <c r="X385" s="53" t="s">
        <v>579</v>
      </c>
      <c r="Y385" s="53" t="s">
        <v>580</v>
      </c>
      <c r="Z385" s="180">
        <v>43890</v>
      </c>
      <c r="AA385" s="183">
        <v>0.21770700000000001</v>
      </c>
      <c r="AB385" s="183">
        <v>34.802644000000001</v>
      </c>
      <c r="AC385" s="53" t="s">
        <v>667</v>
      </c>
      <c r="AD385" s="53" t="s">
        <v>330</v>
      </c>
      <c r="AE385" s="53" t="s">
        <v>347</v>
      </c>
      <c r="AF385" s="154" t="s">
        <v>371</v>
      </c>
      <c r="AG385" s="116" t="s">
        <v>687</v>
      </c>
      <c r="AH385" s="53" t="s">
        <v>535</v>
      </c>
      <c r="AI385" s="53" t="s">
        <v>739</v>
      </c>
      <c r="AJ385" s="53" t="s">
        <v>684</v>
      </c>
      <c r="AK385" s="53" t="s">
        <v>683</v>
      </c>
      <c r="AL385" s="53"/>
      <c r="AM385" s="156">
        <v>1.2</v>
      </c>
      <c r="AN385" s="191">
        <v>0.22</v>
      </c>
      <c r="AO385" s="192">
        <v>0.23</v>
      </c>
      <c r="AP385" s="193">
        <v>4.2999999999999997E-2</v>
      </c>
      <c r="AQ385" s="192">
        <v>1.2</v>
      </c>
      <c r="AR385" s="192"/>
      <c r="AS385" s="158">
        <f t="shared" si="95"/>
        <v>5.382514222340884E-6</v>
      </c>
      <c r="AT385" s="144">
        <f t="shared" si="96"/>
        <v>9.8679427409582886E-7</v>
      </c>
      <c r="AU385" s="144" t="s">
        <v>288</v>
      </c>
      <c r="AV385" s="144">
        <f t="shared" si="91"/>
        <v>1.031648559282003E-6</v>
      </c>
      <c r="AW385" s="144">
        <f t="shared" si="91"/>
        <v>1.9287342630054835E-7</v>
      </c>
      <c r="AX385" s="158">
        <f t="shared" si="91"/>
        <v>5.382514222340884E-6</v>
      </c>
      <c r="AY385" s="160">
        <f t="shared" si="92"/>
        <v>3.3620011911852295E-8</v>
      </c>
      <c r="AZ385" s="144">
        <f t="shared" si="93"/>
        <v>2.0545562835020846E-9</v>
      </c>
      <c r="BA385" s="144" t="s">
        <v>288</v>
      </c>
      <c r="BB385" s="144">
        <f t="shared" si="94"/>
        <v>2.1479452054794523E-9</v>
      </c>
      <c r="BC385" s="144">
        <f t="shared" si="94"/>
        <v>4.0157236450268012E-10</v>
      </c>
      <c r="BD385" s="160">
        <f t="shared" si="94"/>
        <v>1.1206670637284096E-8</v>
      </c>
      <c r="BE385" s="144"/>
    </row>
    <row r="386" spans="24:57">
      <c r="X386" s="53" t="s">
        <v>581</v>
      </c>
      <c r="Y386" s="53" t="s">
        <v>582</v>
      </c>
      <c r="Z386" s="180">
        <v>43890</v>
      </c>
      <c r="AA386" s="183">
        <v>0.21793199999999999</v>
      </c>
      <c r="AB386" s="183">
        <v>34.802683999999999</v>
      </c>
      <c r="AC386" s="53" t="s">
        <v>667</v>
      </c>
      <c r="AD386" s="53" t="s">
        <v>330</v>
      </c>
      <c r="AE386" s="53" t="s">
        <v>347</v>
      </c>
      <c r="AF386" s="154" t="s">
        <v>371</v>
      </c>
      <c r="AG386" s="116" t="s">
        <v>687</v>
      </c>
      <c r="AH386" s="53" t="s">
        <v>535</v>
      </c>
      <c r="AI386" s="53" t="s">
        <v>739</v>
      </c>
      <c r="AJ386" s="53" t="s">
        <v>684</v>
      </c>
      <c r="AK386" s="53" t="s">
        <v>683</v>
      </c>
      <c r="AL386" s="53"/>
      <c r="AM386" s="156">
        <v>6.12</v>
      </c>
      <c r="AN386" s="191">
        <v>7.0000000000000007E-2</v>
      </c>
      <c r="AO386" s="192">
        <v>0.08</v>
      </c>
      <c r="AP386" s="193">
        <v>7.0000000000000001E-3</v>
      </c>
      <c r="AQ386" s="192">
        <v>1.21</v>
      </c>
      <c r="AR386" s="192"/>
      <c r="AS386" s="158">
        <f t="shared" si="95"/>
        <v>2.7450822533938509E-5</v>
      </c>
      <c r="AT386" s="144">
        <f t="shared" si="96"/>
        <v>3.1397999630321831E-7</v>
      </c>
      <c r="AU386" s="144" t="s">
        <v>288</v>
      </c>
      <c r="AV386" s="144">
        <f t="shared" si="91"/>
        <v>3.5883428148939225E-7</v>
      </c>
      <c r="AW386" s="144">
        <f t="shared" si="91"/>
        <v>3.1397999630321828E-8</v>
      </c>
      <c r="AX386" s="158">
        <f t="shared" si="91"/>
        <v>5.4273685075270588E-6</v>
      </c>
      <c r="AY386" s="160">
        <f t="shared" si="92"/>
        <v>1.7146206075044666E-7</v>
      </c>
      <c r="AZ386" s="144">
        <f t="shared" si="93"/>
        <v>6.537224538415725E-10</v>
      </c>
      <c r="BA386" s="144" t="s">
        <v>288</v>
      </c>
      <c r="BB386" s="144">
        <f t="shared" si="94"/>
        <v>7.4711137581893977E-10</v>
      </c>
      <c r="BC386" s="144">
        <f t="shared" si="94"/>
        <v>6.5372245384157229E-11</v>
      </c>
      <c r="BD386" s="160">
        <f t="shared" si="94"/>
        <v>1.1300059559261463E-8</v>
      </c>
      <c r="BE386" s="144"/>
    </row>
    <row r="387" spans="24:57">
      <c r="X387" s="53" t="s">
        <v>583</v>
      </c>
      <c r="Y387" s="53" t="s">
        <v>584</v>
      </c>
      <c r="Z387" s="180">
        <v>43890</v>
      </c>
      <c r="AA387" s="183">
        <v>0.218167</v>
      </c>
      <c r="AB387" s="183">
        <v>34.802627999999999</v>
      </c>
      <c r="AC387" s="53" t="s">
        <v>667</v>
      </c>
      <c r="AD387" s="53" t="s">
        <v>330</v>
      </c>
      <c r="AE387" s="53" t="s">
        <v>347</v>
      </c>
      <c r="AF387" s="154" t="s">
        <v>371</v>
      </c>
      <c r="AG387" s="116" t="s">
        <v>687</v>
      </c>
      <c r="AH387" s="53" t="s">
        <v>530</v>
      </c>
      <c r="AI387" s="53" t="s">
        <v>740</v>
      </c>
      <c r="AJ387" s="53" t="s">
        <v>684</v>
      </c>
      <c r="AK387" s="53" t="s">
        <v>683</v>
      </c>
      <c r="AL387" s="53"/>
      <c r="AM387" s="156">
        <v>3.13</v>
      </c>
      <c r="AN387" s="191">
        <v>0.17</v>
      </c>
      <c r="AO387" s="192">
        <v>0.13</v>
      </c>
      <c r="AP387" s="193">
        <v>1.4E-2</v>
      </c>
      <c r="AQ387" s="192">
        <v>1.33</v>
      </c>
      <c r="AR387" s="192"/>
      <c r="AS387" s="158">
        <f t="shared" si="95"/>
        <v>1.4039391263272472E-5</v>
      </c>
      <c r="AT387" s="144">
        <f t="shared" si="96"/>
        <v>7.625228481649587E-7</v>
      </c>
      <c r="AU387" s="144" t="s">
        <v>288</v>
      </c>
      <c r="AV387" s="144">
        <f t="shared" si="91"/>
        <v>5.8310570742026241E-7</v>
      </c>
      <c r="AW387" s="144">
        <f t="shared" si="91"/>
        <v>6.2795999260643656E-8</v>
      </c>
      <c r="AX387" s="158">
        <f t="shared" si="91"/>
        <v>5.9656199297611462E-6</v>
      </c>
      <c r="AY387" s="160">
        <f t="shared" si="92"/>
        <v>8.7692197736748055E-8</v>
      </c>
      <c r="AZ387" s="144">
        <f t="shared" si="93"/>
        <v>1.5876116736152473E-9</v>
      </c>
      <c r="BA387" s="144" t="s">
        <v>288</v>
      </c>
      <c r="BB387" s="144">
        <f t="shared" si="94"/>
        <v>1.2140559857057772E-9</v>
      </c>
      <c r="BC387" s="144">
        <f t="shared" si="94"/>
        <v>1.3074449076831446E-10</v>
      </c>
      <c r="BD387" s="160">
        <f t="shared" si="94"/>
        <v>1.2420726622989875E-8</v>
      </c>
      <c r="BE387" s="144"/>
    </row>
    <row r="388" spans="24:57">
      <c r="X388" s="53" t="s">
        <v>585</v>
      </c>
      <c r="Y388" s="53" t="s">
        <v>586</v>
      </c>
      <c r="Z388" s="180">
        <v>43890</v>
      </c>
      <c r="AA388" s="183">
        <v>0.16252800000000001</v>
      </c>
      <c r="AB388" s="183">
        <v>34.760970999999998</v>
      </c>
      <c r="AC388" s="53" t="s">
        <v>668</v>
      </c>
      <c r="AD388" s="53" t="s">
        <v>330</v>
      </c>
      <c r="AE388" s="53" t="s">
        <v>347</v>
      </c>
      <c r="AF388" s="154" t="s">
        <v>371</v>
      </c>
      <c r="AG388" s="116" t="s">
        <v>687</v>
      </c>
      <c r="AH388" s="53" t="s">
        <v>538</v>
      </c>
      <c r="AI388" s="53" t="s">
        <v>739</v>
      </c>
      <c r="AJ388" s="53" t="s">
        <v>726</v>
      </c>
      <c r="AK388" s="53" t="s">
        <v>727</v>
      </c>
      <c r="AL388" s="53"/>
      <c r="AM388" s="156">
        <v>0.19</v>
      </c>
      <c r="AN388" s="191">
        <v>0.1</v>
      </c>
      <c r="AO388" s="192">
        <v>0.11</v>
      </c>
      <c r="AP388" s="193">
        <v>8.0000000000000002E-3</v>
      </c>
      <c r="AQ388" s="192">
        <v>0.32</v>
      </c>
      <c r="AR388" s="192"/>
      <c r="AS388" s="158">
        <f t="shared" si="95"/>
        <v>8.5223141853730668E-7</v>
      </c>
      <c r="AT388" s="144">
        <f t="shared" si="96"/>
        <v>4.4854285186174039E-7</v>
      </c>
      <c r="AU388" s="144" t="s">
        <v>288</v>
      </c>
      <c r="AV388" s="144">
        <f t="shared" si="91"/>
        <v>4.9339713704791443E-7</v>
      </c>
      <c r="AW388" s="144">
        <f t="shared" si="91"/>
        <v>3.5883428148939231E-8</v>
      </c>
      <c r="AX388" s="158">
        <f t="shared" si="91"/>
        <v>1.435337125957569E-6</v>
      </c>
      <c r="AY388" s="160">
        <f t="shared" si="92"/>
        <v>5.323168552709947E-9</v>
      </c>
      <c r="AZ388" s="144">
        <f t="shared" si="93"/>
        <v>9.3388921977367512E-10</v>
      </c>
      <c r="BA388" s="144" t="s">
        <v>288</v>
      </c>
      <c r="BB388" s="144">
        <f t="shared" si="94"/>
        <v>1.0272781417510423E-9</v>
      </c>
      <c r="BC388" s="144">
        <f t="shared" si="94"/>
        <v>7.4711137581893989E-11</v>
      </c>
      <c r="BD388" s="160">
        <f t="shared" si="94"/>
        <v>2.9884455032757591E-9</v>
      </c>
      <c r="BE388" s="144"/>
    </row>
    <row r="389" spans="24:57">
      <c r="X389" s="53" t="s">
        <v>587</v>
      </c>
      <c r="Y389" s="53" t="s">
        <v>588</v>
      </c>
      <c r="Z389" s="180">
        <v>43890</v>
      </c>
      <c r="AA389" s="183">
        <v>0.16381399999999999</v>
      </c>
      <c r="AB389" s="183">
        <v>34.761139</v>
      </c>
      <c r="AC389" s="53" t="s">
        <v>669</v>
      </c>
      <c r="AD389" s="53" t="s">
        <v>330</v>
      </c>
      <c r="AE389" s="53" t="s">
        <v>347</v>
      </c>
      <c r="AF389" s="154" t="s">
        <v>371</v>
      </c>
      <c r="AG389" s="116" t="s">
        <v>687</v>
      </c>
      <c r="AH389" s="53" t="s">
        <v>527</v>
      </c>
      <c r="AI389" s="53" t="s">
        <v>740</v>
      </c>
      <c r="AJ389" s="53" t="s">
        <v>685</v>
      </c>
      <c r="AK389" s="53" t="s">
        <v>691</v>
      </c>
      <c r="AL389" s="53"/>
      <c r="AM389" s="156">
        <v>2.29</v>
      </c>
      <c r="AN389" s="191">
        <v>0.35</v>
      </c>
      <c r="AO389" s="192">
        <v>0.76</v>
      </c>
      <c r="AP389" s="193">
        <v>3.9E-2</v>
      </c>
      <c r="AQ389" s="192">
        <v>5.03</v>
      </c>
      <c r="AR389" s="192"/>
      <c r="AS389" s="158">
        <f t="shared" si="95"/>
        <v>1.0271631307633854E-5</v>
      </c>
      <c r="AT389" s="144">
        <f t="shared" si="96"/>
        <v>1.5698999815160911E-6</v>
      </c>
      <c r="AU389" s="144" t="s">
        <v>288</v>
      </c>
      <c r="AV389" s="144">
        <f t="shared" si="91"/>
        <v>3.4089256741492267E-6</v>
      </c>
      <c r="AW389" s="144">
        <f t="shared" si="91"/>
        <v>1.7493171222607877E-7</v>
      </c>
      <c r="AX389" s="158">
        <f t="shared" si="91"/>
        <v>2.2561705448645537E-5</v>
      </c>
      <c r="AY389" s="160">
        <f t="shared" si="92"/>
        <v>6.4158189398451467E-8</v>
      </c>
      <c r="AZ389" s="144">
        <f t="shared" si="93"/>
        <v>3.2686122692078616E-9</v>
      </c>
      <c r="BA389" s="144" t="s">
        <v>288</v>
      </c>
      <c r="BB389" s="144">
        <f t="shared" si="94"/>
        <v>7.0975580702799282E-9</v>
      </c>
      <c r="BC389" s="144">
        <f t="shared" si="94"/>
        <v>3.6421679571173314E-10</v>
      </c>
      <c r="BD389" s="160">
        <f t="shared" si="94"/>
        <v>4.6974627754615835E-8</v>
      </c>
      <c r="BE389" s="144"/>
    </row>
    <row r="390" spans="24:57">
      <c r="X390" s="53" t="s">
        <v>589</v>
      </c>
      <c r="Y390" s="53" t="s">
        <v>590</v>
      </c>
      <c r="Z390" s="180">
        <v>43890</v>
      </c>
      <c r="AA390" s="183">
        <v>0.105117</v>
      </c>
      <c r="AB390" s="183">
        <v>34.698954000000001</v>
      </c>
      <c r="AC390" s="53" t="s">
        <v>359</v>
      </c>
      <c r="AD390" s="53" t="s">
        <v>334</v>
      </c>
      <c r="AE390" s="53" t="s">
        <v>347</v>
      </c>
      <c r="AF390" s="154" t="s">
        <v>371</v>
      </c>
      <c r="AG390" s="116" t="s">
        <v>687</v>
      </c>
      <c r="AH390" s="53" t="s">
        <v>527</v>
      </c>
      <c r="AI390" s="53" t="s">
        <v>740</v>
      </c>
      <c r="AJ390" s="53" t="s">
        <v>685</v>
      </c>
      <c r="AK390" s="53" t="s">
        <v>691</v>
      </c>
      <c r="AL390" s="53"/>
      <c r="AM390" s="156">
        <v>204.51</v>
      </c>
      <c r="AN390" s="191">
        <v>0.2</v>
      </c>
      <c r="AO390" s="192">
        <v>0.08</v>
      </c>
      <c r="AP390" s="193">
        <v>8.7999999999999995E-2</v>
      </c>
      <c r="AQ390" s="157">
        <v>19.47</v>
      </c>
      <c r="AR390" s="157"/>
      <c r="AS390" s="158">
        <f t="shared" si="95"/>
        <v>9.1731498634244535E-4</v>
      </c>
      <c r="AT390" s="144">
        <f t="shared" si="96"/>
        <v>8.9708570372348078E-7</v>
      </c>
      <c r="AU390" s="144" t="s">
        <v>288</v>
      </c>
      <c r="AV390" s="144">
        <f t="shared" si="91"/>
        <v>3.5883428148939225E-7</v>
      </c>
      <c r="AW390" s="144">
        <f t="shared" si="91"/>
        <v>3.9471770963833142E-7</v>
      </c>
      <c r="AX390" s="158">
        <f t="shared" si="91"/>
        <v>8.7331293257480848E-5</v>
      </c>
      <c r="AY390" s="160">
        <f t="shared" si="92"/>
        <v>5.729690530077427E-6</v>
      </c>
      <c r="AZ390" s="144">
        <f t="shared" si="93"/>
        <v>1.8677784395473502E-9</v>
      </c>
      <c r="BA390" s="144" t="s">
        <v>288</v>
      </c>
      <c r="BB390" s="144">
        <f t="shared" si="94"/>
        <v>7.4711137581893977E-10</v>
      </c>
      <c r="BC390" s="144">
        <f t="shared" si="94"/>
        <v>8.2182251340083374E-10</v>
      </c>
      <c r="BD390" s="160">
        <f t="shared" si="94"/>
        <v>1.8182823108993446E-7</v>
      </c>
      <c r="BE390" s="144"/>
    </row>
    <row r="391" spans="24:57">
      <c r="X391" s="53" t="s">
        <v>591</v>
      </c>
      <c r="Y391" s="53" t="s">
        <v>592</v>
      </c>
      <c r="Z391" s="180">
        <v>43890</v>
      </c>
      <c r="AA391" s="183">
        <v>0.105629</v>
      </c>
      <c r="AB391" s="183">
        <v>34.699337</v>
      </c>
      <c r="AC391" s="53" t="s">
        <v>359</v>
      </c>
      <c r="AD391" s="53" t="s">
        <v>334</v>
      </c>
      <c r="AE391" s="53" t="s">
        <v>347</v>
      </c>
      <c r="AF391" s="154" t="s">
        <v>371</v>
      </c>
      <c r="AG391" s="116" t="s">
        <v>687</v>
      </c>
      <c r="AH391" s="53" t="s">
        <v>527</v>
      </c>
      <c r="AI391" s="53" t="s">
        <v>740</v>
      </c>
      <c r="AJ391" s="53" t="s">
        <v>685</v>
      </c>
      <c r="AK391" s="53" t="s">
        <v>691</v>
      </c>
      <c r="AL391" s="53"/>
      <c r="AM391" s="156">
        <v>7.75</v>
      </c>
      <c r="AN391" s="191">
        <v>0.12</v>
      </c>
      <c r="AO391" s="192">
        <v>0.18</v>
      </c>
      <c r="AP391" s="193">
        <v>2.91</v>
      </c>
      <c r="AQ391" s="157">
        <v>218.01</v>
      </c>
      <c r="AR391" s="157"/>
      <c r="AS391" s="158">
        <f t="shared" si="95"/>
        <v>3.4762071019284878E-5</v>
      </c>
      <c r="AT391" s="144">
        <f t="shared" si="96"/>
        <v>5.3825142223408842E-7</v>
      </c>
      <c r="AU391" s="144" t="s">
        <v>288</v>
      </c>
      <c r="AV391" s="144">
        <f t="shared" si="91"/>
        <v>8.0737713335113279E-7</v>
      </c>
      <c r="AW391" s="144">
        <f t="shared" si="91"/>
        <v>1.3052596989176645E-5</v>
      </c>
      <c r="AX391" s="158">
        <f t="shared" si="91"/>
        <v>9.7786827134378035E-4</v>
      </c>
      <c r="AY391" s="160">
        <f t="shared" si="92"/>
        <v>2.1712924359737938E-7</v>
      </c>
      <c r="AZ391" s="144">
        <f t="shared" si="93"/>
        <v>1.1206670637284101E-9</v>
      </c>
      <c r="BA391" s="144" t="s">
        <v>288</v>
      </c>
      <c r="BB391" s="144">
        <f t="shared" si="94"/>
        <v>1.6810005955926147E-9</v>
      </c>
      <c r="BC391" s="144">
        <f t="shared" si="94"/>
        <v>2.7176176295413932E-8</v>
      </c>
      <c r="BD391" s="160">
        <f t="shared" si="94"/>
        <v>2.0359718880285884E-6</v>
      </c>
      <c r="BE391" s="144"/>
    </row>
    <row r="392" spans="24:57">
      <c r="X392" s="53" t="s">
        <v>593</v>
      </c>
      <c r="Y392" s="53" t="s">
        <v>594</v>
      </c>
      <c r="Z392" s="180">
        <v>43891</v>
      </c>
      <c r="AA392" s="183">
        <v>0.10255300000000001</v>
      </c>
      <c r="AB392" s="183">
        <v>34.713514000000004</v>
      </c>
      <c r="AC392" s="53" t="s">
        <v>335</v>
      </c>
      <c r="AD392" s="53" t="s">
        <v>334</v>
      </c>
      <c r="AE392" s="53" t="s">
        <v>347</v>
      </c>
      <c r="AF392" s="154" t="s">
        <v>371</v>
      </c>
      <c r="AG392" s="116" t="s">
        <v>687</v>
      </c>
      <c r="AH392" s="53" t="s">
        <v>527</v>
      </c>
      <c r="AI392" s="53" t="s">
        <v>740</v>
      </c>
      <c r="AJ392" s="53" t="s">
        <v>685</v>
      </c>
      <c r="AK392" s="53" t="s">
        <v>691</v>
      </c>
      <c r="AL392" s="53"/>
      <c r="AM392" s="156">
        <v>863.94</v>
      </c>
      <c r="AN392" s="191">
        <v>0.2</v>
      </c>
      <c r="AO392" s="192">
        <v>0.39</v>
      </c>
      <c r="AP392" s="193">
        <v>0.05</v>
      </c>
      <c r="AQ392" s="157">
        <v>10.68</v>
      </c>
      <c r="AR392" s="157"/>
      <c r="AS392" s="158">
        <f t="shared" si="95"/>
        <v>3.8751411143743203E-3</v>
      </c>
      <c r="AT392" s="144">
        <f t="shared" si="96"/>
        <v>8.9708570372348078E-7</v>
      </c>
      <c r="AU392" s="144" t="s">
        <v>288</v>
      </c>
      <c r="AV392" s="144">
        <f t="shared" si="91"/>
        <v>1.7493171222607877E-6</v>
      </c>
      <c r="AW392" s="144">
        <f t="shared" si="91"/>
        <v>2.2427142593087019E-7</v>
      </c>
      <c r="AX392" s="158">
        <f t="shared" si="91"/>
        <v>4.7904376578833886E-5</v>
      </c>
      <c r="AY392" s="160">
        <f t="shared" si="92"/>
        <v>2.4204727575938056E-5</v>
      </c>
      <c r="AZ392" s="144">
        <f t="shared" si="93"/>
        <v>1.8677784395473502E-9</v>
      </c>
      <c r="BA392" s="144" t="s">
        <v>288</v>
      </c>
      <c r="BB392" s="144">
        <f t="shared" si="94"/>
        <v>3.6421679571173323E-9</v>
      </c>
      <c r="BC392" s="144">
        <f t="shared" si="94"/>
        <v>4.6694460988683756E-10</v>
      </c>
      <c r="BD392" s="160">
        <f t="shared" si="94"/>
        <v>9.9739368671828472E-8</v>
      </c>
      <c r="BE392" s="144"/>
    </row>
    <row r="393" spans="24:57">
      <c r="X393" s="53" t="s">
        <v>595</v>
      </c>
      <c r="Y393" s="53" t="s">
        <v>596</v>
      </c>
      <c r="Z393" s="180">
        <v>43891</v>
      </c>
      <c r="AA393" s="183">
        <v>0.15733900000000001</v>
      </c>
      <c r="AB393" s="183">
        <v>34.817802</v>
      </c>
      <c r="AC393" s="53" t="s">
        <v>360</v>
      </c>
      <c r="AD393" s="53" t="s">
        <v>330</v>
      </c>
      <c r="AE393" s="53" t="s">
        <v>347</v>
      </c>
      <c r="AF393" s="154" t="s">
        <v>371</v>
      </c>
      <c r="AG393" s="116" t="s">
        <v>687</v>
      </c>
      <c r="AH393" s="53" t="s">
        <v>538</v>
      </c>
      <c r="AI393" s="53" t="s">
        <v>739</v>
      </c>
      <c r="AJ393" s="53" t="s">
        <v>726</v>
      </c>
      <c r="AK393" s="53" t="s">
        <v>727</v>
      </c>
      <c r="AL393" s="53"/>
      <c r="AM393" s="156">
        <v>2.1800000000000002</v>
      </c>
      <c r="AN393" s="191">
        <v>0.36</v>
      </c>
      <c r="AO393" s="192">
        <v>0.45</v>
      </c>
      <c r="AP393" s="193">
        <v>7.0999999999999994E-2</v>
      </c>
      <c r="AQ393" s="192">
        <v>1.06</v>
      </c>
      <c r="AR393" s="192"/>
      <c r="AS393" s="158">
        <f t="shared" si="95"/>
        <v>9.7782341705859409E-6</v>
      </c>
      <c r="AT393" s="144">
        <f t="shared" si="96"/>
        <v>1.6147542667022656E-6</v>
      </c>
      <c r="AU393" s="144" t="s">
        <v>288</v>
      </c>
      <c r="AV393" s="144">
        <f t="shared" si="91"/>
        <v>2.018442833377832E-6</v>
      </c>
      <c r="AW393" s="144">
        <f t="shared" si="91"/>
        <v>3.1846542482183567E-7</v>
      </c>
      <c r="AX393" s="158">
        <f t="shared" si="91"/>
        <v>4.7545542297344488E-6</v>
      </c>
      <c r="AY393" s="160">
        <f t="shared" si="92"/>
        <v>6.1076354973198343E-8</v>
      </c>
      <c r="AZ393" s="144">
        <f t="shared" si="93"/>
        <v>3.3620011911852294E-9</v>
      </c>
      <c r="BA393" s="144" t="s">
        <v>288</v>
      </c>
      <c r="BB393" s="144">
        <f t="shared" si="94"/>
        <v>4.2025014889815369E-9</v>
      </c>
      <c r="BC393" s="144">
        <f t="shared" si="94"/>
        <v>6.6306134603930909E-10</v>
      </c>
      <c r="BD393" s="160">
        <f t="shared" si="94"/>
        <v>9.8992257296009517E-9</v>
      </c>
      <c r="BE393" s="144"/>
    </row>
    <row r="394" spans="24:57">
      <c r="X394" s="53" t="s">
        <v>597</v>
      </c>
      <c r="Y394" s="53" t="s">
        <v>598</v>
      </c>
      <c r="Z394" s="180">
        <v>43891</v>
      </c>
      <c r="AA394" s="183">
        <v>0.15733900000000001</v>
      </c>
      <c r="AB394" s="183">
        <v>34.817802</v>
      </c>
      <c r="AC394" s="53" t="s">
        <v>360</v>
      </c>
      <c r="AD394" s="53" t="s">
        <v>330</v>
      </c>
      <c r="AE394" s="53" t="s">
        <v>347</v>
      </c>
      <c r="AF394" s="154" t="s">
        <v>371</v>
      </c>
      <c r="AG394" s="116" t="s">
        <v>687</v>
      </c>
      <c r="AH394" s="53" t="s">
        <v>527</v>
      </c>
      <c r="AI394" s="53" t="s">
        <v>740</v>
      </c>
      <c r="AJ394" s="53" t="s">
        <v>685</v>
      </c>
      <c r="AK394" s="53" t="s">
        <v>691</v>
      </c>
      <c r="AL394" s="53"/>
      <c r="AM394" s="156">
        <v>27.67</v>
      </c>
      <c r="AN394" s="191">
        <v>0.19</v>
      </c>
      <c r="AO394" s="192">
        <v>0.26</v>
      </c>
      <c r="AP394" s="193">
        <v>5.3999999999999999E-2</v>
      </c>
      <c r="AQ394" s="157">
        <v>12.58</v>
      </c>
      <c r="AR394" s="157"/>
      <c r="AS394" s="158">
        <f t="shared" si="95"/>
        <v>1.2411180711014358E-4</v>
      </c>
      <c r="AT394" s="144">
        <f t="shared" si="96"/>
        <v>8.5223141853730668E-7</v>
      </c>
      <c r="AU394" s="144" t="s">
        <v>288</v>
      </c>
      <c r="AV394" s="144">
        <f t="shared" si="91"/>
        <v>1.1662114148405248E-6</v>
      </c>
      <c r="AW394" s="144">
        <f t="shared" si="91"/>
        <v>2.4221314000533981E-7</v>
      </c>
      <c r="AX394" s="158">
        <f t="shared" si="91"/>
        <v>5.6426690764206941E-5</v>
      </c>
      <c r="AY394" s="160">
        <f t="shared" si="92"/>
        <v>7.7522144133412746E-7</v>
      </c>
      <c r="AZ394" s="144">
        <f t="shared" si="93"/>
        <v>1.774389517569982E-9</v>
      </c>
      <c r="BA394" s="144" t="s">
        <v>288</v>
      </c>
      <c r="BB394" s="144">
        <f t="shared" si="94"/>
        <v>2.4281119714115544E-9</v>
      </c>
      <c r="BC394" s="144">
        <f t="shared" si="94"/>
        <v>5.0430017867778445E-10</v>
      </c>
      <c r="BD394" s="160">
        <f t="shared" si="94"/>
        <v>1.174832638475283E-7</v>
      </c>
      <c r="BE394" s="144"/>
    </row>
    <row r="395" spans="24:57">
      <c r="X395" s="53" t="s">
        <v>599</v>
      </c>
      <c r="Y395" s="53" t="s">
        <v>600</v>
      </c>
      <c r="Z395" s="180">
        <v>43891</v>
      </c>
      <c r="AA395" s="183">
        <v>0.156809</v>
      </c>
      <c r="AB395" s="183">
        <v>34.818221000000001</v>
      </c>
      <c r="AC395" s="53" t="s">
        <v>360</v>
      </c>
      <c r="AD395" s="53" t="s">
        <v>330</v>
      </c>
      <c r="AE395" s="53" t="s">
        <v>347</v>
      </c>
      <c r="AF395" s="154" t="s">
        <v>371</v>
      </c>
      <c r="AG395" s="116" t="s">
        <v>687</v>
      </c>
      <c r="AH395" s="53" t="s">
        <v>527</v>
      </c>
      <c r="AI395" s="53" t="s">
        <v>740</v>
      </c>
      <c r="AJ395" s="53" t="s">
        <v>685</v>
      </c>
      <c r="AK395" s="53" t="s">
        <v>691</v>
      </c>
      <c r="AL395" s="53"/>
      <c r="AM395" s="156">
        <v>13.39</v>
      </c>
      <c r="AN395" s="191">
        <v>0.65</v>
      </c>
      <c r="AO395" s="192">
        <v>0.67</v>
      </c>
      <c r="AP395" s="193">
        <v>4.1000000000000002E-2</v>
      </c>
      <c r="AQ395" s="192">
        <v>2.21</v>
      </c>
      <c r="AR395" s="192"/>
      <c r="AS395" s="158">
        <f t="shared" si="95"/>
        <v>6.0059887864287031E-5</v>
      </c>
      <c r="AT395" s="144">
        <f t="shared" si="96"/>
        <v>2.9155285371013119E-6</v>
      </c>
      <c r="AU395" s="144" t="s">
        <v>288</v>
      </c>
      <c r="AV395" s="144">
        <f t="shared" si="91"/>
        <v>3.0052371074736609E-6</v>
      </c>
      <c r="AW395" s="144">
        <f t="shared" si="91"/>
        <v>1.8390256926331361E-7</v>
      </c>
      <c r="AX395" s="158">
        <f t="shared" si="91"/>
        <v>9.9127970261444625E-6</v>
      </c>
      <c r="AY395" s="160">
        <f t="shared" si="92"/>
        <v>3.7514329958308505E-7</v>
      </c>
      <c r="AZ395" s="144">
        <f t="shared" si="93"/>
        <v>6.0702799285288859E-9</v>
      </c>
      <c r="BA395" s="144" t="s">
        <v>288</v>
      </c>
      <c r="BB395" s="144">
        <f t="shared" si="94"/>
        <v>6.2570577724836215E-9</v>
      </c>
      <c r="BC395" s="144">
        <f t="shared" si="94"/>
        <v>3.8289458010720663E-10</v>
      </c>
      <c r="BD395" s="160">
        <f t="shared" si="94"/>
        <v>2.063895175699821E-8</v>
      </c>
      <c r="BE395" s="144"/>
    </row>
    <row r="396" spans="24:57">
      <c r="X396" s="53" t="s">
        <v>601</v>
      </c>
      <c r="Y396" s="53" t="s">
        <v>602</v>
      </c>
      <c r="Z396" s="180">
        <v>43891</v>
      </c>
      <c r="AA396" s="183">
        <v>0.156392</v>
      </c>
      <c r="AB396" s="183">
        <v>34.817486000000002</v>
      </c>
      <c r="AC396" s="53" t="s">
        <v>360</v>
      </c>
      <c r="AD396" s="53" t="s">
        <v>330</v>
      </c>
      <c r="AE396" s="53" t="s">
        <v>347</v>
      </c>
      <c r="AF396" s="154" t="s">
        <v>371</v>
      </c>
      <c r="AG396" s="116" t="s">
        <v>687</v>
      </c>
      <c r="AH396" s="53" t="s">
        <v>527</v>
      </c>
      <c r="AI396" s="53" t="s">
        <v>740</v>
      </c>
      <c r="AJ396" s="53" t="s">
        <v>685</v>
      </c>
      <c r="AK396" s="53" t="s">
        <v>691</v>
      </c>
      <c r="AL396" s="53"/>
      <c r="AM396" s="156">
        <v>23.24</v>
      </c>
      <c r="AN396" s="191">
        <v>0.28000000000000003</v>
      </c>
      <c r="AO396" s="192">
        <v>0.25</v>
      </c>
      <c r="AP396" s="193">
        <v>2.1999999999999999E-2</v>
      </c>
      <c r="AQ396" s="192">
        <v>3.04</v>
      </c>
      <c r="AR396" s="192"/>
      <c r="AS396" s="158">
        <f t="shared" si="95"/>
        <v>1.0424135877266845E-4</v>
      </c>
      <c r="AT396" s="144">
        <f t="shared" si="96"/>
        <v>1.2559199852128732E-6</v>
      </c>
      <c r="AU396" s="144" t="s">
        <v>288</v>
      </c>
      <c r="AV396" s="144">
        <f t="shared" si="91"/>
        <v>1.1213571296543509E-6</v>
      </c>
      <c r="AW396" s="144">
        <f t="shared" si="91"/>
        <v>9.8679427409582855E-8</v>
      </c>
      <c r="AX396" s="158">
        <f t="shared" si="91"/>
        <v>1.3635702696596907E-5</v>
      </c>
      <c r="AY396" s="160">
        <f t="shared" si="92"/>
        <v>6.5110756402620594E-7</v>
      </c>
      <c r="AZ396" s="144">
        <f t="shared" si="93"/>
        <v>2.61488981536629E-9</v>
      </c>
      <c r="BA396" s="144" t="s">
        <v>288</v>
      </c>
      <c r="BB396" s="144">
        <f t="shared" si="94"/>
        <v>2.3347230494341875E-9</v>
      </c>
      <c r="BC396" s="144">
        <f t="shared" si="94"/>
        <v>2.0545562835020844E-10</v>
      </c>
      <c r="BD396" s="160">
        <f t="shared" si="94"/>
        <v>2.8390232281119713E-8</v>
      </c>
      <c r="BE396" s="144"/>
    </row>
    <row r="397" spans="24:57">
      <c r="X397" s="101"/>
      <c r="Y397" s="101"/>
      <c r="Z397" s="101"/>
      <c r="AA397" s="101"/>
      <c r="AB397" s="101"/>
      <c r="AC397" s="101"/>
      <c r="AD397" s="101"/>
      <c r="AE397" s="101"/>
      <c r="AF397" s="101"/>
      <c r="AG397" s="101"/>
      <c r="AH397" s="101"/>
      <c r="AI397" s="101"/>
      <c r="AJ397" s="101"/>
      <c r="AK397" s="101"/>
      <c r="AL397" s="199"/>
      <c r="AM397" s="200"/>
      <c r="AN397" s="199"/>
      <c r="AO397" s="201"/>
      <c r="AP397" s="202"/>
      <c r="AQ397" s="203"/>
      <c r="AR397" s="201" t="s">
        <v>957</v>
      </c>
      <c r="AS397" s="204">
        <f t="shared" ref="AS397:AZ397" si="97">AVERAGE(AS360:AS396)</f>
        <v>1.5447209679129339E-4</v>
      </c>
      <c r="AT397" s="204">
        <f t="shared" si="97"/>
        <v>9.2375581923958431E-7</v>
      </c>
      <c r="AU397" s="204"/>
      <c r="AV397" s="204">
        <f t="shared" si="97"/>
        <v>3.5071201903676077E-6</v>
      </c>
      <c r="AW397" s="204">
        <f t="shared" si="97"/>
        <v>5.4794964605812591E-7</v>
      </c>
      <c r="AX397" s="204">
        <f t="shared" si="97"/>
        <v>4.5822895290599804E-5</v>
      </c>
      <c r="AY397" s="188">
        <f t="shared" si="97"/>
        <v>9.6485648149638615E-7</v>
      </c>
      <c r="AZ397" s="188">
        <f t="shared" si="97"/>
        <v>1.9233069877501089E-9</v>
      </c>
      <c r="BA397" s="189" t="s">
        <v>288</v>
      </c>
      <c r="BB397" s="188">
        <f>AVERAGE(BB360:BB396)</f>
        <v>7.3020040886628158E-9</v>
      </c>
      <c r="BC397" s="188">
        <f>AVERAGE(BC360:BC396)</f>
        <v>1.1408592630748675E-9</v>
      </c>
      <c r="BD397" s="188">
        <f>AVERAGE(BD360:BD396)</f>
        <v>9.5405617887094947E-8</v>
      </c>
      <c r="BE397" s="204"/>
    </row>
    <row r="398" spans="24:57">
      <c r="X398" s="53" t="s">
        <v>618</v>
      </c>
      <c r="Y398" s="53" t="s">
        <v>619</v>
      </c>
      <c r="Z398" s="180">
        <v>44065</v>
      </c>
      <c r="AA398" s="183">
        <v>0.46654299999999999</v>
      </c>
      <c r="AB398" s="183">
        <v>34.870725999999998</v>
      </c>
      <c r="AC398" s="53" t="s">
        <v>331</v>
      </c>
      <c r="AD398" s="53" t="s">
        <v>330</v>
      </c>
      <c r="AE398" s="53" t="s">
        <v>347</v>
      </c>
      <c r="AF398" s="154" t="s">
        <v>362</v>
      </c>
      <c r="AG398" s="154" t="s">
        <v>362</v>
      </c>
      <c r="AH398" s="53" t="s">
        <v>620</v>
      </c>
      <c r="AI398" s="53" t="s">
        <v>739</v>
      </c>
      <c r="AJ398" s="53" t="s">
        <v>684</v>
      </c>
      <c r="AK398" s="53" t="s">
        <v>683</v>
      </c>
      <c r="AL398" s="53"/>
      <c r="AM398" s="156">
        <v>0.04</v>
      </c>
      <c r="AN398" s="192">
        <v>0.18</v>
      </c>
      <c r="AO398" s="157">
        <v>1.1000000000000001</v>
      </c>
      <c r="AP398" s="197">
        <v>8.0000000000000002E-3</v>
      </c>
      <c r="AQ398" s="192">
        <v>0.64</v>
      </c>
      <c r="AR398" s="192"/>
      <c r="AS398" s="158">
        <f t="shared" ref="AS398:AT402" si="98">(AM398*0.78*350*6*0.001)/(15*66.7*365)</f>
        <v>1.7941714074469612E-7</v>
      </c>
      <c r="AT398" s="144">
        <f t="shared" si="98"/>
        <v>8.0737713335113279E-7</v>
      </c>
      <c r="AU398" s="144" t="s">
        <v>288</v>
      </c>
      <c r="AV398" s="144">
        <f t="shared" ref="AV398:AW402" si="99">(AO398*0.78*350*6*0.001)/(15*66.7*365)</f>
        <v>4.9339713704791452E-6</v>
      </c>
      <c r="AW398" s="144">
        <f t="shared" si="99"/>
        <v>3.5883428148939231E-8</v>
      </c>
      <c r="AX398" s="158">
        <f>(AQ398*0.78*350*6*0.001)/(15*66.7*365)</f>
        <v>2.870674251915138E-6</v>
      </c>
      <c r="AY398" s="160">
        <f>(AM398*2800*0.001*0.003*0.58*350*6*0.001)/(15*66.7*365)</f>
        <v>1.1206670637284101E-9</v>
      </c>
      <c r="AZ398" s="144">
        <f>(AN398*2800*0.001*0.001*0.58*350*6*0.001)/(15*66.7*365)</f>
        <v>1.6810005955926147E-9</v>
      </c>
      <c r="BA398" s="144" t="s">
        <v>288</v>
      </c>
      <c r="BB398" s="144">
        <f t="shared" ref="BB398:BD402" si="100">(AO398*2800*0.001*0.001*0.58*350*6*0.001)/(15*66.7*365)</f>
        <v>1.0272781417510424E-8</v>
      </c>
      <c r="BC398" s="144">
        <f t="shared" si="100"/>
        <v>7.4711137581893989E-11</v>
      </c>
      <c r="BD398" s="160">
        <f t="shared" si="100"/>
        <v>5.9768910065515181E-9</v>
      </c>
      <c r="BE398" s="144"/>
    </row>
    <row r="399" spans="24:57">
      <c r="X399" s="53" t="s">
        <v>621</v>
      </c>
      <c r="Y399" s="53" t="s">
        <v>622</v>
      </c>
      <c r="Z399" s="180">
        <v>44065</v>
      </c>
      <c r="AA399" s="183">
        <v>0.46604000000000001</v>
      </c>
      <c r="AB399" s="183">
        <v>34.870392000000002</v>
      </c>
      <c r="AC399" s="53" t="s">
        <v>331</v>
      </c>
      <c r="AD399" s="53" t="s">
        <v>330</v>
      </c>
      <c r="AE399" s="53" t="s">
        <v>347</v>
      </c>
      <c r="AF399" s="154" t="s">
        <v>362</v>
      </c>
      <c r="AG399" s="154" t="s">
        <v>362</v>
      </c>
      <c r="AH399" s="53" t="s">
        <v>623</v>
      </c>
      <c r="AI399" s="53" t="s">
        <v>739</v>
      </c>
      <c r="AJ399" s="53" t="s">
        <v>684</v>
      </c>
      <c r="AK399" s="53" t="s">
        <v>683</v>
      </c>
      <c r="AL399" s="53"/>
      <c r="AM399" s="156">
        <v>0.04</v>
      </c>
      <c r="AN399" s="192">
        <v>0.1</v>
      </c>
      <c r="AO399" s="157">
        <v>0.3</v>
      </c>
      <c r="AP399" s="197">
        <v>5.0000000000000001E-3</v>
      </c>
      <c r="AQ399" s="192">
        <v>0.56999999999999995</v>
      </c>
      <c r="AR399" s="192"/>
      <c r="AS399" s="158">
        <f t="shared" si="98"/>
        <v>1.7941714074469612E-7</v>
      </c>
      <c r="AT399" s="144">
        <f t="shared" si="98"/>
        <v>4.4854285186174039E-7</v>
      </c>
      <c r="AU399" s="144" t="s">
        <v>288</v>
      </c>
      <c r="AV399" s="144">
        <f t="shared" si="99"/>
        <v>1.345628555585221E-6</v>
      </c>
      <c r="AW399" s="144">
        <f t="shared" si="99"/>
        <v>2.2427142593087015E-8</v>
      </c>
      <c r="AX399" s="158">
        <f>(AQ399*0.78*350*6*0.001)/(15*66.7*365)</f>
        <v>2.5566942556119195E-6</v>
      </c>
      <c r="AY399" s="160">
        <f>(AM399*2800*0.001*0.003*0.58*350*6*0.001)/(15*66.7*365)</f>
        <v>1.1206670637284101E-9</v>
      </c>
      <c r="AZ399" s="144">
        <f>(AN399*2800*0.001*0.001*0.58*350*6*0.001)/(15*66.7*365)</f>
        <v>9.3388921977367512E-10</v>
      </c>
      <c r="BA399" s="144" t="s">
        <v>288</v>
      </c>
      <c r="BB399" s="144">
        <f t="shared" si="100"/>
        <v>2.8016676593210239E-9</v>
      </c>
      <c r="BC399" s="144">
        <f t="shared" si="100"/>
        <v>4.6694460988683735E-11</v>
      </c>
      <c r="BD399" s="160">
        <f t="shared" si="100"/>
        <v>5.3231685527099453E-9</v>
      </c>
      <c r="BE399" s="144"/>
    </row>
    <row r="400" spans="24:57">
      <c r="X400" s="53" t="s">
        <v>624</v>
      </c>
      <c r="Y400" s="53" t="s">
        <v>625</v>
      </c>
      <c r="Z400" s="180">
        <v>44065</v>
      </c>
      <c r="AA400" s="183">
        <v>0.195803</v>
      </c>
      <c r="AB400" s="183">
        <v>34.487564999999996</v>
      </c>
      <c r="AC400" s="53" t="s">
        <v>338</v>
      </c>
      <c r="AD400" s="53" t="s">
        <v>330</v>
      </c>
      <c r="AE400" s="53" t="s">
        <v>347</v>
      </c>
      <c r="AF400" s="154" t="s">
        <v>362</v>
      </c>
      <c r="AG400" s="154" t="s">
        <v>362</v>
      </c>
      <c r="AH400" s="53" t="s">
        <v>626</v>
      </c>
      <c r="AI400" s="53" t="s">
        <v>739</v>
      </c>
      <c r="AJ400" s="53" t="s">
        <v>684</v>
      </c>
      <c r="AK400" s="53" t="s">
        <v>683</v>
      </c>
      <c r="AL400" s="53"/>
      <c r="AM400" s="156">
        <v>0.65</v>
      </c>
      <c r="AN400" s="192">
        <v>7.0000000000000007E-2</v>
      </c>
      <c r="AO400" s="157">
        <v>0.2</v>
      </c>
      <c r="AP400" s="197">
        <v>5.0000000000000001E-3</v>
      </c>
      <c r="AQ400" s="192">
        <v>2.63</v>
      </c>
      <c r="AR400" s="192"/>
      <c r="AS400" s="158">
        <f t="shared" si="98"/>
        <v>2.9155285371013119E-6</v>
      </c>
      <c r="AT400" s="144">
        <f t="shared" si="98"/>
        <v>3.1397999630321831E-7</v>
      </c>
      <c r="AU400" s="144" t="s">
        <v>288</v>
      </c>
      <c r="AV400" s="144">
        <f t="shared" si="99"/>
        <v>8.9708570372348078E-7</v>
      </c>
      <c r="AW400" s="144">
        <f t="shared" si="99"/>
        <v>2.2427142593087015E-8</v>
      </c>
      <c r="AX400" s="158">
        <f>(AQ400*0.78*350*6*0.001)/(15*66.7*365)</f>
        <v>1.1796677003963772E-5</v>
      </c>
      <c r="AY400" s="160">
        <f>(AM400*2800*0.001*0.003*0.58*350*6*0.001)/(15*66.7*365)</f>
        <v>1.8210839785586658E-8</v>
      </c>
      <c r="AZ400" s="144">
        <f>(AN400*2800*0.001*0.001*0.58*350*6*0.001)/(15*66.7*365)</f>
        <v>6.537224538415725E-10</v>
      </c>
      <c r="BA400" s="144" t="s">
        <v>288</v>
      </c>
      <c r="BB400" s="144">
        <f t="shared" si="100"/>
        <v>1.8677784395473502E-9</v>
      </c>
      <c r="BC400" s="144">
        <f t="shared" si="100"/>
        <v>4.6694460988683735E-11</v>
      </c>
      <c r="BD400" s="160">
        <f t="shared" si="100"/>
        <v>2.4561286480047647E-8</v>
      </c>
      <c r="BE400" s="144"/>
    </row>
    <row r="401" spans="24:57">
      <c r="X401" s="53" t="s">
        <v>627</v>
      </c>
      <c r="Y401" s="53" t="s">
        <v>628</v>
      </c>
      <c r="Z401" s="180">
        <v>44065</v>
      </c>
      <c r="AA401" s="183">
        <v>0.195803</v>
      </c>
      <c r="AB401" s="183">
        <v>34.487564999999996</v>
      </c>
      <c r="AC401" s="53" t="s">
        <v>337</v>
      </c>
      <c r="AD401" s="53" t="s">
        <v>330</v>
      </c>
      <c r="AE401" s="53" t="s">
        <v>347</v>
      </c>
      <c r="AF401" s="154" t="s">
        <v>362</v>
      </c>
      <c r="AG401" s="154" t="s">
        <v>362</v>
      </c>
      <c r="AH401" s="53" t="s">
        <v>629</v>
      </c>
      <c r="AI401" s="53" t="s">
        <v>739</v>
      </c>
      <c r="AJ401" s="53" t="s">
        <v>684</v>
      </c>
      <c r="AK401" s="53" t="s">
        <v>683</v>
      </c>
      <c r="AL401" s="53"/>
      <c r="AM401" s="156">
        <v>0.06</v>
      </c>
      <c r="AN401" s="192">
        <v>0.06</v>
      </c>
      <c r="AO401" s="157">
        <v>1.5</v>
      </c>
      <c r="AP401" s="197">
        <v>3.3000000000000002E-2</v>
      </c>
      <c r="AQ401" s="157">
        <v>16.64</v>
      </c>
      <c r="AR401" s="157"/>
      <c r="AS401" s="158">
        <f t="shared" si="98"/>
        <v>2.6912571111704421E-7</v>
      </c>
      <c r="AT401" s="144">
        <f t="shared" si="98"/>
        <v>2.6912571111704421E-7</v>
      </c>
      <c r="AU401" s="144" t="s">
        <v>288</v>
      </c>
      <c r="AV401" s="144">
        <f t="shared" si="99"/>
        <v>6.7281427779261048E-6</v>
      </c>
      <c r="AW401" s="144">
        <f t="shared" si="99"/>
        <v>1.4801914111437433E-7</v>
      </c>
      <c r="AX401" s="158">
        <f>(AQ401*0.78*350*6*0.001)/(15*66.7*365)</f>
        <v>7.4637530549793589E-5</v>
      </c>
      <c r="AY401" s="160">
        <f>(AM401*2800*0.001*0.003*0.58*350*6*0.001)/(15*66.7*365)</f>
        <v>1.6810005955926147E-9</v>
      </c>
      <c r="AZ401" s="144">
        <f>(AN401*2800*0.001*0.001*0.58*350*6*0.001)/(15*66.7*365)</f>
        <v>5.6033353186420503E-10</v>
      </c>
      <c r="BA401" s="144" t="s">
        <v>288</v>
      </c>
      <c r="BB401" s="144">
        <f t="shared" si="100"/>
        <v>1.4008338296605124E-8</v>
      </c>
      <c r="BC401" s="144">
        <f t="shared" si="100"/>
        <v>3.081834425253127E-10</v>
      </c>
      <c r="BD401" s="160">
        <f t="shared" si="100"/>
        <v>1.5539916617033948E-7</v>
      </c>
      <c r="BE401" s="144"/>
    </row>
    <row r="402" spans="24:57">
      <c r="X402" s="53" t="s">
        <v>630</v>
      </c>
      <c r="Y402" s="53" t="s">
        <v>631</v>
      </c>
      <c r="Z402" s="180">
        <v>44065</v>
      </c>
      <c r="AA402" s="183">
        <v>0.49734299999999998</v>
      </c>
      <c r="AB402" s="183">
        <v>35.278543999999997</v>
      </c>
      <c r="AC402" s="53" t="s">
        <v>633</v>
      </c>
      <c r="AD402" s="53" t="s">
        <v>632</v>
      </c>
      <c r="AE402" s="53" t="s">
        <v>347</v>
      </c>
      <c r="AF402" s="154" t="s">
        <v>362</v>
      </c>
      <c r="AG402" s="154" t="s">
        <v>362</v>
      </c>
      <c r="AH402" s="53" t="s">
        <v>672</v>
      </c>
      <c r="AI402" s="53" t="s">
        <v>739</v>
      </c>
      <c r="AJ402" s="53" t="s">
        <v>684</v>
      </c>
      <c r="AK402" s="53" t="s">
        <v>683</v>
      </c>
      <c r="AL402" s="53"/>
      <c r="AM402" s="156">
        <v>1.08</v>
      </c>
      <c r="AN402" s="192">
        <v>0.28000000000000003</v>
      </c>
      <c r="AO402" s="157">
        <v>0.2</v>
      </c>
      <c r="AP402" s="197">
        <v>1.4E-2</v>
      </c>
      <c r="AQ402" s="192">
        <v>0.1</v>
      </c>
      <c r="AR402" s="192"/>
      <c r="AS402" s="158">
        <f t="shared" si="98"/>
        <v>4.8442628001067965E-6</v>
      </c>
      <c r="AT402" s="144">
        <f t="shared" si="98"/>
        <v>1.2559199852128732E-6</v>
      </c>
      <c r="AU402" s="144" t="s">
        <v>288</v>
      </c>
      <c r="AV402" s="144">
        <f t="shared" si="99"/>
        <v>8.9708570372348078E-7</v>
      </c>
      <c r="AW402" s="144">
        <f t="shared" si="99"/>
        <v>6.2795999260643656E-8</v>
      </c>
      <c r="AX402" s="158">
        <f>(AQ402*0.78*350*6*0.001)/(15*66.7*365)</f>
        <v>4.4854285186174039E-7</v>
      </c>
      <c r="AY402" s="160">
        <f>(AM402*2800*0.001*0.003*0.58*350*6*0.001)/(15*66.7*365)</f>
        <v>3.0258010720667062E-8</v>
      </c>
      <c r="AZ402" s="144">
        <f>(AN402*2800*0.001*0.001*0.58*350*6*0.001)/(15*66.7*365)</f>
        <v>2.61488981536629E-9</v>
      </c>
      <c r="BA402" s="144" t="s">
        <v>288</v>
      </c>
      <c r="BB402" s="144">
        <f t="shared" si="100"/>
        <v>1.8677784395473502E-9</v>
      </c>
      <c r="BC402" s="144">
        <f t="shared" si="100"/>
        <v>1.3074449076831446E-10</v>
      </c>
      <c r="BD402" s="160">
        <f t="shared" si="100"/>
        <v>9.3388921977367512E-10</v>
      </c>
      <c r="BE402" s="144"/>
    </row>
    <row r="403" spans="24:57">
      <c r="X403" s="238" t="s">
        <v>1050</v>
      </c>
      <c r="AS403" s="89"/>
      <c r="AX403" s="89"/>
      <c r="AY403" s="177"/>
      <c r="BD403" s="177"/>
    </row>
  </sheetData>
  <mergeCells count="2">
    <mergeCell ref="R10:U10"/>
    <mergeCell ref="R12:T12"/>
  </mergeCells>
  <pageMargins left="0.7" right="0.7" top="0.75" bottom="0.75" header="0.3" footer="0.3"/>
  <pageSetup paperSize="9" orientation="portrait"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S133"/>
  <sheetViews>
    <sheetView workbookViewId="0">
      <selection activeCell="B1" sqref="B1"/>
    </sheetView>
  </sheetViews>
  <sheetFormatPr defaultColWidth="9.140625" defaultRowHeight="15.75"/>
  <cols>
    <col min="1" max="16384" width="9.140625" style="34"/>
  </cols>
  <sheetData>
    <row r="1" spans="1:1">
      <c r="A1" s="106" t="s">
        <v>1163</v>
      </c>
    </row>
    <row r="2" spans="1:1">
      <c r="A2" s="34" t="s">
        <v>1197</v>
      </c>
    </row>
    <row r="22" spans="1:19">
      <c r="S22" s="34" t="s">
        <v>1194</v>
      </c>
    </row>
    <row r="24" spans="1:19">
      <c r="A24" s="34" t="s">
        <v>1174</v>
      </c>
    </row>
    <row r="29" spans="1:19">
      <c r="J29" s="35" t="s">
        <v>1175</v>
      </c>
    </row>
    <row r="46" spans="1:19">
      <c r="A46" s="34" t="s">
        <v>1192</v>
      </c>
      <c r="J46" s="34" t="s">
        <v>1191</v>
      </c>
      <c r="S46" s="34" t="s">
        <v>1193</v>
      </c>
    </row>
    <row r="67" spans="1:10">
      <c r="A67" s="34" t="s">
        <v>1176</v>
      </c>
      <c r="J67" s="34" t="s">
        <v>1164</v>
      </c>
    </row>
    <row r="93" spans="1:1">
      <c r="A93" s="34" t="s">
        <v>1195</v>
      </c>
    </row>
    <row r="98" spans="1:1">
      <c r="A98" s="310" t="s">
        <v>349</v>
      </c>
    </row>
    <row r="99" spans="1:1">
      <c r="A99" s="310" t="s">
        <v>349</v>
      </c>
    </row>
    <row r="100" spans="1:1">
      <c r="A100" s="310" t="s">
        <v>349</v>
      </c>
    </row>
    <row r="112" spans="1:1">
      <c r="A112" s="34" t="s">
        <v>1177</v>
      </c>
    </row>
    <row r="113" spans="12:12">
      <c r="L113" s="34" t="s">
        <v>1196</v>
      </c>
    </row>
    <row r="133" spans="1:1">
      <c r="A133" s="34" t="s">
        <v>1165</v>
      </c>
    </row>
  </sheetData>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15</vt:i4>
      </vt:variant>
      <vt:variant>
        <vt:lpstr>Named Ranges</vt:lpstr>
      </vt:variant>
      <vt:variant>
        <vt:i4>43</vt:i4>
      </vt:variant>
    </vt:vector>
  </HeadingPairs>
  <TitlesOfParts>
    <vt:vector size="58" baseType="lpstr">
      <vt:lpstr>Title Page</vt:lpstr>
      <vt:lpstr>Supp. Table_1a</vt:lpstr>
      <vt:lpstr>Supp. Table_1b</vt:lpstr>
      <vt:lpstr>Supp. Table_1c</vt:lpstr>
      <vt:lpstr>Supp. Table_2</vt:lpstr>
      <vt:lpstr>Supp. Table_3</vt:lpstr>
      <vt:lpstr>Supp. Table_4</vt:lpstr>
      <vt:lpstr>Supp. Table 5</vt:lpstr>
      <vt:lpstr>Supp. Table_6</vt:lpstr>
      <vt:lpstr>Supp. Table _7</vt:lpstr>
      <vt:lpstr>Supp. Table_8</vt:lpstr>
      <vt:lpstr>Supp. Table 9</vt:lpstr>
      <vt:lpstr>Supl. Table_10</vt:lpstr>
      <vt:lpstr>Supp. Table_11</vt:lpstr>
      <vt:lpstr>Supplementary Table 12</vt:lpstr>
      <vt:lpstr>'Supp. Table 5'!_Ani1</vt:lpstr>
      <vt:lpstr>'Supp. Table 5'!_Ani2</vt:lpstr>
      <vt:lpstr>'Supp. Table 5'!_Cat1</vt:lpstr>
      <vt:lpstr>'Supp. Table 5'!_Cat2</vt:lpstr>
      <vt:lpstr>'Supp. Table 5'!_HCO3</vt:lpstr>
      <vt:lpstr>'Supp. Table 5'!_HPO4</vt:lpstr>
      <vt:lpstr>'Supp. Table 5'!_NH4</vt:lpstr>
      <vt:lpstr>'Supp. Table 5'!_NO2</vt:lpstr>
      <vt:lpstr>'Supp. Table 5'!_NO3</vt:lpstr>
      <vt:lpstr>'Supp. Table 5'!_SO4</vt:lpstr>
      <vt:lpstr>'Supp. Table 5'!Anion_Total</vt:lpstr>
      <vt:lpstr>'Supp. Table 5'!Ba</vt:lpstr>
      <vt:lpstr>'Supp. Table 5'!Br</vt:lpstr>
      <vt:lpstr>'Supp. Table 5'!Ca</vt:lpstr>
      <vt:lpstr>'Supp. Table 5'!Cation_Total</vt:lpstr>
      <vt:lpstr>'Supp. Table 5'!Cd</vt:lpstr>
      <vt:lpstr>'Supp. Table 5'!Cl</vt:lpstr>
      <vt:lpstr>'Supp. Table 5'!Co</vt:lpstr>
      <vt:lpstr>'Supp. Table 5'!Cu</vt:lpstr>
      <vt:lpstr>'Supp. Table 5'!F</vt:lpstr>
      <vt:lpstr>'Supp. Table 5'!Field_Eh_uc</vt:lpstr>
      <vt:lpstr>'Supp. Table 5'!Field_HCO3</vt:lpstr>
      <vt:lpstr>'Supp. Table 5'!HCO3_read</vt:lpstr>
      <vt:lpstr>'Supp. Table 5'!HCO3_vol</vt:lpstr>
      <vt:lpstr>'Supp. Table 5'!K</vt:lpstr>
      <vt:lpstr>'Supp. Table 5'!Li</vt:lpstr>
      <vt:lpstr>'Supp. Table 5'!Mg</vt:lpstr>
      <vt:lpstr>'Supp. Table 5'!Mn</vt:lpstr>
      <vt:lpstr>'Supp. Table 5'!Na</vt:lpstr>
      <vt:lpstr>'Supl. Table_10'!OLE_LINK2</vt:lpstr>
      <vt:lpstr>'Supp. Table 5'!Oxidised_Fe</vt:lpstr>
      <vt:lpstr>'Supp. Table 5'!Pb</vt:lpstr>
      <vt:lpstr>'Supp. Table 5'!Print_Area</vt:lpstr>
      <vt:lpstr>'Supp. Table 5'!Print_Titles</vt:lpstr>
      <vt:lpstr>'Supp. Table 5'!Reduced_Fe</vt:lpstr>
      <vt:lpstr>'Supp. Table 5'!S2O3</vt:lpstr>
      <vt:lpstr>'Supp. Table 5'!Si</vt:lpstr>
      <vt:lpstr>'Supp. Table 5'!Sr</vt:lpstr>
      <vt:lpstr>'Supp. Table 5'!TIC</vt:lpstr>
      <vt:lpstr>'Supp. Table 5'!Total_Alk</vt:lpstr>
      <vt:lpstr>'Supp. Table 5'!Total_Fe</vt:lpstr>
      <vt:lpstr>'Supp. Table 5'!Total_S</vt:lpstr>
      <vt:lpstr>'Supp. Table 5'!Zn</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Maureene Ondayo - BGS</dc:creator>
  <cp:lastModifiedBy>Watts, Michael J.</cp:lastModifiedBy>
  <cp:lastPrinted>2022-04-21T15:35:24Z</cp:lastPrinted>
  <dcterms:created xsi:type="dcterms:W3CDTF">2022-04-13T13:29:34Z</dcterms:created>
  <dcterms:modified xsi:type="dcterms:W3CDTF">2023-03-30T08:15:00Z</dcterms:modified>
</cp:coreProperties>
</file>