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talberth/Library/Mobile Documents/com~apple~CloudDocs/Desktop/Forest Carbon Tax and Reward/EDS manuscript 2023/"/>
    </mc:Choice>
  </mc:AlternateContent>
  <xr:revisionPtr revIDLastSave="0" documentId="13_ncr:1_{22A6FD65-19DF-014D-BF9C-23420C945264}" xr6:coauthVersionLast="47" xr6:coauthVersionMax="47" xr10:uidLastSave="{00000000-0000-0000-0000-000000000000}"/>
  <bookViews>
    <workbookView xWindow="3480" yWindow="1440" windowWidth="28800" windowHeight="16380" xr2:uid="{7176B0F4-8E85-B44F-B111-89A2AB4A4E26}"/>
  </bookViews>
  <sheets>
    <sheet name="EVALIDATOR DATA" sheetId="1" r:id="rId1"/>
    <sheet name="EV SUMMARY" sheetId="2" r:id="rId2"/>
    <sheet name="Analysis" sheetId="3" r:id="rId3"/>
    <sheet name="Tabl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4" l="1"/>
  <c r="M14" i="4"/>
  <c r="M13" i="4"/>
  <c r="M12" i="4"/>
  <c r="M5" i="4"/>
  <c r="C254" i="3"/>
  <c r="C253" i="3"/>
  <c r="M9" i="4"/>
  <c r="M4" i="4"/>
  <c r="J14" i="4"/>
  <c r="I14" i="4"/>
  <c r="J9" i="4"/>
  <c r="I9" i="4"/>
  <c r="H9" i="4"/>
  <c r="J7" i="4"/>
  <c r="I7" i="4"/>
  <c r="H7" i="4"/>
  <c r="C26" i="4"/>
  <c r="I30" i="4"/>
  <c r="G30" i="4"/>
  <c r="E30" i="4"/>
  <c r="C30" i="4"/>
  <c r="I29" i="4" l="1"/>
  <c r="I28" i="4"/>
  <c r="I27" i="4"/>
  <c r="I26" i="4"/>
  <c r="G29" i="4"/>
  <c r="G28" i="4"/>
  <c r="G27" i="4"/>
  <c r="G26" i="4"/>
  <c r="E29" i="4"/>
  <c r="E28" i="4"/>
  <c r="E27" i="4"/>
  <c r="E26" i="4"/>
  <c r="C29" i="4"/>
  <c r="C28" i="4"/>
  <c r="C27" i="4"/>
  <c r="E223" i="3"/>
  <c r="E224" i="3" s="1"/>
  <c r="D223" i="3"/>
  <c r="D224" i="3" s="1"/>
  <c r="C223" i="3"/>
  <c r="C224" i="3" s="1"/>
  <c r="B223" i="3"/>
  <c r="B224" i="3" s="1"/>
  <c r="B258" i="3" l="1"/>
  <c r="B255" i="3"/>
  <c r="B256" i="3" s="1"/>
  <c r="D216" i="3"/>
  <c r="B257" i="3" s="1"/>
  <c r="C216" i="3"/>
  <c r="D248" i="3"/>
  <c r="F248" i="3" s="1"/>
  <c r="D247" i="3"/>
  <c r="F247" i="3" s="1"/>
  <c r="D246" i="3"/>
  <c r="F246" i="3" s="1"/>
  <c r="D245" i="3"/>
  <c r="F245" i="3" s="1"/>
  <c r="B232" i="3"/>
  <c r="B259" i="3" l="1"/>
  <c r="B260" i="3" s="1"/>
  <c r="E108" i="3"/>
  <c r="E97" i="3"/>
  <c r="E89" i="3"/>
  <c r="E79" i="3"/>
  <c r="K17" i="3"/>
  <c r="E210" i="3" l="1"/>
  <c r="B240" i="3" s="1"/>
  <c r="D240" i="3" s="1"/>
  <c r="D210" i="3"/>
  <c r="B239" i="3" s="1"/>
  <c r="D239" i="3" s="1"/>
  <c r="C210" i="3"/>
  <c r="B238" i="3" s="1"/>
  <c r="D238" i="3" s="1"/>
  <c r="B210" i="3"/>
  <c r="B237" i="3" s="1"/>
  <c r="D237" i="3" s="1"/>
  <c r="E183" i="3"/>
  <c r="G183" i="3" s="1"/>
  <c r="E182" i="3"/>
  <c r="G182" i="3" s="1"/>
  <c r="D189" i="3"/>
  <c r="E189" i="3" s="1"/>
  <c r="G189" i="3" s="1"/>
  <c r="D188" i="3"/>
  <c r="E188" i="3" s="1"/>
  <c r="G188" i="3" s="1"/>
  <c r="D186" i="3"/>
  <c r="E186" i="3" s="1"/>
  <c r="G186" i="3" s="1"/>
  <c r="D185" i="3"/>
  <c r="E185" i="3" s="1"/>
  <c r="G185" i="3" s="1"/>
  <c r="D177" i="3"/>
  <c r="F177" i="3" s="1"/>
  <c r="G177" i="3" s="1"/>
  <c r="D174" i="3"/>
  <c r="F174" i="3" s="1"/>
  <c r="G174" i="3" s="1"/>
  <c r="B175" i="3"/>
  <c r="D175" i="3" s="1"/>
  <c r="F175" i="3" s="1"/>
  <c r="G175" i="3" s="1"/>
  <c r="B170" i="3"/>
  <c r="B166" i="3"/>
  <c r="B167" i="3" s="1"/>
  <c r="B146" i="3"/>
  <c r="B162" i="3"/>
  <c r="B161" i="3"/>
  <c r="B157" i="3"/>
  <c r="C157" i="3" s="1"/>
  <c r="B156" i="3"/>
  <c r="C156" i="3" s="1"/>
  <c r="C145" i="3"/>
  <c r="C144" i="3"/>
  <c r="C142" i="3"/>
  <c r="G187" i="3" l="1"/>
  <c r="G184" i="3"/>
  <c r="B212" i="3"/>
  <c r="B225" i="3" s="1"/>
  <c r="B226" i="3" s="1"/>
  <c r="C212" i="3"/>
  <c r="C225" i="3" s="1"/>
  <c r="C226" i="3" s="1"/>
  <c r="D212" i="3"/>
  <c r="D225" i="3" s="1"/>
  <c r="D226" i="3" s="1"/>
  <c r="E212" i="3"/>
  <c r="E225" i="3" s="1"/>
  <c r="E226" i="3" s="1"/>
  <c r="B163" i="3"/>
  <c r="B164" i="3" s="1"/>
  <c r="C167" i="3" s="1"/>
  <c r="D144" i="3"/>
  <c r="D145" i="3"/>
  <c r="D142" i="3"/>
  <c r="E16" i="3"/>
  <c r="E17" i="3"/>
  <c r="H17" i="3" s="1"/>
  <c r="C10" i="3"/>
  <c r="C9" i="3"/>
  <c r="C8" i="3"/>
  <c r="C7" i="3"/>
  <c r="G26" i="3"/>
  <c r="F26" i="3"/>
  <c r="E26" i="3"/>
  <c r="D26" i="3"/>
  <c r="G24" i="3"/>
  <c r="F24" i="3"/>
  <c r="E24" i="3"/>
  <c r="D24" i="3"/>
  <c r="G23" i="3"/>
  <c r="F23" i="3"/>
  <c r="E23" i="3"/>
  <c r="D23" i="3"/>
  <c r="G25" i="3"/>
  <c r="F25" i="3"/>
  <c r="E25" i="3"/>
  <c r="D25" i="3"/>
  <c r="F18" i="3"/>
  <c r="E18" i="3"/>
  <c r="D18" i="3"/>
  <c r="B18" i="3"/>
  <c r="C18" i="3" s="1"/>
  <c r="C233" i="3" l="1"/>
  <c r="C218" i="3" s="1"/>
  <c r="C19" i="4" s="1"/>
  <c r="B233" i="3"/>
  <c r="B217" i="3" s="1"/>
  <c r="B18" i="4" s="1"/>
  <c r="E233" i="3"/>
  <c r="E218" i="3" s="1"/>
  <c r="E19" i="4" s="1"/>
  <c r="D233" i="3"/>
  <c r="D218" i="3" s="1"/>
  <c r="D19" i="4" s="1"/>
  <c r="L22" i="3"/>
  <c r="L23" i="3"/>
  <c r="J23" i="3"/>
  <c r="L24" i="3"/>
  <c r="L25" i="3"/>
  <c r="F31" i="3"/>
  <c r="C170" i="3"/>
  <c r="F32" i="3"/>
  <c r="D146" i="3"/>
  <c r="G18" i="3"/>
  <c r="G32" i="3" s="1"/>
  <c r="E32" i="3"/>
  <c r="G31" i="3"/>
  <c r="D32" i="3"/>
  <c r="D31" i="3"/>
  <c r="E30" i="3"/>
  <c r="E31" i="3"/>
  <c r="G19" i="3"/>
  <c r="G33" i="3" s="1"/>
  <c r="F19" i="3"/>
  <c r="E19" i="3"/>
  <c r="E33" i="3" s="1"/>
  <c r="D19" i="3"/>
  <c r="B19" i="3"/>
  <c r="C19" i="3" s="1"/>
  <c r="B17" i="3"/>
  <c r="G16" i="3"/>
  <c r="G30" i="3" s="1"/>
  <c r="F16" i="3"/>
  <c r="D16" i="3"/>
  <c r="D30" i="3" s="1"/>
  <c r="B16" i="3"/>
  <c r="C16" i="3" s="1"/>
  <c r="B124" i="3"/>
  <c r="C131" i="3" s="1"/>
  <c r="B123" i="3"/>
  <c r="B122" i="3"/>
  <c r="C56" i="3"/>
  <c r="E217" i="3" l="1"/>
  <c r="E18" i="4" s="1"/>
  <c r="B218" i="3"/>
  <c r="B19" i="4" s="1"/>
  <c r="D217" i="3"/>
  <c r="D18" i="4" s="1"/>
  <c r="C217" i="3"/>
  <c r="C18" i="4" s="1"/>
  <c r="K18" i="3"/>
  <c r="J24" i="3" s="1"/>
  <c r="F30" i="3"/>
  <c r="H30" i="3" s="1"/>
  <c r="I30" i="3" s="1"/>
  <c r="K16" i="3"/>
  <c r="J22" i="3" s="1"/>
  <c r="F33" i="3"/>
  <c r="K19" i="3"/>
  <c r="J25" i="3" s="1"/>
  <c r="H31" i="3"/>
  <c r="I31" i="3" s="1"/>
  <c r="H32" i="3"/>
  <c r="I32" i="3" s="1"/>
  <c r="C150" i="3"/>
  <c r="C149" i="3"/>
  <c r="H18" i="3"/>
  <c r="H16" i="3"/>
  <c r="D33" i="3"/>
  <c r="H19" i="3"/>
  <c r="B131" i="3"/>
  <c r="C132" i="3" s="1"/>
  <c r="G108" i="3"/>
  <c r="E216" i="3" s="1"/>
  <c r="F97" i="3"/>
  <c r="H97" i="3" s="1"/>
  <c r="C114" i="3"/>
  <c r="C112" i="3"/>
  <c r="C113" i="3" s="1"/>
  <c r="H33" i="3" l="1"/>
  <c r="I33" i="3" s="1"/>
  <c r="C115" i="3"/>
  <c r="C105" i="3"/>
  <c r="C103" i="3"/>
  <c r="C104" i="3" s="1"/>
  <c r="C98" i="3"/>
  <c r="C94" i="3"/>
  <c r="C92" i="3"/>
  <c r="C93" i="3" s="1"/>
  <c r="C85" i="3"/>
  <c r="C83" i="3"/>
  <c r="C84" i="3" s="1"/>
  <c r="B50" i="3"/>
  <c r="E50" i="3" s="1"/>
  <c r="B49" i="3"/>
  <c r="C72" i="3"/>
  <c r="C74" i="3" s="1"/>
  <c r="E42" i="3"/>
  <c r="E40" i="3"/>
  <c r="B45" i="3"/>
  <c r="E45" i="3" s="1"/>
  <c r="B44" i="3"/>
  <c r="E44" i="3" s="1"/>
  <c r="E47" i="3" l="1"/>
  <c r="B51" i="3"/>
  <c r="F108" i="3" s="1"/>
  <c r="H108" i="3" s="1"/>
  <c r="C106" i="3"/>
  <c r="C86" i="3"/>
  <c r="D72" i="3"/>
  <c r="D73" i="3" s="1"/>
  <c r="E49" i="3"/>
  <c r="E51" i="3" s="1"/>
  <c r="C95" i="3"/>
  <c r="G79" i="3" s="1"/>
  <c r="B216" i="3" s="1"/>
  <c r="C65" i="3"/>
  <c r="C55" i="3"/>
  <c r="C60" i="3"/>
  <c r="C61" i="3" s="1"/>
  <c r="L14" i="1"/>
  <c r="L13" i="1"/>
  <c r="L12" i="1"/>
  <c r="L11" i="1"/>
  <c r="L10" i="1"/>
  <c r="L9" i="1"/>
  <c r="F89" i="3"/>
  <c r="H89" i="3" s="1"/>
  <c r="F79" i="3"/>
  <c r="H79" i="3" l="1"/>
</calcChain>
</file>

<file path=xl/sharedStrings.xml><?xml version="1.0" encoding="utf-8"?>
<sst xmlns="http://schemas.openxmlformats.org/spreadsheetml/2006/main" count="3992" uniqueCount="308">
  <si>
    <t>Maine</t>
  </si>
  <si>
    <t>OWNERSHIP ALL CLASSES</t>
  </si>
  <si>
    <t>ECOREGION SECTION</t>
  </si>
  <si>
    <t>ESTIMATE</t>
  </si>
  <si>
    <t>SE PERCENT</t>
  </si>
  <si>
    <t>PLOT COUNT</t>
  </si>
  <si>
    <t>Total</t>
  </si>
  <si>
    <t>211A</t>
  </si>
  <si>
    <t>211B</t>
  </si>
  <si>
    <t>211C</t>
  </si>
  <si>
    <t>211D</t>
  </si>
  <si>
    <t>221A</t>
  </si>
  <si>
    <t>M211A</t>
  </si>
  <si>
    <t>National Forest</t>
  </si>
  <si>
    <t>Dept of Defense</t>
  </si>
  <si>
    <t>State</t>
  </si>
  <si>
    <t>County and Municipal</t>
  </si>
  <si>
    <t>Private</t>
  </si>
  <si>
    <t>Other</t>
  </si>
  <si>
    <t>1. Annual removals 1"+ by dry weight (short tons)</t>
  </si>
  <si>
    <t>2. Annual harvest removals 1"+ by dry weight (short ton)</t>
  </si>
  <si>
    <t>3. Average annual harvest removals 5"+ dbh sound bole volume cu ft.</t>
  </si>
  <si>
    <t>National Park Service</t>
  </si>
  <si>
    <t>Fish and Wildlife Service</t>
  </si>
  <si>
    <t>Other federal</t>
  </si>
  <si>
    <t>North Carolina</t>
  </si>
  <si>
    <t>231A</t>
  </si>
  <si>
    <t>231I</t>
  </si>
  <si>
    <t>232C</t>
  </si>
  <si>
    <t>232H</t>
  </si>
  <si>
    <t>232I</t>
  </si>
  <si>
    <t>232J</t>
  </si>
  <si>
    <t>M221D</t>
  </si>
  <si>
    <t>Oregon</t>
  </si>
  <si>
    <t>Bureau of Land Mgmt</t>
  </si>
  <si>
    <t>242B</t>
  </si>
  <si>
    <t>263A</t>
  </si>
  <si>
    <t>342B</t>
  </si>
  <si>
    <t>342H</t>
  </si>
  <si>
    <t>M242A</t>
  </si>
  <si>
    <t>M242B</t>
  </si>
  <si>
    <t>M242C</t>
  </si>
  <si>
    <t>M261A</t>
  </si>
  <si>
    <t>M261D</t>
  </si>
  <si>
    <t>M261G</t>
  </si>
  <si>
    <t>M332G</t>
  </si>
  <si>
    <t>331A</t>
  </si>
  <si>
    <t>342I</t>
  </si>
  <si>
    <t>342C</t>
  </si>
  <si>
    <t>4. Average annual harvest removals of sawlog biomass of sawtimber trees (dry short tons)</t>
  </si>
  <si>
    <t>5. Average annual mortality 1"+ by dry weight (short tons)</t>
  </si>
  <si>
    <t>6. Annual gross growth 1"+ dbh by dry weight (short tons)</t>
  </si>
  <si>
    <t>7. Area (acres)</t>
  </si>
  <si>
    <t>Washington</t>
  </si>
  <si>
    <t>242A</t>
  </si>
  <si>
    <t>M242D</t>
  </si>
  <si>
    <t>M333A</t>
  </si>
  <si>
    <t>Other local govt</t>
  </si>
  <si>
    <t>%</t>
  </si>
  <si>
    <t>Summary Table</t>
  </si>
  <si>
    <t>FCTR 2023</t>
  </si>
  <si>
    <t>Analysis and display tables</t>
  </si>
  <si>
    <t>Ha acres/yr</t>
  </si>
  <si>
    <t>PH NEP</t>
  </si>
  <si>
    <t>Period</t>
  </si>
  <si>
    <t>Even aged</t>
  </si>
  <si>
    <t>Shelterwood</t>
  </si>
  <si>
    <t>Hardwood</t>
  </si>
  <si>
    <t>Softwood</t>
  </si>
  <si>
    <t>OR/WA all</t>
  </si>
  <si>
    <t>Scott et al. (shelterwood)</t>
  </si>
  <si>
    <t>Grant et al. BC clearcut</t>
  </si>
  <si>
    <t>Turner et al. OR west</t>
  </si>
  <si>
    <t>Extrapolate to clearcut</t>
  </si>
  <si>
    <t>Johnsen et al.. 2014 (pine)</t>
  </si>
  <si>
    <t>DR</t>
  </si>
  <si>
    <t>Peckham and Buongiomo (hard)</t>
  </si>
  <si>
    <t>Harvest acres</t>
  </si>
  <si>
    <t>Mean:</t>
  </si>
  <si>
    <t>Value from FIA method</t>
  </si>
  <si>
    <t>Net:</t>
  </si>
  <si>
    <t>CO2:</t>
  </si>
  <si>
    <t>Growth (pvt) short tons</t>
  </si>
  <si>
    <t>Mortality (pvt) short tons</t>
  </si>
  <si>
    <t>Pvt acres - annual tc loss * 13</t>
  </si>
  <si>
    <t>tCO2/ac/yr</t>
  </si>
  <si>
    <t>Value from Scott et al. (2004)</t>
  </si>
  <si>
    <t>W/ forest cover loss</t>
  </si>
  <si>
    <t>Value from Puhlick (lt plots)</t>
  </si>
  <si>
    <t>Value from Talberth (2019)</t>
  </si>
  <si>
    <t>Conversion acres</t>
  </si>
  <si>
    <t>Seq.</t>
  </si>
  <si>
    <t>FS total</t>
  </si>
  <si>
    <t>Total:</t>
  </si>
  <si>
    <t>Competition analysis</t>
  </si>
  <si>
    <t>Clearcut</t>
  </si>
  <si>
    <t>Proforestation</t>
  </si>
  <si>
    <t>1 acre, 40 years</t>
  </si>
  <si>
    <t>0-13</t>
  </si>
  <si>
    <t>30-99</t>
  </si>
  <si>
    <t>NEP (Turner et al. 2004))</t>
  </si>
  <si>
    <t>14-29</t>
  </si>
  <si>
    <t>Years in class</t>
  </si>
  <si>
    <t>Total carbon capture:</t>
  </si>
  <si>
    <t>% increase</t>
  </si>
  <si>
    <t>SW-LL</t>
  </si>
  <si>
    <t>SW-SL</t>
  </si>
  <si>
    <t>HW-SL</t>
  </si>
  <si>
    <t>HW-LL</t>
  </si>
  <si>
    <t>SW share</t>
  </si>
  <si>
    <t>HW share</t>
  </si>
  <si>
    <t>Product shares</t>
  </si>
  <si>
    <t>STOR factors at 100 years</t>
  </si>
  <si>
    <t>REM (short tons)</t>
  </si>
  <si>
    <t>REM (CO2-e)</t>
  </si>
  <si>
    <t>STOR</t>
  </si>
  <si>
    <t>Totals</t>
  </si>
  <si>
    <t>% of REM</t>
  </si>
  <si>
    <t>Hansen et al. 2013</t>
  </si>
  <si>
    <t>2019  Silv. Rept.</t>
  </si>
  <si>
    <t>Softwoods (Wall et al. 2018)</t>
  </si>
  <si>
    <t>Hardwoods (Wall et al. 2018)</t>
  </si>
  <si>
    <t>Remove dead zone acreage</t>
  </si>
  <si>
    <t>FS calculation detail</t>
  </si>
  <si>
    <t>DR calculation detail</t>
  </si>
  <si>
    <t>Seq. value from Talberth 2017</t>
  </si>
  <si>
    <t>5. SA</t>
  </si>
  <si>
    <t>4. Forgone sequestration (FS)</t>
  </si>
  <si>
    <t>3. Decay of logging residuals (DR)</t>
  </si>
  <si>
    <t>2. Long term HWP storage (STOR)</t>
  </si>
  <si>
    <t>1. CO2-e removals from forestlands (REM)</t>
  </si>
  <si>
    <t>5. Silviculture activities (SA)</t>
  </si>
  <si>
    <t>Oregon + Washington</t>
  </si>
  <si>
    <t>Sonne (2006)</t>
  </si>
  <si>
    <t>Oniel and Puettman (2017)</t>
  </si>
  <si>
    <t xml:space="preserve"> kg CO2-e/mbf</t>
  </si>
  <si>
    <t>kg CO2-e/m3</t>
  </si>
  <si>
    <t>Low</t>
  </si>
  <si>
    <t>High</t>
  </si>
  <si>
    <t>tCO2-e/mbf</t>
  </si>
  <si>
    <t>Washington SA</t>
  </si>
  <si>
    <t>Oregon SA</t>
  </si>
  <si>
    <t>MBF</t>
  </si>
  <si>
    <t>SA</t>
  </si>
  <si>
    <t>Mean</t>
  </si>
  <si>
    <t>Total tCO2-e ha</t>
  </si>
  <si>
    <t>Harvest ha</t>
  </si>
  <si>
    <t>Sonne hectare method</t>
  </si>
  <si>
    <t>Energy use</t>
  </si>
  <si>
    <t>Share from LCA PNW</t>
  </si>
  <si>
    <t>Harvest machinery Maine</t>
  </si>
  <si>
    <t>All SA Maine</t>
  </si>
  <si>
    <t>Adjusted tCO2-e-ha</t>
  </si>
  <si>
    <t>Maine harvest acres/yr</t>
  </si>
  <si>
    <t>Maine harvest hectares/yr</t>
  </si>
  <si>
    <t>NC harvest acres/yr</t>
  </si>
  <si>
    <t>NC harvest hectares/yr</t>
  </si>
  <si>
    <t>Ton/yr</t>
  </si>
  <si>
    <t>N2o fertilizer</t>
  </si>
  <si>
    <t>N2o/ton</t>
  </si>
  <si>
    <t>N2o/yr</t>
  </si>
  <si>
    <t>CO2-e</t>
  </si>
  <si>
    <t>Acres/yr</t>
  </si>
  <si>
    <t>NP rate (lbs/acre)</t>
  </si>
  <si>
    <t>Initial soil carbon (t/acre)</t>
  </si>
  <si>
    <t>Loss %</t>
  </si>
  <si>
    <t>Hardwoods</t>
  </si>
  <si>
    <t>Softwoods</t>
  </si>
  <si>
    <t>Annual harvest acres</t>
  </si>
  <si>
    <t>Loss (metric tons)</t>
  </si>
  <si>
    <t>Share to atmosphere</t>
  </si>
  <si>
    <t>SL</t>
  </si>
  <si>
    <t>6. Soil loss and degradation (SL)</t>
  </si>
  <si>
    <t>Achat</t>
  </si>
  <si>
    <t>Nave softwood</t>
  </si>
  <si>
    <t>Nave hardwood</t>
  </si>
  <si>
    <t>Lal (2020)</t>
  </si>
  <si>
    <t>15% to atmosphere</t>
  </si>
  <si>
    <t>7. State tallies by source</t>
  </si>
  <si>
    <t>Mbf/yr</t>
  </si>
  <si>
    <t>EF-LL</t>
  </si>
  <si>
    <t>EF-SL</t>
  </si>
  <si>
    <t>OR</t>
  </si>
  <si>
    <t>WA</t>
  </si>
  <si>
    <t>ME</t>
  </si>
  <si>
    <t>NC</t>
  </si>
  <si>
    <t>STOR-LL</t>
  </si>
  <si>
    <t>STOR-SL</t>
  </si>
  <si>
    <t>Revenue scenario A</t>
  </si>
  <si>
    <t>Revenue scenario B</t>
  </si>
  <si>
    <t>Industrial volume</t>
  </si>
  <si>
    <t>Taxable volume @ 33%</t>
  </si>
  <si>
    <t>tCO2-e/yr</t>
  </si>
  <si>
    <t>Pay and pass on tax</t>
  </si>
  <si>
    <t>Carbon market tax</t>
  </si>
  <si>
    <t>Revenue/yr 100%</t>
  </si>
  <si>
    <t>Share of PPO</t>
  </si>
  <si>
    <t>Revenue scenario A ($/yr)</t>
  </si>
  <si>
    <t>Revenue scenario B ($/yr)</t>
  </si>
  <si>
    <t>Carbon removed by logging (REM)</t>
  </si>
  <si>
    <t>Long lived HWP storage (STOR)</t>
  </si>
  <si>
    <t>Decay of logging residuals (DR)</t>
  </si>
  <si>
    <t>Forgone sequestration (FS)</t>
  </si>
  <si>
    <t>Silviculture activities (SA)</t>
  </si>
  <si>
    <t>Soil loss and degradation (SL)</t>
  </si>
  <si>
    <t>Total GHG/yr:</t>
  </si>
  <si>
    <t>Table 2</t>
  </si>
  <si>
    <t>Table 3</t>
  </si>
  <si>
    <t>Baseline (no tax)</t>
  </si>
  <si>
    <t>Pay and pass on</t>
  </si>
  <si>
    <t>Carbon market</t>
  </si>
  <si>
    <t>Statewide rank comparision</t>
  </si>
  <si>
    <t>GHG/yr w/o SA</t>
  </si>
  <si>
    <t>Biomass burning</t>
  </si>
  <si>
    <t>Revised GHG/yr</t>
  </si>
  <si>
    <t>Rank</t>
  </si>
  <si>
    <t>8. Carbon intensity calculatinons</t>
  </si>
  <si>
    <t>Washiington</t>
  </si>
  <si>
    <t>Representative species</t>
  </si>
  <si>
    <t>Douglas fir</t>
  </si>
  <si>
    <t>Black spruce</t>
  </si>
  <si>
    <t>Loblolly pine</t>
  </si>
  <si>
    <t>Emissions factor</t>
  </si>
  <si>
    <t>Carbon intensity</t>
  </si>
  <si>
    <t>mbf/short dry tons</t>
  </si>
  <si>
    <t>mbf/metric tons</t>
  </si>
  <si>
    <t>9. Maine conversion example</t>
  </si>
  <si>
    <t>EF-CONV (tCO2-e/mbf)</t>
  </si>
  <si>
    <t>EF-LL  (tCO2-e/mbf)</t>
  </si>
  <si>
    <t>EF-SL  (tCO2-e/mbf)</t>
  </si>
  <si>
    <t>EF-CONV (tCO2-e/acre)</t>
  </si>
  <si>
    <t>AEF (tCO2-e/mbf) - default</t>
  </si>
  <si>
    <t>Acres developed</t>
  </si>
  <si>
    <t>mbf/acre</t>
  </si>
  <si>
    <t>Harvest emissions</t>
  </si>
  <si>
    <t>Forgone sequestration</t>
  </si>
  <si>
    <t>Open space credit</t>
  </si>
  <si>
    <t>Net emissions</t>
  </si>
  <si>
    <t>Carbon tax</t>
  </si>
  <si>
    <t>Harvest mbf</t>
  </si>
  <si>
    <t>Annual yield (mbf)</t>
  </si>
  <si>
    <t xml:space="preserve">Delivered log price ($/mbf) </t>
  </si>
  <si>
    <t>Effective carbon tax ($/mbf)</t>
  </si>
  <si>
    <t>Adjusted industrial volume</t>
  </si>
  <si>
    <t>Total taxable emissions tCO2-e/yr</t>
  </si>
  <si>
    <t>AEF tCO2-e/mbf (Mg C/m^3)</t>
  </si>
  <si>
    <t>EF-LL  tCO2-e/mbf (Mg C/m^3)</t>
  </si>
  <si>
    <t>EF-SL  tCO2-e/mbf (Mg C/m^3)</t>
  </si>
  <si>
    <t>EF-CONV tCO2-e/mbf (Mg C/m^3)</t>
  </si>
  <si>
    <t>EF-CONV tCO2-e/acre (Mg C/ha)</t>
  </si>
  <si>
    <t>Metric</t>
  </si>
  <si>
    <t>Table 2 metric conversions</t>
  </si>
  <si>
    <t>12.13 (1.40)</t>
  </si>
  <si>
    <t>11.83 (1.37)</t>
  </si>
  <si>
    <t>15.04 (1.74)</t>
  </si>
  <si>
    <t>9.08 (1.05)</t>
  </si>
  <si>
    <t>16.74 (1.93)</t>
  </si>
  <si>
    <t>16.13 (1.86)</t>
  </si>
  <si>
    <t>11.42 (1.32)</t>
  </si>
  <si>
    <t>9.29 (1.07)</t>
  </si>
  <si>
    <t>8.82 (1.02)</t>
  </si>
  <si>
    <t>9.85 (1.14)</t>
  </si>
  <si>
    <t>7.89 (0.91)</t>
  </si>
  <si>
    <t>20.00 (2.31)</t>
  </si>
  <si>
    <t>15.86 (1.83)</t>
  </si>
  <si>
    <t>14.11 (1.63)</t>
  </si>
  <si>
    <t>15.97 (1.84)</t>
  </si>
  <si>
    <t>11.02 (1.27)</t>
  </si>
  <si>
    <t>Tax revenue scenario A ($million/yr)</t>
  </si>
  <si>
    <t>Tax revenue scenario B ($million/yr)</t>
  </si>
  <si>
    <t>GHG emissions (tCO2-e/yr)</t>
  </si>
  <si>
    <t>Potential tax revenues</t>
  </si>
  <si>
    <t>Fully operable area (ha)</t>
  </si>
  <si>
    <t>Annual yield (m^3)</t>
  </si>
  <si>
    <t>Delivered log price ($/m^3)</t>
  </si>
  <si>
    <t>Total investment costs ($million)</t>
  </si>
  <si>
    <t>Effective carbon tax ($/m^3)</t>
  </si>
  <si>
    <t>429.49 (289.06)</t>
  </si>
  <si>
    <t>429.00 (288.73)</t>
  </si>
  <si>
    <t>Emission factors</t>
  </si>
  <si>
    <t>163.00 (109.70)</t>
  </si>
  <si>
    <t>442.50 (297.81)</t>
  </si>
  <si>
    <t>Parameters</t>
  </si>
  <si>
    <t>Tax derivation</t>
  </si>
  <si>
    <t>A: Area deforested (ha)</t>
  </si>
  <si>
    <t>E: Land to building ratio</t>
  </si>
  <si>
    <t>K: Tax liability (J x G)</t>
  </si>
  <si>
    <t>Scenario A</t>
  </si>
  <si>
    <t>Scenario B</t>
  </si>
  <si>
    <t>Scenario C</t>
  </si>
  <si>
    <t>Opportunity cost of capital ($million/yr)</t>
  </si>
  <si>
    <t>Mgmt. and harvest costs  ($million/yr)</t>
  </si>
  <si>
    <t>Carbon tax payments ($million/yr)</t>
  </si>
  <si>
    <t>PV timber income ($million)</t>
  </si>
  <si>
    <t>PV carbon income ($million)</t>
  </si>
  <si>
    <t>PV cost stream ($million)</t>
  </si>
  <si>
    <t>Net present value ($million)</t>
  </si>
  <si>
    <t>Internal rate of return (%)</t>
  </si>
  <si>
    <t>C: Emission factor harvest (Mg C/m^3)</t>
  </si>
  <si>
    <t>D: Emissions factor conversion (Mg C/ha)</t>
  </si>
  <si>
    <t>G: Tax rate ($/tCO2-e)</t>
  </si>
  <si>
    <t>F: Open space seq. rate (Mg C/ha/yr)</t>
  </si>
  <si>
    <t>B: Wood products yield (m^3/ha)</t>
  </si>
  <si>
    <t>H: Gross CO2-e emissions (A x B x C) + (A x D) x 3.67</t>
  </si>
  <si>
    <t>I: Open space credit (A x E x F) x 100</t>
  </si>
  <si>
    <t>J: Net CO2-e emissions (H - I)</t>
  </si>
  <si>
    <t>Online Resource 2 - Evalidator raw data tables and analysis worksheets</t>
  </si>
  <si>
    <t>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</si>
</sst>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0.0000"/>
    <numFmt numFmtId="165" formatCode="0.000"/>
    <numFmt numFmtId="166" formatCode="&quot;$&quot;#,##0"/>
    <numFmt numFmtId="167" formatCode="&quot;$&quot;#,##0.00"/>
  </numFmts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 (Body)"/>
    </font>
    <font>
      <i/>
      <sz val="12"/>
      <color theme="1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 (Body)"/>
    </font>
    <font>
      <u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2" borderId="0" xfId="0" applyFont="1" applyFill="1"/>
    <xf numFmtId="0" fontId="0" fillId="2" borderId="0" xfId="0" applyFill="1"/>
    <xf numFmtId="3" fontId="0" fillId="2" borderId="0" xfId="0" applyNumberFormat="1" applyFill="1"/>
    <xf numFmtId="10" fontId="0" fillId="0" borderId="0" xfId="0" applyNumberFormat="1"/>
    <xf numFmtId="0" fontId="2" fillId="3" borderId="0" xfId="0" applyFont="1" applyFill="1"/>
    <xf numFmtId="0" fontId="3" fillId="0" borderId="0" xfId="0" applyFont="1"/>
    <xf numFmtId="0" fontId="3" fillId="3" borderId="0" xfId="0" applyFont="1" applyFill="1"/>
    <xf numFmtId="3" fontId="3" fillId="0" borderId="0" xfId="0" applyNumberFormat="1" applyFont="1"/>
    <xf numFmtId="0" fontId="0" fillId="4" borderId="0" xfId="0" applyFill="1"/>
    <xf numFmtId="0" fontId="4" fillId="4" borderId="0" xfId="0" applyFont="1" applyFill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0" fillId="0" borderId="0" xfId="0" applyNumberFormat="1"/>
    <xf numFmtId="0" fontId="5" fillId="0" borderId="0" xfId="0" applyFont="1" applyAlignment="1">
      <alignment horizontal="right"/>
    </xf>
    <xf numFmtId="1" fontId="0" fillId="0" borderId="0" xfId="0" applyNumberFormat="1"/>
    <xf numFmtId="0" fontId="8" fillId="0" borderId="0" xfId="0" applyFont="1" applyAlignment="1">
      <alignment horizontal="right"/>
    </xf>
    <xf numFmtId="49" fontId="9" fillId="0" borderId="0" xfId="0" applyNumberFormat="1" applyFont="1"/>
    <xf numFmtId="0" fontId="9" fillId="0" borderId="0" xfId="0" applyFont="1"/>
    <xf numFmtId="2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7" fillId="0" borderId="0" xfId="0" applyFont="1"/>
    <xf numFmtId="3" fontId="10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7" fillId="0" borderId="0" xfId="0" applyNumberFormat="1" applyFont="1"/>
    <xf numFmtId="166" fontId="0" fillId="0" borderId="0" xfId="0" applyNumberForma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3" fontId="9" fillId="0" borderId="0" xfId="0" applyNumberFormat="1" applyFont="1"/>
    <xf numFmtId="2" fontId="9" fillId="0" borderId="0" xfId="0" applyNumberFormat="1" applyFont="1"/>
    <xf numFmtId="166" fontId="9" fillId="0" borderId="0" xfId="0" applyNumberFormat="1" applyFont="1"/>
    <xf numFmtId="3" fontId="9" fillId="0" borderId="1" xfId="0" applyNumberFormat="1" applyFont="1" applyBorder="1"/>
    <xf numFmtId="2" fontId="9" fillId="0" borderId="1" xfId="0" applyNumberFormat="1" applyFont="1" applyBorder="1"/>
    <xf numFmtId="3" fontId="12" fillId="0" borderId="0" xfId="0" applyNumberFormat="1" applyFont="1"/>
    <xf numFmtId="3" fontId="12" fillId="0" borderId="1" xfId="0" applyNumberFormat="1" applyFont="1" applyBorder="1"/>
    <xf numFmtId="2" fontId="12" fillId="0" borderId="0" xfId="0" applyNumberFormat="1" applyFont="1"/>
    <xf numFmtId="0" fontId="12" fillId="0" borderId="0" xfId="0" applyFont="1" applyAlignment="1">
      <alignment horizontal="left"/>
    </xf>
    <xf numFmtId="167" fontId="12" fillId="0" borderId="0" xfId="0" applyNumberFormat="1" applyFont="1"/>
    <xf numFmtId="10" fontId="9" fillId="0" borderId="0" xfId="0" applyNumberFormat="1" applyFont="1"/>
    <xf numFmtId="0" fontId="9" fillId="5" borderId="0" xfId="0" applyFont="1" applyFill="1" applyAlignment="1">
      <alignment horizontal="right"/>
    </xf>
    <xf numFmtId="0" fontId="9" fillId="5" borderId="0" xfId="0" applyFont="1" applyFill="1"/>
    <xf numFmtId="0" fontId="11" fillId="5" borderId="0" xfId="0" applyFont="1" applyFill="1" applyAlignment="1">
      <alignment horizontal="right"/>
    </xf>
    <xf numFmtId="167" fontId="0" fillId="0" borderId="0" xfId="0" applyNumberFormat="1"/>
    <xf numFmtId="0" fontId="9" fillId="5" borderId="1" xfId="0" applyFont="1" applyFill="1" applyBorder="1"/>
    <xf numFmtId="0" fontId="9" fillId="5" borderId="0" xfId="0" applyFont="1" applyFill="1" applyAlignment="1">
      <alignment horizontal="left"/>
    </xf>
    <xf numFmtId="0" fontId="9" fillId="5" borderId="1" xfId="0" applyFont="1" applyFill="1" applyBorder="1" applyAlignment="1">
      <alignment horizontal="left"/>
    </xf>
    <xf numFmtId="0" fontId="12" fillId="6" borderId="0" xfId="0" applyFont="1" applyFill="1"/>
    <xf numFmtId="0" fontId="12" fillId="6" borderId="0" xfId="0" applyFont="1" applyFill="1" applyAlignment="1">
      <alignment horizontal="left"/>
    </xf>
    <xf numFmtId="3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7" fontId="9" fillId="0" borderId="0" xfId="0" applyNumberFormat="1" applyFont="1"/>
    <xf numFmtId="0" fontId="9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1" xfId="0" applyNumberFormat="1" applyFont="1" applyBorder="1" applyAlignment="1">
      <alignment horizontal="right"/>
    </xf>
    <xf numFmtId="0" fontId="12" fillId="0" borderId="0" xfId="0" applyFont="1"/>
    <xf numFmtId="0" fontId="12" fillId="0" borderId="1" xfId="0" applyFont="1" applyBorder="1"/>
    <xf numFmtId="0" fontId="12" fillId="0" borderId="0" xfId="0" applyFont="1" applyAlignment="1">
      <alignment horizontal="right"/>
    </xf>
    <xf numFmtId="0" fontId="12" fillId="0" borderId="1" xfId="0" applyFont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3" fontId="12" fillId="5" borderId="1" xfId="0" applyNumberFormat="1" applyFont="1" applyFill="1" applyBorder="1"/>
    <xf numFmtId="0" fontId="13" fillId="7" borderId="1" xfId="0" applyFont="1" applyFill="1" applyBorder="1"/>
    <xf numFmtId="0" fontId="12" fillId="7" borderId="1" xfId="0" applyFont="1" applyFill="1" applyBorder="1" applyAlignment="1">
      <alignment horizontal="right"/>
    </xf>
    <xf numFmtId="0" fontId="13" fillId="7" borderId="2" xfId="0" applyFont="1" applyFill="1" applyBorder="1" applyAlignment="1">
      <alignment horizontal="left"/>
    </xf>
    <xf numFmtId="2" fontId="12" fillId="5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4" fillId="5" borderId="1" xfId="0" applyFont="1" applyFill="1" applyBorder="1"/>
    <xf numFmtId="0" fontId="11" fillId="5" borderId="0" xfId="0" applyFont="1" applyFill="1" applyAlignment="1">
      <alignment horizontal="center"/>
    </xf>
    <xf numFmtId="0" fontId="12" fillId="5" borderId="0" xfId="0" applyFont="1" applyFill="1" applyAlignment="1">
      <alignment horizontal="left"/>
    </xf>
    <xf numFmtId="0" fontId="9" fillId="5" borderId="0" xfId="0" applyFont="1" applyFill="1" applyAlignment="1">
      <alignment horizontal="center"/>
    </xf>
    <xf numFmtId="6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0" fontId="9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FAD2-4E5D-DC49-9ACB-7A476615071D}">
  <dimension ref="A1:AO296"/>
  <sheetViews>
    <sheetView tabSelected="1" workbookViewId="0">
      <selection activeCell="A5" sqref="A1:XFD5"/>
    </sheetView>
  </sheetViews>
  <sheetFormatPr baseColWidth="10" defaultRowHeight="16" x14ac:dyDescent="0.2"/>
  <cols>
    <col min="1" max="2" width="26" customWidth="1"/>
    <col min="7" max="7" width="25.83203125" customWidth="1"/>
    <col min="8" max="8" width="18.6640625" customWidth="1"/>
    <col min="12" max="12" width="12.1640625" bestFit="1" customWidth="1"/>
    <col min="13" max="13" width="24" customWidth="1"/>
    <col min="14" max="14" width="21.1640625" customWidth="1"/>
    <col min="15" max="15" width="12.83203125" customWidth="1"/>
    <col min="19" max="19" width="22.1640625" customWidth="1"/>
    <col min="20" max="20" width="25.33203125" customWidth="1"/>
    <col min="25" max="25" width="27.1640625" customWidth="1"/>
    <col min="26" max="26" width="19.1640625" customWidth="1"/>
    <col min="31" max="31" width="22.1640625" customWidth="1"/>
    <col min="32" max="32" width="22.83203125" customWidth="1"/>
    <col min="37" max="37" width="25.5" customWidth="1"/>
  </cols>
  <sheetData>
    <row r="1" spans="1:41" x14ac:dyDescent="0.2">
      <c r="A1" s="1" t="s">
        <v>306</v>
      </c>
    </row>
    <row r="3" spans="1:41" x14ac:dyDescent="0.2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5" spans="1:41" x14ac:dyDescent="0.2">
      <c r="A5" t="s">
        <v>19</v>
      </c>
      <c r="G5" t="s">
        <v>20</v>
      </c>
      <c r="M5" t="s">
        <v>21</v>
      </c>
      <c r="S5" t="s">
        <v>49</v>
      </c>
      <c r="Y5" t="s">
        <v>50</v>
      </c>
      <c r="AE5" t="s">
        <v>51</v>
      </c>
      <c r="AK5" t="s">
        <v>52</v>
      </c>
    </row>
    <row r="7" spans="1:41" x14ac:dyDescent="0.2">
      <c r="A7" t="s">
        <v>1</v>
      </c>
      <c r="B7" t="s">
        <v>2</v>
      </c>
      <c r="C7" t="s">
        <v>3</v>
      </c>
      <c r="D7" t="s">
        <v>4</v>
      </c>
      <c r="E7" t="s">
        <v>5</v>
      </c>
      <c r="G7" t="s">
        <v>1</v>
      </c>
      <c r="H7" t="s">
        <v>2</v>
      </c>
      <c r="I7" t="s">
        <v>3</v>
      </c>
      <c r="J7" t="s">
        <v>4</v>
      </c>
      <c r="K7" t="s">
        <v>5</v>
      </c>
      <c r="M7" t="s">
        <v>1</v>
      </c>
      <c r="N7" t="s">
        <v>2</v>
      </c>
      <c r="O7" t="s">
        <v>3</v>
      </c>
      <c r="P7" t="s">
        <v>4</v>
      </c>
      <c r="Q7" t="s">
        <v>5</v>
      </c>
      <c r="S7" t="s">
        <v>1</v>
      </c>
      <c r="T7" t="s">
        <v>2</v>
      </c>
      <c r="U7" t="s">
        <v>3</v>
      </c>
      <c r="V7" t="s">
        <v>4</v>
      </c>
      <c r="W7" t="s">
        <v>5</v>
      </c>
      <c r="Y7" t="s">
        <v>1</v>
      </c>
      <c r="Z7" t="s">
        <v>2</v>
      </c>
      <c r="AA7" t="s">
        <v>3</v>
      </c>
      <c r="AB7" t="s">
        <v>4</v>
      </c>
      <c r="AC7" t="s">
        <v>5</v>
      </c>
      <c r="AE7" t="s">
        <v>1</v>
      </c>
      <c r="AF7" t="s">
        <v>2</v>
      </c>
      <c r="AG7" t="s">
        <v>3</v>
      </c>
      <c r="AH7" t="s">
        <v>4</v>
      </c>
      <c r="AI7" t="s">
        <v>5</v>
      </c>
      <c r="AK7" t="s">
        <v>1</v>
      </c>
      <c r="AL7" t="s">
        <v>2</v>
      </c>
      <c r="AM7" t="s">
        <v>3</v>
      </c>
      <c r="AN7" t="s">
        <v>4</v>
      </c>
      <c r="AO7" t="s">
        <v>5</v>
      </c>
    </row>
    <row r="8" spans="1:41" x14ac:dyDescent="0.2">
      <c r="A8" t="s">
        <v>6</v>
      </c>
      <c r="B8" t="s">
        <v>6</v>
      </c>
      <c r="C8" s="2">
        <v>11144856</v>
      </c>
      <c r="D8">
        <v>6.032</v>
      </c>
      <c r="E8">
        <v>480</v>
      </c>
      <c r="G8" t="s">
        <v>6</v>
      </c>
      <c r="H8" t="s">
        <v>6</v>
      </c>
      <c r="I8" s="2">
        <v>10707287</v>
      </c>
      <c r="J8">
        <v>6.1130000000000004</v>
      </c>
      <c r="K8">
        <v>474</v>
      </c>
      <c r="L8" t="s">
        <v>58</v>
      </c>
      <c r="M8" t="s">
        <v>6</v>
      </c>
      <c r="N8" t="s">
        <v>6</v>
      </c>
      <c r="O8" s="2">
        <v>499628355</v>
      </c>
      <c r="P8">
        <v>6.0910000000000002</v>
      </c>
      <c r="Q8">
        <v>444</v>
      </c>
      <c r="S8" t="s">
        <v>6</v>
      </c>
      <c r="T8" t="s">
        <v>6</v>
      </c>
      <c r="U8" s="2">
        <v>3534940</v>
      </c>
      <c r="V8">
        <v>7.165</v>
      </c>
      <c r="W8">
        <v>347</v>
      </c>
      <c r="Y8" t="s">
        <v>6</v>
      </c>
      <c r="Z8" t="s">
        <v>6</v>
      </c>
      <c r="AA8" s="2">
        <v>8276270</v>
      </c>
      <c r="AB8">
        <v>2.335</v>
      </c>
      <c r="AC8" s="2">
        <v>2668</v>
      </c>
      <c r="AE8" t="s">
        <v>6</v>
      </c>
      <c r="AF8" t="s">
        <v>6</v>
      </c>
      <c r="AG8" s="2">
        <v>23200948</v>
      </c>
      <c r="AH8">
        <v>0.89800000000000002</v>
      </c>
      <c r="AI8" s="2">
        <v>3115</v>
      </c>
      <c r="AK8" t="s">
        <v>6</v>
      </c>
      <c r="AL8" t="s">
        <v>6</v>
      </c>
      <c r="AM8" s="2">
        <v>17518847</v>
      </c>
      <c r="AN8">
        <v>0.39500000000000002</v>
      </c>
      <c r="AO8" s="2">
        <v>3143</v>
      </c>
    </row>
    <row r="9" spans="1:41" x14ac:dyDescent="0.2">
      <c r="A9" t="s">
        <v>13</v>
      </c>
      <c r="B9" t="s">
        <v>6</v>
      </c>
      <c r="C9" s="2">
        <v>959</v>
      </c>
      <c r="D9">
        <v>100</v>
      </c>
      <c r="E9">
        <v>1</v>
      </c>
      <c r="G9" t="s">
        <v>13</v>
      </c>
      <c r="H9" t="s">
        <v>6</v>
      </c>
      <c r="I9" s="2">
        <v>959</v>
      </c>
      <c r="J9">
        <v>100</v>
      </c>
      <c r="K9">
        <v>1</v>
      </c>
      <c r="L9" s="6">
        <f>I9/I$8</f>
        <v>8.9565171831109034E-5</v>
      </c>
      <c r="M9" t="s">
        <v>15</v>
      </c>
      <c r="N9" t="s">
        <v>6</v>
      </c>
      <c r="O9" s="2">
        <v>12510266</v>
      </c>
      <c r="P9">
        <v>37.856999999999999</v>
      </c>
      <c r="Q9">
        <v>10</v>
      </c>
      <c r="S9" t="s">
        <v>15</v>
      </c>
      <c r="T9" t="s">
        <v>6</v>
      </c>
      <c r="U9" s="2">
        <v>115759</v>
      </c>
      <c r="V9">
        <v>41.991</v>
      </c>
      <c r="W9">
        <v>9</v>
      </c>
      <c r="Y9" t="s">
        <v>13</v>
      </c>
      <c r="Z9" t="s">
        <v>6</v>
      </c>
      <c r="AA9" s="2">
        <v>20056</v>
      </c>
      <c r="AB9">
        <v>17.399000000000001</v>
      </c>
      <c r="AC9">
        <v>26</v>
      </c>
      <c r="AE9" t="s">
        <v>13</v>
      </c>
      <c r="AF9" t="s">
        <v>6</v>
      </c>
      <c r="AG9" s="2">
        <v>65262</v>
      </c>
      <c r="AH9">
        <v>13.244999999999999</v>
      </c>
      <c r="AI9">
        <v>29</v>
      </c>
      <c r="AK9" t="s">
        <v>13</v>
      </c>
      <c r="AL9" t="s">
        <v>6</v>
      </c>
      <c r="AM9" s="2">
        <v>55582</v>
      </c>
      <c r="AN9">
        <v>5.29</v>
      </c>
      <c r="AO9">
        <v>30</v>
      </c>
    </row>
    <row r="10" spans="1:41" x14ac:dyDescent="0.2">
      <c r="A10" t="s">
        <v>14</v>
      </c>
      <c r="B10" t="s">
        <v>6</v>
      </c>
      <c r="C10" s="2">
        <v>121</v>
      </c>
      <c r="D10">
        <v>107.58</v>
      </c>
      <c r="E10">
        <v>1</v>
      </c>
      <c r="G10" t="s">
        <v>14</v>
      </c>
      <c r="H10" t="s">
        <v>6</v>
      </c>
      <c r="I10" s="2">
        <v>121</v>
      </c>
      <c r="J10">
        <v>107.58</v>
      </c>
      <c r="K10">
        <v>1</v>
      </c>
      <c r="L10" s="6">
        <f t="shared" ref="L10:L14" si="0">I10/I$8</f>
        <v>1.1300715111120119E-5</v>
      </c>
      <c r="M10" t="s">
        <v>16</v>
      </c>
      <c r="N10" t="s">
        <v>6</v>
      </c>
      <c r="O10" s="2">
        <v>4538095</v>
      </c>
      <c r="P10">
        <v>58.868000000000002</v>
      </c>
      <c r="Q10">
        <v>4</v>
      </c>
      <c r="S10" t="s">
        <v>16</v>
      </c>
      <c r="T10" t="s">
        <v>6</v>
      </c>
      <c r="U10" s="2">
        <v>45644</v>
      </c>
      <c r="V10">
        <v>57.381</v>
      </c>
      <c r="W10">
        <v>4</v>
      </c>
      <c r="Y10" t="s">
        <v>22</v>
      </c>
      <c r="Z10" t="s">
        <v>6</v>
      </c>
      <c r="AA10" s="2">
        <v>54190</v>
      </c>
      <c r="AB10">
        <v>36.253999999999998</v>
      </c>
      <c r="AC10">
        <v>16</v>
      </c>
      <c r="AE10" t="s">
        <v>22</v>
      </c>
      <c r="AF10" t="s">
        <v>6</v>
      </c>
      <c r="AG10" s="2">
        <v>118672</v>
      </c>
      <c r="AH10">
        <v>27.155999999999999</v>
      </c>
      <c r="AI10">
        <v>17</v>
      </c>
      <c r="AK10" t="s">
        <v>22</v>
      </c>
      <c r="AL10" t="s">
        <v>6</v>
      </c>
      <c r="AM10" s="2">
        <v>100728</v>
      </c>
      <c r="AN10">
        <v>22.079000000000001</v>
      </c>
      <c r="AO10">
        <v>18</v>
      </c>
    </row>
    <row r="11" spans="1:41" x14ac:dyDescent="0.2">
      <c r="A11" t="s">
        <v>15</v>
      </c>
      <c r="B11" t="s">
        <v>6</v>
      </c>
      <c r="C11" s="2">
        <v>238758</v>
      </c>
      <c r="D11">
        <v>35.96</v>
      </c>
      <c r="E11">
        <v>10</v>
      </c>
      <c r="G11" t="s">
        <v>15</v>
      </c>
      <c r="H11" t="s">
        <v>6</v>
      </c>
      <c r="I11" s="2">
        <v>238758</v>
      </c>
      <c r="J11">
        <v>35.96</v>
      </c>
      <c r="K11">
        <v>10</v>
      </c>
      <c r="L11" s="6">
        <f t="shared" si="0"/>
        <v>2.2298645772734028E-2</v>
      </c>
      <c r="M11" t="s">
        <v>17</v>
      </c>
      <c r="N11" t="s">
        <v>6</v>
      </c>
      <c r="O11" s="2">
        <v>473491915</v>
      </c>
      <c r="P11">
        <v>6.2640000000000002</v>
      </c>
      <c r="Q11">
        <v>417</v>
      </c>
      <c r="S11" t="s">
        <v>17</v>
      </c>
      <c r="T11" t="s">
        <v>6</v>
      </c>
      <c r="U11" s="2">
        <v>3329225</v>
      </c>
      <c r="V11">
        <v>7.4089999999999998</v>
      </c>
      <c r="W11">
        <v>326</v>
      </c>
      <c r="Y11" t="s">
        <v>23</v>
      </c>
      <c r="Z11" t="s">
        <v>6</v>
      </c>
      <c r="AA11" s="2">
        <v>44428</v>
      </c>
      <c r="AB11">
        <v>43.655000000000001</v>
      </c>
      <c r="AC11">
        <v>10</v>
      </c>
      <c r="AE11" t="s">
        <v>23</v>
      </c>
      <c r="AF11" t="s">
        <v>6</v>
      </c>
      <c r="AG11" s="2">
        <v>78751</v>
      </c>
      <c r="AH11">
        <v>34.381</v>
      </c>
      <c r="AI11">
        <v>11</v>
      </c>
      <c r="AK11" t="s">
        <v>23</v>
      </c>
      <c r="AL11" t="s">
        <v>6</v>
      </c>
      <c r="AM11" s="2">
        <v>59384</v>
      </c>
      <c r="AN11">
        <v>30.41</v>
      </c>
      <c r="AO11">
        <v>11</v>
      </c>
    </row>
    <row r="12" spans="1:41" x14ac:dyDescent="0.2">
      <c r="A12" t="s">
        <v>16</v>
      </c>
      <c r="B12" t="s">
        <v>6</v>
      </c>
      <c r="C12" s="2">
        <v>91450</v>
      </c>
      <c r="D12">
        <v>61.357999999999997</v>
      </c>
      <c r="E12">
        <v>4</v>
      </c>
      <c r="G12" t="s">
        <v>16</v>
      </c>
      <c r="H12" t="s">
        <v>6</v>
      </c>
      <c r="I12" s="2">
        <v>91450</v>
      </c>
      <c r="J12">
        <v>61.357999999999997</v>
      </c>
      <c r="K12">
        <v>4</v>
      </c>
      <c r="L12" s="6">
        <f t="shared" si="0"/>
        <v>8.5409123711730154E-3</v>
      </c>
      <c r="M12" t="s">
        <v>18</v>
      </c>
      <c r="N12" t="s">
        <v>6</v>
      </c>
      <c r="O12" s="2">
        <v>9088079</v>
      </c>
      <c r="P12">
        <v>42.575000000000003</v>
      </c>
      <c r="Q12">
        <v>19</v>
      </c>
      <c r="S12" t="s">
        <v>18</v>
      </c>
      <c r="T12" t="s">
        <v>6</v>
      </c>
      <c r="U12" s="2">
        <v>44312</v>
      </c>
      <c r="V12">
        <v>50.225999999999999</v>
      </c>
      <c r="W12">
        <v>8</v>
      </c>
      <c r="Y12" t="s">
        <v>14</v>
      </c>
      <c r="Z12" t="s">
        <v>6</v>
      </c>
      <c r="AA12" s="2">
        <v>1462</v>
      </c>
      <c r="AB12">
        <v>78.748000000000005</v>
      </c>
      <c r="AC12">
        <v>2</v>
      </c>
      <c r="AE12" t="s">
        <v>14</v>
      </c>
      <c r="AF12" t="s">
        <v>6</v>
      </c>
      <c r="AG12" s="2">
        <v>8723</v>
      </c>
      <c r="AH12">
        <v>76.096000000000004</v>
      </c>
      <c r="AI12">
        <v>2</v>
      </c>
      <c r="AK12" t="s">
        <v>14</v>
      </c>
      <c r="AL12" t="s">
        <v>6</v>
      </c>
      <c r="AM12" s="2">
        <v>9358</v>
      </c>
      <c r="AN12">
        <v>75.866</v>
      </c>
      <c r="AO12">
        <v>2</v>
      </c>
    </row>
    <row r="13" spans="1:41" x14ac:dyDescent="0.2">
      <c r="A13" t="s">
        <v>17</v>
      </c>
      <c r="B13" t="s">
        <v>6</v>
      </c>
      <c r="C13" s="2">
        <v>10197662</v>
      </c>
      <c r="D13">
        <v>6.3</v>
      </c>
      <c r="E13">
        <v>441</v>
      </c>
      <c r="G13" t="s">
        <v>17</v>
      </c>
      <c r="H13" t="s">
        <v>6</v>
      </c>
      <c r="I13" s="2">
        <v>10197662</v>
      </c>
      <c r="J13">
        <v>6.3</v>
      </c>
      <c r="K13">
        <v>441</v>
      </c>
      <c r="L13" s="6">
        <f t="shared" si="0"/>
        <v>0.95240390959913557</v>
      </c>
      <c r="M13" t="s">
        <v>6</v>
      </c>
      <c r="N13" t="s">
        <v>7</v>
      </c>
      <c r="O13" s="2">
        <v>60998169</v>
      </c>
      <c r="P13">
        <v>17.062000000000001</v>
      </c>
      <c r="Q13">
        <v>56</v>
      </c>
      <c r="S13" t="s">
        <v>6</v>
      </c>
      <c r="T13" t="s">
        <v>7</v>
      </c>
      <c r="U13" s="2">
        <v>384988</v>
      </c>
      <c r="V13">
        <v>20.088000000000001</v>
      </c>
      <c r="W13">
        <v>44</v>
      </c>
      <c r="Y13" t="s">
        <v>24</v>
      </c>
      <c r="Z13" t="s">
        <v>6</v>
      </c>
      <c r="AA13" s="2">
        <v>5600</v>
      </c>
      <c r="AB13">
        <v>58.396000000000001</v>
      </c>
      <c r="AC13">
        <v>5</v>
      </c>
      <c r="AE13" t="s">
        <v>24</v>
      </c>
      <c r="AF13" t="s">
        <v>6</v>
      </c>
      <c r="AG13" s="2">
        <v>27674</v>
      </c>
      <c r="AH13">
        <v>47.335999999999999</v>
      </c>
      <c r="AI13">
        <v>5</v>
      </c>
      <c r="AK13" t="s">
        <v>24</v>
      </c>
      <c r="AL13" t="s">
        <v>6</v>
      </c>
      <c r="AM13" s="2">
        <v>23629</v>
      </c>
      <c r="AN13">
        <v>44.539000000000001</v>
      </c>
      <c r="AO13">
        <v>5</v>
      </c>
    </row>
    <row r="14" spans="1:41" x14ac:dyDescent="0.2">
      <c r="A14" t="s">
        <v>18</v>
      </c>
      <c r="B14" t="s">
        <v>6</v>
      </c>
      <c r="C14" s="2">
        <v>615906</v>
      </c>
      <c r="D14">
        <v>28.018999999999998</v>
      </c>
      <c r="E14">
        <v>29</v>
      </c>
      <c r="G14" t="s">
        <v>18</v>
      </c>
      <c r="H14" t="s">
        <v>6</v>
      </c>
      <c r="I14" s="2">
        <v>178337</v>
      </c>
      <c r="J14">
        <v>37.700000000000003</v>
      </c>
      <c r="K14">
        <v>23</v>
      </c>
      <c r="L14" s="6">
        <f t="shared" si="0"/>
        <v>1.6655666370015112E-2</v>
      </c>
      <c r="M14" t="s">
        <v>6</v>
      </c>
      <c r="N14" t="s">
        <v>8</v>
      </c>
      <c r="O14" s="2">
        <v>73862380</v>
      </c>
      <c r="P14">
        <v>14.516</v>
      </c>
      <c r="Q14">
        <v>74</v>
      </c>
      <c r="S14" t="s">
        <v>6</v>
      </c>
      <c r="T14" t="s">
        <v>8</v>
      </c>
      <c r="U14" s="2">
        <v>464270</v>
      </c>
      <c r="V14">
        <v>17.166</v>
      </c>
      <c r="W14">
        <v>59</v>
      </c>
      <c r="Y14" t="s">
        <v>15</v>
      </c>
      <c r="Z14" t="s">
        <v>6</v>
      </c>
      <c r="AA14" s="2">
        <v>581652</v>
      </c>
      <c r="AB14">
        <v>11.048</v>
      </c>
      <c r="AC14" s="2">
        <v>152</v>
      </c>
      <c r="AE14" t="s">
        <v>15</v>
      </c>
      <c r="AF14" t="s">
        <v>6</v>
      </c>
      <c r="AG14" s="2">
        <v>1200552</v>
      </c>
      <c r="AH14">
        <v>5.9630000000000001</v>
      </c>
      <c r="AI14" s="2">
        <v>166</v>
      </c>
      <c r="AK14" t="s">
        <v>15</v>
      </c>
      <c r="AL14" t="s">
        <v>6</v>
      </c>
      <c r="AM14" s="2">
        <v>986212</v>
      </c>
      <c r="AN14">
        <v>3.9660000000000002</v>
      </c>
      <c r="AO14">
        <v>167</v>
      </c>
    </row>
    <row r="15" spans="1:41" x14ac:dyDescent="0.2">
      <c r="A15" t="s">
        <v>6</v>
      </c>
      <c r="B15" t="s">
        <v>7</v>
      </c>
      <c r="C15" s="2">
        <v>1230457</v>
      </c>
      <c r="D15">
        <v>16.777000000000001</v>
      </c>
      <c r="E15">
        <v>61</v>
      </c>
      <c r="G15" t="s">
        <v>6</v>
      </c>
      <c r="H15" t="s">
        <v>7</v>
      </c>
      <c r="I15" s="2">
        <v>1230457</v>
      </c>
      <c r="J15">
        <v>16.777000000000001</v>
      </c>
      <c r="K15">
        <v>61</v>
      </c>
      <c r="M15" t="s">
        <v>6</v>
      </c>
      <c r="N15" t="s">
        <v>9</v>
      </c>
      <c r="O15" s="2">
        <v>18768107</v>
      </c>
      <c r="P15">
        <v>35.203000000000003</v>
      </c>
      <c r="Q15">
        <v>16</v>
      </c>
      <c r="S15" t="s">
        <v>6</v>
      </c>
      <c r="T15" t="s">
        <v>9</v>
      </c>
      <c r="U15" s="2">
        <v>155355</v>
      </c>
      <c r="V15">
        <v>39.167999999999999</v>
      </c>
      <c r="W15">
        <v>10</v>
      </c>
      <c r="Y15" t="s">
        <v>16</v>
      </c>
      <c r="Z15" t="s">
        <v>6</v>
      </c>
      <c r="AA15" s="2">
        <v>96600</v>
      </c>
      <c r="AB15">
        <v>24.207999999999998</v>
      </c>
      <c r="AC15">
        <v>34</v>
      </c>
      <c r="AE15" t="s">
        <v>16</v>
      </c>
      <c r="AF15" t="s">
        <v>6</v>
      </c>
      <c r="AG15" s="2">
        <v>290185</v>
      </c>
      <c r="AH15">
        <v>17.913</v>
      </c>
      <c r="AI15">
        <v>41</v>
      </c>
      <c r="AK15" t="s">
        <v>16</v>
      </c>
      <c r="AL15" t="s">
        <v>6</v>
      </c>
      <c r="AM15" s="2">
        <v>211945</v>
      </c>
      <c r="AN15">
        <v>16.175999999999998</v>
      </c>
      <c r="AO15">
        <v>41</v>
      </c>
    </row>
    <row r="16" spans="1:41" x14ac:dyDescent="0.2">
      <c r="A16" t="s">
        <v>6</v>
      </c>
      <c r="B16" t="s">
        <v>8</v>
      </c>
      <c r="C16" s="2">
        <v>1539308</v>
      </c>
      <c r="D16">
        <v>14.250999999999999</v>
      </c>
      <c r="E16">
        <v>80</v>
      </c>
      <c r="G16" t="s">
        <v>6</v>
      </c>
      <c r="H16" t="s">
        <v>8</v>
      </c>
      <c r="I16" s="2">
        <v>1532454</v>
      </c>
      <c r="J16">
        <v>14.292</v>
      </c>
      <c r="K16">
        <v>80</v>
      </c>
      <c r="M16" t="s">
        <v>6</v>
      </c>
      <c r="N16" t="s">
        <v>10</v>
      </c>
      <c r="O16" s="2">
        <v>67669955</v>
      </c>
      <c r="P16">
        <v>16.186</v>
      </c>
      <c r="Q16">
        <v>72</v>
      </c>
      <c r="S16" t="s">
        <v>6</v>
      </c>
      <c r="T16" t="s">
        <v>10</v>
      </c>
      <c r="U16" s="2">
        <v>458915</v>
      </c>
      <c r="V16">
        <v>19.417000000000002</v>
      </c>
      <c r="W16">
        <v>49</v>
      </c>
      <c r="Y16" t="s">
        <v>17</v>
      </c>
      <c r="Z16" t="s">
        <v>6</v>
      </c>
      <c r="AA16" s="2">
        <v>7466455</v>
      </c>
      <c r="AB16">
        <v>2.4470000000000001</v>
      </c>
      <c r="AC16" s="2">
        <v>2428</v>
      </c>
      <c r="AE16" t="s">
        <v>17</v>
      </c>
      <c r="AF16" t="s">
        <v>6</v>
      </c>
      <c r="AG16" s="2">
        <v>21378292</v>
      </c>
      <c r="AH16">
        <v>0.96699999999999997</v>
      </c>
      <c r="AI16" s="2">
        <v>2860</v>
      </c>
      <c r="AK16" t="s">
        <v>17</v>
      </c>
      <c r="AL16" t="s">
        <v>6</v>
      </c>
      <c r="AM16" s="2">
        <v>16072009</v>
      </c>
      <c r="AN16">
        <v>0.496</v>
      </c>
      <c r="AO16" s="2">
        <v>2891</v>
      </c>
    </row>
    <row r="17" spans="1:41" x14ac:dyDescent="0.2">
      <c r="A17" t="s">
        <v>6</v>
      </c>
      <c r="B17" t="s">
        <v>9</v>
      </c>
      <c r="C17" s="2">
        <v>376662</v>
      </c>
      <c r="D17">
        <v>31.248999999999999</v>
      </c>
      <c r="E17">
        <v>19</v>
      </c>
      <c r="G17" t="s">
        <v>6</v>
      </c>
      <c r="H17" t="s">
        <v>9</v>
      </c>
      <c r="I17" s="2">
        <v>351198</v>
      </c>
      <c r="J17">
        <v>33.005000000000003</v>
      </c>
      <c r="K17">
        <v>18</v>
      </c>
      <c r="M17" t="s">
        <v>6</v>
      </c>
      <c r="N17" t="s">
        <v>11</v>
      </c>
      <c r="O17" s="2">
        <v>35036267</v>
      </c>
      <c r="P17">
        <v>24.469000000000001</v>
      </c>
      <c r="Q17">
        <v>36</v>
      </c>
      <c r="S17" t="s">
        <v>6</v>
      </c>
      <c r="T17" t="s">
        <v>11</v>
      </c>
      <c r="U17" s="2">
        <v>315629</v>
      </c>
      <c r="V17">
        <v>26.605</v>
      </c>
      <c r="W17">
        <v>25</v>
      </c>
      <c r="Y17" t="s">
        <v>18</v>
      </c>
      <c r="Z17" t="s">
        <v>6</v>
      </c>
      <c r="AA17" s="2">
        <v>5825</v>
      </c>
      <c r="AB17">
        <v>58.84</v>
      </c>
      <c r="AC17">
        <v>4</v>
      </c>
      <c r="AE17" t="s">
        <v>18</v>
      </c>
      <c r="AF17" t="s">
        <v>6</v>
      </c>
      <c r="AG17" s="2">
        <v>32837</v>
      </c>
      <c r="AH17">
        <v>30.317</v>
      </c>
      <c r="AI17">
        <v>31</v>
      </c>
      <c r="AK17" t="s">
        <v>6</v>
      </c>
      <c r="AL17" t="s">
        <v>7</v>
      </c>
      <c r="AM17" s="2">
        <v>2010237</v>
      </c>
      <c r="AN17">
        <v>4.2759999999999998</v>
      </c>
      <c r="AO17">
        <v>362</v>
      </c>
    </row>
    <row r="18" spans="1:41" x14ac:dyDescent="0.2">
      <c r="A18" t="s">
        <v>6</v>
      </c>
      <c r="B18" t="s">
        <v>10</v>
      </c>
      <c r="C18" s="2">
        <v>1648099</v>
      </c>
      <c r="D18">
        <v>14.775</v>
      </c>
      <c r="E18">
        <v>81</v>
      </c>
      <c r="G18" t="s">
        <v>6</v>
      </c>
      <c r="H18" t="s">
        <v>10</v>
      </c>
      <c r="I18" s="2">
        <v>1418644</v>
      </c>
      <c r="J18">
        <v>15.603</v>
      </c>
      <c r="K18">
        <v>77</v>
      </c>
      <c r="M18" t="s">
        <v>6</v>
      </c>
      <c r="N18" t="s">
        <v>12</v>
      </c>
      <c r="O18" s="2">
        <v>243293479</v>
      </c>
      <c r="P18">
        <v>9.1609999999999996</v>
      </c>
      <c r="Q18">
        <v>190</v>
      </c>
      <c r="S18" t="s">
        <v>6</v>
      </c>
      <c r="T18" t="s">
        <v>12</v>
      </c>
      <c r="U18" s="2">
        <v>1755783</v>
      </c>
      <c r="V18">
        <v>10.605</v>
      </c>
      <c r="W18">
        <v>160</v>
      </c>
      <c r="Y18" t="s">
        <v>6</v>
      </c>
      <c r="Z18" t="s">
        <v>7</v>
      </c>
      <c r="AA18" s="2">
        <v>839621</v>
      </c>
      <c r="AB18">
        <v>7.6310000000000002</v>
      </c>
      <c r="AC18">
        <v>302</v>
      </c>
      <c r="AE18" t="s">
        <v>6</v>
      </c>
      <c r="AF18" t="s">
        <v>7</v>
      </c>
      <c r="AG18" s="2">
        <v>2593876</v>
      </c>
      <c r="AH18">
        <v>4.97</v>
      </c>
      <c r="AI18">
        <v>357</v>
      </c>
      <c r="AK18" t="s">
        <v>6</v>
      </c>
      <c r="AL18" t="s">
        <v>8</v>
      </c>
      <c r="AM18" s="2">
        <v>2906480</v>
      </c>
      <c r="AN18">
        <v>3.6539999999999999</v>
      </c>
      <c r="AO18">
        <v>513</v>
      </c>
    </row>
    <row r="19" spans="1:41" x14ac:dyDescent="0.2">
      <c r="A19" t="s">
        <v>6</v>
      </c>
      <c r="B19" t="s">
        <v>11</v>
      </c>
      <c r="C19" s="2">
        <v>930526</v>
      </c>
      <c r="D19">
        <v>23.242999999999999</v>
      </c>
      <c r="E19">
        <v>40</v>
      </c>
      <c r="G19" t="s">
        <v>6</v>
      </c>
      <c r="H19" t="s">
        <v>11</v>
      </c>
      <c r="I19" s="2">
        <v>775818</v>
      </c>
      <c r="J19">
        <v>23.725000000000001</v>
      </c>
      <c r="K19">
        <v>40</v>
      </c>
      <c r="M19" t="s">
        <v>15</v>
      </c>
      <c r="N19" t="s">
        <v>7</v>
      </c>
      <c r="O19" s="2">
        <v>717151</v>
      </c>
      <c r="P19">
        <v>110.345</v>
      </c>
      <c r="Q19">
        <v>1</v>
      </c>
      <c r="S19" t="s">
        <v>15</v>
      </c>
      <c r="T19" t="s">
        <v>7</v>
      </c>
      <c r="U19" s="2">
        <v>4633</v>
      </c>
      <c r="V19">
        <v>110.345</v>
      </c>
      <c r="W19">
        <v>1</v>
      </c>
      <c r="Y19" t="s">
        <v>6</v>
      </c>
      <c r="Z19" t="s">
        <v>8</v>
      </c>
      <c r="AA19" s="2">
        <v>1363761</v>
      </c>
      <c r="AB19">
        <v>7.4950000000000001</v>
      </c>
      <c r="AC19">
        <v>444</v>
      </c>
      <c r="AE19" t="s">
        <v>6</v>
      </c>
      <c r="AF19" t="s">
        <v>8</v>
      </c>
      <c r="AG19" s="2">
        <v>3773602</v>
      </c>
      <c r="AH19">
        <v>4.2510000000000003</v>
      </c>
      <c r="AI19">
        <v>508</v>
      </c>
      <c r="AK19" t="s">
        <v>6</v>
      </c>
      <c r="AL19" t="s">
        <v>9</v>
      </c>
      <c r="AM19" s="2">
        <v>1382876</v>
      </c>
      <c r="AN19">
        <v>4.37</v>
      </c>
      <c r="AO19">
        <v>248</v>
      </c>
    </row>
    <row r="20" spans="1:41" x14ac:dyDescent="0.2">
      <c r="A20" t="s">
        <v>6</v>
      </c>
      <c r="B20" t="s">
        <v>12</v>
      </c>
      <c r="C20" s="2">
        <v>5419804</v>
      </c>
      <c r="D20">
        <v>9.3230000000000004</v>
      </c>
      <c r="E20">
        <v>199</v>
      </c>
      <c r="G20" t="s">
        <v>6</v>
      </c>
      <c r="H20" t="s">
        <v>12</v>
      </c>
      <c r="I20" s="2">
        <v>5398716</v>
      </c>
      <c r="J20">
        <v>9.3569999999999993</v>
      </c>
      <c r="K20">
        <v>198</v>
      </c>
      <c r="M20" t="s">
        <v>15</v>
      </c>
      <c r="N20" t="s">
        <v>8</v>
      </c>
      <c r="O20" s="2">
        <v>2650327</v>
      </c>
      <c r="P20">
        <v>76.869</v>
      </c>
      <c r="Q20">
        <v>2</v>
      </c>
      <c r="S20" t="s">
        <v>15</v>
      </c>
      <c r="T20" t="s">
        <v>8</v>
      </c>
      <c r="U20" s="2">
        <v>23509</v>
      </c>
      <c r="V20">
        <v>95.622</v>
      </c>
      <c r="W20">
        <v>2</v>
      </c>
      <c r="Y20" t="s">
        <v>6</v>
      </c>
      <c r="Z20" t="s">
        <v>9</v>
      </c>
      <c r="AA20" s="2">
        <v>679064</v>
      </c>
      <c r="AB20">
        <v>8.6210000000000004</v>
      </c>
      <c r="AC20">
        <v>209</v>
      </c>
      <c r="AE20" t="s">
        <v>6</v>
      </c>
      <c r="AF20" t="s">
        <v>9</v>
      </c>
      <c r="AG20" s="2">
        <v>1648611</v>
      </c>
      <c r="AH20">
        <v>5.1859999999999999</v>
      </c>
      <c r="AI20">
        <v>249</v>
      </c>
      <c r="AK20" t="s">
        <v>6</v>
      </c>
      <c r="AL20" t="s">
        <v>10</v>
      </c>
      <c r="AM20" s="2">
        <v>2664036</v>
      </c>
      <c r="AN20">
        <v>3.2080000000000002</v>
      </c>
      <c r="AO20">
        <v>506</v>
      </c>
    </row>
    <row r="21" spans="1:41" x14ac:dyDescent="0.2">
      <c r="A21" t="s">
        <v>13</v>
      </c>
      <c r="B21" t="s">
        <v>12</v>
      </c>
      <c r="C21" s="2">
        <v>959</v>
      </c>
      <c r="D21">
        <v>100</v>
      </c>
      <c r="E21">
        <v>1</v>
      </c>
      <c r="G21" t="s">
        <v>13</v>
      </c>
      <c r="H21" t="s">
        <v>12</v>
      </c>
      <c r="I21" s="2">
        <v>959</v>
      </c>
      <c r="J21">
        <v>100</v>
      </c>
      <c r="K21">
        <v>1</v>
      </c>
      <c r="M21" t="s">
        <v>15</v>
      </c>
      <c r="N21" t="s">
        <v>10</v>
      </c>
      <c r="O21" s="2">
        <v>2193937</v>
      </c>
      <c r="P21">
        <v>91.275999999999996</v>
      </c>
      <c r="Q21">
        <v>1</v>
      </c>
      <c r="S21" t="s">
        <v>15</v>
      </c>
      <c r="T21" t="s">
        <v>10</v>
      </c>
      <c r="U21" s="2">
        <v>25480</v>
      </c>
      <c r="V21">
        <v>91.275999999999996</v>
      </c>
      <c r="W21">
        <v>1</v>
      </c>
      <c r="Y21" t="s">
        <v>6</v>
      </c>
      <c r="Z21" t="s">
        <v>10</v>
      </c>
      <c r="AA21" s="2">
        <v>1515676</v>
      </c>
      <c r="AB21">
        <v>6.0369999999999999</v>
      </c>
      <c r="AC21">
        <v>431</v>
      </c>
      <c r="AE21" t="s">
        <v>6</v>
      </c>
      <c r="AF21" t="s">
        <v>10</v>
      </c>
      <c r="AG21" s="2">
        <v>3817130</v>
      </c>
      <c r="AH21">
        <v>3.6720000000000002</v>
      </c>
      <c r="AI21">
        <v>499</v>
      </c>
      <c r="AK21" t="s">
        <v>6</v>
      </c>
      <c r="AL21" t="s">
        <v>11</v>
      </c>
      <c r="AM21" s="2">
        <v>1027069</v>
      </c>
      <c r="AN21">
        <v>5.5030000000000001</v>
      </c>
      <c r="AO21">
        <v>201</v>
      </c>
    </row>
    <row r="22" spans="1:41" x14ac:dyDescent="0.2">
      <c r="A22" t="s">
        <v>14</v>
      </c>
      <c r="B22" t="s">
        <v>9</v>
      </c>
      <c r="C22" s="2">
        <v>121</v>
      </c>
      <c r="D22">
        <v>107.58</v>
      </c>
      <c r="E22">
        <v>1</v>
      </c>
      <c r="G22" t="s">
        <v>14</v>
      </c>
      <c r="H22" t="s">
        <v>9</v>
      </c>
      <c r="I22" s="2">
        <v>121</v>
      </c>
      <c r="J22">
        <v>107.58</v>
      </c>
      <c r="K22">
        <v>1</v>
      </c>
      <c r="M22" t="s">
        <v>15</v>
      </c>
      <c r="N22" t="s">
        <v>12</v>
      </c>
      <c r="O22" s="2">
        <v>6948851</v>
      </c>
      <c r="P22">
        <v>54.24</v>
      </c>
      <c r="Q22">
        <v>6</v>
      </c>
      <c r="S22" t="s">
        <v>15</v>
      </c>
      <c r="T22" t="s">
        <v>12</v>
      </c>
      <c r="U22" s="2">
        <v>62137</v>
      </c>
      <c r="V22">
        <v>59.213999999999999</v>
      </c>
      <c r="W22">
        <v>5</v>
      </c>
      <c r="Y22" t="s">
        <v>6</v>
      </c>
      <c r="Z22" t="s">
        <v>11</v>
      </c>
      <c r="AA22" s="2">
        <v>403831</v>
      </c>
      <c r="AB22">
        <v>11.951000000000001</v>
      </c>
      <c r="AC22" s="2">
        <v>152</v>
      </c>
      <c r="AE22" t="s">
        <v>6</v>
      </c>
      <c r="AF22" t="s">
        <v>11</v>
      </c>
      <c r="AG22" s="2">
        <v>1499833</v>
      </c>
      <c r="AH22">
        <v>6.1840000000000002</v>
      </c>
      <c r="AI22" s="2">
        <v>196</v>
      </c>
      <c r="AK22" t="s">
        <v>6</v>
      </c>
      <c r="AL22" t="s">
        <v>12</v>
      </c>
      <c r="AM22" s="2">
        <v>7528149</v>
      </c>
      <c r="AN22">
        <v>1.516</v>
      </c>
      <c r="AO22" s="2">
        <v>1313</v>
      </c>
    </row>
    <row r="23" spans="1:41" x14ac:dyDescent="0.2">
      <c r="A23" t="s">
        <v>15</v>
      </c>
      <c r="B23" t="s">
        <v>7</v>
      </c>
      <c r="C23" s="2">
        <v>11225</v>
      </c>
      <c r="D23">
        <v>110.345</v>
      </c>
      <c r="E23">
        <v>1</v>
      </c>
      <c r="G23" t="s">
        <v>15</v>
      </c>
      <c r="H23" t="s">
        <v>7</v>
      </c>
      <c r="I23" s="2">
        <v>11225</v>
      </c>
      <c r="J23">
        <v>110.345</v>
      </c>
      <c r="K23">
        <v>1</v>
      </c>
      <c r="M23" t="s">
        <v>16</v>
      </c>
      <c r="N23" t="s">
        <v>8</v>
      </c>
      <c r="O23" s="2">
        <v>1727049</v>
      </c>
      <c r="P23">
        <v>78.265000000000001</v>
      </c>
      <c r="Q23">
        <v>2</v>
      </c>
      <c r="S23" t="s">
        <v>16</v>
      </c>
      <c r="T23" t="s">
        <v>8</v>
      </c>
      <c r="U23" s="2">
        <v>20401</v>
      </c>
      <c r="V23">
        <v>78.402000000000001</v>
      </c>
      <c r="W23">
        <v>2</v>
      </c>
      <c r="Y23" t="s">
        <v>6</v>
      </c>
      <c r="Z23" t="s">
        <v>12</v>
      </c>
      <c r="AA23" s="2">
        <v>3474317</v>
      </c>
      <c r="AB23">
        <v>3.8730000000000002</v>
      </c>
      <c r="AC23" s="2">
        <v>1130</v>
      </c>
      <c r="AE23" t="s">
        <v>6</v>
      </c>
      <c r="AF23" t="s">
        <v>12</v>
      </c>
      <c r="AG23" s="2">
        <v>9867896</v>
      </c>
      <c r="AH23">
        <v>2.0179999999999998</v>
      </c>
      <c r="AI23" s="2">
        <v>1306</v>
      </c>
      <c r="AK23" t="s">
        <v>13</v>
      </c>
      <c r="AL23" t="s">
        <v>11</v>
      </c>
      <c r="AM23" s="2">
        <v>5374</v>
      </c>
      <c r="AN23">
        <v>56.067</v>
      </c>
      <c r="AO23">
        <v>3</v>
      </c>
    </row>
    <row r="24" spans="1:41" x14ac:dyDescent="0.2">
      <c r="A24" t="s">
        <v>15</v>
      </c>
      <c r="B24" t="s">
        <v>8</v>
      </c>
      <c r="C24" s="2">
        <v>58238</v>
      </c>
      <c r="D24">
        <v>74.998000000000005</v>
      </c>
      <c r="E24">
        <v>2</v>
      </c>
      <c r="G24" t="s">
        <v>15</v>
      </c>
      <c r="H24" t="s">
        <v>8</v>
      </c>
      <c r="I24" s="2">
        <v>58238</v>
      </c>
      <c r="J24">
        <v>74.998000000000005</v>
      </c>
      <c r="K24">
        <v>2</v>
      </c>
      <c r="M24" t="s">
        <v>16</v>
      </c>
      <c r="N24" t="s">
        <v>10</v>
      </c>
      <c r="O24" s="2">
        <v>2811046</v>
      </c>
      <c r="P24">
        <v>81.972999999999999</v>
      </c>
      <c r="Q24">
        <v>2</v>
      </c>
      <c r="S24" t="s">
        <v>16</v>
      </c>
      <c r="T24" t="s">
        <v>10</v>
      </c>
      <c r="U24" s="2">
        <v>25243</v>
      </c>
      <c r="V24">
        <v>82.16</v>
      </c>
      <c r="W24">
        <v>2</v>
      </c>
      <c r="Y24" t="s">
        <v>13</v>
      </c>
      <c r="Z24" t="s">
        <v>11</v>
      </c>
      <c r="AA24" s="2">
        <v>1073</v>
      </c>
      <c r="AB24">
        <v>70.456999999999994</v>
      </c>
      <c r="AC24">
        <v>2</v>
      </c>
      <c r="AE24" t="s">
        <v>13</v>
      </c>
      <c r="AF24" t="s">
        <v>11</v>
      </c>
      <c r="AG24" s="2">
        <v>2915</v>
      </c>
      <c r="AH24">
        <v>69.388999999999996</v>
      </c>
      <c r="AI24">
        <v>2</v>
      </c>
      <c r="AK24" t="s">
        <v>13</v>
      </c>
      <c r="AL24" t="s">
        <v>12</v>
      </c>
      <c r="AM24" s="2">
        <v>50208</v>
      </c>
      <c r="AN24">
        <v>8.4689999999999994</v>
      </c>
      <c r="AO24">
        <v>27</v>
      </c>
    </row>
    <row r="25" spans="1:41" x14ac:dyDescent="0.2">
      <c r="A25" t="s">
        <v>15</v>
      </c>
      <c r="B25" t="s">
        <v>10</v>
      </c>
      <c r="C25" s="2">
        <v>34090</v>
      </c>
      <c r="D25">
        <v>91.275999999999996</v>
      </c>
      <c r="E25">
        <v>1</v>
      </c>
      <c r="G25" t="s">
        <v>15</v>
      </c>
      <c r="H25" t="s">
        <v>10</v>
      </c>
      <c r="I25" s="2">
        <v>34090</v>
      </c>
      <c r="J25">
        <v>91.275999999999996</v>
      </c>
      <c r="K25">
        <v>1</v>
      </c>
      <c r="M25" t="s">
        <v>17</v>
      </c>
      <c r="N25" t="s">
        <v>7</v>
      </c>
      <c r="O25" s="2">
        <v>60281017</v>
      </c>
      <c r="P25">
        <v>17.215</v>
      </c>
      <c r="Q25">
        <v>55</v>
      </c>
      <c r="S25" t="s">
        <v>17</v>
      </c>
      <c r="T25" t="s">
        <v>7</v>
      </c>
      <c r="U25" s="2">
        <v>380355</v>
      </c>
      <c r="V25">
        <v>20.288</v>
      </c>
      <c r="W25">
        <v>43</v>
      </c>
      <c r="Y25" t="s">
        <v>13</v>
      </c>
      <c r="Z25" t="s">
        <v>12</v>
      </c>
      <c r="AA25" s="2">
        <v>18983</v>
      </c>
      <c r="AB25">
        <v>19.097999999999999</v>
      </c>
      <c r="AC25">
        <v>24</v>
      </c>
      <c r="AE25" t="s">
        <v>13</v>
      </c>
      <c r="AF25" t="s">
        <v>12</v>
      </c>
      <c r="AG25" s="2">
        <v>62347</v>
      </c>
      <c r="AH25">
        <v>14.71</v>
      </c>
      <c r="AI25">
        <v>27</v>
      </c>
      <c r="AK25" t="s">
        <v>22</v>
      </c>
      <c r="AL25" t="s">
        <v>7</v>
      </c>
      <c r="AM25" s="2">
        <v>11999</v>
      </c>
      <c r="AN25">
        <v>69.94</v>
      </c>
      <c r="AO25">
        <v>2</v>
      </c>
    </row>
    <row r="26" spans="1:41" x14ac:dyDescent="0.2">
      <c r="A26" t="s">
        <v>15</v>
      </c>
      <c r="B26" t="s">
        <v>12</v>
      </c>
      <c r="C26" s="2">
        <v>135205</v>
      </c>
      <c r="D26">
        <v>49.674999999999997</v>
      </c>
      <c r="E26">
        <v>6</v>
      </c>
      <c r="G26" t="s">
        <v>15</v>
      </c>
      <c r="H26" t="s">
        <v>12</v>
      </c>
      <c r="I26" s="2">
        <v>135205</v>
      </c>
      <c r="J26">
        <v>49.674999999999997</v>
      </c>
      <c r="K26">
        <v>6</v>
      </c>
      <c r="M26" t="s">
        <v>17</v>
      </c>
      <c r="N26" t="s">
        <v>8</v>
      </c>
      <c r="O26" s="2">
        <v>69109703</v>
      </c>
      <c r="P26">
        <v>15.105</v>
      </c>
      <c r="Q26">
        <v>69</v>
      </c>
      <c r="S26" t="s">
        <v>17</v>
      </c>
      <c r="T26" t="s">
        <v>8</v>
      </c>
      <c r="U26" s="2">
        <v>415747</v>
      </c>
      <c r="V26">
        <v>17.965</v>
      </c>
      <c r="W26">
        <v>54</v>
      </c>
      <c r="Y26" t="s">
        <v>22</v>
      </c>
      <c r="Z26" t="s">
        <v>7</v>
      </c>
      <c r="AA26" s="2">
        <v>10764</v>
      </c>
      <c r="AB26">
        <v>108.379</v>
      </c>
      <c r="AC26">
        <v>2</v>
      </c>
      <c r="AE26" t="s">
        <v>22</v>
      </c>
      <c r="AF26" t="s">
        <v>7</v>
      </c>
      <c r="AG26" s="2">
        <v>27279</v>
      </c>
      <c r="AH26">
        <v>70.332999999999998</v>
      </c>
      <c r="AI26">
        <v>2</v>
      </c>
      <c r="AK26" t="s">
        <v>22</v>
      </c>
      <c r="AL26" t="s">
        <v>8</v>
      </c>
      <c r="AM26" s="2">
        <v>4726</v>
      </c>
      <c r="AN26">
        <v>111.349</v>
      </c>
      <c r="AO26">
        <v>1</v>
      </c>
    </row>
    <row r="27" spans="1:41" x14ac:dyDescent="0.2">
      <c r="A27" t="s">
        <v>16</v>
      </c>
      <c r="B27" t="s">
        <v>8</v>
      </c>
      <c r="C27" s="2">
        <v>34832</v>
      </c>
      <c r="D27">
        <v>81.272999999999996</v>
      </c>
      <c r="E27">
        <v>2</v>
      </c>
      <c r="G27" t="s">
        <v>16</v>
      </c>
      <c r="H27" t="s">
        <v>8</v>
      </c>
      <c r="I27" s="2">
        <v>34832</v>
      </c>
      <c r="J27">
        <v>81.272999999999996</v>
      </c>
      <c r="K27">
        <v>2</v>
      </c>
      <c r="M27" t="s">
        <v>17</v>
      </c>
      <c r="N27" t="s">
        <v>9</v>
      </c>
      <c r="O27" s="2">
        <v>18710315</v>
      </c>
      <c r="P27">
        <v>35.31</v>
      </c>
      <c r="Q27">
        <v>15</v>
      </c>
      <c r="S27" t="s">
        <v>17</v>
      </c>
      <c r="T27" t="s">
        <v>9</v>
      </c>
      <c r="U27" s="2">
        <v>155355</v>
      </c>
      <c r="V27">
        <v>39.167999999999999</v>
      </c>
      <c r="W27">
        <v>10</v>
      </c>
      <c r="Y27" t="s">
        <v>22</v>
      </c>
      <c r="Z27" t="s">
        <v>8</v>
      </c>
      <c r="AA27" s="2">
        <v>125</v>
      </c>
      <c r="AB27">
        <v>110.345</v>
      </c>
      <c r="AC27">
        <v>1</v>
      </c>
      <c r="AE27" t="s">
        <v>22</v>
      </c>
      <c r="AF27" t="s">
        <v>8</v>
      </c>
      <c r="AG27" s="2">
        <v>8547</v>
      </c>
      <c r="AH27">
        <v>110.345</v>
      </c>
      <c r="AI27">
        <v>1</v>
      </c>
      <c r="AK27" t="s">
        <v>22</v>
      </c>
      <c r="AL27" t="s">
        <v>9</v>
      </c>
      <c r="AM27" s="2">
        <v>29026</v>
      </c>
      <c r="AN27">
        <v>40.655999999999999</v>
      </c>
      <c r="AO27">
        <v>5</v>
      </c>
    </row>
    <row r="28" spans="1:41" x14ac:dyDescent="0.2">
      <c r="A28" t="s">
        <v>16</v>
      </c>
      <c r="B28" t="s">
        <v>10</v>
      </c>
      <c r="C28" s="2">
        <v>56618</v>
      </c>
      <c r="D28">
        <v>85.567999999999998</v>
      </c>
      <c r="E28">
        <v>2</v>
      </c>
      <c r="G28" t="s">
        <v>16</v>
      </c>
      <c r="H28" t="s">
        <v>10</v>
      </c>
      <c r="I28" s="2">
        <v>56618</v>
      </c>
      <c r="J28">
        <v>85.567999999999998</v>
      </c>
      <c r="K28">
        <v>2</v>
      </c>
      <c r="M28" t="s">
        <v>17</v>
      </c>
      <c r="N28" t="s">
        <v>10</v>
      </c>
      <c r="O28" s="2">
        <v>55818964</v>
      </c>
      <c r="P28">
        <v>17.277000000000001</v>
      </c>
      <c r="Q28">
        <v>62</v>
      </c>
      <c r="S28" t="s">
        <v>17</v>
      </c>
      <c r="T28" t="s">
        <v>10</v>
      </c>
      <c r="U28" s="2">
        <v>374388</v>
      </c>
      <c r="V28">
        <v>21.623000000000001</v>
      </c>
      <c r="W28">
        <v>42</v>
      </c>
      <c r="Y28" t="s">
        <v>22</v>
      </c>
      <c r="Z28" t="s">
        <v>9</v>
      </c>
      <c r="AA28" s="2">
        <v>15591</v>
      </c>
      <c r="AB28">
        <v>51.872</v>
      </c>
      <c r="AC28">
        <v>5</v>
      </c>
      <c r="AE28" t="s">
        <v>22</v>
      </c>
      <c r="AF28" t="s">
        <v>9</v>
      </c>
      <c r="AG28" s="2">
        <v>19076</v>
      </c>
      <c r="AH28">
        <v>49.856999999999999</v>
      </c>
      <c r="AI28">
        <v>5</v>
      </c>
      <c r="AK28" t="s">
        <v>22</v>
      </c>
      <c r="AL28" t="s">
        <v>12</v>
      </c>
      <c r="AM28" s="2">
        <v>54978</v>
      </c>
      <c r="AN28">
        <v>31.315000000000001</v>
      </c>
      <c r="AO28">
        <v>10</v>
      </c>
    </row>
    <row r="29" spans="1:41" x14ac:dyDescent="0.2">
      <c r="A29" t="s">
        <v>17</v>
      </c>
      <c r="B29" t="s">
        <v>7</v>
      </c>
      <c r="C29" s="2">
        <v>1218020</v>
      </c>
      <c r="D29">
        <v>16.917999999999999</v>
      </c>
      <c r="E29">
        <v>59</v>
      </c>
      <c r="G29" t="s">
        <v>17</v>
      </c>
      <c r="H29" t="s">
        <v>7</v>
      </c>
      <c r="I29" s="2">
        <v>1218020</v>
      </c>
      <c r="J29">
        <v>16.917999999999999</v>
      </c>
      <c r="K29">
        <v>59</v>
      </c>
      <c r="M29" t="s">
        <v>17</v>
      </c>
      <c r="N29" t="s">
        <v>11</v>
      </c>
      <c r="O29" s="2">
        <v>34471799</v>
      </c>
      <c r="P29">
        <v>24.858000000000001</v>
      </c>
      <c r="Q29">
        <v>33</v>
      </c>
      <c r="S29" t="s">
        <v>17</v>
      </c>
      <c r="T29" t="s">
        <v>11</v>
      </c>
      <c r="U29" s="2">
        <v>314000</v>
      </c>
      <c r="V29">
        <v>26.747</v>
      </c>
      <c r="W29">
        <v>24</v>
      </c>
      <c r="Y29" t="s">
        <v>22</v>
      </c>
      <c r="Z29" t="s">
        <v>12</v>
      </c>
      <c r="AA29" s="2">
        <v>27710</v>
      </c>
      <c r="AB29">
        <v>49.503999999999998</v>
      </c>
      <c r="AC29">
        <v>8</v>
      </c>
      <c r="AE29" t="s">
        <v>22</v>
      </c>
      <c r="AF29" t="s">
        <v>12</v>
      </c>
      <c r="AG29" s="2">
        <v>63770</v>
      </c>
      <c r="AH29">
        <v>37.593000000000004</v>
      </c>
      <c r="AI29">
        <v>9</v>
      </c>
      <c r="AK29" t="s">
        <v>23</v>
      </c>
      <c r="AL29" t="s">
        <v>7</v>
      </c>
      <c r="AM29" s="2">
        <v>10923</v>
      </c>
      <c r="AN29">
        <v>71.173000000000002</v>
      </c>
      <c r="AO29">
        <v>2</v>
      </c>
    </row>
    <row r="30" spans="1:41" x14ac:dyDescent="0.2">
      <c r="A30" t="s">
        <v>17</v>
      </c>
      <c r="B30" t="s">
        <v>8</v>
      </c>
      <c r="C30" s="2">
        <v>1431127</v>
      </c>
      <c r="D30">
        <v>14.865</v>
      </c>
      <c r="E30">
        <v>75</v>
      </c>
      <c r="G30" t="s">
        <v>17</v>
      </c>
      <c r="H30" t="s">
        <v>8</v>
      </c>
      <c r="I30" s="2">
        <v>1431127</v>
      </c>
      <c r="J30">
        <v>14.865</v>
      </c>
      <c r="K30">
        <v>75</v>
      </c>
      <c r="M30" t="s">
        <v>17</v>
      </c>
      <c r="N30" t="s">
        <v>12</v>
      </c>
      <c r="O30" s="2">
        <v>235100116</v>
      </c>
      <c r="P30">
        <v>9.327</v>
      </c>
      <c r="Q30">
        <v>183</v>
      </c>
      <c r="S30" t="s">
        <v>17</v>
      </c>
      <c r="T30" t="s">
        <v>12</v>
      </c>
      <c r="U30" s="2">
        <v>1689380</v>
      </c>
      <c r="V30">
        <v>10.804</v>
      </c>
      <c r="W30">
        <v>153</v>
      </c>
      <c r="Y30" t="s">
        <v>23</v>
      </c>
      <c r="Z30" t="s">
        <v>7</v>
      </c>
      <c r="AA30" s="2">
        <v>22329</v>
      </c>
      <c r="AB30">
        <v>75.995000000000005</v>
      </c>
      <c r="AC30">
        <v>2</v>
      </c>
      <c r="AE30" t="s">
        <v>23</v>
      </c>
      <c r="AF30" t="s">
        <v>7</v>
      </c>
      <c r="AG30" s="2">
        <v>16058</v>
      </c>
      <c r="AH30">
        <v>71.850999999999999</v>
      </c>
      <c r="AI30">
        <v>2</v>
      </c>
      <c r="AK30" t="s">
        <v>23</v>
      </c>
      <c r="AL30" t="s">
        <v>9</v>
      </c>
      <c r="AM30" s="2">
        <v>29391</v>
      </c>
      <c r="AN30">
        <v>41.892000000000003</v>
      </c>
      <c r="AO30">
        <v>5</v>
      </c>
    </row>
    <row r="31" spans="1:41" x14ac:dyDescent="0.2">
      <c r="A31" t="s">
        <v>17</v>
      </c>
      <c r="B31" t="s">
        <v>9</v>
      </c>
      <c r="C31" s="2">
        <v>348997</v>
      </c>
      <c r="D31">
        <v>33.207000000000001</v>
      </c>
      <c r="E31">
        <v>16</v>
      </c>
      <c r="G31" t="s">
        <v>17</v>
      </c>
      <c r="H31" t="s">
        <v>9</v>
      </c>
      <c r="I31" s="2">
        <v>348997</v>
      </c>
      <c r="J31">
        <v>33.207000000000001</v>
      </c>
      <c r="K31">
        <v>16</v>
      </c>
      <c r="M31" t="s">
        <v>18</v>
      </c>
      <c r="N31" t="s">
        <v>8</v>
      </c>
      <c r="O31" s="2">
        <v>375300</v>
      </c>
      <c r="P31">
        <v>105.056</v>
      </c>
      <c r="Q31">
        <v>1</v>
      </c>
      <c r="S31" t="s">
        <v>18</v>
      </c>
      <c r="T31" t="s">
        <v>8</v>
      </c>
      <c r="U31" s="2">
        <v>4613</v>
      </c>
      <c r="V31">
        <v>105.056</v>
      </c>
      <c r="W31">
        <v>1</v>
      </c>
      <c r="Y31" t="s">
        <v>23</v>
      </c>
      <c r="Z31" t="s">
        <v>9</v>
      </c>
      <c r="AA31" s="2">
        <v>13144</v>
      </c>
      <c r="AB31">
        <v>57.744999999999997</v>
      </c>
      <c r="AC31">
        <v>4</v>
      </c>
      <c r="AE31" t="s">
        <v>23</v>
      </c>
      <c r="AF31" t="s">
        <v>9</v>
      </c>
      <c r="AG31" s="2">
        <v>26397</v>
      </c>
      <c r="AH31">
        <v>53.777999999999999</v>
      </c>
      <c r="AI31">
        <v>5</v>
      </c>
      <c r="AK31" t="s">
        <v>23</v>
      </c>
      <c r="AL31" t="s">
        <v>10</v>
      </c>
      <c r="AM31" s="2">
        <v>10676</v>
      </c>
      <c r="AN31">
        <v>75.897000000000006</v>
      </c>
      <c r="AO31">
        <v>2</v>
      </c>
    </row>
    <row r="32" spans="1:41" x14ac:dyDescent="0.2">
      <c r="A32" t="s">
        <v>17</v>
      </c>
      <c r="B32" t="s">
        <v>10</v>
      </c>
      <c r="C32" s="2">
        <v>1208583</v>
      </c>
      <c r="D32">
        <v>16.731000000000002</v>
      </c>
      <c r="E32">
        <v>66</v>
      </c>
      <c r="G32" t="s">
        <v>17</v>
      </c>
      <c r="H32" t="s">
        <v>10</v>
      </c>
      <c r="I32" s="2">
        <v>1208583</v>
      </c>
      <c r="J32">
        <v>16.731000000000002</v>
      </c>
      <c r="K32">
        <v>66</v>
      </c>
      <c r="M32" t="s">
        <v>18</v>
      </c>
      <c r="N32" t="s">
        <v>9</v>
      </c>
      <c r="O32" s="2">
        <v>57792</v>
      </c>
      <c r="P32">
        <v>109.342</v>
      </c>
      <c r="Q32">
        <v>1</v>
      </c>
      <c r="S32" t="s">
        <v>18</v>
      </c>
      <c r="T32" t="s">
        <v>10</v>
      </c>
      <c r="U32" s="2">
        <v>33804</v>
      </c>
      <c r="V32">
        <v>63.283999999999999</v>
      </c>
      <c r="W32">
        <v>4</v>
      </c>
      <c r="Y32" t="s">
        <v>23</v>
      </c>
      <c r="Z32" t="s">
        <v>10</v>
      </c>
      <c r="AA32" s="2">
        <v>2767</v>
      </c>
      <c r="AB32">
        <v>96.04</v>
      </c>
      <c r="AC32">
        <v>2</v>
      </c>
      <c r="AE32" t="s">
        <v>23</v>
      </c>
      <c r="AF32" t="s">
        <v>10</v>
      </c>
      <c r="AG32" s="2">
        <v>19652</v>
      </c>
      <c r="AH32">
        <v>83.456999999999994</v>
      </c>
      <c r="AI32">
        <v>2</v>
      </c>
      <c r="AK32" t="s">
        <v>23</v>
      </c>
      <c r="AL32" t="s">
        <v>11</v>
      </c>
      <c r="AM32" s="2">
        <v>1594</v>
      </c>
      <c r="AN32">
        <v>92.766999999999996</v>
      </c>
      <c r="AO32">
        <v>1</v>
      </c>
    </row>
    <row r="33" spans="1:41" x14ac:dyDescent="0.2">
      <c r="A33" t="s">
        <v>17</v>
      </c>
      <c r="B33" t="s">
        <v>11</v>
      </c>
      <c r="C33" s="2">
        <v>764004</v>
      </c>
      <c r="D33">
        <v>24.081</v>
      </c>
      <c r="E33">
        <v>36</v>
      </c>
      <c r="G33" t="s">
        <v>17</v>
      </c>
      <c r="H33" t="s">
        <v>11</v>
      </c>
      <c r="I33" s="2">
        <v>764004</v>
      </c>
      <c r="J33">
        <v>24.081</v>
      </c>
      <c r="K33">
        <v>36</v>
      </c>
      <c r="M33" t="s">
        <v>18</v>
      </c>
      <c r="N33" t="s">
        <v>10</v>
      </c>
      <c r="O33" s="2">
        <v>6846008</v>
      </c>
      <c r="P33">
        <v>54.314</v>
      </c>
      <c r="Q33">
        <v>10</v>
      </c>
      <c r="S33" t="s">
        <v>18</v>
      </c>
      <c r="T33" t="s">
        <v>11</v>
      </c>
      <c r="U33" s="2">
        <v>1629</v>
      </c>
      <c r="V33">
        <v>100.59</v>
      </c>
      <c r="W33">
        <v>1</v>
      </c>
      <c r="Y33" t="s">
        <v>23</v>
      </c>
      <c r="Z33" t="s">
        <v>11</v>
      </c>
      <c r="AA33" s="2">
        <v>5033</v>
      </c>
      <c r="AB33">
        <v>93.643000000000001</v>
      </c>
      <c r="AC33">
        <v>1</v>
      </c>
      <c r="AE33" t="s">
        <v>23</v>
      </c>
      <c r="AF33" t="s">
        <v>11</v>
      </c>
      <c r="AG33" s="2">
        <v>8754</v>
      </c>
      <c r="AH33">
        <v>93.643000000000001</v>
      </c>
      <c r="AI33">
        <v>1</v>
      </c>
      <c r="AK33" t="s">
        <v>23</v>
      </c>
      <c r="AL33" t="s">
        <v>12</v>
      </c>
      <c r="AM33" s="2">
        <v>6800</v>
      </c>
      <c r="AN33">
        <v>100</v>
      </c>
      <c r="AO33">
        <v>1</v>
      </c>
    </row>
    <row r="34" spans="1:41" x14ac:dyDescent="0.2">
      <c r="A34" t="s">
        <v>17</v>
      </c>
      <c r="B34" t="s">
        <v>12</v>
      </c>
      <c r="C34" s="2">
        <v>5226930</v>
      </c>
      <c r="D34">
        <v>9.5530000000000008</v>
      </c>
      <c r="E34">
        <v>189</v>
      </c>
      <c r="G34" t="s">
        <v>17</v>
      </c>
      <c r="H34" t="s">
        <v>12</v>
      </c>
      <c r="I34" s="2">
        <v>5226930</v>
      </c>
      <c r="J34">
        <v>9.5530000000000008</v>
      </c>
      <c r="K34">
        <v>189</v>
      </c>
      <c r="M34" t="s">
        <v>18</v>
      </c>
      <c r="N34" t="s">
        <v>11</v>
      </c>
      <c r="O34" s="2">
        <v>564468</v>
      </c>
      <c r="P34">
        <v>63.014000000000003</v>
      </c>
      <c r="Q34">
        <v>4</v>
      </c>
      <c r="S34" t="s">
        <v>18</v>
      </c>
      <c r="T34" t="s">
        <v>12</v>
      </c>
      <c r="U34" s="2">
        <v>4266</v>
      </c>
      <c r="V34">
        <v>82.04</v>
      </c>
      <c r="W34">
        <v>2</v>
      </c>
      <c r="Y34" t="s">
        <v>23</v>
      </c>
      <c r="Z34" t="s">
        <v>12</v>
      </c>
      <c r="AA34" s="2">
        <v>1155</v>
      </c>
      <c r="AB34">
        <v>100</v>
      </c>
      <c r="AC34">
        <v>1</v>
      </c>
      <c r="AE34" t="s">
        <v>23</v>
      </c>
      <c r="AF34" t="s">
        <v>12</v>
      </c>
      <c r="AG34" s="2">
        <v>7891</v>
      </c>
      <c r="AH34">
        <v>100</v>
      </c>
      <c r="AI34">
        <v>1</v>
      </c>
      <c r="AK34" t="s">
        <v>14</v>
      </c>
      <c r="AL34" t="s">
        <v>9</v>
      </c>
      <c r="AM34" s="2">
        <v>9358</v>
      </c>
      <c r="AN34">
        <v>75.866</v>
      </c>
      <c r="AO34">
        <v>2</v>
      </c>
    </row>
    <row r="35" spans="1:41" x14ac:dyDescent="0.2">
      <c r="A35" t="s">
        <v>18</v>
      </c>
      <c r="B35" t="s">
        <v>7</v>
      </c>
      <c r="C35" s="2">
        <v>1212</v>
      </c>
      <c r="D35">
        <v>102.364</v>
      </c>
      <c r="E35">
        <v>1</v>
      </c>
      <c r="G35" t="s">
        <v>18</v>
      </c>
      <c r="H35" t="s">
        <v>7</v>
      </c>
      <c r="I35" s="2">
        <v>1212</v>
      </c>
      <c r="J35">
        <v>102.364</v>
      </c>
      <c r="K35">
        <v>1</v>
      </c>
      <c r="M35" t="s">
        <v>18</v>
      </c>
      <c r="N35" t="s">
        <v>12</v>
      </c>
      <c r="O35" s="2">
        <v>1244512</v>
      </c>
      <c r="P35">
        <v>75.534000000000006</v>
      </c>
      <c r="Q35">
        <v>3</v>
      </c>
      <c r="Y35" t="s">
        <v>14</v>
      </c>
      <c r="Z35" t="s">
        <v>9</v>
      </c>
      <c r="AA35" s="2">
        <v>1462</v>
      </c>
      <c r="AB35">
        <v>78.748000000000005</v>
      </c>
      <c r="AC35">
        <v>2</v>
      </c>
      <c r="AE35" t="s">
        <v>14</v>
      </c>
      <c r="AF35" t="s">
        <v>9</v>
      </c>
      <c r="AG35" s="2">
        <v>8723</v>
      </c>
      <c r="AH35">
        <v>76.096000000000004</v>
      </c>
      <c r="AI35">
        <v>2</v>
      </c>
      <c r="AK35" t="s">
        <v>24</v>
      </c>
      <c r="AL35" t="s">
        <v>7</v>
      </c>
      <c r="AM35" s="2">
        <v>4726</v>
      </c>
      <c r="AN35">
        <v>111.349</v>
      </c>
      <c r="AO35">
        <v>1</v>
      </c>
    </row>
    <row r="36" spans="1:41" x14ac:dyDescent="0.2">
      <c r="A36" t="s">
        <v>18</v>
      </c>
      <c r="B36" t="s">
        <v>8</v>
      </c>
      <c r="C36" s="2">
        <v>15111</v>
      </c>
      <c r="D36">
        <v>105.056</v>
      </c>
      <c r="E36">
        <v>1</v>
      </c>
      <c r="G36" t="s">
        <v>18</v>
      </c>
      <c r="H36" t="s">
        <v>8</v>
      </c>
      <c r="I36" s="2">
        <v>8257</v>
      </c>
      <c r="J36">
        <v>105.056</v>
      </c>
      <c r="K36">
        <v>1</v>
      </c>
      <c r="Y36" t="s">
        <v>24</v>
      </c>
      <c r="Z36" t="s">
        <v>7</v>
      </c>
      <c r="AA36" s="2">
        <v>1173</v>
      </c>
      <c r="AB36">
        <v>110.345</v>
      </c>
      <c r="AC36">
        <v>1</v>
      </c>
      <c r="AE36" t="s">
        <v>24</v>
      </c>
      <c r="AF36" t="s">
        <v>7</v>
      </c>
      <c r="AG36" s="2">
        <v>2356</v>
      </c>
      <c r="AH36">
        <v>110.345</v>
      </c>
      <c r="AI36">
        <v>1</v>
      </c>
      <c r="AK36" t="s">
        <v>24</v>
      </c>
      <c r="AL36" t="s">
        <v>12</v>
      </c>
      <c r="AM36" s="2">
        <v>18903</v>
      </c>
      <c r="AN36">
        <v>51.329000000000001</v>
      </c>
      <c r="AO36">
        <v>4</v>
      </c>
    </row>
    <row r="37" spans="1:41" x14ac:dyDescent="0.2">
      <c r="A37" t="s">
        <v>18</v>
      </c>
      <c r="B37" t="s">
        <v>9</v>
      </c>
      <c r="C37" s="2">
        <v>27544</v>
      </c>
      <c r="D37">
        <v>74.697999999999993</v>
      </c>
      <c r="E37">
        <v>2</v>
      </c>
      <c r="G37" t="s">
        <v>18</v>
      </c>
      <c r="H37" t="s">
        <v>9</v>
      </c>
      <c r="I37" s="2">
        <v>2080</v>
      </c>
      <c r="J37">
        <v>109.342</v>
      </c>
      <c r="K37">
        <v>1</v>
      </c>
      <c r="Y37" t="s">
        <v>24</v>
      </c>
      <c r="Z37" t="s">
        <v>12</v>
      </c>
      <c r="AA37" s="2">
        <v>4428</v>
      </c>
      <c r="AB37">
        <v>70.292000000000002</v>
      </c>
      <c r="AC37">
        <v>4</v>
      </c>
      <c r="AE37" t="s">
        <v>24</v>
      </c>
      <c r="AF37" t="s">
        <v>12</v>
      </c>
      <c r="AG37" s="2">
        <v>25318</v>
      </c>
      <c r="AH37">
        <v>51.872999999999998</v>
      </c>
      <c r="AI37">
        <v>4</v>
      </c>
      <c r="AK37" t="s">
        <v>15</v>
      </c>
      <c r="AL37" t="s">
        <v>7</v>
      </c>
      <c r="AM37" s="2">
        <v>92951</v>
      </c>
      <c r="AN37">
        <v>20.085999999999999</v>
      </c>
      <c r="AO37">
        <v>17</v>
      </c>
    </row>
    <row r="38" spans="1:41" x14ac:dyDescent="0.2">
      <c r="A38" t="s">
        <v>18</v>
      </c>
      <c r="B38" t="s">
        <v>10</v>
      </c>
      <c r="C38" s="2">
        <v>348808</v>
      </c>
      <c r="D38">
        <v>35.142000000000003</v>
      </c>
      <c r="E38">
        <v>15</v>
      </c>
      <c r="G38" t="s">
        <v>18</v>
      </c>
      <c r="H38" t="s">
        <v>10</v>
      </c>
      <c r="I38" s="2">
        <v>119353</v>
      </c>
      <c r="J38">
        <v>51.472000000000001</v>
      </c>
      <c r="K38">
        <v>11</v>
      </c>
      <c r="Y38" t="s">
        <v>15</v>
      </c>
      <c r="Z38" t="s">
        <v>7</v>
      </c>
      <c r="AA38" s="2">
        <v>36170</v>
      </c>
      <c r="AB38">
        <v>26.048999999999999</v>
      </c>
      <c r="AC38">
        <v>15</v>
      </c>
      <c r="AE38" t="s">
        <v>15</v>
      </c>
      <c r="AF38" t="s">
        <v>7</v>
      </c>
      <c r="AG38" s="2">
        <v>104748</v>
      </c>
      <c r="AH38">
        <v>22.097999999999999</v>
      </c>
      <c r="AI38">
        <v>17</v>
      </c>
      <c r="AK38" t="s">
        <v>15</v>
      </c>
      <c r="AL38" t="s">
        <v>8</v>
      </c>
      <c r="AM38" s="2">
        <v>96204</v>
      </c>
      <c r="AN38">
        <v>23.364000000000001</v>
      </c>
      <c r="AO38">
        <v>16</v>
      </c>
    </row>
    <row r="39" spans="1:41" x14ac:dyDescent="0.2">
      <c r="A39" t="s">
        <v>18</v>
      </c>
      <c r="B39" t="s">
        <v>11</v>
      </c>
      <c r="C39" s="2">
        <v>166521</v>
      </c>
      <c r="D39">
        <v>68.459000000000003</v>
      </c>
      <c r="E39">
        <v>5</v>
      </c>
      <c r="G39" t="s">
        <v>18</v>
      </c>
      <c r="H39" t="s">
        <v>11</v>
      </c>
      <c r="I39" s="2">
        <v>11813</v>
      </c>
      <c r="J39">
        <v>56.131</v>
      </c>
      <c r="K39">
        <v>5</v>
      </c>
      <c r="Y39" t="s">
        <v>15</v>
      </c>
      <c r="Z39" t="s">
        <v>8</v>
      </c>
      <c r="AA39" s="2">
        <v>65133</v>
      </c>
      <c r="AB39">
        <v>40.201000000000001</v>
      </c>
      <c r="AC39">
        <v>15</v>
      </c>
      <c r="AE39" t="s">
        <v>15</v>
      </c>
      <c r="AF39" t="s">
        <v>8</v>
      </c>
      <c r="AG39" s="2">
        <v>107711</v>
      </c>
      <c r="AH39">
        <v>28.71</v>
      </c>
      <c r="AI39">
        <v>15</v>
      </c>
      <c r="AK39" t="s">
        <v>15</v>
      </c>
      <c r="AL39" t="s">
        <v>9</v>
      </c>
      <c r="AM39" s="2">
        <v>72223</v>
      </c>
      <c r="AN39">
        <v>23.855</v>
      </c>
      <c r="AO39">
        <v>11</v>
      </c>
    </row>
    <row r="40" spans="1:41" x14ac:dyDescent="0.2">
      <c r="A40" t="s">
        <v>18</v>
      </c>
      <c r="B40" t="s">
        <v>12</v>
      </c>
      <c r="C40" s="2">
        <v>56709</v>
      </c>
      <c r="D40">
        <v>58.521999999999998</v>
      </c>
      <c r="E40">
        <v>5</v>
      </c>
      <c r="G40" t="s">
        <v>18</v>
      </c>
      <c r="H40" t="s">
        <v>12</v>
      </c>
      <c r="I40" s="2">
        <v>35621</v>
      </c>
      <c r="J40">
        <v>70.337000000000003</v>
      </c>
      <c r="K40">
        <v>4</v>
      </c>
      <c r="Y40" t="s">
        <v>15</v>
      </c>
      <c r="Z40" t="s">
        <v>9</v>
      </c>
      <c r="AA40" s="2">
        <v>36684</v>
      </c>
      <c r="AB40">
        <v>39.792000000000002</v>
      </c>
      <c r="AC40">
        <v>9</v>
      </c>
      <c r="AE40" t="s">
        <v>15</v>
      </c>
      <c r="AF40" t="s">
        <v>9</v>
      </c>
      <c r="AG40" s="2">
        <v>84847</v>
      </c>
      <c r="AH40">
        <v>28.253</v>
      </c>
      <c r="AI40">
        <v>11</v>
      </c>
      <c r="AK40" t="s">
        <v>15</v>
      </c>
      <c r="AL40" t="s">
        <v>10</v>
      </c>
      <c r="AM40" s="2">
        <v>58528</v>
      </c>
      <c r="AN40">
        <v>30.643999999999998</v>
      </c>
      <c r="AO40">
        <v>10</v>
      </c>
    </row>
    <row r="41" spans="1:41" x14ac:dyDescent="0.2">
      <c r="Y41" t="s">
        <v>15</v>
      </c>
      <c r="Z41" t="s">
        <v>10</v>
      </c>
      <c r="AA41" s="2">
        <v>36617</v>
      </c>
      <c r="AB41">
        <v>48.317</v>
      </c>
      <c r="AC41">
        <v>9</v>
      </c>
      <c r="AE41" t="s">
        <v>15</v>
      </c>
      <c r="AF41" t="s">
        <v>10</v>
      </c>
      <c r="AG41" s="2">
        <v>83064</v>
      </c>
      <c r="AH41">
        <v>35.889000000000003</v>
      </c>
      <c r="AI41">
        <v>10</v>
      </c>
      <c r="AK41" t="s">
        <v>15</v>
      </c>
      <c r="AL41" t="s">
        <v>11</v>
      </c>
      <c r="AM41" s="2">
        <v>13880</v>
      </c>
      <c r="AN41">
        <v>63.027000000000001</v>
      </c>
      <c r="AO41">
        <v>3</v>
      </c>
    </row>
    <row r="42" spans="1:41" x14ac:dyDescent="0.2">
      <c r="Y42" t="s">
        <v>15</v>
      </c>
      <c r="Z42" t="s">
        <v>11</v>
      </c>
      <c r="AA42" s="2">
        <v>4598</v>
      </c>
      <c r="AB42">
        <v>93.221999999999994</v>
      </c>
      <c r="AC42">
        <v>3</v>
      </c>
      <c r="AE42" t="s">
        <v>15</v>
      </c>
      <c r="AF42" t="s">
        <v>11</v>
      </c>
      <c r="AG42" s="2">
        <v>21349</v>
      </c>
      <c r="AH42">
        <v>64.057000000000002</v>
      </c>
      <c r="AI42">
        <v>3</v>
      </c>
      <c r="AK42" t="s">
        <v>15</v>
      </c>
      <c r="AL42" t="s">
        <v>12</v>
      </c>
      <c r="AM42" s="2">
        <v>652426</v>
      </c>
      <c r="AN42">
        <v>4.7690000000000001</v>
      </c>
      <c r="AO42">
        <v>110</v>
      </c>
    </row>
    <row r="43" spans="1:41" x14ac:dyDescent="0.2">
      <c r="Y43" t="s">
        <v>15</v>
      </c>
      <c r="Z43" t="s">
        <v>12</v>
      </c>
      <c r="AA43" s="2">
        <v>402449</v>
      </c>
      <c r="AB43">
        <v>13.79</v>
      </c>
      <c r="AC43">
        <v>101</v>
      </c>
      <c r="AE43" t="s">
        <v>15</v>
      </c>
      <c r="AF43" t="s">
        <v>12</v>
      </c>
      <c r="AG43" s="2">
        <v>798834</v>
      </c>
      <c r="AH43">
        <v>7.2990000000000004</v>
      </c>
      <c r="AI43">
        <v>110</v>
      </c>
      <c r="AK43" t="s">
        <v>16</v>
      </c>
      <c r="AL43" t="s">
        <v>7</v>
      </c>
      <c r="AM43" s="2">
        <v>50466</v>
      </c>
      <c r="AN43">
        <v>33.341999999999999</v>
      </c>
      <c r="AO43">
        <v>10</v>
      </c>
    </row>
    <row r="44" spans="1:41" x14ac:dyDescent="0.2">
      <c r="Y44" t="s">
        <v>16</v>
      </c>
      <c r="Z44" t="s">
        <v>8</v>
      </c>
      <c r="AA44" s="2">
        <v>22299</v>
      </c>
      <c r="AB44">
        <v>65.494</v>
      </c>
      <c r="AC44">
        <v>5</v>
      </c>
      <c r="AE44" t="s">
        <v>16</v>
      </c>
      <c r="AF44" t="s">
        <v>7</v>
      </c>
      <c r="AG44" s="2">
        <v>65027</v>
      </c>
      <c r="AH44">
        <v>35.744</v>
      </c>
      <c r="AI44">
        <v>10</v>
      </c>
      <c r="AK44" t="s">
        <v>16</v>
      </c>
      <c r="AL44" t="s">
        <v>9</v>
      </c>
      <c r="AM44" s="2">
        <v>6920</v>
      </c>
      <c r="AN44">
        <v>94.914000000000001</v>
      </c>
      <c r="AO44">
        <v>1</v>
      </c>
    </row>
    <row r="45" spans="1:41" x14ac:dyDescent="0.2">
      <c r="Y45" t="s">
        <v>16</v>
      </c>
      <c r="Z45" t="s">
        <v>9</v>
      </c>
      <c r="AA45" s="2">
        <v>6324</v>
      </c>
      <c r="AB45">
        <v>95.1</v>
      </c>
      <c r="AC45">
        <v>1</v>
      </c>
      <c r="AE45" t="s">
        <v>16</v>
      </c>
      <c r="AF45" t="s">
        <v>8</v>
      </c>
      <c r="AG45" s="2">
        <v>44655</v>
      </c>
      <c r="AH45">
        <v>48.456000000000003</v>
      </c>
      <c r="AI45">
        <v>6</v>
      </c>
      <c r="AK45" t="s">
        <v>16</v>
      </c>
      <c r="AL45" t="s">
        <v>10</v>
      </c>
      <c r="AM45" s="2">
        <v>63187</v>
      </c>
      <c r="AN45">
        <v>29.119</v>
      </c>
      <c r="AO45">
        <v>13</v>
      </c>
    </row>
    <row r="46" spans="1:41" x14ac:dyDescent="0.2">
      <c r="Y46" t="s">
        <v>16</v>
      </c>
      <c r="Z46" t="s">
        <v>10</v>
      </c>
      <c r="AA46" s="2">
        <v>31731</v>
      </c>
      <c r="AB46">
        <v>39.927999999999997</v>
      </c>
      <c r="AC46">
        <v>11</v>
      </c>
      <c r="AE46" t="s">
        <v>16</v>
      </c>
      <c r="AF46" t="s">
        <v>9</v>
      </c>
      <c r="AG46" s="2">
        <v>-1090</v>
      </c>
      <c r="AH46">
        <v>95.1</v>
      </c>
      <c r="AI46">
        <v>1</v>
      </c>
      <c r="AK46" t="s">
        <v>16</v>
      </c>
      <c r="AL46" t="s">
        <v>11</v>
      </c>
      <c r="AM46" s="2">
        <v>37843</v>
      </c>
      <c r="AN46">
        <v>38.094999999999999</v>
      </c>
      <c r="AO46">
        <v>7</v>
      </c>
    </row>
    <row r="47" spans="1:41" x14ac:dyDescent="0.2">
      <c r="Y47" t="s">
        <v>16</v>
      </c>
      <c r="Z47" t="s">
        <v>11</v>
      </c>
      <c r="AA47" s="2">
        <v>15971</v>
      </c>
      <c r="AB47">
        <v>51.866999999999997</v>
      </c>
      <c r="AC47">
        <v>5</v>
      </c>
      <c r="AE47" t="s">
        <v>16</v>
      </c>
      <c r="AF47" t="s">
        <v>10</v>
      </c>
      <c r="AG47" s="2">
        <v>101363</v>
      </c>
      <c r="AH47">
        <v>31.413</v>
      </c>
      <c r="AI47">
        <v>13</v>
      </c>
      <c r="AK47" t="s">
        <v>16</v>
      </c>
      <c r="AL47" t="s">
        <v>12</v>
      </c>
      <c r="AM47" s="2">
        <v>19968</v>
      </c>
      <c r="AN47">
        <v>53.51</v>
      </c>
      <c r="AO47">
        <v>4</v>
      </c>
    </row>
    <row r="48" spans="1:41" x14ac:dyDescent="0.2">
      <c r="Y48" t="s">
        <v>16</v>
      </c>
      <c r="Z48" t="s">
        <v>12</v>
      </c>
      <c r="AA48" s="2">
        <v>7548</v>
      </c>
      <c r="AB48">
        <v>78.858999999999995</v>
      </c>
      <c r="AC48">
        <v>3</v>
      </c>
      <c r="AE48" t="s">
        <v>16</v>
      </c>
      <c r="AF48" t="s">
        <v>11</v>
      </c>
      <c r="AG48" s="2">
        <v>57168</v>
      </c>
      <c r="AH48">
        <v>40.273000000000003</v>
      </c>
      <c r="AI48">
        <v>7</v>
      </c>
      <c r="AK48" t="s">
        <v>17</v>
      </c>
      <c r="AL48" t="s">
        <v>7</v>
      </c>
      <c r="AM48" s="2">
        <v>1839173</v>
      </c>
      <c r="AN48">
        <v>4.53</v>
      </c>
      <c r="AO48">
        <v>334</v>
      </c>
    </row>
    <row r="49" spans="1:41" x14ac:dyDescent="0.2">
      <c r="Y49" t="s">
        <v>17</v>
      </c>
      <c r="Z49" t="s">
        <v>7</v>
      </c>
      <c r="AA49" s="2">
        <v>756458</v>
      </c>
      <c r="AB49">
        <v>7.9969999999999999</v>
      </c>
      <c r="AC49">
        <v>274</v>
      </c>
      <c r="AE49" t="s">
        <v>16</v>
      </c>
      <c r="AF49" t="s">
        <v>12</v>
      </c>
      <c r="AG49" s="2">
        <v>23061</v>
      </c>
      <c r="AH49">
        <v>57.548999999999999</v>
      </c>
      <c r="AI49">
        <v>4</v>
      </c>
      <c r="AK49" t="s">
        <v>17</v>
      </c>
      <c r="AL49" t="s">
        <v>8</v>
      </c>
      <c r="AM49" s="2">
        <v>2771988</v>
      </c>
      <c r="AN49">
        <v>3.7210000000000001</v>
      </c>
      <c r="AO49">
        <v>491</v>
      </c>
    </row>
    <row r="50" spans="1:41" x14ac:dyDescent="0.2">
      <c r="Y50" t="s">
        <v>17</v>
      </c>
      <c r="Z50" t="s">
        <v>8</v>
      </c>
      <c r="AA50" s="2">
        <v>1275796</v>
      </c>
      <c r="AB50">
        <v>7.67</v>
      </c>
      <c r="AC50">
        <v>423</v>
      </c>
      <c r="AE50" t="s">
        <v>17</v>
      </c>
      <c r="AF50" t="s">
        <v>7</v>
      </c>
      <c r="AG50" s="2">
        <v>2378402</v>
      </c>
      <c r="AH50">
        <v>5.2469999999999999</v>
      </c>
      <c r="AI50">
        <v>328</v>
      </c>
      <c r="AK50" t="s">
        <v>17</v>
      </c>
      <c r="AL50" t="s">
        <v>9</v>
      </c>
      <c r="AM50" s="2">
        <v>1235959</v>
      </c>
      <c r="AN50">
        <v>4.6740000000000004</v>
      </c>
      <c r="AO50">
        <v>225</v>
      </c>
    </row>
    <row r="51" spans="1:41" x14ac:dyDescent="0.2">
      <c r="Y51" t="s">
        <v>17</v>
      </c>
      <c r="Z51" t="s">
        <v>9</v>
      </c>
      <c r="AA51" s="2">
        <v>602985</v>
      </c>
      <c r="AB51">
        <v>9.2639999999999993</v>
      </c>
      <c r="AC51">
        <v>186</v>
      </c>
      <c r="AE51" t="s">
        <v>17</v>
      </c>
      <c r="AF51" t="s">
        <v>8</v>
      </c>
      <c r="AG51" s="2">
        <v>3611925</v>
      </c>
      <c r="AH51">
        <v>4.3220000000000001</v>
      </c>
      <c r="AI51">
        <v>487</v>
      </c>
      <c r="AK51" t="s">
        <v>17</v>
      </c>
      <c r="AL51" t="s">
        <v>10</v>
      </c>
      <c r="AM51" s="2">
        <v>2531646</v>
      </c>
      <c r="AN51">
        <v>3.3730000000000002</v>
      </c>
      <c r="AO51">
        <v>486</v>
      </c>
    </row>
    <row r="52" spans="1:41" x14ac:dyDescent="0.2">
      <c r="Y52" t="s">
        <v>17</v>
      </c>
      <c r="Z52" t="s">
        <v>10</v>
      </c>
      <c r="AA52" s="2">
        <v>1444561</v>
      </c>
      <c r="AB52">
        <v>6.2690000000000001</v>
      </c>
      <c r="AC52">
        <v>411</v>
      </c>
      <c r="AE52" t="s">
        <v>17</v>
      </c>
      <c r="AF52" t="s">
        <v>9</v>
      </c>
      <c r="AG52" s="2">
        <v>1508796</v>
      </c>
      <c r="AH52">
        <v>5.4420000000000002</v>
      </c>
      <c r="AI52">
        <v>224</v>
      </c>
      <c r="AK52" t="s">
        <v>17</v>
      </c>
      <c r="AL52" t="s">
        <v>11</v>
      </c>
      <c r="AM52" s="2">
        <v>968378</v>
      </c>
      <c r="AN52">
        <v>5.7859999999999996</v>
      </c>
      <c r="AO52">
        <v>189</v>
      </c>
    </row>
    <row r="53" spans="1:41" x14ac:dyDescent="0.2">
      <c r="Y53" t="s">
        <v>17</v>
      </c>
      <c r="Z53" t="s">
        <v>11</v>
      </c>
      <c r="AA53" s="2">
        <v>374611</v>
      </c>
      <c r="AB53">
        <v>12.7</v>
      </c>
      <c r="AC53">
        <v>141</v>
      </c>
      <c r="AE53" t="s">
        <v>17</v>
      </c>
      <c r="AF53" t="s">
        <v>10</v>
      </c>
      <c r="AG53" s="2">
        <v>3595454</v>
      </c>
      <c r="AH53">
        <v>3.88</v>
      </c>
      <c r="AI53">
        <v>478</v>
      </c>
      <c r="AK53" t="s">
        <v>17</v>
      </c>
      <c r="AL53" t="s">
        <v>12</v>
      </c>
      <c r="AM53" s="2">
        <v>6724866</v>
      </c>
      <c r="AN53">
        <v>1.6719999999999999</v>
      </c>
      <c r="AO53" s="2">
        <v>1166</v>
      </c>
    </row>
    <row r="54" spans="1:41" x14ac:dyDescent="0.2">
      <c r="Y54" t="s">
        <v>17</v>
      </c>
      <c r="Z54" t="s">
        <v>12</v>
      </c>
      <c r="AA54" s="2">
        <v>3012044</v>
      </c>
      <c r="AB54">
        <v>4.0979999999999999</v>
      </c>
      <c r="AC54">
        <v>993</v>
      </c>
      <c r="AE54" t="s">
        <v>17</v>
      </c>
      <c r="AF54" t="s">
        <v>11</v>
      </c>
      <c r="AG54" s="2">
        <v>1400821</v>
      </c>
      <c r="AH54">
        <v>6.5460000000000003</v>
      </c>
      <c r="AI54" s="2">
        <v>184</v>
      </c>
    </row>
    <row r="55" spans="1:41" x14ac:dyDescent="0.2">
      <c r="Y55" t="s">
        <v>18</v>
      </c>
      <c r="Z55" t="s">
        <v>8</v>
      </c>
      <c r="AA55" s="2">
        <v>408</v>
      </c>
      <c r="AB55">
        <v>96.817999999999998</v>
      </c>
      <c r="AC55">
        <v>1</v>
      </c>
      <c r="AE55" t="s">
        <v>17</v>
      </c>
      <c r="AF55" t="s">
        <v>12</v>
      </c>
      <c r="AG55" s="2">
        <v>8882894</v>
      </c>
      <c r="AH55">
        <v>2.1669999999999998</v>
      </c>
      <c r="AI55" s="2">
        <v>1159</v>
      </c>
    </row>
    <row r="56" spans="1:41" x14ac:dyDescent="0.2">
      <c r="Y56" t="s">
        <v>18</v>
      </c>
      <c r="Z56" t="s">
        <v>9</v>
      </c>
      <c r="AA56" s="2">
        <v>2873</v>
      </c>
      <c r="AB56">
        <v>87.968999999999994</v>
      </c>
      <c r="AC56">
        <v>2</v>
      </c>
      <c r="AE56" t="s">
        <v>18</v>
      </c>
      <c r="AF56" t="s">
        <v>7</v>
      </c>
      <c r="AG56" s="2">
        <v>6</v>
      </c>
      <c r="AH56">
        <v>102.364</v>
      </c>
      <c r="AI56">
        <v>1</v>
      </c>
    </row>
    <row r="57" spans="1:41" x14ac:dyDescent="0.2">
      <c r="Y57" t="s">
        <v>18</v>
      </c>
      <c r="Z57" t="s">
        <v>11</v>
      </c>
      <c r="AA57" s="2">
        <v>2544</v>
      </c>
      <c r="AB57">
        <v>89.674000000000007</v>
      </c>
      <c r="AC57">
        <v>1</v>
      </c>
      <c r="AE57" t="s">
        <v>18</v>
      </c>
      <c r="AF57" t="s">
        <v>8</v>
      </c>
      <c r="AG57" s="2">
        <v>764</v>
      </c>
      <c r="AH57">
        <v>105.056</v>
      </c>
      <c r="AI57">
        <v>2</v>
      </c>
    </row>
    <row r="58" spans="1:41" x14ac:dyDescent="0.2">
      <c r="AE58" t="s">
        <v>18</v>
      </c>
      <c r="AF58" t="s">
        <v>9</v>
      </c>
      <c r="AG58" s="2">
        <v>1862</v>
      </c>
      <c r="AH58">
        <v>75.731999999999999</v>
      </c>
      <c r="AI58" s="2">
        <v>3</v>
      </c>
    </row>
    <row r="59" spans="1:41" x14ac:dyDescent="0.2">
      <c r="AE59" t="s">
        <v>18</v>
      </c>
      <c r="AF59" t="s">
        <v>10</v>
      </c>
      <c r="AG59" s="2">
        <v>17597</v>
      </c>
      <c r="AH59">
        <v>44.491999999999997</v>
      </c>
      <c r="AI59" s="2">
        <v>15</v>
      </c>
    </row>
    <row r="60" spans="1:41" x14ac:dyDescent="0.2">
      <c r="A60" s="1"/>
      <c r="AE60" t="s">
        <v>18</v>
      </c>
      <c r="AF60" t="s">
        <v>11</v>
      </c>
      <c r="AG60" s="2">
        <v>8827</v>
      </c>
      <c r="AH60">
        <v>61.039000000000001</v>
      </c>
      <c r="AI60">
        <v>5</v>
      </c>
    </row>
    <row r="61" spans="1:41" x14ac:dyDescent="0.2">
      <c r="AE61" t="s">
        <v>18</v>
      </c>
      <c r="AF61" t="s">
        <v>12</v>
      </c>
      <c r="AG61" s="2">
        <v>3781</v>
      </c>
      <c r="AH61">
        <v>65.932000000000002</v>
      </c>
      <c r="AI61">
        <v>5</v>
      </c>
    </row>
    <row r="62" spans="1:41" x14ac:dyDescent="0.2">
      <c r="AG62" s="2"/>
    </row>
    <row r="63" spans="1:41" x14ac:dyDescent="0.2">
      <c r="A63" s="3" t="s">
        <v>25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5"/>
      <c r="AH63" s="4"/>
      <c r="AI63" s="4"/>
      <c r="AJ63" s="4"/>
      <c r="AK63" s="4"/>
      <c r="AL63" s="4"/>
      <c r="AM63" s="4"/>
      <c r="AN63" s="4"/>
      <c r="AO63" s="4"/>
    </row>
    <row r="64" spans="1:41" x14ac:dyDescent="0.2">
      <c r="AG64" s="2"/>
    </row>
    <row r="65" spans="1:41" x14ac:dyDescent="0.2">
      <c r="A65" t="s">
        <v>19</v>
      </c>
      <c r="G65" t="s">
        <v>20</v>
      </c>
      <c r="M65" t="s">
        <v>21</v>
      </c>
      <c r="S65" t="s">
        <v>49</v>
      </c>
      <c r="Y65" t="s">
        <v>50</v>
      </c>
      <c r="AE65" t="s">
        <v>51</v>
      </c>
      <c r="AK65" t="s">
        <v>52</v>
      </c>
    </row>
    <row r="67" spans="1:41" x14ac:dyDescent="0.2">
      <c r="A67" t="s">
        <v>1</v>
      </c>
      <c r="B67" t="s">
        <v>2</v>
      </c>
      <c r="C67" t="s">
        <v>3</v>
      </c>
      <c r="D67" t="s">
        <v>4</v>
      </c>
      <c r="E67" t="s">
        <v>5</v>
      </c>
      <c r="G67" t="s">
        <v>1</v>
      </c>
      <c r="H67" t="s">
        <v>2</v>
      </c>
      <c r="I67" t="s">
        <v>3</v>
      </c>
      <c r="J67" t="s">
        <v>4</v>
      </c>
      <c r="K67" t="s">
        <v>5</v>
      </c>
      <c r="M67" t="s">
        <v>1</v>
      </c>
      <c r="N67" t="s">
        <v>2</v>
      </c>
      <c r="O67" t="s">
        <v>3</v>
      </c>
      <c r="P67" t="s">
        <v>4</v>
      </c>
      <c r="Q67" t="s">
        <v>5</v>
      </c>
      <c r="S67" t="s">
        <v>1</v>
      </c>
      <c r="T67" t="s">
        <v>2</v>
      </c>
      <c r="U67" t="s">
        <v>3</v>
      </c>
      <c r="V67" t="s">
        <v>4</v>
      </c>
      <c r="W67" t="s">
        <v>5</v>
      </c>
      <c r="Y67" t="s">
        <v>1</v>
      </c>
      <c r="Z67" t="s">
        <v>2</v>
      </c>
      <c r="AA67" t="s">
        <v>3</v>
      </c>
      <c r="AB67" t="s">
        <v>4</v>
      </c>
      <c r="AC67" t="s">
        <v>5</v>
      </c>
      <c r="AE67" t="s">
        <v>1</v>
      </c>
      <c r="AF67" t="s">
        <v>2</v>
      </c>
      <c r="AG67" t="s">
        <v>3</v>
      </c>
      <c r="AH67" t="s">
        <v>4</v>
      </c>
      <c r="AI67" t="s">
        <v>5</v>
      </c>
      <c r="AK67" t="s">
        <v>1</v>
      </c>
      <c r="AL67" t="s">
        <v>2</v>
      </c>
      <c r="AM67" t="s">
        <v>3</v>
      </c>
      <c r="AN67" t="s">
        <v>4</v>
      </c>
      <c r="AO67" t="s">
        <v>5</v>
      </c>
    </row>
    <row r="68" spans="1:41" x14ac:dyDescent="0.2">
      <c r="A68" t="s">
        <v>6</v>
      </c>
      <c r="B68" t="s">
        <v>6</v>
      </c>
      <c r="C68" s="2">
        <v>23173239</v>
      </c>
      <c r="D68">
        <v>4.569</v>
      </c>
      <c r="E68">
        <v>855</v>
      </c>
      <c r="G68" t="s">
        <v>6</v>
      </c>
      <c r="H68" t="s">
        <v>6</v>
      </c>
      <c r="I68" s="2">
        <v>22182661</v>
      </c>
      <c r="J68">
        <v>4.6870000000000003</v>
      </c>
      <c r="K68">
        <v>830</v>
      </c>
      <c r="M68" t="s">
        <v>6</v>
      </c>
      <c r="N68" t="s">
        <v>6</v>
      </c>
      <c r="O68" s="2">
        <v>943745786</v>
      </c>
      <c r="P68">
        <v>4.8970000000000002</v>
      </c>
      <c r="Q68">
        <v>748</v>
      </c>
      <c r="S68" t="s">
        <v>6</v>
      </c>
      <c r="T68" t="s">
        <v>6</v>
      </c>
      <c r="U68" s="2">
        <v>10794171</v>
      </c>
      <c r="V68">
        <v>5.6020000000000003</v>
      </c>
      <c r="W68">
        <v>579</v>
      </c>
      <c r="Y68" t="s">
        <v>6</v>
      </c>
      <c r="Z68" t="s">
        <v>6</v>
      </c>
      <c r="AA68" s="2">
        <v>12335714</v>
      </c>
      <c r="AB68">
        <v>2.5750000000000002</v>
      </c>
      <c r="AC68" s="2">
        <v>2687</v>
      </c>
      <c r="AE68" t="s">
        <v>6</v>
      </c>
      <c r="AF68" t="s">
        <v>6</v>
      </c>
      <c r="AG68" s="2">
        <v>48991499</v>
      </c>
      <c r="AH68">
        <v>1.2470000000000001</v>
      </c>
      <c r="AI68" s="2">
        <v>3632</v>
      </c>
      <c r="AK68" t="s">
        <v>6</v>
      </c>
      <c r="AL68" t="s">
        <v>6</v>
      </c>
      <c r="AM68" s="2">
        <v>18700424</v>
      </c>
      <c r="AN68">
        <v>0.61799999999999999</v>
      </c>
      <c r="AO68" s="2">
        <v>3634</v>
      </c>
    </row>
    <row r="69" spans="1:41" x14ac:dyDescent="0.2">
      <c r="A69" t="s">
        <v>13</v>
      </c>
      <c r="B69" t="s">
        <v>6</v>
      </c>
      <c r="C69" s="2">
        <v>108587</v>
      </c>
      <c r="D69">
        <v>57.887</v>
      </c>
      <c r="E69">
        <v>6</v>
      </c>
      <c r="G69" t="s">
        <v>13</v>
      </c>
      <c r="H69" t="s">
        <v>6</v>
      </c>
      <c r="I69" s="2">
        <v>108587</v>
      </c>
      <c r="J69">
        <v>57.887</v>
      </c>
      <c r="K69">
        <v>6</v>
      </c>
      <c r="M69" t="s">
        <v>13</v>
      </c>
      <c r="N69" t="s">
        <v>6</v>
      </c>
      <c r="O69" s="2">
        <v>4845766</v>
      </c>
      <c r="P69">
        <v>59.121000000000002</v>
      </c>
      <c r="Q69">
        <v>6</v>
      </c>
      <c r="S69" t="s">
        <v>13</v>
      </c>
      <c r="T69" t="s">
        <v>6</v>
      </c>
      <c r="U69" s="2">
        <v>52420</v>
      </c>
      <c r="V69">
        <v>65.763999999999996</v>
      </c>
      <c r="W69">
        <v>3</v>
      </c>
      <c r="Y69" t="s">
        <v>13</v>
      </c>
      <c r="Z69" t="s">
        <v>6</v>
      </c>
      <c r="AA69" s="2">
        <v>874920</v>
      </c>
      <c r="AB69">
        <v>9.3580000000000005</v>
      </c>
      <c r="AC69">
        <v>193</v>
      </c>
      <c r="AE69" t="s">
        <v>13</v>
      </c>
      <c r="AF69" t="s">
        <v>6</v>
      </c>
      <c r="AG69" s="2">
        <v>2130021</v>
      </c>
      <c r="AH69">
        <v>4.4859999999999998</v>
      </c>
      <c r="AI69">
        <v>223</v>
      </c>
      <c r="AK69" t="s">
        <v>13</v>
      </c>
      <c r="AL69" t="s">
        <v>6</v>
      </c>
      <c r="AM69" s="2">
        <v>1221973</v>
      </c>
      <c r="AN69">
        <v>1.369</v>
      </c>
      <c r="AO69">
        <v>226</v>
      </c>
    </row>
    <row r="70" spans="1:41" x14ac:dyDescent="0.2">
      <c r="A70" t="s">
        <v>14</v>
      </c>
      <c r="B70" t="s">
        <v>6</v>
      </c>
      <c r="C70" s="2">
        <v>57837</v>
      </c>
      <c r="D70">
        <v>53.026000000000003</v>
      </c>
      <c r="E70">
        <v>7</v>
      </c>
      <c r="G70" t="s">
        <v>14</v>
      </c>
      <c r="H70" t="s">
        <v>6</v>
      </c>
      <c r="I70" s="2">
        <v>57837</v>
      </c>
      <c r="J70">
        <v>53.026000000000003</v>
      </c>
      <c r="K70">
        <v>7</v>
      </c>
      <c r="M70" t="s">
        <v>14</v>
      </c>
      <c r="N70" t="s">
        <v>6</v>
      </c>
      <c r="O70" s="2">
        <v>2336610</v>
      </c>
      <c r="P70">
        <v>56.12</v>
      </c>
      <c r="Q70">
        <v>5</v>
      </c>
      <c r="S70" t="s">
        <v>14</v>
      </c>
      <c r="T70" t="s">
        <v>6</v>
      </c>
      <c r="U70" s="2">
        <v>26497</v>
      </c>
      <c r="V70">
        <v>55.591999999999999</v>
      </c>
      <c r="W70">
        <v>4</v>
      </c>
      <c r="Y70" t="s">
        <v>22</v>
      </c>
      <c r="Z70" t="s">
        <v>6</v>
      </c>
      <c r="AA70" s="2">
        <v>204835</v>
      </c>
      <c r="AB70">
        <v>17.442</v>
      </c>
      <c r="AC70">
        <v>39</v>
      </c>
      <c r="AE70" t="s">
        <v>22</v>
      </c>
      <c r="AF70" t="s">
        <v>6</v>
      </c>
      <c r="AG70" s="2">
        <v>438329</v>
      </c>
      <c r="AH70">
        <v>8.7210000000000001</v>
      </c>
      <c r="AI70">
        <v>50</v>
      </c>
      <c r="AK70" t="s">
        <v>22</v>
      </c>
      <c r="AL70" t="s">
        <v>6</v>
      </c>
      <c r="AM70" s="2">
        <v>289330</v>
      </c>
      <c r="AN70">
        <v>3.1789999999999998</v>
      </c>
      <c r="AO70">
        <v>50</v>
      </c>
    </row>
    <row r="71" spans="1:41" x14ac:dyDescent="0.2">
      <c r="A71" t="s">
        <v>15</v>
      </c>
      <c r="B71" t="s">
        <v>6</v>
      </c>
      <c r="C71" s="2">
        <v>446496</v>
      </c>
      <c r="D71">
        <v>32.417000000000002</v>
      </c>
      <c r="E71">
        <v>17</v>
      </c>
      <c r="G71" t="s">
        <v>15</v>
      </c>
      <c r="H71" t="s">
        <v>6</v>
      </c>
      <c r="I71" s="2">
        <v>446496</v>
      </c>
      <c r="J71">
        <v>32.417000000000002</v>
      </c>
      <c r="K71">
        <v>17</v>
      </c>
      <c r="M71" t="s">
        <v>15</v>
      </c>
      <c r="N71" t="s">
        <v>6</v>
      </c>
      <c r="O71" s="2">
        <v>19984042</v>
      </c>
      <c r="P71">
        <v>34.289000000000001</v>
      </c>
      <c r="Q71">
        <v>14</v>
      </c>
      <c r="S71" t="s">
        <v>15</v>
      </c>
      <c r="T71" t="s">
        <v>6</v>
      </c>
      <c r="U71" s="2">
        <v>249828</v>
      </c>
      <c r="V71">
        <v>36.473999999999997</v>
      </c>
      <c r="W71">
        <v>12</v>
      </c>
      <c r="Y71" t="s">
        <v>23</v>
      </c>
      <c r="Z71" t="s">
        <v>6</v>
      </c>
      <c r="AA71" s="2">
        <v>246459</v>
      </c>
      <c r="AB71">
        <v>26.587</v>
      </c>
      <c r="AC71">
        <v>38</v>
      </c>
      <c r="AE71" t="s">
        <v>23</v>
      </c>
      <c r="AF71" t="s">
        <v>6</v>
      </c>
      <c r="AG71" s="2">
        <v>316079</v>
      </c>
      <c r="AH71">
        <v>19.042999999999999</v>
      </c>
      <c r="AI71">
        <v>40</v>
      </c>
      <c r="AK71" t="s">
        <v>23</v>
      </c>
      <c r="AL71" t="s">
        <v>6</v>
      </c>
      <c r="AM71" s="2">
        <v>258846</v>
      </c>
      <c r="AN71">
        <v>14.792999999999999</v>
      </c>
      <c r="AO71">
        <v>43</v>
      </c>
    </row>
    <row r="72" spans="1:41" x14ac:dyDescent="0.2">
      <c r="A72" t="s">
        <v>16</v>
      </c>
      <c r="B72" t="s">
        <v>6</v>
      </c>
      <c r="C72" s="2">
        <v>54444</v>
      </c>
      <c r="D72">
        <v>72.948999999999998</v>
      </c>
      <c r="E72">
        <v>6</v>
      </c>
      <c r="G72" t="s">
        <v>16</v>
      </c>
      <c r="H72" t="s">
        <v>6</v>
      </c>
      <c r="I72" s="2">
        <v>54444</v>
      </c>
      <c r="J72">
        <v>72.948999999999998</v>
      </c>
      <c r="K72">
        <v>6</v>
      </c>
      <c r="M72" t="s">
        <v>16</v>
      </c>
      <c r="N72" t="s">
        <v>6</v>
      </c>
      <c r="O72" s="2">
        <v>1824256</v>
      </c>
      <c r="P72">
        <v>69.805999999999997</v>
      </c>
      <c r="Q72">
        <v>4</v>
      </c>
      <c r="S72" t="s">
        <v>16</v>
      </c>
      <c r="T72" t="s">
        <v>6</v>
      </c>
      <c r="U72" s="2">
        <v>5937</v>
      </c>
      <c r="V72">
        <v>84.954999999999998</v>
      </c>
      <c r="W72">
        <v>2</v>
      </c>
      <c r="Y72" t="s">
        <v>14</v>
      </c>
      <c r="Z72" t="s">
        <v>6</v>
      </c>
      <c r="AA72" s="2">
        <v>264971</v>
      </c>
      <c r="AB72">
        <v>31.545000000000002</v>
      </c>
      <c r="AC72">
        <v>35</v>
      </c>
      <c r="AE72" t="s">
        <v>14</v>
      </c>
      <c r="AF72" t="s">
        <v>6</v>
      </c>
      <c r="AG72" s="2">
        <v>496904</v>
      </c>
      <c r="AH72">
        <v>18.277000000000001</v>
      </c>
      <c r="AI72">
        <v>53</v>
      </c>
      <c r="AK72" t="s">
        <v>14</v>
      </c>
      <c r="AL72" t="s">
        <v>6</v>
      </c>
      <c r="AM72" s="2">
        <v>299697</v>
      </c>
      <c r="AN72">
        <v>13.513999999999999</v>
      </c>
      <c r="AO72">
        <v>54</v>
      </c>
    </row>
    <row r="73" spans="1:41" x14ac:dyDescent="0.2">
      <c r="A73" t="s">
        <v>17</v>
      </c>
      <c r="B73" t="s">
        <v>6</v>
      </c>
      <c r="C73" s="2">
        <v>20010793</v>
      </c>
      <c r="D73">
        <v>5.0579999999999998</v>
      </c>
      <c r="E73">
        <v>702</v>
      </c>
      <c r="G73" t="s">
        <v>17</v>
      </c>
      <c r="H73" t="s">
        <v>6</v>
      </c>
      <c r="I73" s="2">
        <v>20010793</v>
      </c>
      <c r="J73">
        <v>5.0579999999999998</v>
      </c>
      <c r="K73">
        <v>702</v>
      </c>
      <c r="M73" t="s">
        <v>17</v>
      </c>
      <c r="N73" t="s">
        <v>6</v>
      </c>
      <c r="O73" s="2">
        <v>855050314</v>
      </c>
      <c r="P73">
        <v>5.2590000000000003</v>
      </c>
      <c r="Q73">
        <v>640</v>
      </c>
      <c r="S73" t="s">
        <v>17</v>
      </c>
      <c r="T73" t="s">
        <v>6</v>
      </c>
      <c r="U73" s="2">
        <v>9838656</v>
      </c>
      <c r="V73">
        <v>5.9870000000000001</v>
      </c>
      <c r="W73">
        <v>501</v>
      </c>
      <c r="Y73" t="s">
        <v>24</v>
      </c>
      <c r="Z73" t="s">
        <v>6</v>
      </c>
      <c r="AA73" s="2">
        <v>15955</v>
      </c>
      <c r="AB73">
        <v>99.64</v>
      </c>
      <c r="AC73">
        <v>1</v>
      </c>
      <c r="AE73" t="s">
        <v>24</v>
      </c>
      <c r="AF73" t="s">
        <v>6</v>
      </c>
      <c r="AG73" s="2">
        <v>24353</v>
      </c>
      <c r="AH73">
        <v>71.081999999999994</v>
      </c>
      <c r="AI73">
        <v>2</v>
      </c>
      <c r="AK73" t="s">
        <v>24</v>
      </c>
      <c r="AL73" t="s">
        <v>6</v>
      </c>
      <c r="AM73" s="2">
        <v>11787</v>
      </c>
      <c r="AN73">
        <v>70.507000000000005</v>
      </c>
      <c r="AO73">
        <v>2</v>
      </c>
    </row>
    <row r="74" spans="1:41" x14ac:dyDescent="0.2">
      <c r="A74" t="s">
        <v>18</v>
      </c>
      <c r="B74" t="s">
        <v>6</v>
      </c>
      <c r="C74" s="2">
        <v>2495081</v>
      </c>
      <c r="D74">
        <v>12.35</v>
      </c>
      <c r="E74">
        <v>162</v>
      </c>
      <c r="G74" t="s">
        <v>18</v>
      </c>
      <c r="H74" t="s">
        <v>6</v>
      </c>
      <c r="I74" s="2">
        <v>1504503</v>
      </c>
      <c r="J74">
        <v>14.590999999999999</v>
      </c>
      <c r="K74">
        <v>132</v>
      </c>
      <c r="M74" t="s">
        <v>18</v>
      </c>
      <c r="N74" t="s">
        <v>6</v>
      </c>
      <c r="O74" s="2">
        <v>59704798</v>
      </c>
      <c r="P74">
        <v>15.868</v>
      </c>
      <c r="Q74">
        <v>110</v>
      </c>
      <c r="S74" t="s">
        <v>18</v>
      </c>
      <c r="T74" t="s">
        <v>6</v>
      </c>
      <c r="U74" s="2">
        <v>620833</v>
      </c>
      <c r="V74">
        <v>18.608000000000001</v>
      </c>
      <c r="W74">
        <v>66</v>
      </c>
      <c r="Y74" t="s">
        <v>15</v>
      </c>
      <c r="Z74" t="s">
        <v>6</v>
      </c>
      <c r="AA74" s="2">
        <v>698021</v>
      </c>
      <c r="AB74">
        <v>14.006</v>
      </c>
      <c r="AC74">
        <v>126</v>
      </c>
      <c r="AE74" t="s">
        <v>15</v>
      </c>
      <c r="AF74" t="s">
        <v>6</v>
      </c>
      <c r="AG74" s="2">
        <v>1903209</v>
      </c>
      <c r="AH74">
        <v>9.9030000000000005</v>
      </c>
      <c r="AI74">
        <v>167</v>
      </c>
      <c r="AK74" t="s">
        <v>15</v>
      </c>
      <c r="AL74" t="s">
        <v>6</v>
      </c>
      <c r="AM74" s="2">
        <v>880705</v>
      </c>
      <c r="AN74">
        <v>7.8369999999999997</v>
      </c>
      <c r="AO74">
        <v>169</v>
      </c>
    </row>
    <row r="75" spans="1:41" x14ac:dyDescent="0.2">
      <c r="A75" t="s">
        <v>6</v>
      </c>
      <c r="B75" t="s">
        <v>26</v>
      </c>
      <c r="C75" s="2">
        <v>310097</v>
      </c>
      <c r="D75">
        <v>37.197000000000003</v>
      </c>
      <c r="E75">
        <v>11</v>
      </c>
      <c r="G75" t="s">
        <v>6</v>
      </c>
      <c r="H75" t="s">
        <v>26</v>
      </c>
      <c r="I75" s="2">
        <v>310097</v>
      </c>
      <c r="J75">
        <v>37.197000000000003</v>
      </c>
      <c r="K75">
        <v>11</v>
      </c>
      <c r="M75" t="s">
        <v>6</v>
      </c>
      <c r="N75" t="s">
        <v>26</v>
      </c>
      <c r="O75" s="2">
        <v>13503730</v>
      </c>
      <c r="P75">
        <v>37.716999999999999</v>
      </c>
      <c r="Q75">
        <v>11</v>
      </c>
      <c r="S75" t="s">
        <v>6</v>
      </c>
      <c r="T75" t="s">
        <v>26</v>
      </c>
      <c r="U75" s="2">
        <v>138394</v>
      </c>
      <c r="V75">
        <v>43.094999999999999</v>
      </c>
      <c r="W75">
        <v>10</v>
      </c>
      <c r="Y75" t="s">
        <v>16</v>
      </c>
      <c r="Z75" t="s">
        <v>6</v>
      </c>
      <c r="AA75" s="2">
        <v>227979</v>
      </c>
      <c r="AB75">
        <v>24.721</v>
      </c>
      <c r="AC75">
        <v>47</v>
      </c>
      <c r="AE75" t="s">
        <v>16</v>
      </c>
      <c r="AF75" t="s">
        <v>6</v>
      </c>
      <c r="AG75" s="2">
        <v>806953</v>
      </c>
      <c r="AH75">
        <v>15.72</v>
      </c>
      <c r="AI75">
        <v>61</v>
      </c>
      <c r="AK75" t="s">
        <v>16</v>
      </c>
      <c r="AL75" t="s">
        <v>6</v>
      </c>
      <c r="AM75" s="2">
        <v>283338</v>
      </c>
      <c r="AN75">
        <v>13.516999999999999</v>
      </c>
      <c r="AO75">
        <v>61</v>
      </c>
    </row>
    <row r="76" spans="1:41" x14ac:dyDescent="0.2">
      <c r="A76" t="s">
        <v>6</v>
      </c>
      <c r="B76" t="s">
        <v>27</v>
      </c>
      <c r="C76" s="2">
        <v>7604562</v>
      </c>
      <c r="D76">
        <v>8.2319999999999993</v>
      </c>
      <c r="E76">
        <v>317</v>
      </c>
      <c r="G76" t="s">
        <v>6</v>
      </c>
      <c r="H76" t="s">
        <v>27</v>
      </c>
      <c r="I76" s="2">
        <v>7086798</v>
      </c>
      <c r="J76">
        <v>8.6080000000000005</v>
      </c>
      <c r="K76">
        <v>304</v>
      </c>
      <c r="M76" t="s">
        <v>6</v>
      </c>
      <c r="N76" t="s">
        <v>27</v>
      </c>
      <c r="O76" s="2">
        <v>299333365</v>
      </c>
      <c r="P76">
        <v>9.016</v>
      </c>
      <c r="Q76">
        <v>261</v>
      </c>
      <c r="S76" t="s">
        <v>6</v>
      </c>
      <c r="T76" t="s">
        <v>27</v>
      </c>
      <c r="U76" s="2">
        <v>3334220</v>
      </c>
      <c r="V76">
        <v>10.377000000000001</v>
      </c>
      <c r="W76">
        <v>184</v>
      </c>
      <c r="Y76" t="s">
        <v>17</v>
      </c>
      <c r="Z76" t="s">
        <v>6</v>
      </c>
      <c r="AA76" s="2">
        <v>9727514</v>
      </c>
      <c r="AB76">
        <v>2.8460000000000001</v>
      </c>
      <c r="AC76" s="2">
        <v>2209</v>
      </c>
      <c r="AE76" t="s">
        <v>17</v>
      </c>
      <c r="AF76" t="s">
        <v>6</v>
      </c>
      <c r="AG76" s="2">
        <v>42622042</v>
      </c>
      <c r="AH76">
        <v>1.476</v>
      </c>
      <c r="AI76" s="2">
        <v>3015</v>
      </c>
      <c r="AK76" t="s">
        <v>17</v>
      </c>
      <c r="AL76" t="s">
        <v>6</v>
      </c>
      <c r="AM76" s="2">
        <v>15454747</v>
      </c>
      <c r="AN76">
        <v>0.89900000000000002</v>
      </c>
      <c r="AO76" s="2">
        <v>3065</v>
      </c>
    </row>
    <row r="77" spans="1:41" x14ac:dyDescent="0.2">
      <c r="A77" t="s">
        <v>6</v>
      </c>
      <c r="B77" t="s">
        <v>28</v>
      </c>
      <c r="C77" s="2">
        <v>3085389</v>
      </c>
      <c r="D77">
        <v>12.407</v>
      </c>
      <c r="E77">
        <v>117</v>
      </c>
      <c r="G77" t="s">
        <v>6</v>
      </c>
      <c r="H77" t="s">
        <v>28</v>
      </c>
      <c r="I77" s="2">
        <v>3049820</v>
      </c>
      <c r="J77">
        <v>12.52</v>
      </c>
      <c r="K77">
        <v>115</v>
      </c>
      <c r="M77" t="s">
        <v>6</v>
      </c>
      <c r="N77" t="s">
        <v>28</v>
      </c>
      <c r="O77" s="2">
        <v>129172656</v>
      </c>
      <c r="P77">
        <v>12.917</v>
      </c>
      <c r="Q77">
        <v>107</v>
      </c>
      <c r="S77" t="s">
        <v>6</v>
      </c>
      <c r="T77" t="s">
        <v>28</v>
      </c>
      <c r="U77" s="2">
        <v>1495678</v>
      </c>
      <c r="V77">
        <v>15.031000000000001</v>
      </c>
      <c r="W77">
        <v>92</v>
      </c>
      <c r="Y77" t="s">
        <v>18</v>
      </c>
      <c r="Z77" t="s">
        <v>6</v>
      </c>
      <c r="AA77" s="2">
        <v>75058</v>
      </c>
      <c r="AB77">
        <v>35.518999999999998</v>
      </c>
      <c r="AC77">
        <v>21</v>
      </c>
      <c r="AE77" t="s">
        <v>18</v>
      </c>
      <c r="AF77" t="s">
        <v>6</v>
      </c>
      <c r="AG77" s="2">
        <v>253609</v>
      </c>
      <c r="AH77">
        <v>14.048999999999999</v>
      </c>
      <c r="AI77">
        <v>173</v>
      </c>
      <c r="AK77" t="s">
        <v>6</v>
      </c>
      <c r="AL77" t="s">
        <v>26</v>
      </c>
      <c r="AM77" s="2">
        <v>105554</v>
      </c>
      <c r="AN77">
        <v>22.951000000000001</v>
      </c>
      <c r="AO77">
        <v>21</v>
      </c>
    </row>
    <row r="78" spans="1:41" x14ac:dyDescent="0.2">
      <c r="A78" t="s">
        <v>6</v>
      </c>
      <c r="B78" t="s">
        <v>29</v>
      </c>
      <c r="C78" s="2">
        <v>4099424</v>
      </c>
      <c r="D78">
        <v>11.724</v>
      </c>
      <c r="E78">
        <v>123</v>
      </c>
      <c r="G78" t="s">
        <v>6</v>
      </c>
      <c r="H78" t="s">
        <v>29</v>
      </c>
      <c r="I78" s="2">
        <v>4017367</v>
      </c>
      <c r="J78">
        <v>11.861000000000001</v>
      </c>
      <c r="K78">
        <v>121</v>
      </c>
      <c r="M78" t="s">
        <v>6</v>
      </c>
      <c r="N78" t="s">
        <v>29</v>
      </c>
      <c r="O78" s="2">
        <v>170158208</v>
      </c>
      <c r="P78">
        <v>12.185</v>
      </c>
      <c r="Q78">
        <v>114</v>
      </c>
      <c r="S78" t="s">
        <v>6</v>
      </c>
      <c r="T78" t="s">
        <v>29</v>
      </c>
      <c r="U78" s="2">
        <v>1881231</v>
      </c>
      <c r="V78">
        <v>13.589</v>
      </c>
      <c r="W78">
        <v>95</v>
      </c>
      <c r="Y78" t="s">
        <v>6</v>
      </c>
      <c r="Z78" t="s">
        <v>26</v>
      </c>
      <c r="AA78" s="2">
        <v>77461</v>
      </c>
      <c r="AB78">
        <v>47.985999999999997</v>
      </c>
      <c r="AC78">
        <v>14</v>
      </c>
      <c r="AE78" t="s">
        <v>6</v>
      </c>
      <c r="AF78" t="s">
        <v>26</v>
      </c>
      <c r="AG78" s="2">
        <v>299861</v>
      </c>
      <c r="AH78">
        <v>24.707000000000001</v>
      </c>
      <c r="AI78">
        <v>21</v>
      </c>
      <c r="AK78" t="s">
        <v>6</v>
      </c>
      <c r="AL78" t="s">
        <v>27</v>
      </c>
      <c r="AM78" s="2">
        <v>6109812</v>
      </c>
      <c r="AN78">
        <v>1.8220000000000001</v>
      </c>
      <c r="AO78" s="2">
        <v>1232</v>
      </c>
    </row>
    <row r="79" spans="1:41" x14ac:dyDescent="0.2">
      <c r="A79" t="s">
        <v>6</v>
      </c>
      <c r="B79" t="s">
        <v>30</v>
      </c>
      <c r="C79" s="2">
        <v>4546518</v>
      </c>
      <c r="D79">
        <v>11.253</v>
      </c>
      <c r="E79">
        <v>137</v>
      </c>
      <c r="G79" t="s">
        <v>6</v>
      </c>
      <c r="H79" t="s">
        <v>30</v>
      </c>
      <c r="I79" s="2">
        <v>4535050</v>
      </c>
      <c r="J79">
        <v>11.276</v>
      </c>
      <c r="K79">
        <v>137</v>
      </c>
      <c r="M79" t="s">
        <v>6</v>
      </c>
      <c r="N79" t="s">
        <v>30</v>
      </c>
      <c r="O79" s="2">
        <v>195875617</v>
      </c>
      <c r="P79">
        <v>11.648</v>
      </c>
      <c r="Q79">
        <v>125</v>
      </c>
      <c r="S79" t="s">
        <v>6</v>
      </c>
      <c r="T79" t="s">
        <v>30</v>
      </c>
      <c r="U79" s="2">
        <v>2346623</v>
      </c>
      <c r="V79">
        <v>13.211</v>
      </c>
      <c r="W79">
        <v>107</v>
      </c>
      <c r="Y79" t="s">
        <v>6</v>
      </c>
      <c r="Z79" t="s">
        <v>27</v>
      </c>
      <c r="AA79" s="2">
        <v>4061155</v>
      </c>
      <c r="AB79">
        <v>4.5599999999999996</v>
      </c>
      <c r="AC79">
        <v>933</v>
      </c>
      <c r="AE79" t="s">
        <v>6</v>
      </c>
      <c r="AF79" t="s">
        <v>27</v>
      </c>
      <c r="AG79" s="2">
        <v>17901513</v>
      </c>
      <c r="AH79">
        <v>2.5489999999999999</v>
      </c>
      <c r="AI79" s="2">
        <v>1241</v>
      </c>
      <c r="AK79" t="s">
        <v>6</v>
      </c>
      <c r="AL79" t="s">
        <v>28</v>
      </c>
      <c r="AM79" s="2">
        <v>2126844</v>
      </c>
      <c r="AN79">
        <v>4.12</v>
      </c>
      <c r="AO79">
        <v>411</v>
      </c>
    </row>
    <row r="80" spans="1:41" x14ac:dyDescent="0.2">
      <c r="A80" t="s">
        <v>6</v>
      </c>
      <c r="B80" t="s">
        <v>31</v>
      </c>
      <c r="C80" s="2">
        <v>1869988</v>
      </c>
      <c r="D80">
        <v>15.413</v>
      </c>
      <c r="E80">
        <v>77</v>
      </c>
      <c r="G80" t="s">
        <v>6</v>
      </c>
      <c r="H80" t="s">
        <v>31</v>
      </c>
      <c r="I80" s="2">
        <v>1853033</v>
      </c>
      <c r="J80">
        <v>15.519</v>
      </c>
      <c r="K80">
        <v>77</v>
      </c>
      <c r="M80" t="s">
        <v>6</v>
      </c>
      <c r="N80" t="s">
        <v>31</v>
      </c>
      <c r="O80" s="2">
        <v>74773495</v>
      </c>
      <c r="P80">
        <v>16.733000000000001</v>
      </c>
      <c r="Q80">
        <v>73</v>
      </c>
      <c r="S80" t="s">
        <v>6</v>
      </c>
      <c r="T80" t="s">
        <v>31</v>
      </c>
      <c r="U80" s="2">
        <v>816597</v>
      </c>
      <c r="V80">
        <v>19.222000000000001</v>
      </c>
      <c r="W80">
        <v>54</v>
      </c>
      <c r="Y80" t="s">
        <v>6</v>
      </c>
      <c r="Z80" t="s">
        <v>28</v>
      </c>
      <c r="AA80" s="2">
        <v>987188</v>
      </c>
      <c r="AB80">
        <v>8.6430000000000007</v>
      </c>
      <c r="AC80">
        <v>277</v>
      </c>
      <c r="AE80" t="s">
        <v>6</v>
      </c>
      <c r="AF80" t="s">
        <v>28</v>
      </c>
      <c r="AG80" s="2">
        <v>5368590</v>
      </c>
      <c r="AH80">
        <v>5.5140000000000002</v>
      </c>
      <c r="AI80">
        <v>410</v>
      </c>
      <c r="AK80" t="s">
        <v>6</v>
      </c>
      <c r="AL80" t="s">
        <v>29</v>
      </c>
      <c r="AM80" s="2">
        <v>2061777</v>
      </c>
      <c r="AN80">
        <v>4.5289999999999999</v>
      </c>
      <c r="AO80">
        <v>434</v>
      </c>
    </row>
    <row r="81" spans="1:41" x14ac:dyDescent="0.2">
      <c r="A81" t="s">
        <v>6</v>
      </c>
      <c r="B81" t="s">
        <v>32</v>
      </c>
      <c r="C81" s="2">
        <v>1657261</v>
      </c>
      <c r="D81">
        <v>18.102</v>
      </c>
      <c r="E81">
        <v>73</v>
      </c>
      <c r="G81" t="s">
        <v>6</v>
      </c>
      <c r="H81" t="s">
        <v>32</v>
      </c>
      <c r="I81" s="2">
        <v>1330496</v>
      </c>
      <c r="J81">
        <v>20.295999999999999</v>
      </c>
      <c r="K81">
        <v>65</v>
      </c>
      <c r="M81" t="s">
        <v>6</v>
      </c>
      <c r="N81" t="s">
        <v>32</v>
      </c>
      <c r="O81" s="2">
        <v>60928715</v>
      </c>
      <c r="P81">
        <v>21.170999999999999</v>
      </c>
      <c r="Q81">
        <v>57</v>
      </c>
      <c r="S81" t="s">
        <v>6</v>
      </c>
      <c r="T81" t="s">
        <v>32</v>
      </c>
      <c r="U81" s="2">
        <v>781429</v>
      </c>
      <c r="V81">
        <v>21.321000000000002</v>
      </c>
      <c r="W81">
        <v>37</v>
      </c>
      <c r="Y81" t="s">
        <v>6</v>
      </c>
      <c r="Z81" t="s">
        <v>29</v>
      </c>
      <c r="AA81" s="2">
        <v>1447850</v>
      </c>
      <c r="AB81">
        <v>8.423</v>
      </c>
      <c r="AC81">
        <v>307</v>
      </c>
      <c r="AE81" t="s">
        <v>6</v>
      </c>
      <c r="AF81" t="s">
        <v>29</v>
      </c>
      <c r="AG81" s="2">
        <v>6603801</v>
      </c>
      <c r="AH81">
        <v>5.3120000000000003</v>
      </c>
      <c r="AI81">
        <v>435</v>
      </c>
      <c r="AK81" t="s">
        <v>6</v>
      </c>
      <c r="AL81" t="s">
        <v>30</v>
      </c>
      <c r="AM81" s="2">
        <v>3135293</v>
      </c>
      <c r="AN81">
        <v>3.0070000000000001</v>
      </c>
      <c r="AO81">
        <v>577</v>
      </c>
    </row>
    <row r="82" spans="1:41" x14ac:dyDescent="0.2">
      <c r="A82" t="s">
        <v>13</v>
      </c>
      <c r="B82" t="s">
        <v>27</v>
      </c>
      <c r="C82" s="2">
        <v>68043</v>
      </c>
      <c r="D82">
        <v>80.066000000000003</v>
      </c>
      <c r="E82">
        <v>3</v>
      </c>
      <c r="G82" t="s">
        <v>13</v>
      </c>
      <c r="H82" t="s">
        <v>27</v>
      </c>
      <c r="I82" s="2">
        <v>68043</v>
      </c>
      <c r="J82">
        <v>80.066000000000003</v>
      </c>
      <c r="K82">
        <v>3</v>
      </c>
      <c r="M82" t="s">
        <v>13</v>
      </c>
      <c r="N82" t="s">
        <v>27</v>
      </c>
      <c r="O82" s="2">
        <v>3101569</v>
      </c>
      <c r="P82">
        <v>80.932000000000002</v>
      </c>
      <c r="Q82">
        <v>3</v>
      </c>
      <c r="S82" t="s">
        <v>13</v>
      </c>
      <c r="T82" t="s">
        <v>27</v>
      </c>
      <c r="U82" s="2">
        <v>35666</v>
      </c>
      <c r="V82">
        <v>85.950999999999993</v>
      </c>
      <c r="W82">
        <v>2</v>
      </c>
      <c r="Y82" t="s">
        <v>6</v>
      </c>
      <c r="Z82" t="s">
        <v>30</v>
      </c>
      <c r="AA82" s="2">
        <v>2265912</v>
      </c>
      <c r="AB82">
        <v>7.3460000000000001</v>
      </c>
      <c r="AC82">
        <v>406</v>
      </c>
      <c r="AE82" t="s">
        <v>6</v>
      </c>
      <c r="AF82" t="s">
        <v>30</v>
      </c>
      <c r="AG82" s="2">
        <v>8369291</v>
      </c>
      <c r="AH82">
        <v>4.1970000000000001</v>
      </c>
      <c r="AI82">
        <v>571</v>
      </c>
      <c r="AK82" t="s">
        <v>6</v>
      </c>
      <c r="AL82" t="s">
        <v>31</v>
      </c>
      <c r="AM82" s="2">
        <v>1382003</v>
      </c>
      <c r="AN82">
        <v>5.6559999999999997</v>
      </c>
      <c r="AO82">
        <v>266</v>
      </c>
    </row>
    <row r="83" spans="1:41" x14ac:dyDescent="0.2">
      <c r="A83" t="s">
        <v>13</v>
      </c>
      <c r="B83" t="s">
        <v>30</v>
      </c>
      <c r="C83" s="2">
        <v>32443</v>
      </c>
      <c r="D83">
        <v>97.033000000000001</v>
      </c>
      <c r="E83">
        <v>1</v>
      </c>
      <c r="G83" t="s">
        <v>13</v>
      </c>
      <c r="H83" t="s">
        <v>30</v>
      </c>
      <c r="I83" s="2">
        <v>32443</v>
      </c>
      <c r="J83">
        <v>97.033000000000001</v>
      </c>
      <c r="K83">
        <v>1</v>
      </c>
      <c r="M83" t="s">
        <v>13</v>
      </c>
      <c r="N83" t="s">
        <v>30</v>
      </c>
      <c r="O83" s="2">
        <v>1438957</v>
      </c>
      <c r="P83">
        <v>97.033000000000001</v>
      </c>
      <c r="Q83">
        <v>1</v>
      </c>
      <c r="S83" t="s">
        <v>13</v>
      </c>
      <c r="T83" t="s">
        <v>30</v>
      </c>
      <c r="U83" s="2">
        <v>16754</v>
      </c>
      <c r="V83">
        <v>97.033000000000001</v>
      </c>
      <c r="W83">
        <v>1</v>
      </c>
      <c r="Y83" t="s">
        <v>6</v>
      </c>
      <c r="Z83" t="s">
        <v>31</v>
      </c>
      <c r="AA83" s="2">
        <v>789023</v>
      </c>
      <c r="AB83">
        <v>11.329000000000001</v>
      </c>
      <c r="AC83">
        <v>182</v>
      </c>
      <c r="AE83" t="s">
        <v>6</v>
      </c>
      <c r="AF83" t="s">
        <v>31</v>
      </c>
      <c r="AG83" s="2">
        <v>3464732</v>
      </c>
      <c r="AH83">
        <v>7.1440000000000001</v>
      </c>
      <c r="AI83">
        <v>269</v>
      </c>
      <c r="AK83" t="s">
        <v>6</v>
      </c>
      <c r="AL83" t="s">
        <v>32</v>
      </c>
      <c r="AM83" s="2">
        <v>3779141</v>
      </c>
      <c r="AN83">
        <v>1.893</v>
      </c>
      <c r="AO83">
        <v>693</v>
      </c>
    </row>
    <row r="84" spans="1:41" x14ac:dyDescent="0.2">
      <c r="A84" t="s">
        <v>13</v>
      </c>
      <c r="B84" t="s">
        <v>32</v>
      </c>
      <c r="C84" s="2">
        <v>8101</v>
      </c>
      <c r="D84">
        <v>85.02</v>
      </c>
      <c r="E84">
        <v>2</v>
      </c>
      <c r="G84" t="s">
        <v>13</v>
      </c>
      <c r="H84" t="s">
        <v>32</v>
      </c>
      <c r="I84" s="2">
        <v>8101</v>
      </c>
      <c r="J84">
        <v>85.02</v>
      </c>
      <c r="K84">
        <v>2</v>
      </c>
      <c r="M84" t="s">
        <v>13</v>
      </c>
      <c r="N84" t="s">
        <v>32</v>
      </c>
      <c r="O84" s="2">
        <v>305241</v>
      </c>
      <c r="P84">
        <v>87.01</v>
      </c>
      <c r="Q84">
        <v>2</v>
      </c>
      <c r="S84" t="s">
        <v>14</v>
      </c>
      <c r="T84" t="s">
        <v>28</v>
      </c>
      <c r="U84" s="2">
        <v>14124</v>
      </c>
      <c r="V84">
        <v>61.140999999999998</v>
      </c>
      <c r="W84">
        <v>3</v>
      </c>
      <c r="Y84" t="s">
        <v>6</v>
      </c>
      <c r="Z84" t="s">
        <v>32</v>
      </c>
      <c r="AA84" s="2">
        <v>2707125</v>
      </c>
      <c r="AB84">
        <v>5.5670000000000002</v>
      </c>
      <c r="AC84">
        <v>568</v>
      </c>
      <c r="AE84" t="s">
        <v>6</v>
      </c>
      <c r="AF84" t="s">
        <v>32</v>
      </c>
      <c r="AG84" s="2">
        <v>6983712</v>
      </c>
      <c r="AH84">
        <v>2.778</v>
      </c>
      <c r="AI84">
        <v>685</v>
      </c>
      <c r="AK84" t="s">
        <v>13</v>
      </c>
      <c r="AL84" t="s">
        <v>27</v>
      </c>
      <c r="AM84" s="2">
        <v>103787</v>
      </c>
      <c r="AN84">
        <v>22.416</v>
      </c>
      <c r="AO84">
        <v>19</v>
      </c>
    </row>
    <row r="85" spans="1:41" x14ac:dyDescent="0.2">
      <c r="A85" t="s">
        <v>14</v>
      </c>
      <c r="B85" t="s">
        <v>28</v>
      </c>
      <c r="C85" s="2">
        <v>37114</v>
      </c>
      <c r="D85">
        <v>65.491</v>
      </c>
      <c r="E85">
        <v>4</v>
      </c>
      <c r="G85" t="s">
        <v>14</v>
      </c>
      <c r="H85" t="s">
        <v>28</v>
      </c>
      <c r="I85" s="2">
        <v>37114</v>
      </c>
      <c r="J85">
        <v>65.491</v>
      </c>
      <c r="K85">
        <v>4</v>
      </c>
      <c r="M85" t="s">
        <v>14</v>
      </c>
      <c r="N85" t="s">
        <v>28</v>
      </c>
      <c r="O85" s="2">
        <v>1490787</v>
      </c>
      <c r="P85">
        <v>69.766000000000005</v>
      </c>
      <c r="Q85">
        <v>3</v>
      </c>
      <c r="S85" t="s">
        <v>14</v>
      </c>
      <c r="T85" t="s">
        <v>31</v>
      </c>
      <c r="U85" s="2">
        <v>12373</v>
      </c>
      <c r="V85">
        <v>96.447000000000003</v>
      </c>
      <c r="W85">
        <v>1</v>
      </c>
      <c r="Y85" t="s">
        <v>13</v>
      </c>
      <c r="Z85" t="s">
        <v>27</v>
      </c>
      <c r="AA85" s="2">
        <v>49480</v>
      </c>
      <c r="AB85">
        <v>30.52</v>
      </c>
      <c r="AC85">
        <v>17</v>
      </c>
      <c r="AE85" t="s">
        <v>13</v>
      </c>
      <c r="AF85" t="s">
        <v>27</v>
      </c>
      <c r="AG85" s="2">
        <v>304395</v>
      </c>
      <c r="AH85">
        <v>24.364000000000001</v>
      </c>
      <c r="AI85">
        <v>19</v>
      </c>
      <c r="AK85" t="s">
        <v>13</v>
      </c>
      <c r="AL85" t="s">
        <v>30</v>
      </c>
      <c r="AM85" s="2">
        <v>163660</v>
      </c>
      <c r="AN85">
        <v>16.262</v>
      </c>
      <c r="AO85">
        <v>29</v>
      </c>
    </row>
    <row r="86" spans="1:41" x14ac:dyDescent="0.2">
      <c r="A86" t="s">
        <v>14</v>
      </c>
      <c r="B86" t="s">
        <v>30</v>
      </c>
      <c r="C86">
        <v>375</v>
      </c>
      <c r="D86">
        <v>98.718000000000004</v>
      </c>
      <c r="E86">
        <v>1</v>
      </c>
      <c r="G86" t="s">
        <v>14</v>
      </c>
      <c r="H86" t="s">
        <v>30</v>
      </c>
      <c r="I86">
        <v>375</v>
      </c>
      <c r="J86">
        <v>98.718000000000004</v>
      </c>
      <c r="K86">
        <v>1</v>
      </c>
      <c r="M86" t="s">
        <v>14</v>
      </c>
      <c r="N86" t="s">
        <v>30</v>
      </c>
      <c r="O86" s="2">
        <v>18011</v>
      </c>
      <c r="P86">
        <v>98.718000000000004</v>
      </c>
      <c r="Q86">
        <v>1</v>
      </c>
      <c r="S86" t="s">
        <v>15</v>
      </c>
      <c r="T86" t="s">
        <v>28</v>
      </c>
      <c r="U86" s="2">
        <v>54185</v>
      </c>
      <c r="V86">
        <v>67.510000000000005</v>
      </c>
      <c r="W86">
        <v>3</v>
      </c>
      <c r="Y86" t="s">
        <v>13</v>
      </c>
      <c r="Z86" t="s">
        <v>30</v>
      </c>
      <c r="AA86" s="2">
        <v>135100</v>
      </c>
      <c r="AB86">
        <v>34.494999999999997</v>
      </c>
      <c r="AC86">
        <v>20</v>
      </c>
      <c r="AE86" t="s">
        <v>13</v>
      </c>
      <c r="AF86" t="s">
        <v>30</v>
      </c>
      <c r="AG86" s="2">
        <v>191328</v>
      </c>
      <c r="AH86">
        <v>22.663</v>
      </c>
      <c r="AI86">
        <v>26</v>
      </c>
      <c r="AK86" t="s">
        <v>13</v>
      </c>
      <c r="AL86" t="s">
        <v>32</v>
      </c>
      <c r="AM86" s="2">
        <v>954526</v>
      </c>
      <c r="AN86">
        <v>3.637</v>
      </c>
      <c r="AO86">
        <v>178</v>
      </c>
    </row>
    <row r="87" spans="1:41" x14ac:dyDescent="0.2">
      <c r="A87" t="s">
        <v>14</v>
      </c>
      <c r="B87" t="s">
        <v>31</v>
      </c>
      <c r="C87" s="2">
        <v>20347</v>
      </c>
      <c r="D87">
        <v>91.903000000000006</v>
      </c>
      <c r="E87">
        <v>2</v>
      </c>
      <c r="G87" t="s">
        <v>14</v>
      </c>
      <c r="H87" t="s">
        <v>31</v>
      </c>
      <c r="I87" s="2">
        <v>20347</v>
      </c>
      <c r="J87">
        <v>91.903000000000006</v>
      </c>
      <c r="K87">
        <v>2</v>
      </c>
      <c r="M87" t="s">
        <v>14</v>
      </c>
      <c r="N87" t="s">
        <v>31</v>
      </c>
      <c r="O87" s="2">
        <v>827812</v>
      </c>
      <c r="P87">
        <v>96.447000000000003</v>
      </c>
      <c r="Q87">
        <v>1</v>
      </c>
      <c r="S87" t="s">
        <v>15</v>
      </c>
      <c r="T87" t="s">
        <v>30</v>
      </c>
      <c r="U87" s="2">
        <v>130135</v>
      </c>
      <c r="V87">
        <v>53.619</v>
      </c>
      <c r="W87">
        <v>5</v>
      </c>
      <c r="Y87" t="s">
        <v>13</v>
      </c>
      <c r="Z87" t="s">
        <v>32</v>
      </c>
      <c r="AA87" s="2">
        <v>690340</v>
      </c>
      <c r="AB87">
        <v>10.657999999999999</v>
      </c>
      <c r="AC87">
        <v>156</v>
      </c>
      <c r="AE87" t="s">
        <v>13</v>
      </c>
      <c r="AF87" t="s">
        <v>32</v>
      </c>
      <c r="AG87" s="2">
        <v>1634298</v>
      </c>
      <c r="AH87">
        <v>5.6890000000000001</v>
      </c>
      <c r="AI87">
        <v>178</v>
      </c>
      <c r="AK87" t="s">
        <v>22</v>
      </c>
      <c r="AL87" t="s">
        <v>30</v>
      </c>
      <c r="AM87" s="2">
        <v>2915</v>
      </c>
      <c r="AN87">
        <v>101.68899999999999</v>
      </c>
      <c r="AO87">
        <v>1</v>
      </c>
    </row>
    <row r="88" spans="1:41" x14ac:dyDescent="0.2">
      <c r="A88" t="s">
        <v>15</v>
      </c>
      <c r="B88" t="s">
        <v>27</v>
      </c>
      <c r="C88" s="2">
        <v>1117</v>
      </c>
      <c r="D88">
        <v>99.64</v>
      </c>
      <c r="E88">
        <v>1</v>
      </c>
      <c r="G88" t="s">
        <v>15</v>
      </c>
      <c r="H88" t="s">
        <v>27</v>
      </c>
      <c r="I88" s="2">
        <v>1117</v>
      </c>
      <c r="J88">
        <v>99.64</v>
      </c>
      <c r="K88">
        <v>1</v>
      </c>
      <c r="M88" t="s">
        <v>15</v>
      </c>
      <c r="N88" t="s">
        <v>28</v>
      </c>
      <c r="O88" s="2">
        <v>3646060</v>
      </c>
      <c r="P88">
        <v>64.352999999999994</v>
      </c>
      <c r="Q88">
        <v>3</v>
      </c>
      <c r="S88" t="s">
        <v>15</v>
      </c>
      <c r="T88" t="s">
        <v>31</v>
      </c>
      <c r="U88" s="2">
        <v>21303</v>
      </c>
      <c r="V88">
        <v>65.722999999999999</v>
      </c>
      <c r="W88">
        <v>3</v>
      </c>
      <c r="Y88" t="s">
        <v>22</v>
      </c>
      <c r="Z88" t="s">
        <v>32</v>
      </c>
      <c r="AA88" s="2">
        <v>204835</v>
      </c>
      <c r="AB88">
        <v>17.442</v>
      </c>
      <c r="AC88">
        <v>39</v>
      </c>
      <c r="AE88" t="s">
        <v>22</v>
      </c>
      <c r="AF88" t="s">
        <v>30</v>
      </c>
      <c r="AG88">
        <v>406</v>
      </c>
      <c r="AH88">
        <v>101.756</v>
      </c>
      <c r="AI88">
        <v>1</v>
      </c>
      <c r="AK88" t="s">
        <v>22</v>
      </c>
      <c r="AL88" t="s">
        <v>32</v>
      </c>
      <c r="AM88" s="2">
        <v>286415</v>
      </c>
      <c r="AN88">
        <v>3.04</v>
      </c>
      <c r="AO88">
        <v>49</v>
      </c>
    </row>
    <row r="89" spans="1:41" x14ac:dyDescent="0.2">
      <c r="A89" t="s">
        <v>15</v>
      </c>
      <c r="B89" t="s">
        <v>28</v>
      </c>
      <c r="C89" s="2">
        <v>77972</v>
      </c>
      <c r="D89">
        <v>63.777000000000001</v>
      </c>
      <c r="E89">
        <v>4</v>
      </c>
      <c r="G89" t="s">
        <v>15</v>
      </c>
      <c r="H89" t="s">
        <v>28</v>
      </c>
      <c r="I89" s="2">
        <v>77972</v>
      </c>
      <c r="J89">
        <v>63.777000000000001</v>
      </c>
      <c r="K89">
        <v>4</v>
      </c>
      <c r="M89" t="s">
        <v>15</v>
      </c>
      <c r="N89" t="s">
        <v>30</v>
      </c>
      <c r="O89" s="2">
        <v>9200530</v>
      </c>
      <c r="P89">
        <v>48.771999999999998</v>
      </c>
      <c r="Q89">
        <v>7</v>
      </c>
      <c r="S89" t="s">
        <v>15</v>
      </c>
      <c r="T89" t="s">
        <v>32</v>
      </c>
      <c r="U89" s="2">
        <v>44205</v>
      </c>
      <c r="V89">
        <v>99.194000000000003</v>
      </c>
      <c r="W89">
        <v>1</v>
      </c>
      <c r="Y89" t="s">
        <v>23</v>
      </c>
      <c r="Z89" t="s">
        <v>27</v>
      </c>
      <c r="AA89" s="2">
        <v>6059</v>
      </c>
      <c r="AB89">
        <v>71.305999999999997</v>
      </c>
      <c r="AC89">
        <v>2</v>
      </c>
      <c r="AE89" t="s">
        <v>22</v>
      </c>
      <c r="AF89" t="s">
        <v>32</v>
      </c>
      <c r="AG89" s="2">
        <v>437924</v>
      </c>
      <c r="AH89">
        <v>8.7289999999999992</v>
      </c>
      <c r="AI89">
        <v>49</v>
      </c>
      <c r="AK89" t="s">
        <v>23</v>
      </c>
      <c r="AL89" t="s">
        <v>27</v>
      </c>
      <c r="AM89" s="2">
        <v>12322</v>
      </c>
      <c r="AN89">
        <v>70.433999999999997</v>
      </c>
      <c r="AO89">
        <v>2</v>
      </c>
    </row>
    <row r="90" spans="1:41" x14ac:dyDescent="0.2">
      <c r="A90" t="s">
        <v>15</v>
      </c>
      <c r="B90" t="s">
        <v>30</v>
      </c>
      <c r="C90" s="2">
        <v>195196</v>
      </c>
      <c r="D90">
        <v>47.743000000000002</v>
      </c>
      <c r="E90">
        <v>8</v>
      </c>
      <c r="G90" t="s">
        <v>15</v>
      </c>
      <c r="H90" t="s">
        <v>30</v>
      </c>
      <c r="I90" s="2">
        <v>195196</v>
      </c>
      <c r="J90">
        <v>47.743000000000002</v>
      </c>
      <c r="K90">
        <v>8</v>
      </c>
      <c r="M90" t="s">
        <v>15</v>
      </c>
      <c r="N90" t="s">
        <v>31</v>
      </c>
      <c r="O90" s="2">
        <v>2810924</v>
      </c>
      <c r="P90">
        <v>61.887999999999998</v>
      </c>
      <c r="Q90">
        <v>3</v>
      </c>
      <c r="S90" t="s">
        <v>16</v>
      </c>
      <c r="T90" t="s">
        <v>30</v>
      </c>
      <c r="U90" s="2">
        <v>1143</v>
      </c>
      <c r="V90">
        <v>102.38</v>
      </c>
      <c r="W90">
        <v>1</v>
      </c>
      <c r="Y90" t="s">
        <v>23</v>
      </c>
      <c r="Z90" t="s">
        <v>30</v>
      </c>
      <c r="AA90" s="2">
        <v>240058</v>
      </c>
      <c r="AB90">
        <v>27.236000000000001</v>
      </c>
      <c r="AC90">
        <v>35</v>
      </c>
      <c r="AE90" t="s">
        <v>23</v>
      </c>
      <c r="AF90" t="s">
        <v>27</v>
      </c>
      <c r="AG90" s="2">
        <v>28889</v>
      </c>
      <c r="AH90">
        <v>72.512</v>
      </c>
      <c r="AI90">
        <v>2</v>
      </c>
      <c r="AK90" t="s">
        <v>23</v>
      </c>
      <c r="AL90" t="s">
        <v>30</v>
      </c>
      <c r="AM90" s="2">
        <v>240287</v>
      </c>
      <c r="AN90">
        <v>15.31</v>
      </c>
      <c r="AO90">
        <v>40</v>
      </c>
    </row>
    <row r="91" spans="1:41" x14ac:dyDescent="0.2">
      <c r="A91" t="s">
        <v>15</v>
      </c>
      <c r="B91" t="s">
        <v>31</v>
      </c>
      <c r="C91" s="2">
        <v>86688</v>
      </c>
      <c r="D91">
        <v>59.521999999999998</v>
      </c>
      <c r="E91">
        <v>3</v>
      </c>
      <c r="G91" t="s">
        <v>15</v>
      </c>
      <c r="H91" t="s">
        <v>31</v>
      </c>
      <c r="I91" s="2">
        <v>86688</v>
      </c>
      <c r="J91">
        <v>59.521999999999998</v>
      </c>
      <c r="K91">
        <v>3</v>
      </c>
      <c r="M91" t="s">
        <v>15</v>
      </c>
      <c r="N91" t="s">
        <v>32</v>
      </c>
      <c r="O91" s="2">
        <v>4326528</v>
      </c>
      <c r="P91">
        <v>99.194000000000003</v>
      </c>
      <c r="Q91">
        <v>1</v>
      </c>
      <c r="S91" t="s">
        <v>16</v>
      </c>
      <c r="T91" t="s">
        <v>31</v>
      </c>
      <c r="U91" s="2">
        <v>4794</v>
      </c>
      <c r="V91">
        <v>102.38</v>
      </c>
      <c r="W91">
        <v>1</v>
      </c>
      <c r="Y91" t="s">
        <v>23</v>
      </c>
      <c r="Z91" t="s">
        <v>31</v>
      </c>
      <c r="AA91">
        <v>343</v>
      </c>
      <c r="AB91">
        <v>98.206999999999994</v>
      </c>
      <c r="AC91">
        <v>1</v>
      </c>
      <c r="AE91" t="s">
        <v>23</v>
      </c>
      <c r="AF91" t="s">
        <v>30</v>
      </c>
      <c r="AG91" s="2">
        <v>282344</v>
      </c>
      <c r="AH91">
        <v>19.914000000000001</v>
      </c>
      <c r="AI91">
        <v>37</v>
      </c>
      <c r="AK91" t="s">
        <v>23</v>
      </c>
      <c r="AL91" t="s">
        <v>31</v>
      </c>
      <c r="AM91" s="2">
        <v>6237</v>
      </c>
      <c r="AN91">
        <v>98.105000000000004</v>
      </c>
      <c r="AO91">
        <v>1</v>
      </c>
    </row>
    <row r="92" spans="1:41" x14ac:dyDescent="0.2">
      <c r="A92" t="s">
        <v>15</v>
      </c>
      <c r="B92" t="s">
        <v>32</v>
      </c>
      <c r="C92" s="2">
        <v>85523</v>
      </c>
      <c r="D92">
        <v>99.194000000000003</v>
      </c>
      <c r="E92">
        <v>1</v>
      </c>
      <c r="G92" t="s">
        <v>15</v>
      </c>
      <c r="H92" t="s">
        <v>32</v>
      </c>
      <c r="I92" s="2">
        <v>85523</v>
      </c>
      <c r="J92">
        <v>99.194000000000003</v>
      </c>
      <c r="K92">
        <v>1</v>
      </c>
      <c r="M92" t="s">
        <v>16</v>
      </c>
      <c r="N92" t="s">
        <v>27</v>
      </c>
      <c r="O92" s="2">
        <v>108509</v>
      </c>
      <c r="P92">
        <v>75.116</v>
      </c>
      <c r="Q92">
        <v>2</v>
      </c>
      <c r="S92" t="s">
        <v>17</v>
      </c>
      <c r="T92" t="s">
        <v>26</v>
      </c>
      <c r="U92" s="2">
        <v>107348</v>
      </c>
      <c r="V92">
        <v>47.712000000000003</v>
      </c>
      <c r="W92">
        <v>8</v>
      </c>
      <c r="Y92" t="s">
        <v>14</v>
      </c>
      <c r="Z92" t="s">
        <v>27</v>
      </c>
      <c r="AA92" s="2">
        <v>30150</v>
      </c>
      <c r="AB92">
        <v>73.637</v>
      </c>
      <c r="AC92">
        <v>5</v>
      </c>
      <c r="AE92" t="s">
        <v>23</v>
      </c>
      <c r="AF92" t="s">
        <v>31</v>
      </c>
      <c r="AG92" s="2">
        <v>4846</v>
      </c>
      <c r="AH92">
        <v>98.206999999999994</v>
      </c>
      <c r="AI92">
        <v>1</v>
      </c>
      <c r="AK92" t="s">
        <v>14</v>
      </c>
      <c r="AL92" t="s">
        <v>27</v>
      </c>
      <c r="AM92" s="2">
        <v>35672</v>
      </c>
      <c r="AN92">
        <v>40.709000000000003</v>
      </c>
      <c r="AO92">
        <v>6</v>
      </c>
    </row>
    <row r="93" spans="1:41" x14ac:dyDescent="0.2">
      <c r="A93" t="s">
        <v>16</v>
      </c>
      <c r="B93" t="s">
        <v>27</v>
      </c>
      <c r="C93" s="2">
        <v>2663</v>
      </c>
      <c r="D93">
        <v>63.405999999999999</v>
      </c>
      <c r="E93">
        <v>4</v>
      </c>
      <c r="G93" t="s">
        <v>16</v>
      </c>
      <c r="H93" t="s">
        <v>27</v>
      </c>
      <c r="I93" s="2">
        <v>2663</v>
      </c>
      <c r="J93">
        <v>63.405999999999999</v>
      </c>
      <c r="K93">
        <v>4</v>
      </c>
      <c r="M93" t="s">
        <v>16</v>
      </c>
      <c r="N93" t="s">
        <v>30</v>
      </c>
      <c r="O93" s="2">
        <v>668941</v>
      </c>
      <c r="P93">
        <v>102.38</v>
      </c>
      <c r="Q93">
        <v>1</v>
      </c>
      <c r="S93" t="s">
        <v>17</v>
      </c>
      <c r="T93" t="s">
        <v>27</v>
      </c>
      <c r="U93" s="2">
        <v>2988096</v>
      </c>
      <c r="V93">
        <v>11.234999999999999</v>
      </c>
      <c r="W93">
        <v>154</v>
      </c>
      <c r="Y93" t="s">
        <v>14</v>
      </c>
      <c r="Z93" t="s">
        <v>28</v>
      </c>
      <c r="AA93" s="2">
        <v>58453</v>
      </c>
      <c r="AB93">
        <v>42.381999999999998</v>
      </c>
      <c r="AC93">
        <v>14</v>
      </c>
      <c r="AE93" t="s">
        <v>14</v>
      </c>
      <c r="AF93" t="s">
        <v>27</v>
      </c>
      <c r="AG93" s="2">
        <v>86885</v>
      </c>
      <c r="AH93">
        <v>42.527000000000001</v>
      </c>
      <c r="AI93">
        <v>6</v>
      </c>
      <c r="AK93" t="s">
        <v>14</v>
      </c>
      <c r="AL93" t="s">
        <v>28</v>
      </c>
      <c r="AM93" s="2">
        <v>102778</v>
      </c>
      <c r="AN93">
        <v>23.274999999999999</v>
      </c>
      <c r="AO93">
        <v>19</v>
      </c>
    </row>
    <row r="94" spans="1:41" x14ac:dyDescent="0.2">
      <c r="A94" t="s">
        <v>16</v>
      </c>
      <c r="B94" t="s">
        <v>30</v>
      </c>
      <c r="C94" s="2">
        <v>16846</v>
      </c>
      <c r="D94">
        <v>102.38</v>
      </c>
      <c r="E94">
        <v>1</v>
      </c>
      <c r="G94" t="s">
        <v>16</v>
      </c>
      <c r="H94" t="s">
        <v>30</v>
      </c>
      <c r="I94" s="2">
        <v>16846</v>
      </c>
      <c r="J94">
        <v>102.38</v>
      </c>
      <c r="K94">
        <v>1</v>
      </c>
      <c r="M94" t="s">
        <v>16</v>
      </c>
      <c r="N94" t="s">
        <v>31</v>
      </c>
      <c r="O94" s="2">
        <v>1046805</v>
      </c>
      <c r="P94">
        <v>102.38</v>
      </c>
      <c r="Q94">
        <v>1</v>
      </c>
      <c r="S94" t="s">
        <v>17</v>
      </c>
      <c r="T94" t="s">
        <v>28</v>
      </c>
      <c r="U94" s="2">
        <v>1420898</v>
      </c>
      <c r="V94">
        <v>15.638</v>
      </c>
      <c r="W94">
        <v>83</v>
      </c>
      <c r="Y94" t="s">
        <v>14</v>
      </c>
      <c r="Z94" t="s">
        <v>30</v>
      </c>
      <c r="AA94" s="2">
        <v>150071</v>
      </c>
      <c r="AB94">
        <v>50.65</v>
      </c>
      <c r="AC94">
        <v>7</v>
      </c>
      <c r="AE94" t="s">
        <v>14</v>
      </c>
      <c r="AF94" t="s">
        <v>28</v>
      </c>
      <c r="AG94" s="2">
        <v>188677</v>
      </c>
      <c r="AH94">
        <v>30.312999999999999</v>
      </c>
      <c r="AI94">
        <v>18</v>
      </c>
      <c r="AK94" t="s">
        <v>14</v>
      </c>
      <c r="AL94" t="s">
        <v>30</v>
      </c>
      <c r="AM94" s="2">
        <v>41069</v>
      </c>
      <c r="AN94">
        <v>37.58</v>
      </c>
      <c r="AO94">
        <v>7</v>
      </c>
    </row>
    <row r="95" spans="1:41" x14ac:dyDescent="0.2">
      <c r="A95" t="s">
        <v>16</v>
      </c>
      <c r="B95" t="s">
        <v>31</v>
      </c>
      <c r="C95" s="2">
        <v>34936</v>
      </c>
      <c r="D95">
        <v>102.38</v>
      </c>
      <c r="E95">
        <v>1</v>
      </c>
      <c r="G95" t="s">
        <v>16</v>
      </c>
      <c r="H95" t="s">
        <v>31</v>
      </c>
      <c r="I95" s="2">
        <v>34936</v>
      </c>
      <c r="J95">
        <v>102.38</v>
      </c>
      <c r="K95">
        <v>1</v>
      </c>
      <c r="M95" t="s">
        <v>17</v>
      </c>
      <c r="N95" t="s">
        <v>26</v>
      </c>
      <c r="O95" s="2">
        <v>11305216</v>
      </c>
      <c r="P95">
        <v>40.966999999999999</v>
      </c>
      <c r="Q95">
        <v>9</v>
      </c>
      <c r="S95" t="s">
        <v>17</v>
      </c>
      <c r="T95" t="s">
        <v>29</v>
      </c>
      <c r="U95" s="2">
        <v>1747816</v>
      </c>
      <c r="V95">
        <v>14.243</v>
      </c>
      <c r="W95">
        <v>87</v>
      </c>
      <c r="Y95" t="s">
        <v>14</v>
      </c>
      <c r="Z95" t="s">
        <v>31</v>
      </c>
      <c r="AA95" s="2">
        <v>26298</v>
      </c>
      <c r="AB95">
        <v>38.874000000000002</v>
      </c>
      <c r="AC95">
        <v>9</v>
      </c>
      <c r="AE95" t="s">
        <v>14</v>
      </c>
      <c r="AF95" t="s">
        <v>30</v>
      </c>
      <c r="AG95" s="2">
        <v>88157</v>
      </c>
      <c r="AH95">
        <v>57.893999999999998</v>
      </c>
      <c r="AI95">
        <v>7</v>
      </c>
      <c r="AK95" t="s">
        <v>14</v>
      </c>
      <c r="AL95" t="s">
        <v>31</v>
      </c>
      <c r="AM95" s="2">
        <v>120178</v>
      </c>
      <c r="AN95">
        <v>21.042000000000002</v>
      </c>
      <c r="AO95">
        <v>22</v>
      </c>
    </row>
    <row r="96" spans="1:41" x14ac:dyDescent="0.2">
      <c r="A96" t="s">
        <v>17</v>
      </c>
      <c r="B96" t="s">
        <v>26</v>
      </c>
      <c r="C96" s="2">
        <v>256545</v>
      </c>
      <c r="D96">
        <v>40.207999999999998</v>
      </c>
      <c r="E96">
        <v>10</v>
      </c>
      <c r="G96" t="s">
        <v>17</v>
      </c>
      <c r="H96" t="s">
        <v>26</v>
      </c>
      <c r="I96" s="2">
        <v>256545</v>
      </c>
      <c r="J96">
        <v>40.207999999999998</v>
      </c>
      <c r="K96">
        <v>10</v>
      </c>
      <c r="M96" t="s">
        <v>17</v>
      </c>
      <c r="N96" t="s">
        <v>27</v>
      </c>
      <c r="O96" s="2">
        <v>265791159</v>
      </c>
      <c r="P96">
        <v>9.827</v>
      </c>
      <c r="Q96">
        <v>216</v>
      </c>
      <c r="S96" t="s">
        <v>17</v>
      </c>
      <c r="T96" t="s">
        <v>30</v>
      </c>
      <c r="U96" s="2">
        <v>2168495</v>
      </c>
      <c r="V96">
        <v>13.898</v>
      </c>
      <c r="W96">
        <v>96</v>
      </c>
      <c r="Y96" t="s">
        <v>24</v>
      </c>
      <c r="Z96" t="s">
        <v>27</v>
      </c>
      <c r="AA96" s="2">
        <v>15955</v>
      </c>
      <c r="AB96">
        <v>99.64</v>
      </c>
      <c r="AC96">
        <v>1</v>
      </c>
      <c r="AE96" t="s">
        <v>14</v>
      </c>
      <c r="AF96" t="s">
        <v>31</v>
      </c>
      <c r="AG96" s="2">
        <v>133184</v>
      </c>
      <c r="AH96">
        <v>24.186</v>
      </c>
      <c r="AI96">
        <v>22</v>
      </c>
      <c r="AK96" t="s">
        <v>24</v>
      </c>
      <c r="AL96" t="s">
        <v>27</v>
      </c>
      <c r="AM96" s="2">
        <v>11787</v>
      </c>
      <c r="AN96">
        <v>70.507000000000005</v>
      </c>
      <c r="AO96">
        <v>2</v>
      </c>
    </row>
    <row r="97" spans="1:41" x14ac:dyDescent="0.2">
      <c r="A97" t="s">
        <v>17</v>
      </c>
      <c r="B97" t="s">
        <v>27</v>
      </c>
      <c r="C97" s="2">
        <v>6221413</v>
      </c>
      <c r="D97">
        <v>9.4700000000000006</v>
      </c>
      <c r="E97">
        <v>252</v>
      </c>
      <c r="G97" t="s">
        <v>17</v>
      </c>
      <c r="H97" t="s">
        <v>27</v>
      </c>
      <c r="I97" s="2">
        <v>6221413</v>
      </c>
      <c r="J97">
        <v>9.4700000000000006</v>
      </c>
      <c r="K97">
        <v>252</v>
      </c>
      <c r="M97" t="s">
        <v>17</v>
      </c>
      <c r="N97" t="s">
        <v>28</v>
      </c>
      <c r="O97" s="2">
        <v>122868283</v>
      </c>
      <c r="P97">
        <v>13.454000000000001</v>
      </c>
      <c r="Q97">
        <v>96</v>
      </c>
      <c r="S97" t="s">
        <v>17</v>
      </c>
      <c r="T97" t="s">
        <v>31</v>
      </c>
      <c r="U97" s="2">
        <v>712993</v>
      </c>
      <c r="V97">
        <v>21.41</v>
      </c>
      <c r="W97">
        <v>42</v>
      </c>
      <c r="Y97" t="s">
        <v>15</v>
      </c>
      <c r="Z97" t="s">
        <v>27</v>
      </c>
      <c r="AA97" s="2">
        <v>184643</v>
      </c>
      <c r="AB97">
        <v>25.396000000000001</v>
      </c>
      <c r="AC97">
        <v>35</v>
      </c>
      <c r="AE97" t="s">
        <v>24</v>
      </c>
      <c r="AF97" t="s">
        <v>27</v>
      </c>
      <c r="AG97" s="2">
        <v>24353</v>
      </c>
      <c r="AH97">
        <v>71.081999999999994</v>
      </c>
      <c r="AI97">
        <v>2</v>
      </c>
      <c r="AK97" t="s">
        <v>15</v>
      </c>
      <c r="AL97" t="s">
        <v>27</v>
      </c>
      <c r="AM97" s="2">
        <v>205206</v>
      </c>
      <c r="AN97">
        <v>16.314</v>
      </c>
      <c r="AO97">
        <v>41</v>
      </c>
    </row>
    <row r="98" spans="1:41" x14ac:dyDescent="0.2">
      <c r="A98" t="s">
        <v>17</v>
      </c>
      <c r="B98" t="s">
        <v>28</v>
      </c>
      <c r="C98" s="2">
        <v>2906161</v>
      </c>
      <c r="D98">
        <v>13.034000000000001</v>
      </c>
      <c r="E98">
        <v>99</v>
      </c>
      <c r="G98" t="s">
        <v>17</v>
      </c>
      <c r="H98" t="s">
        <v>28</v>
      </c>
      <c r="I98" s="2">
        <v>2906161</v>
      </c>
      <c r="J98">
        <v>13.034000000000001</v>
      </c>
      <c r="K98">
        <v>99</v>
      </c>
      <c r="M98" t="s">
        <v>17</v>
      </c>
      <c r="N98" t="s">
        <v>29</v>
      </c>
      <c r="O98" s="2">
        <v>159671964</v>
      </c>
      <c r="P98">
        <v>12.677</v>
      </c>
      <c r="Q98">
        <v>104</v>
      </c>
      <c r="S98" t="s">
        <v>17</v>
      </c>
      <c r="T98" t="s">
        <v>32</v>
      </c>
      <c r="U98" s="2">
        <v>693010</v>
      </c>
      <c r="V98">
        <v>23.030999999999999</v>
      </c>
      <c r="W98">
        <v>31</v>
      </c>
      <c r="Y98" t="s">
        <v>15</v>
      </c>
      <c r="Z98" t="s">
        <v>28</v>
      </c>
      <c r="AA98" s="2">
        <v>88722</v>
      </c>
      <c r="AB98">
        <v>35.095999999999997</v>
      </c>
      <c r="AC98">
        <v>24</v>
      </c>
      <c r="AE98" t="s">
        <v>15</v>
      </c>
      <c r="AF98" t="s">
        <v>27</v>
      </c>
      <c r="AG98" s="2">
        <v>596540</v>
      </c>
      <c r="AH98">
        <v>19.605</v>
      </c>
      <c r="AI98">
        <v>41</v>
      </c>
      <c r="AK98" t="s">
        <v>15</v>
      </c>
      <c r="AL98" t="s">
        <v>28</v>
      </c>
      <c r="AM98" s="2">
        <v>190016</v>
      </c>
      <c r="AN98">
        <v>17.129000000000001</v>
      </c>
      <c r="AO98">
        <v>35</v>
      </c>
    </row>
    <row r="99" spans="1:41" x14ac:dyDescent="0.2">
      <c r="A99" t="s">
        <v>17</v>
      </c>
      <c r="B99" t="s">
        <v>29</v>
      </c>
      <c r="C99" s="2">
        <v>3767984</v>
      </c>
      <c r="D99">
        <v>12.377000000000001</v>
      </c>
      <c r="E99">
        <v>108</v>
      </c>
      <c r="G99" t="s">
        <v>17</v>
      </c>
      <c r="H99" t="s">
        <v>29</v>
      </c>
      <c r="I99" s="2">
        <v>3767984</v>
      </c>
      <c r="J99">
        <v>12.377000000000001</v>
      </c>
      <c r="K99">
        <v>108</v>
      </c>
      <c r="M99" t="s">
        <v>17</v>
      </c>
      <c r="N99" t="s">
        <v>30</v>
      </c>
      <c r="O99" s="2">
        <v>179846671</v>
      </c>
      <c r="P99">
        <v>12.359</v>
      </c>
      <c r="Q99">
        <v>107</v>
      </c>
      <c r="S99" t="s">
        <v>18</v>
      </c>
      <c r="T99" t="s">
        <v>26</v>
      </c>
      <c r="U99" s="2">
        <v>31046</v>
      </c>
      <c r="V99">
        <v>98.661000000000001</v>
      </c>
      <c r="W99">
        <v>2</v>
      </c>
      <c r="Y99" t="s">
        <v>15</v>
      </c>
      <c r="Z99" t="s">
        <v>29</v>
      </c>
      <c r="AA99" s="2">
        <v>24807</v>
      </c>
      <c r="AB99">
        <v>49.006</v>
      </c>
      <c r="AC99">
        <v>6</v>
      </c>
      <c r="AE99" t="s">
        <v>15</v>
      </c>
      <c r="AF99" t="s">
        <v>28</v>
      </c>
      <c r="AG99" s="2">
        <v>336721</v>
      </c>
      <c r="AH99">
        <v>22.507000000000001</v>
      </c>
      <c r="AI99">
        <v>35</v>
      </c>
      <c r="AK99" t="s">
        <v>15</v>
      </c>
      <c r="AL99" t="s">
        <v>29</v>
      </c>
      <c r="AM99" s="2">
        <v>40325</v>
      </c>
      <c r="AN99">
        <v>36.173999999999999</v>
      </c>
      <c r="AO99">
        <v>8</v>
      </c>
    </row>
    <row r="100" spans="1:41" x14ac:dyDescent="0.2">
      <c r="A100" t="s">
        <v>17</v>
      </c>
      <c r="B100" t="s">
        <v>30</v>
      </c>
      <c r="C100" s="2">
        <v>4162218</v>
      </c>
      <c r="D100">
        <v>11.981999999999999</v>
      </c>
      <c r="E100">
        <v>117</v>
      </c>
      <c r="G100" t="s">
        <v>17</v>
      </c>
      <c r="H100" t="s">
        <v>30</v>
      </c>
      <c r="I100" s="2">
        <v>4162218</v>
      </c>
      <c r="J100">
        <v>11.981999999999999</v>
      </c>
      <c r="K100">
        <v>117</v>
      </c>
      <c r="M100" t="s">
        <v>17</v>
      </c>
      <c r="N100" t="s">
        <v>31</v>
      </c>
      <c r="O100" s="2">
        <v>63449282</v>
      </c>
      <c r="P100">
        <v>18.882000000000001</v>
      </c>
      <c r="Q100">
        <v>61</v>
      </c>
      <c r="S100" t="s">
        <v>18</v>
      </c>
      <c r="T100" t="s">
        <v>27</v>
      </c>
      <c r="U100" s="2">
        <v>310457</v>
      </c>
      <c r="V100">
        <v>27.018999999999998</v>
      </c>
      <c r="W100">
        <v>32</v>
      </c>
      <c r="Y100" t="s">
        <v>15</v>
      </c>
      <c r="Z100" t="s">
        <v>30</v>
      </c>
      <c r="AA100" s="2">
        <v>208596</v>
      </c>
      <c r="AB100">
        <v>29.181999999999999</v>
      </c>
      <c r="AC100">
        <v>32</v>
      </c>
      <c r="AE100" t="s">
        <v>15</v>
      </c>
      <c r="AF100" t="s">
        <v>29</v>
      </c>
      <c r="AG100" s="2">
        <v>134693</v>
      </c>
      <c r="AH100">
        <v>40.277999999999999</v>
      </c>
      <c r="AI100">
        <v>8</v>
      </c>
      <c r="AK100" t="s">
        <v>15</v>
      </c>
      <c r="AL100" t="s">
        <v>30</v>
      </c>
      <c r="AM100" s="2">
        <v>249336</v>
      </c>
      <c r="AN100">
        <v>14.884</v>
      </c>
      <c r="AO100">
        <v>47</v>
      </c>
    </row>
    <row r="101" spans="1:41" x14ac:dyDescent="0.2">
      <c r="A101" t="s">
        <v>17</v>
      </c>
      <c r="B101" t="s">
        <v>31</v>
      </c>
      <c r="C101" s="2">
        <v>1558085</v>
      </c>
      <c r="D101">
        <v>17.483000000000001</v>
      </c>
      <c r="E101">
        <v>64</v>
      </c>
      <c r="G101" t="s">
        <v>17</v>
      </c>
      <c r="H101" t="s">
        <v>31</v>
      </c>
      <c r="I101" s="2">
        <v>1558085</v>
      </c>
      <c r="J101">
        <v>17.483000000000001</v>
      </c>
      <c r="K101">
        <v>64</v>
      </c>
      <c r="M101" t="s">
        <v>17</v>
      </c>
      <c r="N101" t="s">
        <v>32</v>
      </c>
      <c r="O101" s="2">
        <v>52117739</v>
      </c>
      <c r="P101">
        <v>23.143999999999998</v>
      </c>
      <c r="Q101">
        <v>47</v>
      </c>
      <c r="S101" t="s">
        <v>18</v>
      </c>
      <c r="T101" t="s">
        <v>28</v>
      </c>
      <c r="U101" s="2">
        <v>6471</v>
      </c>
      <c r="V101">
        <v>56.338999999999999</v>
      </c>
      <c r="W101">
        <v>4</v>
      </c>
      <c r="Y101" t="s">
        <v>15</v>
      </c>
      <c r="Z101" t="s">
        <v>31</v>
      </c>
      <c r="AA101" s="2">
        <v>80629</v>
      </c>
      <c r="AB101">
        <v>41.768000000000001</v>
      </c>
      <c r="AC101">
        <v>11</v>
      </c>
      <c r="AE101" t="s">
        <v>15</v>
      </c>
      <c r="AF101" t="s">
        <v>30</v>
      </c>
      <c r="AG101" s="2">
        <v>538666</v>
      </c>
      <c r="AH101">
        <v>18.887</v>
      </c>
      <c r="AI101">
        <v>46</v>
      </c>
      <c r="AK101" t="s">
        <v>15</v>
      </c>
      <c r="AL101" t="s">
        <v>31</v>
      </c>
      <c r="AM101" s="2">
        <v>74912</v>
      </c>
      <c r="AN101">
        <v>27.785</v>
      </c>
      <c r="AO101">
        <v>14</v>
      </c>
    </row>
    <row r="102" spans="1:41" x14ac:dyDescent="0.2">
      <c r="A102" t="s">
        <v>17</v>
      </c>
      <c r="B102" t="s">
        <v>32</v>
      </c>
      <c r="C102" s="2">
        <v>1138388</v>
      </c>
      <c r="D102">
        <v>22.302</v>
      </c>
      <c r="E102">
        <v>52</v>
      </c>
      <c r="G102" t="s">
        <v>17</v>
      </c>
      <c r="H102" t="s">
        <v>32</v>
      </c>
      <c r="I102" s="2">
        <v>1138388</v>
      </c>
      <c r="J102">
        <v>22.302</v>
      </c>
      <c r="K102">
        <v>52</v>
      </c>
      <c r="M102" t="s">
        <v>18</v>
      </c>
      <c r="N102" t="s">
        <v>26</v>
      </c>
      <c r="O102" s="2">
        <v>2198514</v>
      </c>
      <c r="P102">
        <v>96.804000000000002</v>
      </c>
      <c r="Q102">
        <v>2</v>
      </c>
      <c r="S102" t="s">
        <v>18</v>
      </c>
      <c r="T102" t="s">
        <v>29</v>
      </c>
      <c r="U102" s="2">
        <v>133415</v>
      </c>
      <c r="V102">
        <v>44.604999999999997</v>
      </c>
      <c r="W102">
        <v>10</v>
      </c>
      <c r="Y102" t="s">
        <v>15</v>
      </c>
      <c r="Z102" t="s">
        <v>32</v>
      </c>
      <c r="AA102" s="2">
        <v>110624</v>
      </c>
      <c r="AB102">
        <v>34.616</v>
      </c>
      <c r="AC102">
        <v>18</v>
      </c>
      <c r="AE102" t="s">
        <v>15</v>
      </c>
      <c r="AF102" t="s">
        <v>31</v>
      </c>
      <c r="AG102" s="2">
        <v>101132</v>
      </c>
      <c r="AH102">
        <v>31.91</v>
      </c>
      <c r="AI102">
        <v>14</v>
      </c>
      <c r="AK102" t="s">
        <v>15</v>
      </c>
      <c r="AL102" t="s">
        <v>32</v>
      </c>
      <c r="AM102" s="2">
        <v>120909</v>
      </c>
      <c r="AN102">
        <v>21.273</v>
      </c>
      <c r="AO102">
        <v>24</v>
      </c>
    </row>
    <row r="103" spans="1:41" x14ac:dyDescent="0.2">
      <c r="A103" t="s">
        <v>18</v>
      </c>
      <c r="B103" t="s">
        <v>26</v>
      </c>
      <c r="C103" s="2">
        <v>53552</v>
      </c>
      <c r="D103">
        <v>96.760999999999996</v>
      </c>
      <c r="E103">
        <v>2</v>
      </c>
      <c r="G103" t="s">
        <v>18</v>
      </c>
      <c r="H103" t="s">
        <v>26</v>
      </c>
      <c r="I103" s="2">
        <v>53552</v>
      </c>
      <c r="J103">
        <v>96.760999999999996</v>
      </c>
      <c r="K103">
        <v>2</v>
      </c>
      <c r="M103" t="s">
        <v>18</v>
      </c>
      <c r="N103" t="s">
        <v>27</v>
      </c>
      <c r="O103" s="2">
        <v>30332129</v>
      </c>
      <c r="P103">
        <v>22.7</v>
      </c>
      <c r="Q103">
        <v>53</v>
      </c>
      <c r="S103" t="s">
        <v>18</v>
      </c>
      <c r="T103" t="s">
        <v>30</v>
      </c>
      <c r="U103" s="2">
        <v>30096</v>
      </c>
      <c r="V103">
        <v>52.389000000000003</v>
      </c>
      <c r="W103">
        <v>5</v>
      </c>
      <c r="Y103" t="s">
        <v>16</v>
      </c>
      <c r="Z103" t="s">
        <v>27</v>
      </c>
      <c r="AA103" s="2">
        <v>129161</v>
      </c>
      <c r="AB103">
        <v>37.052999999999997</v>
      </c>
      <c r="AC103">
        <v>21</v>
      </c>
      <c r="AE103" t="s">
        <v>15</v>
      </c>
      <c r="AF103" t="s">
        <v>32</v>
      </c>
      <c r="AG103" s="2">
        <v>195456</v>
      </c>
      <c r="AH103">
        <v>24.184000000000001</v>
      </c>
      <c r="AI103">
        <v>23</v>
      </c>
      <c r="AK103" t="s">
        <v>16</v>
      </c>
      <c r="AL103" t="s">
        <v>27</v>
      </c>
      <c r="AM103" s="2">
        <v>135450</v>
      </c>
      <c r="AN103">
        <v>19.099</v>
      </c>
      <c r="AO103">
        <v>31</v>
      </c>
    </row>
    <row r="104" spans="1:41" x14ac:dyDescent="0.2">
      <c r="A104" t="s">
        <v>18</v>
      </c>
      <c r="B104" t="s">
        <v>27</v>
      </c>
      <c r="C104" s="2">
        <v>1311326</v>
      </c>
      <c r="D104">
        <v>16.972000000000001</v>
      </c>
      <c r="E104">
        <v>79</v>
      </c>
      <c r="G104" t="s">
        <v>18</v>
      </c>
      <c r="H104" t="s">
        <v>27</v>
      </c>
      <c r="I104" s="2">
        <v>793562</v>
      </c>
      <c r="J104">
        <v>20.356999999999999</v>
      </c>
      <c r="K104">
        <v>63</v>
      </c>
      <c r="M104" t="s">
        <v>18</v>
      </c>
      <c r="N104" t="s">
        <v>28</v>
      </c>
      <c r="O104" s="2">
        <v>1167527</v>
      </c>
      <c r="P104">
        <v>40.1</v>
      </c>
      <c r="Q104">
        <v>8</v>
      </c>
      <c r="S104" t="s">
        <v>18</v>
      </c>
      <c r="T104" t="s">
        <v>31</v>
      </c>
      <c r="U104" s="2">
        <v>65134</v>
      </c>
      <c r="V104">
        <v>49.52</v>
      </c>
      <c r="W104">
        <v>7</v>
      </c>
      <c r="Y104" t="s">
        <v>16</v>
      </c>
      <c r="Z104" t="s">
        <v>28</v>
      </c>
      <c r="AA104" s="2">
        <v>29084</v>
      </c>
      <c r="AB104">
        <v>46.85</v>
      </c>
      <c r="AC104">
        <v>6</v>
      </c>
      <c r="AE104" t="s">
        <v>16</v>
      </c>
      <c r="AF104" t="s">
        <v>27</v>
      </c>
      <c r="AG104" s="2">
        <v>404922</v>
      </c>
      <c r="AH104">
        <v>21.106999999999999</v>
      </c>
      <c r="AI104">
        <v>31</v>
      </c>
      <c r="AK104" t="s">
        <v>16</v>
      </c>
      <c r="AL104" t="s">
        <v>28</v>
      </c>
      <c r="AM104" s="2">
        <v>27764</v>
      </c>
      <c r="AN104">
        <v>44.11</v>
      </c>
      <c r="AO104">
        <v>6</v>
      </c>
    </row>
    <row r="105" spans="1:41" x14ac:dyDescent="0.2">
      <c r="A105" t="s">
        <v>18</v>
      </c>
      <c r="B105" t="s">
        <v>28</v>
      </c>
      <c r="C105" s="2">
        <v>64142</v>
      </c>
      <c r="D105">
        <v>45.725000000000001</v>
      </c>
      <c r="E105">
        <v>13</v>
      </c>
      <c r="G105" t="s">
        <v>18</v>
      </c>
      <c r="H105" t="s">
        <v>28</v>
      </c>
      <c r="I105" s="2">
        <v>28573</v>
      </c>
      <c r="J105">
        <v>36.744</v>
      </c>
      <c r="K105">
        <v>11</v>
      </c>
      <c r="M105" t="s">
        <v>18</v>
      </c>
      <c r="N105" t="s">
        <v>29</v>
      </c>
      <c r="O105" s="2">
        <v>10486244</v>
      </c>
      <c r="P105">
        <v>43.576000000000001</v>
      </c>
      <c r="Q105">
        <v>17</v>
      </c>
      <c r="S105" t="s">
        <v>18</v>
      </c>
      <c r="T105" t="s">
        <v>32</v>
      </c>
      <c r="U105" s="2">
        <v>44214</v>
      </c>
      <c r="V105">
        <v>53.360999999999997</v>
      </c>
      <c r="W105">
        <v>6</v>
      </c>
      <c r="Y105" t="s">
        <v>16</v>
      </c>
      <c r="Z105" t="s">
        <v>29</v>
      </c>
      <c r="AA105" s="2">
        <v>16407</v>
      </c>
      <c r="AB105">
        <v>78.936000000000007</v>
      </c>
      <c r="AC105">
        <v>6</v>
      </c>
      <c r="AE105" t="s">
        <v>16</v>
      </c>
      <c r="AF105" t="s">
        <v>28</v>
      </c>
      <c r="AG105" s="2">
        <v>118464</v>
      </c>
      <c r="AH105">
        <v>47.384</v>
      </c>
      <c r="AI105">
        <v>6</v>
      </c>
      <c r="AK105" t="s">
        <v>16</v>
      </c>
      <c r="AL105" t="s">
        <v>29</v>
      </c>
      <c r="AM105" s="2">
        <v>23603</v>
      </c>
      <c r="AN105">
        <v>43.076999999999998</v>
      </c>
      <c r="AO105">
        <v>7</v>
      </c>
    </row>
    <row r="106" spans="1:41" x14ac:dyDescent="0.2">
      <c r="A106" t="s">
        <v>18</v>
      </c>
      <c r="B106" t="s">
        <v>29</v>
      </c>
      <c r="C106" s="2">
        <v>331440</v>
      </c>
      <c r="D106">
        <v>35.606999999999999</v>
      </c>
      <c r="E106">
        <v>24</v>
      </c>
      <c r="G106" t="s">
        <v>18</v>
      </c>
      <c r="H106" t="s">
        <v>29</v>
      </c>
      <c r="I106" s="2">
        <v>249384</v>
      </c>
      <c r="J106">
        <v>39.915999999999997</v>
      </c>
      <c r="K106">
        <v>22</v>
      </c>
      <c r="M106" t="s">
        <v>18</v>
      </c>
      <c r="N106" t="s">
        <v>30</v>
      </c>
      <c r="O106" s="2">
        <v>4702507</v>
      </c>
      <c r="P106">
        <v>44.665999999999997</v>
      </c>
      <c r="Q106">
        <v>10</v>
      </c>
      <c r="Y106" t="s">
        <v>16</v>
      </c>
      <c r="Z106" t="s">
        <v>30</v>
      </c>
      <c r="AA106" s="2">
        <v>6358</v>
      </c>
      <c r="AB106">
        <v>66.081000000000003</v>
      </c>
      <c r="AC106">
        <v>3</v>
      </c>
      <c r="AE106" t="s">
        <v>16</v>
      </c>
      <c r="AF106" t="s">
        <v>29</v>
      </c>
      <c r="AG106" s="2">
        <v>62417</v>
      </c>
      <c r="AH106">
        <v>52.209000000000003</v>
      </c>
      <c r="AI106">
        <v>7</v>
      </c>
      <c r="AK106" t="s">
        <v>16</v>
      </c>
      <c r="AL106" t="s">
        <v>30</v>
      </c>
      <c r="AM106" s="2">
        <v>27994</v>
      </c>
      <c r="AN106">
        <v>45.351999999999997</v>
      </c>
      <c r="AO106">
        <v>5</v>
      </c>
    </row>
    <row r="107" spans="1:41" x14ac:dyDescent="0.2">
      <c r="A107" t="s">
        <v>18</v>
      </c>
      <c r="B107" t="s">
        <v>30</v>
      </c>
      <c r="C107" s="2">
        <v>139440</v>
      </c>
      <c r="D107">
        <v>41.588000000000001</v>
      </c>
      <c r="E107">
        <v>11</v>
      </c>
      <c r="G107" t="s">
        <v>18</v>
      </c>
      <c r="H107" t="s">
        <v>30</v>
      </c>
      <c r="I107" s="2">
        <v>127972</v>
      </c>
      <c r="J107">
        <v>43.31</v>
      </c>
      <c r="K107">
        <v>11</v>
      </c>
      <c r="M107" t="s">
        <v>18</v>
      </c>
      <c r="N107" t="s">
        <v>31</v>
      </c>
      <c r="O107" s="2">
        <v>6638671</v>
      </c>
      <c r="P107">
        <v>45.874000000000002</v>
      </c>
      <c r="Q107">
        <v>8</v>
      </c>
      <c r="Y107" t="s">
        <v>16</v>
      </c>
      <c r="Z107" t="s">
        <v>31</v>
      </c>
      <c r="AA107" s="2">
        <v>32932</v>
      </c>
      <c r="AB107">
        <v>66.072999999999993</v>
      </c>
      <c r="AC107">
        <v>3</v>
      </c>
      <c r="AE107" t="s">
        <v>16</v>
      </c>
      <c r="AF107" t="s">
        <v>30</v>
      </c>
      <c r="AG107" s="2">
        <v>62613</v>
      </c>
      <c r="AH107">
        <v>53.478999999999999</v>
      </c>
      <c r="AI107">
        <v>5</v>
      </c>
      <c r="AK107" t="s">
        <v>16</v>
      </c>
      <c r="AL107" t="s">
        <v>31</v>
      </c>
      <c r="AM107" s="2">
        <v>14592</v>
      </c>
      <c r="AN107">
        <v>58.884999999999998</v>
      </c>
      <c r="AO107">
        <v>3</v>
      </c>
    </row>
    <row r="108" spans="1:41" x14ac:dyDescent="0.2">
      <c r="A108" t="s">
        <v>18</v>
      </c>
      <c r="B108" t="s">
        <v>31</v>
      </c>
      <c r="C108" s="2">
        <v>169932</v>
      </c>
      <c r="D108">
        <v>43.094999999999999</v>
      </c>
      <c r="E108">
        <v>8</v>
      </c>
      <c r="G108" t="s">
        <v>18</v>
      </c>
      <c r="H108" t="s">
        <v>31</v>
      </c>
      <c r="I108" s="2">
        <v>152977</v>
      </c>
      <c r="J108">
        <v>45.868000000000002</v>
      </c>
      <c r="K108">
        <v>8</v>
      </c>
      <c r="M108" t="s">
        <v>18</v>
      </c>
      <c r="N108" t="s">
        <v>32</v>
      </c>
      <c r="O108" s="2">
        <v>4179207</v>
      </c>
      <c r="P108">
        <v>43.825000000000003</v>
      </c>
      <c r="Q108">
        <v>12</v>
      </c>
      <c r="Y108" t="s">
        <v>16</v>
      </c>
      <c r="Z108" t="s">
        <v>32</v>
      </c>
      <c r="AA108" s="2">
        <v>14037</v>
      </c>
      <c r="AB108">
        <v>47.423999999999999</v>
      </c>
      <c r="AC108">
        <v>8</v>
      </c>
      <c r="AE108" t="s">
        <v>16</v>
      </c>
      <c r="AF108" t="s">
        <v>31</v>
      </c>
      <c r="AG108" s="2">
        <v>82469</v>
      </c>
      <c r="AH108">
        <v>63.375</v>
      </c>
      <c r="AI108">
        <v>3</v>
      </c>
      <c r="AK108" t="s">
        <v>16</v>
      </c>
      <c r="AL108" t="s">
        <v>32</v>
      </c>
      <c r="AM108" s="2">
        <v>53935</v>
      </c>
      <c r="AN108">
        <v>32.911000000000001</v>
      </c>
      <c r="AO108">
        <v>9</v>
      </c>
    </row>
    <row r="109" spans="1:41" x14ac:dyDescent="0.2">
      <c r="Y109" t="s">
        <v>17</v>
      </c>
      <c r="Z109" t="s">
        <v>26</v>
      </c>
      <c r="AA109" s="2">
        <v>77461</v>
      </c>
      <c r="AB109">
        <v>47.985999999999997</v>
      </c>
      <c r="AC109">
        <v>14</v>
      </c>
      <c r="AE109" t="s">
        <v>16</v>
      </c>
      <c r="AF109" t="s">
        <v>32</v>
      </c>
      <c r="AG109" s="2">
        <v>76068</v>
      </c>
      <c r="AH109">
        <v>36.941000000000003</v>
      </c>
      <c r="AI109">
        <v>9</v>
      </c>
      <c r="AK109" t="s">
        <v>17</v>
      </c>
      <c r="AL109" t="s">
        <v>26</v>
      </c>
      <c r="AM109" s="2">
        <v>105554</v>
      </c>
      <c r="AN109">
        <v>22.951000000000001</v>
      </c>
      <c r="AO109">
        <v>21</v>
      </c>
    </row>
    <row r="110" spans="1:41" x14ac:dyDescent="0.2">
      <c r="Y110" t="s">
        <v>17</v>
      </c>
      <c r="Z110" t="s">
        <v>27</v>
      </c>
      <c r="AA110" s="2">
        <v>3609433</v>
      </c>
      <c r="AB110">
        <v>4.8019999999999996</v>
      </c>
      <c r="AC110">
        <v>852</v>
      </c>
      <c r="AE110" t="s">
        <v>17</v>
      </c>
      <c r="AF110" t="s">
        <v>26</v>
      </c>
      <c r="AG110" s="2">
        <v>295849</v>
      </c>
      <c r="AH110">
        <v>24.942</v>
      </c>
      <c r="AI110">
        <v>21</v>
      </c>
      <c r="AK110" t="s">
        <v>17</v>
      </c>
      <c r="AL110" t="s">
        <v>27</v>
      </c>
      <c r="AM110" s="2">
        <v>5605587</v>
      </c>
      <c r="AN110">
        <v>1.9810000000000001</v>
      </c>
      <c r="AO110" s="2">
        <v>1140</v>
      </c>
    </row>
    <row r="111" spans="1:41" x14ac:dyDescent="0.2">
      <c r="Y111" t="s">
        <v>17</v>
      </c>
      <c r="Z111" t="s">
        <v>28</v>
      </c>
      <c r="AA111" s="2">
        <v>809578</v>
      </c>
      <c r="AB111">
        <v>9.4710000000000001</v>
      </c>
      <c r="AC111">
        <v>233</v>
      </c>
      <c r="AE111" t="s">
        <v>17</v>
      </c>
      <c r="AF111" t="s">
        <v>27</v>
      </c>
      <c r="AG111" s="2">
        <v>16315297</v>
      </c>
      <c r="AH111">
        <v>2.7709999999999999</v>
      </c>
      <c r="AI111" s="2">
        <v>1124</v>
      </c>
      <c r="AK111" t="s">
        <v>17</v>
      </c>
      <c r="AL111" t="s">
        <v>28</v>
      </c>
      <c r="AM111" s="2">
        <v>1806286</v>
      </c>
      <c r="AN111">
        <v>4.6609999999999996</v>
      </c>
      <c r="AO111">
        <v>353</v>
      </c>
    </row>
    <row r="112" spans="1:41" x14ac:dyDescent="0.2">
      <c r="Y112" t="s">
        <v>17</v>
      </c>
      <c r="Z112" t="s">
        <v>29</v>
      </c>
      <c r="AA112" s="2">
        <v>1397872</v>
      </c>
      <c r="AB112">
        <v>8.6349999999999998</v>
      </c>
      <c r="AC112">
        <v>294</v>
      </c>
      <c r="AE112" t="s">
        <v>17</v>
      </c>
      <c r="AF112" t="s">
        <v>28</v>
      </c>
      <c r="AG112" s="2">
        <v>4718957</v>
      </c>
      <c r="AH112">
        <v>6.0659999999999998</v>
      </c>
      <c r="AI112">
        <v>348</v>
      </c>
      <c r="AK112" t="s">
        <v>17</v>
      </c>
      <c r="AL112" t="s">
        <v>29</v>
      </c>
      <c r="AM112" s="2">
        <v>1997849</v>
      </c>
      <c r="AN112">
        <v>4.6130000000000004</v>
      </c>
      <c r="AO112">
        <v>422</v>
      </c>
    </row>
    <row r="113" spans="1:41" x14ac:dyDescent="0.2">
      <c r="Y113" t="s">
        <v>17</v>
      </c>
      <c r="Z113" t="s">
        <v>30</v>
      </c>
      <c r="AA113" s="2">
        <v>1507334</v>
      </c>
      <c r="AB113">
        <v>7.7610000000000001</v>
      </c>
      <c r="AC113">
        <v>309</v>
      </c>
      <c r="AE113" t="s">
        <v>17</v>
      </c>
      <c r="AF113" t="s">
        <v>29</v>
      </c>
      <c r="AG113" s="2">
        <v>6370324</v>
      </c>
      <c r="AH113">
        <v>5.4349999999999996</v>
      </c>
      <c r="AI113">
        <v>416</v>
      </c>
      <c r="AK113" t="s">
        <v>17</v>
      </c>
      <c r="AL113" t="s">
        <v>30</v>
      </c>
      <c r="AM113" s="2">
        <v>2410032</v>
      </c>
      <c r="AN113">
        <v>3.6920000000000002</v>
      </c>
      <c r="AO113">
        <v>453</v>
      </c>
    </row>
    <row r="114" spans="1:41" x14ac:dyDescent="0.2">
      <c r="Y114" t="s">
        <v>17</v>
      </c>
      <c r="Z114" t="s">
        <v>31</v>
      </c>
      <c r="AA114" s="2">
        <v>640460</v>
      </c>
      <c r="AB114">
        <v>12.477</v>
      </c>
      <c r="AC114">
        <v>157</v>
      </c>
      <c r="AE114" t="s">
        <v>17</v>
      </c>
      <c r="AF114" t="s">
        <v>30</v>
      </c>
      <c r="AG114" s="2">
        <v>7177755</v>
      </c>
      <c r="AH114">
        <v>4.8230000000000004</v>
      </c>
      <c r="AI114">
        <v>446</v>
      </c>
      <c r="AK114" t="s">
        <v>17</v>
      </c>
      <c r="AL114" t="s">
        <v>31</v>
      </c>
      <c r="AM114" s="2">
        <v>1166083</v>
      </c>
      <c r="AN114">
        <v>6.2569999999999997</v>
      </c>
      <c r="AO114">
        <v>227</v>
      </c>
    </row>
    <row r="115" spans="1:41" x14ac:dyDescent="0.2">
      <c r="Y115" t="s">
        <v>17</v>
      </c>
      <c r="Z115" t="s">
        <v>32</v>
      </c>
      <c r="AA115" s="2">
        <v>1685375</v>
      </c>
      <c r="AB115">
        <v>7.3319999999999999</v>
      </c>
      <c r="AC115">
        <v>350</v>
      </c>
      <c r="AE115" t="s">
        <v>17</v>
      </c>
      <c r="AF115" t="s">
        <v>31</v>
      </c>
      <c r="AG115" s="2">
        <v>3114016</v>
      </c>
      <c r="AH115">
        <v>7.7220000000000004</v>
      </c>
      <c r="AI115">
        <v>225</v>
      </c>
      <c r="AK115" t="s">
        <v>17</v>
      </c>
      <c r="AL115" t="s">
        <v>32</v>
      </c>
      <c r="AM115" s="2">
        <v>2363355</v>
      </c>
      <c r="AN115">
        <v>2.8170000000000002</v>
      </c>
      <c r="AO115">
        <v>449</v>
      </c>
    </row>
    <row r="116" spans="1:41" x14ac:dyDescent="0.2">
      <c r="Y116" t="s">
        <v>18</v>
      </c>
      <c r="Z116" t="s">
        <v>27</v>
      </c>
      <c r="AA116" s="2">
        <v>36274</v>
      </c>
      <c r="AB116">
        <v>55.354999999999997</v>
      </c>
      <c r="AC116">
        <v>7</v>
      </c>
      <c r="AE116" t="s">
        <v>17</v>
      </c>
      <c r="AF116" t="s">
        <v>32</v>
      </c>
      <c r="AG116" s="2">
        <v>4629843</v>
      </c>
      <c r="AH116">
        <v>3.7</v>
      </c>
      <c r="AI116">
        <v>435</v>
      </c>
    </row>
    <row r="117" spans="1:41" x14ac:dyDescent="0.2">
      <c r="Y117" t="s">
        <v>18</v>
      </c>
      <c r="Z117" t="s">
        <v>28</v>
      </c>
      <c r="AA117" s="2">
        <v>1351</v>
      </c>
      <c r="AB117">
        <v>90.718999999999994</v>
      </c>
      <c r="AC117">
        <v>2</v>
      </c>
      <c r="AE117" t="s">
        <v>18</v>
      </c>
      <c r="AF117" t="s">
        <v>26</v>
      </c>
      <c r="AG117" s="2">
        <v>4012</v>
      </c>
      <c r="AH117">
        <v>83.962000000000003</v>
      </c>
      <c r="AI117">
        <v>2</v>
      </c>
    </row>
    <row r="118" spans="1:41" x14ac:dyDescent="0.2">
      <c r="Y118" t="s">
        <v>18</v>
      </c>
      <c r="Z118" t="s">
        <v>29</v>
      </c>
      <c r="AA118" s="2">
        <v>8764</v>
      </c>
      <c r="AB118">
        <v>97.444999999999993</v>
      </c>
      <c r="AC118">
        <v>2</v>
      </c>
      <c r="AE118" t="s">
        <v>18</v>
      </c>
      <c r="AF118" t="s">
        <v>27</v>
      </c>
      <c r="AG118" s="2">
        <v>140233</v>
      </c>
      <c r="AH118">
        <v>19.541</v>
      </c>
      <c r="AI118">
        <v>81</v>
      </c>
    </row>
    <row r="119" spans="1:41" x14ac:dyDescent="0.2">
      <c r="Y119" t="s">
        <v>18</v>
      </c>
      <c r="Z119" t="s">
        <v>30</v>
      </c>
      <c r="AA119" s="2">
        <v>18394</v>
      </c>
      <c r="AB119">
        <v>71.444000000000003</v>
      </c>
      <c r="AC119">
        <v>6</v>
      </c>
      <c r="AE119" t="s">
        <v>18</v>
      </c>
      <c r="AF119" t="s">
        <v>28</v>
      </c>
      <c r="AG119" s="2">
        <v>5770</v>
      </c>
      <c r="AH119">
        <v>33.206000000000003</v>
      </c>
      <c r="AI119">
        <v>13</v>
      </c>
    </row>
    <row r="120" spans="1:41" x14ac:dyDescent="0.2">
      <c r="Y120" t="s">
        <v>18</v>
      </c>
      <c r="Z120" t="s">
        <v>31</v>
      </c>
      <c r="AA120" s="2">
        <v>8361</v>
      </c>
      <c r="AB120">
        <v>91.340999999999994</v>
      </c>
      <c r="AC120">
        <v>2</v>
      </c>
      <c r="AE120" t="s">
        <v>18</v>
      </c>
      <c r="AF120" t="s">
        <v>29</v>
      </c>
      <c r="AG120" s="2">
        <v>36367</v>
      </c>
      <c r="AH120">
        <v>35.790999999999997</v>
      </c>
      <c r="AI120">
        <v>25</v>
      </c>
    </row>
    <row r="121" spans="1:41" x14ac:dyDescent="0.2">
      <c r="Y121" t="s">
        <v>18</v>
      </c>
      <c r="Z121" t="s">
        <v>32</v>
      </c>
      <c r="AA121" s="2">
        <v>1913</v>
      </c>
      <c r="AB121">
        <v>77.040000000000006</v>
      </c>
      <c r="AC121">
        <v>2</v>
      </c>
      <c r="AE121" t="s">
        <v>18</v>
      </c>
      <c r="AF121" t="s">
        <v>30</v>
      </c>
      <c r="AG121" s="2">
        <v>28021</v>
      </c>
      <c r="AH121">
        <v>39.720999999999997</v>
      </c>
      <c r="AI121">
        <v>17</v>
      </c>
    </row>
    <row r="122" spans="1:41" x14ac:dyDescent="0.2">
      <c r="AE122" t="s">
        <v>18</v>
      </c>
      <c r="AF122" t="s">
        <v>31</v>
      </c>
      <c r="AG122" s="2">
        <v>29083</v>
      </c>
      <c r="AH122">
        <v>49.091000000000001</v>
      </c>
      <c r="AI122">
        <v>10</v>
      </c>
    </row>
    <row r="123" spans="1:41" x14ac:dyDescent="0.2">
      <c r="AG123" s="2"/>
    </row>
    <row r="124" spans="1:41" x14ac:dyDescent="0.2">
      <c r="A124" s="3" t="s">
        <v>33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  <c r="AM124" s="4"/>
      <c r="AN124" s="4"/>
      <c r="AO124" s="4"/>
    </row>
    <row r="125" spans="1:41" x14ac:dyDescent="0.2">
      <c r="AG125" s="2"/>
    </row>
    <row r="126" spans="1:41" x14ac:dyDescent="0.2">
      <c r="A126" t="s">
        <v>19</v>
      </c>
      <c r="G126" t="s">
        <v>20</v>
      </c>
      <c r="M126" t="s">
        <v>21</v>
      </c>
      <c r="S126" t="s">
        <v>49</v>
      </c>
      <c r="Y126" t="s">
        <v>50</v>
      </c>
      <c r="AE126" t="s">
        <v>51</v>
      </c>
      <c r="AK126" t="s">
        <v>52</v>
      </c>
    </row>
    <row r="128" spans="1:41" x14ac:dyDescent="0.2">
      <c r="A128" t="s">
        <v>1</v>
      </c>
      <c r="B128" t="s">
        <v>2</v>
      </c>
      <c r="C128" t="s">
        <v>3</v>
      </c>
      <c r="D128" t="s">
        <v>4</v>
      </c>
      <c r="E128" t="s">
        <v>5</v>
      </c>
      <c r="G128" t="s">
        <v>1</v>
      </c>
      <c r="H128" t="s">
        <v>2</v>
      </c>
      <c r="I128" t="s">
        <v>3</v>
      </c>
      <c r="J128" t="s">
        <v>4</v>
      </c>
      <c r="K128" t="s">
        <v>5</v>
      </c>
      <c r="M128" t="s">
        <v>1</v>
      </c>
      <c r="N128" t="s">
        <v>2</v>
      </c>
      <c r="O128" t="s">
        <v>3</v>
      </c>
      <c r="P128" t="s">
        <v>4</v>
      </c>
      <c r="Q128" t="s">
        <v>5</v>
      </c>
      <c r="S128" t="s">
        <v>1</v>
      </c>
      <c r="T128" t="s">
        <v>2</v>
      </c>
      <c r="U128" t="s">
        <v>3</v>
      </c>
      <c r="V128" t="s">
        <v>4</v>
      </c>
      <c r="W128" t="s">
        <v>5</v>
      </c>
      <c r="Y128" t="s">
        <v>1</v>
      </c>
      <c r="Z128" t="s">
        <v>2</v>
      </c>
      <c r="AA128" t="s">
        <v>3</v>
      </c>
      <c r="AB128" t="s">
        <v>4</v>
      </c>
      <c r="AC128" t="s">
        <v>5</v>
      </c>
      <c r="AE128" t="s">
        <v>1</v>
      </c>
      <c r="AF128" t="s">
        <v>2</v>
      </c>
      <c r="AG128" t="s">
        <v>3</v>
      </c>
      <c r="AH128" t="s">
        <v>4</v>
      </c>
      <c r="AI128" t="s">
        <v>5</v>
      </c>
      <c r="AK128" t="s">
        <v>1</v>
      </c>
      <c r="AL128" t="s">
        <v>2</v>
      </c>
      <c r="AM128" t="s">
        <v>3</v>
      </c>
      <c r="AN128" t="s">
        <v>4</v>
      </c>
      <c r="AO128" t="s">
        <v>5</v>
      </c>
    </row>
    <row r="129" spans="1:41" x14ac:dyDescent="0.2">
      <c r="A129" t="s">
        <v>6</v>
      </c>
      <c r="B129" t="s">
        <v>6</v>
      </c>
      <c r="C129" s="2">
        <v>23033218</v>
      </c>
      <c r="D129">
        <v>5.74</v>
      </c>
      <c r="E129" s="2">
        <v>1114</v>
      </c>
      <c r="G129" t="s">
        <v>6</v>
      </c>
      <c r="H129" t="s">
        <v>6</v>
      </c>
      <c r="I129" s="2">
        <v>22830992</v>
      </c>
      <c r="J129">
        <v>5.7880000000000003</v>
      </c>
      <c r="K129" s="2">
        <v>1038</v>
      </c>
      <c r="M129" t="s">
        <v>6</v>
      </c>
      <c r="N129" t="s">
        <v>6</v>
      </c>
      <c r="O129" s="2">
        <v>1153740635</v>
      </c>
      <c r="P129">
        <v>5.8550000000000004</v>
      </c>
      <c r="Q129">
        <v>948</v>
      </c>
      <c r="S129" t="s">
        <v>6</v>
      </c>
      <c r="T129" t="s">
        <v>6</v>
      </c>
      <c r="U129" s="2">
        <v>16214710</v>
      </c>
      <c r="V129">
        <v>6.1829999999999998</v>
      </c>
      <c r="W129">
        <v>757</v>
      </c>
      <c r="Y129" t="s">
        <v>6</v>
      </c>
      <c r="Z129" t="s">
        <v>6</v>
      </c>
      <c r="AA129" s="2">
        <v>14823437</v>
      </c>
      <c r="AB129">
        <v>3.0030000000000001</v>
      </c>
      <c r="AC129" s="2">
        <v>5041</v>
      </c>
      <c r="AE129" t="s">
        <v>6</v>
      </c>
      <c r="AF129" t="s">
        <v>6</v>
      </c>
      <c r="AG129" s="2">
        <v>52013779</v>
      </c>
      <c r="AH129">
        <v>1.06</v>
      </c>
      <c r="AI129" s="2">
        <v>8194</v>
      </c>
      <c r="AK129" t="s">
        <v>6</v>
      </c>
      <c r="AL129" t="s">
        <v>6</v>
      </c>
      <c r="AM129" s="2">
        <v>29740902</v>
      </c>
      <c r="AN129">
        <v>0.433</v>
      </c>
      <c r="AO129" s="2">
        <v>9732</v>
      </c>
    </row>
    <row r="130" spans="1:41" x14ac:dyDescent="0.2">
      <c r="A130" t="s">
        <v>13</v>
      </c>
      <c r="B130" t="s">
        <v>6</v>
      </c>
      <c r="C130" s="2">
        <v>1911332</v>
      </c>
      <c r="D130">
        <v>8.1150000000000002</v>
      </c>
      <c r="E130">
        <v>572</v>
      </c>
      <c r="G130" t="s">
        <v>13</v>
      </c>
      <c r="H130" t="s">
        <v>6</v>
      </c>
      <c r="I130" s="2">
        <v>1848189</v>
      </c>
      <c r="J130">
        <v>8.3710000000000004</v>
      </c>
      <c r="K130">
        <v>523</v>
      </c>
      <c r="M130" t="s">
        <v>13</v>
      </c>
      <c r="N130" t="s">
        <v>6</v>
      </c>
      <c r="O130" s="2">
        <v>92822825</v>
      </c>
      <c r="P130">
        <v>8.5579999999999998</v>
      </c>
      <c r="Q130">
        <v>462</v>
      </c>
      <c r="S130" t="s">
        <v>13</v>
      </c>
      <c r="T130" t="s">
        <v>6</v>
      </c>
      <c r="U130" s="2">
        <v>1191651</v>
      </c>
      <c r="V130">
        <v>9.5069999999999997</v>
      </c>
      <c r="W130">
        <v>342</v>
      </c>
      <c r="Y130" t="s">
        <v>13</v>
      </c>
      <c r="Z130" t="s">
        <v>6</v>
      </c>
      <c r="AA130" s="2">
        <v>9631967</v>
      </c>
      <c r="AB130">
        <v>3.7930000000000001</v>
      </c>
      <c r="AC130" s="2">
        <v>3971</v>
      </c>
      <c r="AE130" t="s">
        <v>13</v>
      </c>
      <c r="AF130" t="s">
        <v>6</v>
      </c>
      <c r="AG130" s="2">
        <v>19803985</v>
      </c>
      <c r="AH130">
        <v>1.095</v>
      </c>
      <c r="AI130" s="2">
        <v>6050</v>
      </c>
      <c r="AK130" t="s">
        <v>13</v>
      </c>
      <c r="AL130" t="s">
        <v>6</v>
      </c>
      <c r="AM130" s="2">
        <v>14050158</v>
      </c>
      <c r="AN130">
        <v>0.32600000000000001</v>
      </c>
      <c r="AO130" s="2">
        <v>6933</v>
      </c>
    </row>
    <row r="131" spans="1:41" x14ac:dyDescent="0.2">
      <c r="A131" t="s">
        <v>22</v>
      </c>
      <c r="B131" t="s">
        <v>6</v>
      </c>
      <c r="C131" s="2">
        <v>18933</v>
      </c>
      <c r="D131">
        <v>103.203</v>
      </c>
      <c r="E131">
        <v>1</v>
      </c>
      <c r="G131" t="s">
        <v>34</v>
      </c>
      <c r="H131" t="s">
        <v>6</v>
      </c>
      <c r="I131" s="2">
        <v>875149</v>
      </c>
      <c r="J131">
        <v>21.373000000000001</v>
      </c>
      <c r="K131">
        <v>56</v>
      </c>
      <c r="M131" t="s">
        <v>34</v>
      </c>
      <c r="N131" t="s">
        <v>6</v>
      </c>
      <c r="O131" s="2">
        <v>42757089</v>
      </c>
      <c r="P131">
        <v>22.006</v>
      </c>
      <c r="Q131">
        <v>53</v>
      </c>
      <c r="S131" t="s">
        <v>34</v>
      </c>
      <c r="T131" t="s">
        <v>6</v>
      </c>
      <c r="U131" s="2">
        <v>521065</v>
      </c>
      <c r="V131">
        <v>23.585000000000001</v>
      </c>
      <c r="W131">
        <v>32</v>
      </c>
      <c r="Y131" t="s">
        <v>22</v>
      </c>
      <c r="Z131" t="s">
        <v>6</v>
      </c>
      <c r="AA131" s="2">
        <v>329435</v>
      </c>
      <c r="AB131">
        <v>25.986000000000001</v>
      </c>
      <c r="AC131">
        <v>20</v>
      </c>
      <c r="AE131" t="s">
        <v>22</v>
      </c>
      <c r="AF131" t="s">
        <v>6</v>
      </c>
      <c r="AG131" s="2">
        <v>195743</v>
      </c>
      <c r="AH131">
        <v>17.547999999999998</v>
      </c>
      <c r="AI131">
        <v>25</v>
      </c>
      <c r="AK131" t="s">
        <v>22</v>
      </c>
      <c r="AL131" t="s">
        <v>6</v>
      </c>
      <c r="AM131" s="2">
        <v>175756</v>
      </c>
      <c r="AN131">
        <v>13.066000000000001</v>
      </c>
      <c r="AO131">
        <v>24</v>
      </c>
    </row>
    <row r="132" spans="1:41" x14ac:dyDescent="0.2">
      <c r="A132" t="s">
        <v>34</v>
      </c>
      <c r="B132" t="s">
        <v>6</v>
      </c>
      <c r="C132" s="2">
        <v>896573</v>
      </c>
      <c r="D132">
        <v>20.88</v>
      </c>
      <c r="E132">
        <v>69</v>
      </c>
      <c r="G132" t="s">
        <v>15</v>
      </c>
      <c r="H132" t="s">
        <v>6</v>
      </c>
      <c r="I132" s="2">
        <v>1360443</v>
      </c>
      <c r="J132">
        <v>25.023</v>
      </c>
      <c r="K132">
        <v>34</v>
      </c>
      <c r="M132" t="s">
        <v>15</v>
      </c>
      <c r="N132" t="s">
        <v>6</v>
      </c>
      <c r="O132" s="2">
        <v>69910017</v>
      </c>
      <c r="P132">
        <v>24.887</v>
      </c>
      <c r="Q132">
        <v>33</v>
      </c>
      <c r="S132" t="s">
        <v>15</v>
      </c>
      <c r="T132" t="s">
        <v>6</v>
      </c>
      <c r="U132" s="2">
        <v>1027035</v>
      </c>
      <c r="V132">
        <v>25.72</v>
      </c>
      <c r="W132">
        <v>29</v>
      </c>
      <c r="Y132" t="s">
        <v>34</v>
      </c>
      <c r="Z132" t="s">
        <v>6</v>
      </c>
      <c r="AA132" s="2">
        <v>1442425</v>
      </c>
      <c r="AB132">
        <v>9.843</v>
      </c>
      <c r="AC132">
        <v>250</v>
      </c>
      <c r="AE132" t="s">
        <v>34</v>
      </c>
      <c r="AF132" t="s">
        <v>6</v>
      </c>
      <c r="AG132" s="2">
        <v>6705281</v>
      </c>
      <c r="AH132">
        <v>3.6120000000000001</v>
      </c>
      <c r="AI132">
        <v>511</v>
      </c>
      <c r="AK132" t="s">
        <v>34</v>
      </c>
      <c r="AL132" t="s">
        <v>6</v>
      </c>
      <c r="AM132" s="2">
        <v>3600779</v>
      </c>
      <c r="AN132">
        <v>2.0960000000000001</v>
      </c>
      <c r="AO132">
        <v>808</v>
      </c>
    </row>
    <row r="133" spans="1:41" x14ac:dyDescent="0.2">
      <c r="A133" t="s">
        <v>23</v>
      </c>
      <c r="B133" t="s">
        <v>6</v>
      </c>
      <c r="C133" s="2">
        <v>1089</v>
      </c>
      <c r="D133">
        <v>110</v>
      </c>
      <c r="E133">
        <v>1</v>
      </c>
      <c r="G133" t="s">
        <v>16</v>
      </c>
      <c r="H133" t="s">
        <v>6</v>
      </c>
      <c r="I133" s="2">
        <v>207647</v>
      </c>
      <c r="J133">
        <v>47.508000000000003</v>
      </c>
      <c r="K133">
        <v>10</v>
      </c>
      <c r="M133" t="s">
        <v>16</v>
      </c>
      <c r="N133" t="s">
        <v>6</v>
      </c>
      <c r="O133" s="2">
        <v>11160814</v>
      </c>
      <c r="P133">
        <v>48.856999999999999</v>
      </c>
      <c r="Q133">
        <v>9</v>
      </c>
      <c r="S133" t="s">
        <v>16</v>
      </c>
      <c r="T133" t="s">
        <v>6</v>
      </c>
      <c r="U133" s="2">
        <v>140505</v>
      </c>
      <c r="V133">
        <v>47.511000000000003</v>
      </c>
      <c r="W133">
        <v>8</v>
      </c>
      <c r="Y133" t="s">
        <v>23</v>
      </c>
      <c r="Z133" t="s">
        <v>6</v>
      </c>
      <c r="AA133">
        <v>743</v>
      </c>
      <c r="AB133">
        <v>72.046999999999997</v>
      </c>
      <c r="AC133">
        <v>2</v>
      </c>
      <c r="AE133" t="s">
        <v>23</v>
      </c>
      <c r="AF133" t="s">
        <v>6</v>
      </c>
      <c r="AG133" s="2">
        <v>18836</v>
      </c>
      <c r="AH133">
        <v>82.387</v>
      </c>
      <c r="AI133">
        <v>5</v>
      </c>
      <c r="AK133" t="s">
        <v>23</v>
      </c>
      <c r="AL133" t="s">
        <v>6</v>
      </c>
      <c r="AM133" s="2">
        <v>18214</v>
      </c>
      <c r="AN133">
        <v>54.921999999999997</v>
      </c>
      <c r="AO133">
        <v>5</v>
      </c>
    </row>
    <row r="134" spans="1:41" x14ac:dyDescent="0.2">
      <c r="A134" t="s">
        <v>15</v>
      </c>
      <c r="B134" t="s">
        <v>6</v>
      </c>
      <c r="C134" s="2">
        <v>1361615</v>
      </c>
      <c r="D134">
        <v>25.001999999999999</v>
      </c>
      <c r="E134">
        <v>35</v>
      </c>
      <c r="G134" t="s">
        <v>17</v>
      </c>
      <c r="H134" t="s">
        <v>6</v>
      </c>
      <c r="I134" s="2">
        <v>18539565</v>
      </c>
      <c r="J134">
        <v>6.7779999999999996</v>
      </c>
      <c r="K134">
        <v>418</v>
      </c>
      <c r="M134" t="s">
        <v>17</v>
      </c>
      <c r="N134" t="s">
        <v>6</v>
      </c>
      <c r="O134" s="2">
        <v>937089890</v>
      </c>
      <c r="P134">
        <v>6.8559999999999999</v>
      </c>
      <c r="Q134">
        <v>393</v>
      </c>
      <c r="S134" t="s">
        <v>17</v>
      </c>
      <c r="T134" t="s">
        <v>6</v>
      </c>
      <c r="U134" s="2">
        <v>13334454</v>
      </c>
      <c r="V134">
        <v>7.165</v>
      </c>
      <c r="W134">
        <v>346</v>
      </c>
      <c r="Y134" t="s">
        <v>24</v>
      </c>
      <c r="Z134" t="s">
        <v>6</v>
      </c>
      <c r="AA134" s="2">
        <v>12233</v>
      </c>
      <c r="AB134">
        <v>85.272000000000006</v>
      </c>
      <c r="AC134">
        <v>2</v>
      </c>
      <c r="AE134" t="s">
        <v>24</v>
      </c>
      <c r="AF134" t="s">
        <v>6</v>
      </c>
      <c r="AG134" s="2">
        <v>44324</v>
      </c>
      <c r="AH134">
        <v>69.626999999999995</v>
      </c>
      <c r="AI134">
        <v>3</v>
      </c>
      <c r="AK134" t="s">
        <v>14</v>
      </c>
      <c r="AL134" t="s">
        <v>6</v>
      </c>
      <c r="AM134">
        <v>64</v>
      </c>
      <c r="AN134">
        <v>104.928</v>
      </c>
      <c r="AO134">
        <v>1</v>
      </c>
    </row>
    <row r="135" spans="1:41" x14ac:dyDescent="0.2">
      <c r="A135" t="s">
        <v>16</v>
      </c>
      <c r="B135" t="s">
        <v>6</v>
      </c>
      <c r="C135" s="2">
        <v>207647</v>
      </c>
      <c r="D135">
        <v>47.508000000000003</v>
      </c>
      <c r="E135">
        <v>10</v>
      </c>
      <c r="G135" t="s">
        <v>6</v>
      </c>
      <c r="H135" t="s">
        <v>35</v>
      </c>
      <c r="I135" s="2">
        <v>1486623</v>
      </c>
      <c r="J135">
        <v>23.100999999999999</v>
      </c>
      <c r="K135">
        <v>44</v>
      </c>
      <c r="M135" t="s">
        <v>6</v>
      </c>
      <c r="N135" t="s">
        <v>35</v>
      </c>
      <c r="O135" s="2">
        <v>71563864</v>
      </c>
      <c r="P135">
        <v>23.622</v>
      </c>
      <c r="Q135">
        <v>43</v>
      </c>
      <c r="S135" t="s">
        <v>6</v>
      </c>
      <c r="T135" t="s">
        <v>35</v>
      </c>
      <c r="U135" s="2">
        <v>1032791</v>
      </c>
      <c r="V135">
        <v>25.123999999999999</v>
      </c>
      <c r="W135">
        <v>40</v>
      </c>
      <c r="Y135" t="s">
        <v>15</v>
      </c>
      <c r="Z135" t="s">
        <v>6</v>
      </c>
      <c r="AA135" s="2">
        <v>565804</v>
      </c>
      <c r="AB135">
        <v>14.949</v>
      </c>
      <c r="AC135">
        <v>97</v>
      </c>
      <c r="AE135" t="s">
        <v>15</v>
      </c>
      <c r="AF135" t="s">
        <v>6</v>
      </c>
      <c r="AG135" s="2">
        <v>2763086</v>
      </c>
      <c r="AH135">
        <v>5.7229999999999999</v>
      </c>
      <c r="AI135">
        <v>161</v>
      </c>
      <c r="AK135" t="s">
        <v>24</v>
      </c>
      <c r="AL135" t="s">
        <v>6</v>
      </c>
      <c r="AM135" s="2">
        <v>18415</v>
      </c>
      <c r="AN135">
        <v>56.3</v>
      </c>
      <c r="AO135">
        <v>4</v>
      </c>
    </row>
    <row r="136" spans="1:41" x14ac:dyDescent="0.2">
      <c r="A136" t="s">
        <v>17</v>
      </c>
      <c r="B136" t="s">
        <v>6</v>
      </c>
      <c r="C136" s="2">
        <v>18636029</v>
      </c>
      <c r="D136">
        <v>6.7460000000000004</v>
      </c>
      <c r="E136">
        <v>430</v>
      </c>
      <c r="G136" t="s">
        <v>6</v>
      </c>
      <c r="H136" t="s">
        <v>36</v>
      </c>
      <c r="I136">
        <v>339</v>
      </c>
      <c r="J136">
        <v>101.373</v>
      </c>
      <c r="K136">
        <v>1</v>
      </c>
      <c r="M136" t="s">
        <v>6</v>
      </c>
      <c r="N136" t="s">
        <v>36</v>
      </c>
      <c r="O136" s="2">
        <v>10925</v>
      </c>
      <c r="P136">
        <v>101.373</v>
      </c>
      <c r="Q136">
        <v>1</v>
      </c>
      <c r="S136" t="s">
        <v>6</v>
      </c>
      <c r="T136" t="s">
        <v>37</v>
      </c>
      <c r="U136" s="2">
        <v>1798</v>
      </c>
      <c r="V136">
        <v>100.601</v>
      </c>
      <c r="W136">
        <v>1</v>
      </c>
      <c r="Y136" t="s">
        <v>16</v>
      </c>
      <c r="Z136" t="s">
        <v>6</v>
      </c>
      <c r="AA136" s="2">
        <v>76597</v>
      </c>
      <c r="AB136">
        <v>34.283000000000001</v>
      </c>
      <c r="AC136">
        <v>16</v>
      </c>
      <c r="AE136" t="s">
        <v>16</v>
      </c>
      <c r="AF136" t="s">
        <v>6</v>
      </c>
      <c r="AG136" s="2">
        <v>383154</v>
      </c>
      <c r="AH136">
        <v>21.474</v>
      </c>
      <c r="AI136">
        <v>30</v>
      </c>
      <c r="AK136" t="s">
        <v>15</v>
      </c>
      <c r="AL136" t="s">
        <v>6</v>
      </c>
      <c r="AM136" s="2">
        <v>980861</v>
      </c>
      <c r="AN136">
        <v>3.8490000000000002</v>
      </c>
      <c r="AO136">
        <v>186</v>
      </c>
    </row>
    <row r="137" spans="1:41" x14ac:dyDescent="0.2">
      <c r="A137" t="s">
        <v>6</v>
      </c>
      <c r="B137" t="s">
        <v>35</v>
      </c>
      <c r="C137" s="2">
        <v>1497820</v>
      </c>
      <c r="D137">
        <v>22.928000000000001</v>
      </c>
      <c r="E137">
        <v>47</v>
      </c>
      <c r="G137" t="s">
        <v>6</v>
      </c>
      <c r="H137" t="s">
        <v>37</v>
      </c>
      <c r="I137" s="2">
        <v>3310</v>
      </c>
      <c r="J137">
        <v>77.83</v>
      </c>
      <c r="K137">
        <v>4</v>
      </c>
      <c r="M137" t="s">
        <v>6</v>
      </c>
      <c r="N137" t="s">
        <v>37</v>
      </c>
      <c r="O137" s="2">
        <v>172378</v>
      </c>
      <c r="P137">
        <v>78.301000000000002</v>
      </c>
      <c r="Q137">
        <v>4</v>
      </c>
      <c r="S137" t="s">
        <v>6</v>
      </c>
      <c r="T137" t="s">
        <v>38</v>
      </c>
      <c r="U137" s="2">
        <v>36904</v>
      </c>
      <c r="V137">
        <v>32.634</v>
      </c>
      <c r="W137">
        <v>18</v>
      </c>
      <c r="Y137" t="s">
        <v>17</v>
      </c>
      <c r="Z137" t="s">
        <v>6</v>
      </c>
      <c r="AA137" s="2">
        <v>2764233</v>
      </c>
      <c r="AB137">
        <v>6.29</v>
      </c>
      <c r="AC137">
        <v>694</v>
      </c>
      <c r="AE137" t="s">
        <v>17</v>
      </c>
      <c r="AF137" t="s">
        <v>6</v>
      </c>
      <c r="AG137" s="2">
        <v>22099369</v>
      </c>
      <c r="AH137">
        <v>2.0609999999999999</v>
      </c>
      <c r="AI137" s="2">
        <v>1477</v>
      </c>
      <c r="AK137" t="s">
        <v>16</v>
      </c>
      <c r="AL137" t="s">
        <v>6</v>
      </c>
      <c r="AM137" s="2">
        <v>237289</v>
      </c>
      <c r="AN137">
        <v>15.109</v>
      </c>
      <c r="AO137">
        <v>46</v>
      </c>
    </row>
    <row r="138" spans="1:41" x14ac:dyDescent="0.2">
      <c r="A138" t="s">
        <v>6</v>
      </c>
      <c r="B138" t="s">
        <v>36</v>
      </c>
      <c r="C138">
        <v>339</v>
      </c>
      <c r="D138">
        <v>101.373</v>
      </c>
      <c r="E138">
        <v>1</v>
      </c>
      <c r="G138" t="s">
        <v>6</v>
      </c>
      <c r="H138" t="s">
        <v>38</v>
      </c>
      <c r="I138" s="2">
        <v>66868</v>
      </c>
      <c r="J138">
        <v>29.053999999999998</v>
      </c>
      <c r="K138">
        <v>24</v>
      </c>
      <c r="M138" t="s">
        <v>6</v>
      </c>
      <c r="N138" t="s">
        <v>38</v>
      </c>
      <c r="O138" s="2">
        <v>3254273</v>
      </c>
      <c r="P138">
        <v>29.838999999999999</v>
      </c>
      <c r="Q138">
        <v>23</v>
      </c>
      <c r="S138" t="s">
        <v>6</v>
      </c>
      <c r="T138" t="s">
        <v>39</v>
      </c>
      <c r="U138" s="2">
        <v>8479595</v>
      </c>
      <c r="V138">
        <v>9.7200000000000006</v>
      </c>
      <c r="W138">
        <v>169</v>
      </c>
      <c r="Y138" t="s">
        <v>6</v>
      </c>
      <c r="Z138" t="s">
        <v>35</v>
      </c>
      <c r="AA138" s="2">
        <v>404984</v>
      </c>
      <c r="AB138">
        <v>16.056999999999999</v>
      </c>
      <c r="AC138">
        <v>78</v>
      </c>
      <c r="AE138" t="s">
        <v>6</v>
      </c>
      <c r="AF138" t="s">
        <v>35</v>
      </c>
      <c r="AG138" s="2">
        <v>2791149</v>
      </c>
      <c r="AH138">
        <v>8.9459999999999997</v>
      </c>
      <c r="AI138">
        <v>158</v>
      </c>
      <c r="AK138" t="s">
        <v>17</v>
      </c>
      <c r="AL138" t="s">
        <v>6</v>
      </c>
      <c r="AM138" s="2">
        <v>10659366</v>
      </c>
      <c r="AN138">
        <v>1.0069999999999999</v>
      </c>
      <c r="AO138" s="2">
        <v>1842</v>
      </c>
    </row>
    <row r="139" spans="1:41" x14ac:dyDescent="0.2">
      <c r="A139" t="s">
        <v>6</v>
      </c>
      <c r="B139" t="s">
        <v>37</v>
      </c>
      <c r="C139" s="2">
        <v>18382</v>
      </c>
      <c r="D139">
        <v>39.679000000000002</v>
      </c>
      <c r="E139">
        <v>13</v>
      </c>
      <c r="G139" t="s">
        <v>6</v>
      </c>
      <c r="H139" t="s">
        <v>39</v>
      </c>
      <c r="I139" s="2">
        <v>11703013</v>
      </c>
      <c r="J139">
        <v>9.2759999999999998</v>
      </c>
      <c r="K139">
        <v>212</v>
      </c>
      <c r="M139" t="s">
        <v>6</v>
      </c>
      <c r="N139" t="s">
        <v>39</v>
      </c>
      <c r="O139" s="2">
        <v>594834576</v>
      </c>
      <c r="P139">
        <v>9.3949999999999996</v>
      </c>
      <c r="Q139">
        <v>199</v>
      </c>
      <c r="S139" t="s">
        <v>6</v>
      </c>
      <c r="T139" t="s">
        <v>40</v>
      </c>
      <c r="U139" s="2">
        <v>3796578</v>
      </c>
      <c r="V139">
        <v>13.608000000000001</v>
      </c>
      <c r="W139">
        <v>142</v>
      </c>
      <c r="Y139" t="s">
        <v>6</v>
      </c>
      <c r="Z139" t="s">
        <v>36</v>
      </c>
      <c r="AA139" s="2">
        <v>12047</v>
      </c>
      <c r="AB139">
        <v>48.607999999999997</v>
      </c>
      <c r="AC139">
        <v>9</v>
      </c>
      <c r="AE139" t="s">
        <v>6</v>
      </c>
      <c r="AF139" t="s">
        <v>36</v>
      </c>
      <c r="AG139" s="2">
        <v>60809</v>
      </c>
      <c r="AH139">
        <v>35.831000000000003</v>
      </c>
      <c r="AI139">
        <v>10</v>
      </c>
      <c r="AK139" t="s">
        <v>6</v>
      </c>
      <c r="AL139" t="s">
        <v>35</v>
      </c>
      <c r="AM139" s="2">
        <v>1054468</v>
      </c>
      <c r="AN139">
        <v>6.7629999999999999</v>
      </c>
      <c r="AO139">
        <v>210</v>
      </c>
    </row>
    <row r="140" spans="1:41" x14ac:dyDescent="0.2">
      <c r="A140" t="s">
        <v>6</v>
      </c>
      <c r="B140" t="s">
        <v>38</v>
      </c>
      <c r="C140" s="2">
        <v>92402</v>
      </c>
      <c r="D140">
        <v>24.135999999999999</v>
      </c>
      <c r="E140">
        <v>39</v>
      </c>
      <c r="G140" t="s">
        <v>6</v>
      </c>
      <c r="H140" t="s">
        <v>40</v>
      </c>
      <c r="I140" s="2">
        <v>5229718</v>
      </c>
      <c r="J140">
        <v>12.868</v>
      </c>
      <c r="K140">
        <v>203</v>
      </c>
      <c r="M140" t="s">
        <v>6</v>
      </c>
      <c r="N140" t="s">
        <v>40</v>
      </c>
      <c r="O140" s="2">
        <v>263429981</v>
      </c>
      <c r="P140">
        <v>12.996</v>
      </c>
      <c r="Q140">
        <v>177</v>
      </c>
      <c r="S140" t="s">
        <v>6</v>
      </c>
      <c r="T140" t="s">
        <v>41</v>
      </c>
      <c r="U140" s="2">
        <v>610045</v>
      </c>
      <c r="V140">
        <v>16.61</v>
      </c>
      <c r="W140">
        <v>132</v>
      </c>
      <c r="Y140" t="s">
        <v>6</v>
      </c>
      <c r="Z140" t="s">
        <v>46</v>
      </c>
      <c r="AA140" s="2">
        <v>17308</v>
      </c>
      <c r="AB140">
        <v>65.918000000000006</v>
      </c>
      <c r="AC140">
        <v>2</v>
      </c>
      <c r="AE140" t="s">
        <v>6</v>
      </c>
      <c r="AF140" t="s">
        <v>46</v>
      </c>
      <c r="AG140" s="2">
        <v>13294</v>
      </c>
      <c r="AH140">
        <v>58.777999999999999</v>
      </c>
      <c r="AI140">
        <v>3</v>
      </c>
      <c r="AK140" t="s">
        <v>6</v>
      </c>
      <c r="AL140" t="s">
        <v>36</v>
      </c>
      <c r="AM140" s="2">
        <v>18388</v>
      </c>
      <c r="AN140">
        <v>31.794</v>
      </c>
      <c r="AO140">
        <v>10</v>
      </c>
    </row>
    <row r="141" spans="1:41" x14ac:dyDescent="0.2">
      <c r="A141" t="s">
        <v>6</v>
      </c>
      <c r="B141" t="s">
        <v>39</v>
      </c>
      <c r="C141" s="2">
        <v>11705084</v>
      </c>
      <c r="D141">
        <v>9.2750000000000004</v>
      </c>
      <c r="E141">
        <v>213</v>
      </c>
      <c r="G141" t="s">
        <v>6</v>
      </c>
      <c r="H141" t="s">
        <v>41</v>
      </c>
      <c r="I141" s="2">
        <v>910018</v>
      </c>
      <c r="J141">
        <v>14.728</v>
      </c>
      <c r="K141">
        <v>187</v>
      </c>
      <c r="M141" t="s">
        <v>6</v>
      </c>
      <c r="N141" t="s">
        <v>41</v>
      </c>
      <c r="O141" s="2">
        <v>49462778</v>
      </c>
      <c r="P141">
        <v>15.013999999999999</v>
      </c>
      <c r="Q141">
        <v>167</v>
      </c>
      <c r="S141" t="s">
        <v>6</v>
      </c>
      <c r="T141" t="s">
        <v>42</v>
      </c>
      <c r="U141" s="2">
        <v>1057832</v>
      </c>
      <c r="V141">
        <v>21.766999999999999</v>
      </c>
      <c r="W141">
        <v>36</v>
      </c>
      <c r="Y141" t="s">
        <v>6</v>
      </c>
      <c r="Z141" t="s">
        <v>37</v>
      </c>
      <c r="AA141" s="2">
        <v>17110</v>
      </c>
      <c r="AB141">
        <v>50.027000000000001</v>
      </c>
      <c r="AC141">
        <v>9</v>
      </c>
      <c r="AE141" t="s">
        <v>6</v>
      </c>
      <c r="AF141" t="s">
        <v>37</v>
      </c>
      <c r="AG141" s="2">
        <v>31668</v>
      </c>
      <c r="AH141">
        <v>27.986000000000001</v>
      </c>
      <c r="AI141">
        <v>79</v>
      </c>
      <c r="AK141" t="s">
        <v>6</v>
      </c>
      <c r="AL141" t="s">
        <v>46</v>
      </c>
      <c r="AM141" s="2">
        <v>15443</v>
      </c>
      <c r="AN141">
        <v>58.433999999999997</v>
      </c>
      <c r="AO141">
        <v>4</v>
      </c>
    </row>
    <row r="142" spans="1:41" x14ac:dyDescent="0.2">
      <c r="A142" t="s">
        <v>6</v>
      </c>
      <c r="B142" t="s">
        <v>40</v>
      </c>
      <c r="C142" s="2">
        <v>5254755</v>
      </c>
      <c r="D142">
        <v>12.811999999999999</v>
      </c>
      <c r="E142">
        <v>209</v>
      </c>
      <c r="G142" t="s">
        <v>6</v>
      </c>
      <c r="H142" t="s">
        <v>42</v>
      </c>
      <c r="I142" s="2">
        <v>1738232</v>
      </c>
      <c r="J142">
        <v>19.975999999999999</v>
      </c>
      <c r="K142">
        <v>70</v>
      </c>
      <c r="M142" t="s">
        <v>6</v>
      </c>
      <c r="N142" t="s">
        <v>42</v>
      </c>
      <c r="O142" s="2">
        <v>80225120</v>
      </c>
      <c r="P142">
        <v>20.62</v>
      </c>
      <c r="Q142">
        <v>58</v>
      </c>
      <c r="S142" t="s">
        <v>6</v>
      </c>
      <c r="T142" t="s">
        <v>43</v>
      </c>
      <c r="U142" s="2">
        <v>104688</v>
      </c>
      <c r="V142">
        <v>38.000999999999998</v>
      </c>
      <c r="W142">
        <v>10</v>
      </c>
      <c r="Y142" t="s">
        <v>6</v>
      </c>
      <c r="Z142" t="s">
        <v>38</v>
      </c>
      <c r="AA142" s="2">
        <v>74764</v>
      </c>
      <c r="AB142">
        <v>21.888000000000002</v>
      </c>
      <c r="AC142">
        <v>55</v>
      </c>
      <c r="AE142" t="s">
        <v>6</v>
      </c>
      <c r="AF142" t="s">
        <v>38</v>
      </c>
      <c r="AG142" s="2">
        <v>330476</v>
      </c>
      <c r="AH142">
        <v>11.007</v>
      </c>
      <c r="AI142">
        <v>317</v>
      </c>
      <c r="AK142" t="s">
        <v>6</v>
      </c>
      <c r="AL142" t="s">
        <v>37</v>
      </c>
      <c r="AM142" s="2">
        <v>443453</v>
      </c>
      <c r="AN142">
        <v>11.12</v>
      </c>
      <c r="AO142">
        <v>84</v>
      </c>
    </row>
    <row r="143" spans="1:41" x14ac:dyDescent="0.2">
      <c r="A143" t="s">
        <v>6</v>
      </c>
      <c r="B143" t="s">
        <v>41</v>
      </c>
      <c r="C143" s="2">
        <v>925060</v>
      </c>
      <c r="D143">
        <v>14.503</v>
      </c>
      <c r="E143">
        <v>194</v>
      </c>
      <c r="G143" t="s">
        <v>6</v>
      </c>
      <c r="H143" t="s">
        <v>43</v>
      </c>
      <c r="I143" s="2">
        <v>144614</v>
      </c>
      <c r="J143">
        <v>36.838999999999999</v>
      </c>
      <c r="K143">
        <v>12</v>
      </c>
      <c r="M143" t="s">
        <v>6</v>
      </c>
      <c r="N143" t="s">
        <v>43</v>
      </c>
      <c r="O143" s="2">
        <v>8197222</v>
      </c>
      <c r="P143">
        <v>37.277999999999999</v>
      </c>
      <c r="Q143">
        <v>11</v>
      </c>
      <c r="S143" t="s">
        <v>6</v>
      </c>
      <c r="T143" t="s">
        <v>44</v>
      </c>
      <c r="U143" s="2">
        <v>236718</v>
      </c>
      <c r="V143">
        <v>30.189</v>
      </c>
      <c r="W143">
        <v>43</v>
      </c>
      <c r="Y143" t="s">
        <v>6</v>
      </c>
      <c r="Z143" t="s">
        <v>47</v>
      </c>
      <c r="AA143" s="2">
        <v>4387</v>
      </c>
      <c r="AB143">
        <v>84.694999999999993</v>
      </c>
      <c r="AC143">
        <v>3</v>
      </c>
      <c r="AE143" t="s">
        <v>6</v>
      </c>
      <c r="AF143" t="s">
        <v>47</v>
      </c>
      <c r="AG143" s="2">
        <v>37993</v>
      </c>
      <c r="AH143">
        <v>42.308</v>
      </c>
      <c r="AI143">
        <v>11</v>
      </c>
      <c r="AK143" t="s">
        <v>6</v>
      </c>
      <c r="AL143" t="s">
        <v>48</v>
      </c>
      <c r="AM143" s="2">
        <v>5622</v>
      </c>
      <c r="AN143">
        <v>104.511</v>
      </c>
      <c r="AO143">
        <v>1</v>
      </c>
    </row>
    <row r="144" spans="1:41" x14ac:dyDescent="0.2">
      <c r="A144" t="s">
        <v>6</v>
      </c>
      <c r="B144" t="s">
        <v>42</v>
      </c>
      <c r="C144" s="2">
        <v>1805614</v>
      </c>
      <c r="D144">
        <v>19.393000000000001</v>
      </c>
      <c r="E144">
        <v>71</v>
      </c>
      <c r="G144" t="s">
        <v>6</v>
      </c>
      <c r="H144" t="s">
        <v>44</v>
      </c>
      <c r="I144" s="2">
        <v>336402</v>
      </c>
      <c r="J144">
        <v>28.265999999999998</v>
      </c>
      <c r="K144">
        <v>51</v>
      </c>
      <c r="M144" t="s">
        <v>6</v>
      </c>
      <c r="N144" t="s">
        <v>44</v>
      </c>
      <c r="O144" s="2">
        <v>18755287</v>
      </c>
      <c r="P144">
        <v>29.2</v>
      </c>
      <c r="Q144">
        <v>51</v>
      </c>
      <c r="S144" t="s">
        <v>6</v>
      </c>
      <c r="T144" t="s">
        <v>45</v>
      </c>
      <c r="U144" s="2">
        <v>857761</v>
      </c>
      <c r="V144">
        <v>13.929</v>
      </c>
      <c r="W144">
        <v>166</v>
      </c>
      <c r="Y144" t="s">
        <v>6</v>
      </c>
      <c r="Z144" t="s">
        <v>39</v>
      </c>
      <c r="AA144" s="2">
        <v>2770093</v>
      </c>
      <c r="AB144">
        <v>6.5659999999999998</v>
      </c>
      <c r="AC144">
        <v>655</v>
      </c>
      <c r="AE144" t="s">
        <v>6</v>
      </c>
      <c r="AF144" t="s">
        <v>39</v>
      </c>
      <c r="AG144" s="2">
        <v>18287397</v>
      </c>
      <c r="AH144">
        <v>3.2690000000000001</v>
      </c>
      <c r="AI144">
        <v>972</v>
      </c>
      <c r="AK144" t="s">
        <v>6</v>
      </c>
      <c r="AL144" t="s">
        <v>38</v>
      </c>
      <c r="AM144" s="2">
        <v>1885391</v>
      </c>
      <c r="AN144">
        <v>4.9619999999999997</v>
      </c>
      <c r="AO144">
        <v>402</v>
      </c>
    </row>
    <row r="145" spans="1:41" x14ac:dyDescent="0.2">
      <c r="A145" t="s">
        <v>6</v>
      </c>
      <c r="B145" t="s">
        <v>43</v>
      </c>
      <c r="C145" s="2">
        <v>144614</v>
      </c>
      <c r="D145">
        <v>36.838999999999999</v>
      </c>
      <c r="E145">
        <v>12</v>
      </c>
      <c r="G145" t="s">
        <v>6</v>
      </c>
      <c r="H145" t="s">
        <v>45</v>
      </c>
      <c r="I145" s="2">
        <v>1211854</v>
      </c>
      <c r="J145">
        <v>12.74</v>
      </c>
      <c r="K145">
        <v>230</v>
      </c>
      <c r="M145" t="s">
        <v>6</v>
      </c>
      <c r="N145" t="s">
        <v>45</v>
      </c>
      <c r="O145" s="2">
        <v>63834233</v>
      </c>
      <c r="P145">
        <v>13.189</v>
      </c>
      <c r="Q145">
        <v>214</v>
      </c>
      <c r="S145" t="s">
        <v>13</v>
      </c>
      <c r="T145" t="s">
        <v>38</v>
      </c>
      <c r="U145" s="2">
        <v>1420</v>
      </c>
      <c r="V145">
        <v>50.557000000000002</v>
      </c>
      <c r="W145">
        <v>5</v>
      </c>
      <c r="Y145" t="s">
        <v>6</v>
      </c>
      <c r="Z145" t="s">
        <v>40</v>
      </c>
      <c r="AA145" s="2">
        <v>5603267</v>
      </c>
      <c r="AB145">
        <v>5.8209999999999997</v>
      </c>
      <c r="AC145" s="2">
        <v>1544</v>
      </c>
      <c r="AE145" t="s">
        <v>6</v>
      </c>
      <c r="AF145" t="s">
        <v>40</v>
      </c>
      <c r="AG145" s="2">
        <v>15136967</v>
      </c>
      <c r="AH145">
        <v>2.8130000000000002</v>
      </c>
      <c r="AI145" s="2">
        <v>2071</v>
      </c>
      <c r="AK145" t="s">
        <v>6</v>
      </c>
      <c r="AL145" t="s">
        <v>47</v>
      </c>
      <c r="AM145" s="2">
        <v>79886</v>
      </c>
      <c r="AN145">
        <v>26.209</v>
      </c>
      <c r="AO145">
        <v>17</v>
      </c>
    </row>
    <row r="146" spans="1:41" x14ac:dyDescent="0.2">
      <c r="A146" t="s">
        <v>6</v>
      </c>
      <c r="B146" t="s">
        <v>44</v>
      </c>
      <c r="C146" s="2">
        <v>343543</v>
      </c>
      <c r="D146">
        <v>27.698</v>
      </c>
      <c r="E146">
        <v>58</v>
      </c>
      <c r="G146" t="s">
        <v>13</v>
      </c>
      <c r="H146" t="s">
        <v>36</v>
      </c>
      <c r="I146">
        <v>339</v>
      </c>
      <c r="J146">
        <v>101.373</v>
      </c>
      <c r="K146">
        <v>1</v>
      </c>
      <c r="M146" t="s">
        <v>13</v>
      </c>
      <c r="N146" t="s">
        <v>36</v>
      </c>
      <c r="O146" s="2">
        <v>10925</v>
      </c>
      <c r="P146">
        <v>101.373</v>
      </c>
      <c r="Q146">
        <v>1</v>
      </c>
      <c r="S146" t="s">
        <v>13</v>
      </c>
      <c r="T146" t="s">
        <v>39</v>
      </c>
      <c r="U146" s="2">
        <v>222792</v>
      </c>
      <c r="V146">
        <v>28.335999999999999</v>
      </c>
      <c r="W146">
        <v>20</v>
      </c>
      <c r="Y146" t="s">
        <v>6</v>
      </c>
      <c r="Z146" t="s">
        <v>41</v>
      </c>
      <c r="AA146" s="2">
        <v>1296402</v>
      </c>
      <c r="AB146">
        <v>8.6959999999999997</v>
      </c>
      <c r="AC146">
        <v>714</v>
      </c>
      <c r="AE146" t="s">
        <v>6</v>
      </c>
      <c r="AF146" t="s">
        <v>41</v>
      </c>
      <c r="AG146" s="2">
        <v>3404808</v>
      </c>
      <c r="AH146">
        <v>3.5449999999999999</v>
      </c>
      <c r="AI146" s="2">
        <v>1309</v>
      </c>
      <c r="AK146" t="s">
        <v>6</v>
      </c>
      <c r="AL146" t="s">
        <v>39</v>
      </c>
      <c r="AM146" s="2">
        <v>5221713</v>
      </c>
      <c r="AN146">
        <v>2.4910000000000001</v>
      </c>
      <c r="AO146" s="2">
        <v>1199</v>
      </c>
    </row>
    <row r="147" spans="1:41" x14ac:dyDescent="0.2">
      <c r="A147" t="s">
        <v>6</v>
      </c>
      <c r="B147" t="s">
        <v>45</v>
      </c>
      <c r="C147" s="2">
        <v>1245605</v>
      </c>
      <c r="D147">
        <v>12.414</v>
      </c>
      <c r="E147">
        <v>257</v>
      </c>
      <c r="G147" t="s">
        <v>13</v>
      </c>
      <c r="H147" t="s">
        <v>38</v>
      </c>
      <c r="I147" s="2">
        <v>4946</v>
      </c>
      <c r="J147">
        <v>34.481000000000002</v>
      </c>
      <c r="K147">
        <v>9</v>
      </c>
      <c r="M147" t="s">
        <v>13</v>
      </c>
      <c r="N147" t="s">
        <v>38</v>
      </c>
      <c r="O147" s="2">
        <v>215178</v>
      </c>
      <c r="P147">
        <v>36.825000000000003</v>
      </c>
      <c r="Q147">
        <v>8</v>
      </c>
      <c r="S147" t="s">
        <v>13</v>
      </c>
      <c r="T147" t="s">
        <v>40</v>
      </c>
      <c r="U147" s="2">
        <v>446359</v>
      </c>
      <c r="V147">
        <v>17.372</v>
      </c>
      <c r="W147">
        <v>68</v>
      </c>
      <c r="Y147" t="s">
        <v>6</v>
      </c>
      <c r="Z147" t="s">
        <v>42</v>
      </c>
      <c r="AA147" s="2">
        <v>2086622</v>
      </c>
      <c r="AB147">
        <v>9.59</v>
      </c>
      <c r="AC147">
        <v>483</v>
      </c>
      <c r="AE147" t="s">
        <v>6</v>
      </c>
      <c r="AF147" t="s">
        <v>42</v>
      </c>
      <c r="AG147" s="2">
        <v>5256591</v>
      </c>
      <c r="AH147">
        <v>5.0609999999999999</v>
      </c>
      <c r="AI147">
        <v>656</v>
      </c>
      <c r="AK147" t="s">
        <v>6</v>
      </c>
      <c r="AL147" t="s">
        <v>40</v>
      </c>
      <c r="AM147" s="2">
        <v>6664520</v>
      </c>
      <c r="AN147">
        <v>1.72</v>
      </c>
      <c r="AO147" s="2">
        <v>2417</v>
      </c>
    </row>
    <row r="148" spans="1:41" x14ac:dyDescent="0.2">
      <c r="A148" t="s">
        <v>13</v>
      </c>
      <c r="B148" t="s">
        <v>36</v>
      </c>
      <c r="C148">
        <v>339</v>
      </c>
      <c r="D148">
        <v>101.373</v>
      </c>
      <c r="E148">
        <v>1</v>
      </c>
      <c r="G148" t="s">
        <v>13</v>
      </c>
      <c r="H148" t="s">
        <v>39</v>
      </c>
      <c r="I148" s="2">
        <v>316089</v>
      </c>
      <c r="J148">
        <v>26.282</v>
      </c>
      <c r="K148">
        <v>31</v>
      </c>
      <c r="M148" t="s">
        <v>13</v>
      </c>
      <c r="N148" t="s">
        <v>39</v>
      </c>
      <c r="O148" s="2">
        <v>15538701</v>
      </c>
      <c r="P148">
        <v>26.789000000000001</v>
      </c>
      <c r="Q148">
        <v>28</v>
      </c>
      <c r="S148" t="s">
        <v>13</v>
      </c>
      <c r="T148" t="s">
        <v>41</v>
      </c>
      <c r="U148" s="2">
        <v>228768</v>
      </c>
      <c r="V148">
        <v>16.545999999999999</v>
      </c>
      <c r="W148">
        <v>96</v>
      </c>
      <c r="Y148" t="s">
        <v>6</v>
      </c>
      <c r="Z148" t="s">
        <v>43</v>
      </c>
      <c r="AA148" s="2">
        <v>73914</v>
      </c>
      <c r="AB148">
        <v>28.492000000000001</v>
      </c>
      <c r="AC148">
        <v>28</v>
      </c>
      <c r="AE148" t="s">
        <v>6</v>
      </c>
      <c r="AF148" t="s">
        <v>43</v>
      </c>
      <c r="AG148" s="2">
        <v>406213</v>
      </c>
      <c r="AH148">
        <v>17.643999999999998</v>
      </c>
      <c r="AI148">
        <v>52</v>
      </c>
      <c r="AK148" t="s">
        <v>6</v>
      </c>
      <c r="AL148" t="s">
        <v>41</v>
      </c>
      <c r="AM148" s="2">
        <v>3728513</v>
      </c>
      <c r="AN148">
        <v>2.3730000000000002</v>
      </c>
      <c r="AO148" s="2">
        <v>1506</v>
      </c>
    </row>
    <row r="149" spans="1:41" x14ac:dyDescent="0.2">
      <c r="A149" t="s">
        <v>13</v>
      </c>
      <c r="B149" t="s">
        <v>38</v>
      </c>
      <c r="C149" s="2">
        <v>12996</v>
      </c>
      <c r="D149">
        <v>29.701000000000001</v>
      </c>
      <c r="E149">
        <v>17</v>
      </c>
      <c r="G149" t="s">
        <v>13</v>
      </c>
      <c r="H149" t="s">
        <v>40</v>
      </c>
      <c r="I149" s="2">
        <v>669452</v>
      </c>
      <c r="J149">
        <v>15.945</v>
      </c>
      <c r="K149">
        <v>114</v>
      </c>
      <c r="M149" t="s">
        <v>13</v>
      </c>
      <c r="N149" t="s">
        <v>40</v>
      </c>
      <c r="O149" s="2">
        <v>32800103</v>
      </c>
      <c r="P149">
        <v>16.36</v>
      </c>
      <c r="Q149">
        <v>94</v>
      </c>
      <c r="S149" t="s">
        <v>13</v>
      </c>
      <c r="T149" t="s">
        <v>42</v>
      </c>
      <c r="U149" s="2">
        <v>54993</v>
      </c>
      <c r="V149">
        <v>46.625</v>
      </c>
      <c r="W149">
        <v>8</v>
      </c>
      <c r="Y149" t="s">
        <v>6</v>
      </c>
      <c r="Z149" t="s">
        <v>44</v>
      </c>
      <c r="AA149" s="2">
        <v>328424</v>
      </c>
      <c r="AB149">
        <v>14.013999999999999</v>
      </c>
      <c r="AC149">
        <v>178</v>
      </c>
      <c r="AE149" t="s">
        <v>6</v>
      </c>
      <c r="AF149" t="s">
        <v>44</v>
      </c>
      <c r="AG149" s="2">
        <v>772821</v>
      </c>
      <c r="AH149">
        <v>7.5110000000000001</v>
      </c>
      <c r="AI149">
        <v>354</v>
      </c>
      <c r="AK149" t="s">
        <v>6</v>
      </c>
      <c r="AL149" t="s">
        <v>42</v>
      </c>
      <c r="AM149" s="2">
        <v>3078053</v>
      </c>
      <c r="AN149">
        <v>3.3340000000000001</v>
      </c>
      <c r="AO149">
        <v>872</v>
      </c>
    </row>
    <row r="150" spans="1:41" x14ac:dyDescent="0.2">
      <c r="A150" t="s">
        <v>13</v>
      </c>
      <c r="B150" t="s">
        <v>39</v>
      </c>
      <c r="C150" s="2">
        <v>318159</v>
      </c>
      <c r="D150">
        <v>26.116</v>
      </c>
      <c r="E150">
        <v>32</v>
      </c>
      <c r="G150" t="s">
        <v>13</v>
      </c>
      <c r="H150" t="s">
        <v>41</v>
      </c>
      <c r="I150" s="2">
        <v>385455</v>
      </c>
      <c r="J150">
        <v>13.981</v>
      </c>
      <c r="K150">
        <v>140</v>
      </c>
      <c r="M150" t="s">
        <v>13</v>
      </c>
      <c r="N150" t="s">
        <v>41</v>
      </c>
      <c r="O150" s="2">
        <v>20506145</v>
      </c>
      <c r="P150">
        <v>14.88</v>
      </c>
      <c r="Q150">
        <v>121</v>
      </c>
      <c r="S150" t="s">
        <v>13</v>
      </c>
      <c r="T150" t="s">
        <v>44</v>
      </c>
      <c r="U150" s="2">
        <v>44043</v>
      </c>
      <c r="V150">
        <v>32.973999999999997</v>
      </c>
      <c r="W150">
        <v>25</v>
      </c>
      <c r="Y150" t="s">
        <v>6</v>
      </c>
      <c r="Z150" t="s">
        <v>45</v>
      </c>
      <c r="AA150" s="2">
        <v>2134114</v>
      </c>
      <c r="AB150">
        <v>6.63</v>
      </c>
      <c r="AC150" s="2">
        <v>1283</v>
      </c>
      <c r="AE150" t="s">
        <v>6</v>
      </c>
      <c r="AF150" t="s">
        <v>45</v>
      </c>
      <c r="AG150" s="2">
        <v>5483593</v>
      </c>
      <c r="AH150">
        <v>2.2650000000000001</v>
      </c>
      <c r="AI150" s="2">
        <v>2202</v>
      </c>
      <c r="AK150" t="s">
        <v>6</v>
      </c>
      <c r="AL150" t="s">
        <v>43</v>
      </c>
      <c r="AM150" s="2">
        <v>338093</v>
      </c>
      <c r="AN150">
        <v>12.852</v>
      </c>
      <c r="AO150">
        <v>68</v>
      </c>
    </row>
    <row r="151" spans="1:41" x14ac:dyDescent="0.2">
      <c r="A151" t="s">
        <v>13</v>
      </c>
      <c r="B151" t="s">
        <v>40</v>
      </c>
      <c r="C151" s="2">
        <v>674383</v>
      </c>
      <c r="D151">
        <v>15.834</v>
      </c>
      <c r="E151">
        <v>118</v>
      </c>
      <c r="G151" t="s">
        <v>13</v>
      </c>
      <c r="H151" t="s">
        <v>42</v>
      </c>
      <c r="I151" s="2">
        <v>81752</v>
      </c>
      <c r="J151">
        <v>41.036999999999999</v>
      </c>
      <c r="K151">
        <v>15</v>
      </c>
      <c r="M151" t="s">
        <v>13</v>
      </c>
      <c r="N151" t="s">
        <v>42</v>
      </c>
      <c r="O151" s="2">
        <v>3808404</v>
      </c>
      <c r="P151">
        <v>44.357999999999997</v>
      </c>
      <c r="Q151">
        <v>12</v>
      </c>
      <c r="S151" t="s">
        <v>13</v>
      </c>
      <c r="T151" t="s">
        <v>45</v>
      </c>
      <c r="U151" s="2">
        <v>193276</v>
      </c>
      <c r="V151">
        <v>12.351000000000001</v>
      </c>
      <c r="W151">
        <v>120</v>
      </c>
      <c r="Y151" t="s">
        <v>13</v>
      </c>
      <c r="Z151" t="s">
        <v>36</v>
      </c>
      <c r="AA151" s="2">
        <v>12047</v>
      </c>
      <c r="AB151">
        <v>48.607999999999997</v>
      </c>
      <c r="AC151">
        <v>9</v>
      </c>
      <c r="AE151" t="s">
        <v>13</v>
      </c>
      <c r="AF151" t="s">
        <v>36</v>
      </c>
      <c r="AG151" s="2">
        <v>60809</v>
      </c>
      <c r="AH151">
        <v>35.831000000000003</v>
      </c>
      <c r="AI151">
        <v>10</v>
      </c>
      <c r="AK151" t="s">
        <v>6</v>
      </c>
      <c r="AL151" t="s">
        <v>44</v>
      </c>
      <c r="AM151" s="2">
        <v>1143262</v>
      </c>
      <c r="AN151">
        <v>5.5519999999999996</v>
      </c>
      <c r="AO151">
        <v>411</v>
      </c>
    </row>
    <row r="152" spans="1:41" x14ac:dyDescent="0.2">
      <c r="A152" t="s">
        <v>13</v>
      </c>
      <c r="B152" t="s">
        <v>41</v>
      </c>
      <c r="C152" s="2">
        <v>400497</v>
      </c>
      <c r="D152">
        <v>13.539</v>
      </c>
      <c r="E152">
        <v>147</v>
      </c>
      <c r="G152" t="s">
        <v>13</v>
      </c>
      <c r="H152" t="s">
        <v>43</v>
      </c>
      <c r="I152">
        <v>40</v>
      </c>
      <c r="J152">
        <v>101.788</v>
      </c>
      <c r="K152">
        <v>1</v>
      </c>
      <c r="M152" t="s">
        <v>13</v>
      </c>
      <c r="N152" t="s">
        <v>43</v>
      </c>
      <c r="O152" s="2">
        <v>2265</v>
      </c>
      <c r="P152">
        <v>101.788</v>
      </c>
      <c r="Q152">
        <v>1</v>
      </c>
      <c r="S152" t="s">
        <v>34</v>
      </c>
      <c r="T152" t="s">
        <v>35</v>
      </c>
      <c r="U152" s="2">
        <v>58351</v>
      </c>
      <c r="V152">
        <v>61.865000000000002</v>
      </c>
      <c r="W152">
        <v>3</v>
      </c>
      <c r="Y152" t="s">
        <v>13</v>
      </c>
      <c r="Z152" t="s">
        <v>38</v>
      </c>
      <c r="AA152" s="2">
        <v>19147</v>
      </c>
      <c r="AB152">
        <v>30.747</v>
      </c>
      <c r="AC152">
        <v>22</v>
      </c>
      <c r="AE152" t="s">
        <v>13</v>
      </c>
      <c r="AF152" t="s">
        <v>37</v>
      </c>
      <c r="AG152" s="2">
        <v>1714</v>
      </c>
      <c r="AH152">
        <v>70.706000000000003</v>
      </c>
      <c r="AI152">
        <v>4</v>
      </c>
      <c r="AK152" t="s">
        <v>6</v>
      </c>
      <c r="AL152" t="s">
        <v>45</v>
      </c>
      <c r="AM152" s="2">
        <v>6064096</v>
      </c>
      <c r="AN152">
        <v>1.4810000000000001</v>
      </c>
      <c r="AO152" s="2">
        <v>2531</v>
      </c>
    </row>
    <row r="153" spans="1:41" x14ac:dyDescent="0.2">
      <c r="A153" t="s">
        <v>13</v>
      </c>
      <c r="B153" t="s">
        <v>42</v>
      </c>
      <c r="C153" s="2">
        <v>81752</v>
      </c>
      <c r="D153">
        <v>41.036999999999999</v>
      </c>
      <c r="E153">
        <v>15</v>
      </c>
      <c r="G153" t="s">
        <v>13</v>
      </c>
      <c r="H153" t="s">
        <v>44</v>
      </c>
      <c r="I153" s="2">
        <v>77708</v>
      </c>
      <c r="J153">
        <v>29.788</v>
      </c>
      <c r="K153">
        <v>32</v>
      </c>
      <c r="M153" t="s">
        <v>13</v>
      </c>
      <c r="N153" t="s">
        <v>44</v>
      </c>
      <c r="O153" s="2">
        <v>4018099</v>
      </c>
      <c r="P153">
        <v>31.916</v>
      </c>
      <c r="Q153">
        <v>32</v>
      </c>
      <c r="S153" t="s">
        <v>34</v>
      </c>
      <c r="T153" t="s">
        <v>38</v>
      </c>
      <c r="U153" s="2">
        <v>5944</v>
      </c>
      <c r="V153">
        <v>64.835999999999999</v>
      </c>
      <c r="W153">
        <v>3</v>
      </c>
      <c r="Y153" t="s">
        <v>13</v>
      </c>
      <c r="Z153" t="s">
        <v>39</v>
      </c>
      <c r="AA153" s="2">
        <v>667753</v>
      </c>
      <c r="AB153">
        <v>9.8919999999999995</v>
      </c>
      <c r="AC153">
        <v>258</v>
      </c>
      <c r="AE153" t="s">
        <v>13</v>
      </c>
      <c r="AF153" t="s">
        <v>38</v>
      </c>
      <c r="AG153" s="2">
        <v>77397</v>
      </c>
      <c r="AH153">
        <v>16.466999999999999</v>
      </c>
      <c r="AI153">
        <v>103</v>
      </c>
      <c r="AK153" t="s">
        <v>13</v>
      </c>
      <c r="AL153" t="s">
        <v>36</v>
      </c>
      <c r="AM153" s="2">
        <v>18388</v>
      </c>
      <c r="AN153">
        <v>31.794</v>
      </c>
      <c r="AO153">
        <v>10</v>
      </c>
    </row>
    <row r="154" spans="1:41" x14ac:dyDescent="0.2">
      <c r="A154" t="s">
        <v>13</v>
      </c>
      <c r="B154" t="s">
        <v>43</v>
      </c>
      <c r="C154">
        <v>40</v>
      </c>
      <c r="D154">
        <v>101.788</v>
      </c>
      <c r="E154">
        <v>1</v>
      </c>
      <c r="G154" t="s">
        <v>13</v>
      </c>
      <c r="H154" t="s">
        <v>45</v>
      </c>
      <c r="I154" s="2">
        <v>312410</v>
      </c>
      <c r="J154">
        <v>10.916</v>
      </c>
      <c r="K154">
        <v>180</v>
      </c>
      <c r="M154" t="s">
        <v>13</v>
      </c>
      <c r="N154" t="s">
        <v>45</v>
      </c>
      <c r="O154" s="2">
        <v>15923006</v>
      </c>
      <c r="P154">
        <v>11.595000000000001</v>
      </c>
      <c r="Q154">
        <v>165</v>
      </c>
      <c r="S154" t="s">
        <v>34</v>
      </c>
      <c r="T154" t="s">
        <v>39</v>
      </c>
      <c r="U154" s="2">
        <v>250180</v>
      </c>
      <c r="V154">
        <v>35.774000000000001</v>
      </c>
      <c r="W154">
        <v>9</v>
      </c>
      <c r="Y154" t="s">
        <v>13</v>
      </c>
      <c r="Z154" t="s">
        <v>40</v>
      </c>
      <c r="AA154" s="2">
        <v>4498394</v>
      </c>
      <c r="AB154">
        <v>6.6760000000000002</v>
      </c>
      <c r="AC154" s="2">
        <v>1355</v>
      </c>
      <c r="AE154" t="s">
        <v>13</v>
      </c>
      <c r="AF154" t="s">
        <v>39</v>
      </c>
      <c r="AG154" s="2">
        <v>2442159</v>
      </c>
      <c r="AH154">
        <v>4.7869999999999999</v>
      </c>
      <c r="AI154">
        <v>340</v>
      </c>
      <c r="AK154" t="s">
        <v>13</v>
      </c>
      <c r="AL154" t="s">
        <v>37</v>
      </c>
      <c r="AM154" s="2">
        <v>8179</v>
      </c>
      <c r="AN154">
        <v>47.530999999999999</v>
      </c>
      <c r="AO154">
        <v>5</v>
      </c>
    </row>
    <row r="155" spans="1:41" x14ac:dyDescent="0.2">
      <c r="A155" t="s">
        <v>13</v>
      </c>
      <c r="B155" t="s">
        <v>44</v>
      </c>
      <c r="C155" s="2">
        <v>79295</v>
      </c>
      <c r="D155">
        <v>29.228999999999999</v>
      </c>
      <c r="E155">
        <v>35</v>
      </c>
      <c r="G155" t="s">
        <v>34</v>
      </c>
      <c r="H155" t="s">
        <v>35</v>
      </c>
      <c r="I155" s="2">
        <v>78366</v>
      </c>
      <c r="J155">
        <v>59.768999999999998</v>
      </c>
      <c r="K155">
        <v>4</v>
      </c>
      <c r="M155" t="s">
        <v>34</v>
      </c>
      <c r="N155" t="s">
        <v>35</v>
      </c>
      <c r="O155" s="2">
        <v>3929559</v>
      </c>
      <c r="P155">
        <v>59.944000000000003</v>
      </c>
      <c r="Q155">
        <v>4</v>
      </c>
      <c r="S155" t="s">
        <v>34</v>
      </c>
      <c r="T155" t="s">
        <v>40</v>
      </c>
      <c r="U155" s="2">
        <v>99820</v>
      </c>
      <c r="V155">
        <v>56.465000000000003</v>
      </c>
      <c r="W155">
        <v>5</v>
      </c>
      <c r="Y155" t="s">
        <v>13</v>
      </c>
      <c r="Z155" t="s">
        <v>41</v>
      </c>
      <c r="AA155" s="2">
        <v>1054239</v>
      </c>
      <c r="AB155">
        <v>8.7579999999999991</v>
      </c>
      <c r="AC155">
        <v>643</v>
      </c>
      <c r="AE155" t="s">
        <v>13</v>
      </c>
      <c r="AF155" t="s">
        <v>40</v>
      </c>
      <c r="AG155" s="2">
        <v>8925655</v>
      </c>
      <c r="AH155">
        <v>2.0880000000000001</v>
      </c>
      <c r="AI155" s="2">
        <v>1745</v>
      </c>
      <c r="AK155" t="s">
        <v>13</v>
      </c>
      <c r="AL155" t="s">
        <v>38</v>
      </c>
      <c r="AM155" s="2">
        <v>199064</v>
      </c>
      <c r="AN155">
        <v>8.8949999999999996</v>
      </c>
      <c r="AO155">
        <v>113</v>
      </c>
    </row>
    <row r="156" spans="1:41" x14ac:dyDescent="0.2">
      <c r="A156" t="s">
        <v>13</v>
      </c>
      <c r="B156" t="s">
        <v>45</v>
      </c>
      <c r="C156" s="2">
        <v>343871</v>
      </c>
      <c r="D156">
        <v>10.204000000000001</v>
      </c>
      <c r="E156">
        <v>206</v>
      </c>
      <c r="G156" t="s">
        <v>34</v>
      </c>
      <c r="H156" t="s">
        <v>37</v>
      </c>
      <c r="I156">
        <v>398</v>
      </c>
      <c r="J156">
        <v>81.858999999999995</v>
      </c>
      <c r="K156">
        <v>2</v>
      </c>
      <c r="M156" t="s">
        <v>34</v>
      </c>
      <c r="N156" t="s">
        <v>37</v>
      </c>
      <c r="O156" s="2">
        <v>20151</v>
      </c>
      <c r="P156">
        <v>81.897000000000006</v>
      </c>
      <c r="Q156">
        <v>2</v>
      </c>
      <c r="S156" t="s">
        <v>34</v>
      </c>
      <c r="T156" t="s">
        <v>41</v>
      </c>
      <c r="U156" s="2">
        <v>5751</v>
      </c>
      <c r="V156">
        <v>94.578999999999994</v>
      </c>
      <c r="W156">
        <v>2</v>
      </c>
      <c r="Y156" t="s">
        <v>13</v>
      </c>
      <c r="Z156" t="s">
        <v>42</v>
      </c>
      <c r="AA156" s="2">
        <v>1155097</v>
      </c>
      <c r="AB156">
        <v>12.888999999999999</v>
      </c>
      <c r="AC156">
        <v>300</v>
      </c>
      <c r="AE156" t="s">
        <v>13</v>
      </c>
      <c r="AF156" t="s">
        <v>41</v>
      </c>
      <c r="AG156" s="2">
        <v>2271800</v>
      </c>
      <c r="AH156">
        <v>2.6829999999999998</v>
      </c>
      <c r="AI156" s="2">
        <v>1141</v>
      </c>
      <c r="AK156" t="s">
        <v>13</v>
      </c>
      <c r="AL156" t="s">
        <v>39</v>
      </c>
      <c r="AM156" s="2">
        <v>779332</v>
      </c>
      <c r="AN156">
        <v>3.4670000000000001</v>
      </c>
      <c r="AO156">
        <v>394</v>
      </c>
    </row>
    <row r="157" spans="1:41" x14ac:dyDescent="0.2">
      <c r="A157" t="s">
        <v>22</v>
      </c>
      <c r="B157" t="s">
        <v>40</v>
      </c>
      <c r="C157" s="2">
        <v>18933</v>
      </c>
      <c r="D157">
        <v>103.203</v>
      </c>
      <c r="E157">
        <v>1</v>
      </c>
      <c r="G157" t="s">
        <v>34</v>
      </c>
      <c r="H157" t="s">
        <v>38</v>
      </c>
      <c r="I157" s="2">
        <v>15508</v>
      </c>
      <c r="J157">
        <v>65.659000000000006</v>
      </c>
      <c r="K157">
        <v>3</v>
      </c>
      <c r="M157" t="s">
        <v>34</v>
      </c>
      <c r="N157" t="s">
        <v>38</v>
      </c>
      <c r="O157" s="2">
        <v>707399</v>
      </c>
      <c r="P157">
        <v>64.698999999999998</v>
      </c>
      <c r="Q157">
        <v>3</v>
      </c>
      <c r="S157" t="s">
        <v>34</v>
      </c>
      <c r="T157" t="s">
        <v>42</v>
      </c>
      <c r="U157" s="2">
        <v>29174</v>
      </c>
      <c r="V157">
        <v>91.451999999999998</v>
      </c>
      <c r="W157">
        <v>1</v>
      </c>
      <c r="Y157" t="s">
        <v>13</v>
      </c>
      <c r="Z157" t="s">
        <v>43</v>
      </c>
      <c r="AA157" s="2">
        <v>10309</v>
      </c>
      <c r="AB157">
        <v>70.863</v>
      </c>
      <c r="AC157">
        <v>6</v>
      </c>
      <c r="AE157" t="s">
        <v>13</v>
      </c>
      <c r="AF157" t="s">
        <v>42</v>
      </c>
      <c r="AG157" s="2">
        <v>1411159</v>
      </c>
      <c r="AH157">
        <v>6.0220000000000002</v>
      </c>
      <c r="AI157">
        <v>385</v>
      </c>
      <c r="AK157" t="s">
        <v>13</v>
      </c>
      <c r="AL157" t="s">
        <v>40</v>
      </c>
      <c r="AM157" s="2">
        <v>4315077</v>
      </c>
      <c r="AN157">
        <v>1.1850000000000001</v>
      </c>
      <c r="AO157" s="2">
        <v>1984</v>
      </c>
    </row>
    <row r="158" spans="1:41" x14ac:dyDescent="0.2">
      <c r="A158" t="s">
        <v>34</v>
      </c>
      <c r="B158" t="s">
        <v>35</v>
      </c>
      <c r="C158" s="2">
        <v>78366</v>
      </c>
      <c r="D158">
        <v>59.768999999999998</v>
      </c>
      <c r="E158">
        <v>4</v>
      </c>
      <c r="G158" t="s">
        <v>34</v>
      </c>
      <c r="H158" t="s">
        <v>39</v>
      </c>
      <c r="I158" s="2">
        <v>445035</v>
      </c>
      <c r="J158">
        <v>33.750999999999998</v>
      </c>
      <c r="K158">
        <v>15</v>
      </c>
      <c r="M158" t="s">
        <v>34</v>
      </c>
      <c r="N158" t="s">
        <v>39</v>
      </c>
      <c r="O158" s="2">
        <v>21705422</v>
      </c>
      <c r="P158">
        <v>33.835999999999999</v>
      </c>
      <c r="Q158">
        <v>15</v>
      </c>
      <c r="S158" t="s">
        <v>34</v>
      </c>
      <c r="T158" t="s">
        <v>43</v>
      </c>
      <c r="U158" s="2">
        <v>7833</v>
      </c>
      <c r="V158">
        <v>60.055999999999997</v>
      </c>
      <c r="W158">
        <v>2</v>
      </c>
      <c r="Y158" t="s">
        <v>13</v>
      </c>
      <c r="Z158" t="s">
        <v>44</v>
      </c>
      <c r="AA158" s="2">
        <v>276168</v>
      </c>
      <c r="AB158">
        <v>14.651999999999999</v>
      </c>
      <c r="AC158">
        <v>160</v>
      </c>
      <c r="AE158" t="s">
        <v>13</v>
      </c>
      <c r="AF158" t="s">
        <v>43</v>
      </c>
      <c r="AG158" s="2">
        <v>44196</v>
      </c>
      <c r="AH158">
        <v>45.276000000000003</v>
      </c>
      <c r="AI158">
        <v>8</v>
      </c>
      <c r="AK158" t="s">
        <v>13</v>
      </c>
      <c r="AL158" t="s">
        <v>41</v>
      </c>
      <c r="AM158" s="2">
        <v>2494136</v>
      </c>
      <c r="AN158">
        <v>1.7350000000000001</v>
      </c>
      <c r="AO158" s="2">
        <v>1312</v>
      </c>
    </row>
    <row r="159" spans="1:41" x14ac:dyDescent="0.2">
      <c r="A159" t="s">
        <v>34</v>
      </c>
      <c r="B159" t="s">
        <v>37</v>
      </c>
      <c r="C159" s="2">
        <v>14381</v>
      </c>
      <c r="D159">
        <v>46.768000000000001</v>
      </c>
      <c r="E159">
        <v>10</v>
      </c>
      <c r="G159" t="s">
        <v>34</v>
      </c>
      <c r="H159" t="s">
        <v>40</v>
      </c>
      <c r="I159" s="2">
        <v>160582</v>
      </c>
      <c r="J159">
        <v>50.073999999999998</v>
      </c>
      <c r="K159">
        <v>10</v>
      </c>
      <c r="M159" t="s">
        <v>34</v>
      </c>
      <c r="N159" t="s">
        <v>40</v>
      </c>
      <c r="O159" s="2">
        <v>8024096</v>
      </c>
      <c r="P159">
        <v>52.067</v>
      </c>
      <c r="Q159">
        <v>8</v>
      </c>
      <c r="S159" t="s">
        <v>34</v>
      </c>
      <c r="T159" t="s">
        <v>44</v>
      </c>
      <c r="U159" s="2">
        <v>62089</v>
      </c>
      <c r="V159">
        <v>75.873999999999995</v>
      </c>
      <c r="W159">
        <v>6</v>
      </c>
      <c r="Y159" t="s">
        <v>13</v>
      </c>
      <c r="Z159" t="s">
        <v>45</v>
      </c>
      <c r="AA159" s="2">
        <v>1938811</v>
      </c>
      <c r="AB159">
        <v>6.984</v>
      </c>
      <c r="AC159" s="2">
        <v>1218</v>
      </c>
      <c r="AE159" t="s">
        <v>13</v>
      </c>
      <c r="AF159" t="s">
        <v>44</v>
      </c>
      <c r="AG159" s="2">
        <v>475448</v>
      </c>
      <c r="AH159">
        <v>6.5069999999999997</v>
      </c>
      <c r="AI159">
        <v>282</v>
      </c>
      <c r="AK159" t="s">
        <v>13</v>
      </c>
      <c r="AL159" t="s">
        <v>42</v>
      </c>
      <c r="AM159" s="2">
        <v>1038539</v>
      </c>
      <c r="AN159">
        <v>3.528</v>
      </c>
      <c r="AO159">
        <v>465</v>
      </c>
    </row>
    <row r="160" spans="1:41" x14ac:dyDescent="0.2">
      <c r="A160" t="s">
        <v>34</v>
      </c>
      <c r="B160" t="s">
        <v>38</v>
      </c>
      <c r="C160" s="2">
        <v>20338</v>
      </c>
      <c r="D160">
        <v>51.436</v>
      </c>
      <c r="E160">
        <v>7</v>
      </c>
      <c r="G160" t="s">
        <v>34</v>
      </c>
      <c r="H160" t="s">
        <v>41</v>
      </c>
      <c r="I160" s="2">
        <v>11567</v>
      </c>
      <c r="J160">
        <v>93.709000000000003</v>
      </c>
      <c r="K160">
        <v>2</v>
      </c>
      <c r="M160" t="s">
        <v>34</v>
      </c>
      <c r="N160" t="s">
        <v>41</v>
      </c>
      <c r="O160" s="2">
        <v>631462</v>
      </c>
      <c r="P160">
        <v>92.671000000000006</v>
      </c>
      <c r="Q160">
        <v>2</v>
      </c>
      <c r="S160" t="s">
        <v>34</v>
      </c>
      <c r="T160" t="s">
        <v>45</v>
      </c>
      <c r="U160" s="2">
        <v>1924</v>
      </c>
      <c r="V160">
        <v>82.257999999999996</v>
      </c>
      <c r="W160">
        <v>1</v>
      </c>
      <c r="Y160" t="s">
        <v>22</v>
      </c>
      <c r="Z160" t="s">
        <v>40</v>
      </c>
      <c r="AA160" s="2">
        <v>329435</v>
      </c>
      <c r="AB160">
        <v>25.986000000000001</v>
      </c>
      <c r="AC160">
        <v>20</v>
      </c>
      <c r="AE160" t="s">
        <v>13</v>
      </c>
      <c r="AF160" t="s">
        <v>45</v>
      </c>
      <c r="AG160" s="2">
        <v>4093649</v>
      </c>
      <c r="AH160">
        <v>1.609</v>
      </c>
      <c r="AI160" s="2">
        <v>2032</v>
      </c>
      <c r="AK160" t="s">
        <v>13</v>
      </c>
      <c r="AL160" t="s">
        <v>43</v>
      </c>
      <c r="AM160" s="2">
        <v>19988</v>
      </c>
      <c r="AN160">
        <v>39.729999999999997</v>
      </c>
      <c r="AO160">
        <v>9</v>
      </c>
    </row>
    <row r="161" spans="1:41" x14ac:dyDescent="0.2">
      <c r="A161" t="s">
        <v>34</v>
      </c>
      <c r="B161" t="s">
        <v>39</v>
      </c>
      <c r="C161" s="2">
        <v>445035</v>
      </c>
      <c r="D161">
        <v>33.750999999999998</v>
      </c>
      <c r="E161">
        <v>15</v>
      </c>
      <c r="G161" t="s">
        <v>34</v>
      </c>
      <c r="H161" t="s">
        <v>42</v>
      </c>
      <c r="I161" s="2">
        <v>67636</v>
      </c>
      <c r="J161">
        <v>52.43</v>
      </c>
      <c r="K161">
        <v>11</v>
      </c>
      <c r="M161" t="s">
        <v>34</v>
      </c>
      <c r="N161" t="s">
        <v>42</v>
      </c>
      <c r="O161" s="2">
        <v>2470541</v>
      </c>
      <c r="P161">
        <v>68.108000000000004</v>
      </c>
      <c r="Q161">
        <v>10</v>
      </c>
      <c r="S161" t="s">
        <v>15</v>
      </c>
      <c r="T161" t="s">
        <v>38</v>
      </c>
      <c r="U161" s="2">
        <v>1714</v>
      </c>
      <c r="V161">
        <v>108.121</v>
      </c>
      <c r="W161">
        <v>1</v>
      </c>
      <c r="Y161" t="s">
        <v>34</v>
      </c>
      <c r="Z161" t="s">
        <v>35</v>
      </c>
      <c r="AA161" s="2">
        <v>31963</v>
      </c>
      <c r="AB161">
        <v>50.637999999999998</v>
      </c>
      <c r="AC161">
        <v>7</v>
      </c>
      <c r="AE161" t="s">
        <v>22</v>
      </c>
      <c r="AF161" t="s">
        <v>40</v>
      </c>
      <c r="AG161" s="2">
        <v>195743</v>
      </c>
      <c r="AH161">
        <v>17.547999999999998</v>
      </c>
      <c r="AI161">
        <v>25</v>
      </c>
      <c r="AK161" t="s">
        <v>13</v>
      </c>
      <c r="AL161" t="s">
        <v>44</v>
      </c>
      <c r="AM161" s="2">
        <v>594475</v>
      </c>
      <c r="AN161">
        <v>4.7140000000000004</v>
      </c>
      <c r="AO161">
        <v>326</v>
      </c>
    </row>
    <row r="162" spans="1:41" x14ac:dyDescent="0.2">
      <c r="A162" t="s">
        <v>34</v>
      </c>
      <c r="B162" t="s">
        <v>40</v>
      </c>
      <c r="C162" s="2">
        <v>160582</v>
      </c>
      <c r="D162">
        <v>50.073999999999998</v>
      </c>
      <c r="E162">
        <v>10</v>
      </c>
      <c r="G162" t="s">
        <v>34</v>
      </c>
      <c r="H162" t="s">
        <v>43</v>
      </c>
      <c r="I162" s="2">
        <v>12899</v>
      </c>
      <c r="J162">
        <v>61.213000000000001</v>
      </c>
      <c r="K162">
        <v>2</v>
      </c>
      <c r="M162" t="s">
        <v>34</v>
      </c>
      <c r="N162" t="s">
        <v>43</v>
      </c>
      <c r="O162" s="2">
        <v>705251</v>
      </c>
      <c r="P162">
        <v>60.658999999999999</v>
      </c>
      <c r="Q162">
        <v>2</v>
      </c>
      <c r="S162" t="s">
        <v>15</v>
      </c>
      <c r="T162" t="s">
        <v>39</v>
      </c>
      <c r="U162" s="2">
        <v>926933</v>
      </c>
      <c r="V162">
        <v>28.385000000000002</v>
      </c>
      <c r="W162">
        <v>22</v>
      </c>
      <c r="Y162" t="s">
        <v>34</v>
      </c>
      <c r="Z162" t="s">
        <v>37</v>
      </c>
      <c r="AA162" s="2">
        <v>9561</v>
      </c>
      <c r="AB162">
        <v>69.081000000000003</v>
      </c>
      <c r="AC162">
        <v>6</v>
      </c>
      <c r="AE162" t="s">
        <v>34</v>
      </c>
      <c r="AF162" t="s">
        <v>35</v>
      </c>
      <c r="AG162" s="2">
        <v>277000</v>
      </c>
      <c r="AH162">
        <v>33.35</v>
      </c>
      <c r="AI162">
        <v>10</v>
      </c>
      <c r="AK162" t="s">
        <v>13</v>
      </c>
      <c r="AL162" t="s">
        <v>45</v>
      </c>
      <c r="AM162" s="2">
        <v>4582980</v>
      </c>
      <c r="AN162">
        <v>0.92100000000000004</v>
      </c>
      <c r="AO162" s="2">
        <v>2315</v>
      </c>
    </row>
    <row r="163" spans="1:41" x14ac:dyDescent="0.2">
      <c r="A163" t="s">
        <v>34</v>
      </c>
      <c r="B163" t="s">
        <v>41</v>
      </c>
      <c r="C163" s="2">
        <v>11567</v>
      </c>
      <c r="D163">
        <v>93.709000000000003</v>
      </c>
      <c r="E163">
        <v>2</v>
      </c>
      <c r="G163" t="s">
        <v>34</v>
      </c>
      <c r="H163" t="s">
        <v>44</v>
      </c>
      <c r="I163" s="2">
        <v>78076</v>
      </c>
      <c r="J163">
        <v>73.143000000000001</v>
      </c>
      <c r="K163">
        <v>6</v>
      </c>
      <c r="M163" t="s">
        <v>34</v>
      </c>
      <c r="N163" t="s">
        <v>44</v>
      </c>
      <c r="O163" s="2">
        <v>4351762</v>
      </c>
      <c r="P163">
        <v>74.033000000000001</v>
      </c>
      <c r="Q163">
        <v>6</v>
      </c>
      <c r="S163" t="s">
        <v>15</v>
      </c>
      <c r="T163" t="s">
        <v>40</v>
      </c>
      <c r="U163" s="2">
        <v>54301</v>
      </c>
      <c r="V163">
        <v>66.837000000000003</v>
      </c>
      <c r="W163">
        <v>3</v>
      </c>
      <c r="Y163" t="s">
        <v>34</v>
      </c>
      <c r="Z163" t="s">
        <v>38</v>
      </c>
      <c r="AA163" s="2">
        <v>18209</v>
      </c>
      <c r="AB163">
        <v>36.686999999999998</v>
      </c>
      <c r="AC163">
        <v>12</v>
      </c>
      <c r="AE163" t="s">
        <v>34</v>
      </c>
      <c r="AF163" t="s">
        <v>37</v>
      </c>
      <c r="AG163" s="2">
        <v>20601</v>
      </c>
      <c r="AH163">
        <v>38.976999999999997</v>
      </c>
      <c r="AI163">
        <v>58</v>
      </c>
      <c r="AK163" t="s">
        <v>22</v>
      </c>
      <c r="AL163" t="s">
        <v>40</v>
      </c>
      <c r="AM163" s="2">
        <v>175756</v>
      </c>
      <c r="AN163">
        <v>13.066000000000001</v>
      </c>
      <c r="AO163">
        <v>24</v>
      </c>
    </row>
    <row r="164" spans="1:41" x14ac:dyDescent="0.2">
      <c r="A164" t="s">
        <v>34</v>
      </c>
      <c r="B164" t="s">
        <v>42</v>
      </c>
      <c r="C164" s="2">
        <v>67636</v>
      </c>
      <c r="D164">
        <v>52.43</v>
      </c>
      <c r="E164">
        <v>11</v>
      </c>
      <c r="G164" t="s">
        <v>34</v>
      </c>
      <c r="H164" t="s">
        <v>45</v>
      </c>
      <c r="I164" s="2">
        <v>5082</v>
      </c>
      <c r="J164">
        <v>82.257999999999996</v>
      </c>
      <c r="K164">
        <v>1</v>
      </c>
      <c r="M164" t="s">
        <v>34</v>
      </c>
      <c r="N164" t="s">
        <v>45</v>
      </c>
      <c r="O164" s="2">
        <v>211446</v>
      </c>
      <c r="P164">
        <v>82.257999999999996</v>
      </c>
      <c r="Q164">
        <v>1</v>
      </c>
      <c r="S164" t="s">
        <v>15</v>
      </c>
      <c r="T164" t="s">
        <v>41</v>
      </c>
      <c r="U164" s="2">
        <v>24235</v>
      </c>
      <c r="V164">
        <v>81.903000000000006</v>
      </c>
      <c r="W164">
        <v>2</v>
      </c>
      <c r="Y164" t="s">
        <v>34</v>
      </c>
      <c r="Z164" t="s">
        <v>47</v>
      </c>
      <c r="AA164">
        <v>733</v>
      </c>
      <c r="AB164">
        <v>103.203</v>
      </c>
      <c r="AC164">
        <v>1</v>
      </c>
      <c r="AE164" t="s">
        <v>34</v>
      </c>
      <c r="AF164" t="s">
        <v>38</v>
      </c>
      <c r="AG164" s="2">
        <v>54861</v>
      </c>
      <c r="AH164">
        <v>25.821999999999999</v>
      </c>
      <c r="AI164">
        <v>105</v>
      </c>
      <c r="AK164" t="s">
        <v>34</v>
      </c>
      <c r="AL164" t="s">
        <v>35</v>
      </c>
      <c r="AM164" s="2">
        <v>88238</v>
      </c>
      <c r="AN164">
        <v>25.704999999999998</v>
      </c>
      <c r="AO164">
        <v>22</v>
      </c>
    </row>
    <row r="165" spans="1:41" x14ac:dyDescent="0.2">
      <c r="A165" t="s">
        <v>34</v>
      </c>
      <c r="B165" t="s">
        <v>43</v>
      </c>
      <c r="C165" s="2">
        <v>12899</v>
      </c>
      <c r="D165">
        <v>61.213000000000001</v>
      </c>
      <c r="E165">
        <v>2</v>
      </c>
      <c r="G165" t="s">
        <v>15</v>
      </c>
      <c r="H165" t="s">
        <v>37</v>
      </c>
      <c r="I165">
        <v>434</v>
      </c>
      <c r="J165">
        <v>129.46600000000001</v>
      </c>
      <c r="K165">
        <v>1</v>
      </c>
      <c r="M165" t="s">
        <v>15</v>
      </c>
      <c r="N165" t="s">
        <v>37</v>
      </c>
      <c r="O165" s="2">
        <v>22154</v>
      </c>
      <c r="P165">
        <v>129.46600000000001</v>
      </c>
      <c r="Q165">
        <v>1</v>
      </c>
      <c r="S165" t="s">
        <v>15</v>
      </c>
      <c r="T165" t="s">
        <v>45</v>
      </c>
      <c r="U165" s="2">
        <v>19852</v>
      </c>
      <c r="V165">
        <v>125.916</v>
      </c>
      <c r="W165">
        <v>1</v>
      </c>
      <c r="Y165" t="s">
        <v>34</v>
      </c>
      <c r="Z165" t="s">
        <v>39</v>
      </c>
      <c r="AA165" s="2">
        <v>490164</v>
      </c>
      <c r="AB165">
        <v>16.594999999999999</v>
      </c>
      <c r="AC165">
        <v>77</v>
      </c>
      <c r="AE165" t="s">
        <v>34</v>
      </c>
      <c r="AF165" t="s">
        <v>47</v>
      </c>
      <c r="AG165">
        <v>241</v>
      </c>
      <c r="AH165">
        <v>83.802000000000007</v>
      </c>
      <c r="AI165">
        <v>2</v>
      </c>
      <c r="AK165" t="s">
        <v>34</v>
      </c>
      <c r="AL165" t="s">
        <v>37</v>
      </c>
      <c r="AM165" s="2">
        <v>322965</v>
      </c>
      <c r="AN165">
        <v>13.023999999999999</v>
      </c>
      <c r="AO165">
        <v>57</v>
      </c>
    </row>
    <row r="166" spans="1:41" x14ac:dyDescent="0.2">
      <c r="A166" t="s">
        <v>34</v>
      </c>
      <c r="B166" t="s">
        <v>44</v>
      </c>
      <c r="C166" s="2">
        <v>80688</v>
      </c>
      <c r="D166">
        <v>70.853999999999999</v>
      </c>
      <c r="E166">
        <v>7</v>
      </c>
      <c r="G166" t="s">
        <v>15</v>
      </c>
      <c r="H166" t="s">
        <v>38</v>
      </c>
      <c r="I166" s="2">
        <v>2106</v>
      </c>
      <c r="J166">
        <v>108.121</v>
      </c>
      <c r="K166">
        <v>1</v>
      </c>
      <c r="M166" t="s">
        <v>15</v>
      </c>
      <c r="N166" t="s">
        <v>38</v>
      </c>
      <c r="O166" s="2">
        <v>112419</v>
      </c>
      <c r="P166">
        <v>108.121</v>
      </c>
      <c r="Q166">
        <v>1</v>
      </c>
      <c r="S166" t="s">
        <v>16</v>
      </c>
      <c r="T166" t="s">
        <v>35</v>
      </c>
      <c r="U166" s="2">
        <v>1730</v>
      </c>
      <c r="V166">
        <v>81.271000000000001</v>
      </c>
      <c r="W166">
        <v>1</v>
      </c>
      <c r="Y166" t="s">
        <v>34</v>
      </c>
      <c r="Z166" t="s">
        <v>40</v>
      </c>
      <c r="AA166" s="2">
        <v>300369</v>
      </c>
      <c r="AB166">
        <v>23.058</v>
      </c>
      <c r="AC166">
        <v>47</v>
      </c>
      <c r="AE166" t="s">
        <v>34</v>
      </c>
      <c r="AF166" t="s">
        <v>39</v>
      </c>
      <c r="AG166" s="2">
        <v>3089721</v>
      </c>
      <c r="AH166">
        <v>8.8369999999999997</v>
      </c>
      <c r="AI166">
        <v>104</v>
      </c>
      <c r="AK166" t="s">
        <v>34</v>
      </c>
      <c r="AL166" t="s">
        <v>38</v>
      </c>
      <c r="AM166" s="2">
        <v>693105</v>
      </c>
      <c r="AN166">
        <v>8.266</v>
      </c>
      <c r="AO166">
        <v>124</v>
      </c>
    </row>
    <row r="167" spans="1:41" x14ac:dyDescent="0.2">
      <c r="A167" t="s">
        <v>34</v>
      </c>
      <c r="B167" t="s">
        <v>45</v>
      </c>
      <c r="C167" s="2">
        <v>5082</v>
      </c>
      <c r="D167">
        <v>82.257999999999996</v>
      </c>
      <c r="E167">
        <v>1</v>
      </c>
      <c r="G167" t="s">
        <v>15</v>
      </c>
      <c r="H167" t="s">
        <v>39</v>
      </c>
      <c r="I167" s="2">
        <v>1227788</v>
      </c>
      <c r="J167">
        <v>27.632999999999999</v>
      </c>
      <c r="K167">
        <v>26</v>
      </c>
      <c r="M167" t="s">
        <v>15</v>
      </c>
      <c r="N167" t="s">
        <v>39</v>
      </c>
      <c r="O167" s="2">
        <v>62821847</v>
      </c>
      <c r="P167">
        <v>27.579000000000001</v>
      </c>
      <c r="Q167">
        <v>25</v>
      </c>
      <c r="S167" t="s">
        <v>16</v>
      </c>
      <c r="T167" t="s">
        <v>39</v>
      </c>
      <c r="U167" s="2">
        <v>31443</v>
      </c>
      <c r="V167">
        <v>129.46600000000001</v>
      </c>
      <c r="W167">
        <v>1</v>
      </c>
      <c r="Y167" t="s">
        <v>34</v>
      </c>
      <c r="Z167" t="s">
        <v>41</v>
      </c>
      <c r="AA167" s="2">
        <v>14329</v>
      </c>
      <c r="AB167">
        <v>100.494</v>
      </c>
      <c r="AC167">
        <v>2</v>
      </c>
      <c r="AE167" t="s">
        <v>34</v>
      </c>
      <c r="AF167" t="s">
        <v>40</v>
      </c>
      <c r="AG167" s="2">
        <v>1425070</v>
      </c>
      <c r="AH167">
        <v>12.705</v>
      </c>
      <c r="AI167">
        <v>67</v>
      </c>
      <c r="AK167" t="s">
        <v>34</v>
      </c>
      <c r="AL167" t="s">
        <v>47</v>
      </c>
      <c r="AM167" s="2">
        <v>7512</v>
      </c>
      <c r="AN167">
        <v>83.028000000000006</v>
      </c>
      <c r="AO167">
        <v>2</v>
      </c>
    </row>
    <row r="168" spans="1:41" x14ac:dyDescent="0.2">
      <c r="A168" t="s">
        <v>23</v>
      </c>
      <c r="B168" t="s">
        <v>37</v>
      </c>
      <c r="C168" s="2">
        <v>1089</v>
      </c>
      <c r="D168">
        <v>110</v>
      </c>
      <c r="E168">
        <v>1</v>
      </c>
      <c r="G168" t="s">
        <v>15</v>
      </c>
      <c r="H168" t="s">
        <v>40</v>
      </c>
      <c r="I168" s="2">
        <v>68485</v>
      </c>
      <c r="J168">
        <v>65.706999999999994</v>
      </c>
      <c r="K168">
        <v>3</v>
      </c>
      <c r="M168" t="s">
        <v>15</v>
      </c>
      <c r="N168" t="s">
        <v>40</v>
      </c>
      <c r="O168" s="2">
        <v>3509268</v>
      </c>
      <c r="P168">
        <v>65.554000000000002</v>
      </c>
      <c r="Q168">
        <v>3</v>
      </c>
      <c r="S168" t="s">
        <v>16</v>
      </c>
      <c r="T168" t="s">
        <v>40</v>
      </c>
      <c r="U168" s="2">
        <v>34584</v>
      </c>
      <c r="V168">
        <v>111.563</v>
      </c>
      <c r="W168">
        <v>2</v>
      </c>
      <c r="Y168" t="s">
        <v>34</v>
      </c>
      <c r="Z168" t="s">
        <v>42</v>
      </c>
      <c r="AA168" s="2">
        <v>527329</v>
      </c>
      <c r="AB168">
        <v>20.742000000000001</v>
      </c>
      <c r="AC168">
        <v>82</v>
      </c>
      <c r="AE168" t="s">
        <v>34</v>
      </c>
      <c r="AF168" t="s">
        <v>41</v>
      </c>
      <c r="AG168" s="2">
        <v>36618</v>
      </c>
      <c r="AH168">
        <v>38.396999999999998</v>
      </c>
      <c r="AI168">
        <v>9</v>
      </c>
      <c r="AK168" t="s">
        <v>34</v>
      </c>
      <c r="AL168" t="s">
        <v>39</v>
      </c>
      <c r="AM168" s="2">
        <v>790517</v>
      </c>
      <c r="AN168">
        <v>7.01</v>
      </c>
      <c r="AO168">
        <v>197</v>
      </c>
    </row>
    <row r="169" spans="1:41" x14ac:dyDescent="0.2">
      <c r="A169" t="s">
        <v>15</v>
      </c>
      <c r="B169" t="s">
        <v>37</v>
      </c>
      <c r="C169">
        <v>434</v>
      </c>
      <c r="D169">
        <v>129.46600000000001</v>
      </c>
      <c r="E169">
        <v>1</v>
      </c>
      <c r="G169" t="s">
        <v>15</v>
      </c>
      <c r="H169" t="s">
        <v>41</v>
      </c>
      <c r="I169" s="2">
        <v>37677</v>
      </c>
      <c r="J169">
        <v>77.594999999999999</v>
      </c>
      <c r="K169">
        <v>2</v>
      </c>
      <c r="M169" t="s">
        <v>15</v>
      </c>
      <c r="N169" t="s">
        <v>41</v>
      </c>
      <c r="O169" s="2">
        <v>2085559</v>
      </c>
      <c r="P169">
        <v>78.031999999999996</v>
      </c>
      <c r="Q169">
        <v>2</v>
      </c>
      <c r="S169" t="s">
        <v>16</v>
      </c>
      <c r="T169" t="s">
        <v>41</v>
      </c>
      <c r="U169" s="2">
        <v>7816</v>
      </c>
      <c r="V169">
        <v>66.876999999999995</v>
      </c>
      <c r="W169">
        <v>2</v>
      </c>
      <c r="Y169" t="s">
        <v>34</v>
      </c>
      <c r="Z169" t="s">
        <v>43</v>
      </c>
      <c r="AA169" s="2">
        <v>28286</v>
      </c>
      <c r="AB169">
        <v>44.500999999999998</v>
      </c>
      <c r="AC169">
        <v>8</v>
      </c>
      <c r="AE169" t="s">
        <v>34</v>
      </c>
      <c r="AF169" t="s">
        <v>42</v>
      </c>
      <c r="AG169" s="2">
        <v>1560098</v>
      </c>
      <c r="AH169">
        <v>9.4</v>
      </c>
      <c r="AI169">
        <v>114</v>
      </c>
      <c r="AK169" t="s">
        <v>34</v>
      </c>
      <c r="AL169" t="s">
        <v>40</v>
      </c>
      <c r="AM169" s="2">
        <v>502952</v>
      </c>
      <c r="AN169">
        <v>9.6389999999999993</v>
      </c>
      <c r="AO169">
        <v>130</v>
      </c>
    </row>
    <row r="170" spans="1:41" x14ac:dyDescent="0.2">
      <c r="A170" t="s">
        <v>15</v>
      </c>
      <c r="B170" t="s">
        <v>38</v>
      </c>
      <c r="C170" s="2">
        <v>2106</v>
      </c>
      <c r="D170">
        <v>108.121</v>
      </c>
      <c r="E170">
        <v>1</v>
      </c>
      <c r="G170" t="s">
        <v>15</v>
      </c>
      <c r="H170" t="s">
        <v>45</v>
      </c>
      <c r="I170" s="2">
        <v>23953</v>
      </c>
      <c r="J170">
        <v>125.916</v>
      </c>
      <c r="K170">
        <v>1</v>
      </c>
      <c r="M170" t="s">
        <v>15</v>
      </c>
      <c r="N170" t="s">
        <v>45</v>
      </c>
      <c r="O170" s="2">
        <v>1358770</v>
      </c>
      <c r="P170">
        <v>125.916</v>
      </c>
      <c r="Q170">
        <v>1</v>
      </c>
      <c r="S170" t="s">
        <v>16</v>
      </c>
      <c r="T170" t="s">
        <v>45</v>
      </c>
      <c r="U170" s="2">
        <v>64932</v>
      </c>
      <c r="V170">
        <v>55.128</v>
      </c>
      <c r="W170">
        <v>2</v>
      </c>
      <c r="Y170" t="s">
        <v>34</v>
      </c>
      <c r="Z170" t="s">
        <v>44</v>
      </c>
      <c r="AA170" s="2">
        <v>20003</v>
      </c>
      <c r="AB170">
        <v>49.033999999999999</v>
      </c>
      <c r="AC170">
        <v>5</v>
      </c>
      <c r="AE170" t="s">
        <v>34</v>
      </c>
      <c r="AF170" t="s">
        <v>43</v>
      </c>
      <c r="AG170" s="2">
        <v>150297</v>
      </c>
      <c r="AH170">
        <v>34.581000000000003</v>
      </c>
      <c r="AI170">
        <v>13</v>
      </c>
      <c r="AK170" t="s">
        <v>34</v>
      </c>
      <c r="AL170" t="s">
        <v>41</v>
      </c>
      <c r="AM170" s="2">
        <v>62848</v>
      </c>
      <c r="AN170">
        <v>30.265999999999998</v>
      </c>
      <c r="AO170">
        <v>12</v>
      </c>
    </row>
    <row r="171" spans="1:41" x14ac:dyDescent="0.2">
      <c r="A171" t="s">
        <v>15</v>
      </c>
      <c r="B171" t="s">
        <v>39</v>
      </c>
      <c r="C171" s="2">
        <v>1227788</v>
      </c>
      <c r="D171">
        <v>27.632999999999999</v>
      </c>
      <c r="E171">
        <v>26</v>
      </c>
      <c r="G171" t="s">
        <v>16</v>
      </c>
      <c r="H171" t="s">
        <v>35</v>
      </c>
      <c r="I171" s="2">
        <v>4628</v>
      </c>
      <c r="J171">
        <v>81.271000000000001</v>
      </c>
      <c r="K171">
        <v>1</v>
      </c>
      <c r="M171" t="s">
        <v>16</v>
      </c>
      <c r="N171" t="s">
        <v>35</v>
      </c>
      <c r="O171" s="2">
        <v>196401</v>
      </c>
      <c r="P171">
        <v>81.271000000000001</v>
      </c>
      <c r="Q171">
        <v>1</v>
      </c>
      <c r="S171" t="s">
        <v>17</v>
      </c>
      <c r="T171" t="s">
        <v>35</v>
      </c>
      <c r="U171" s="2">
        <v>972709</v>
      </c>
      <c r="V171">
        <v>26.416</v>
      </c>
      <c r="W171">
        <v>36</v>
      </c>
      <c r="Y171" t="s">
        <v>34</v>
      </c>
      <c r="Z171" t="s">
        <v>45</v>
      </c>
      <c r="AA171" s="2">
        <v>1479</v>
      </c>
      <c r="AB171">
        <v>57.862000000000002</v>
      </c>
      <c r="AC171">
        <v>3</v>
      </c>
      <c r="AE171" t="s">
        <v>34</v>
      </c>
      <c r="AF171" t="s">
        <v>44</v>
      </c>
      <c r="AG171" s="2">
        <v>38126</v>
      </c>
      <c r="AH171">
        <v>34.112000000000002</v>
      </c>
      <c r="AI171">
        <v>19</v>
      </c>
      <c r="AK171" t="s">
        <v>34</v>
      </c>
      <c r="AL171" t="s">
        <v>42</v>
      </c>
      <c r="AM171" s="2">
        <v>844973</v>
      </c>
      <c r="AN171">
        <v>6.5720000000000001</v>
      </c>
      <c r="AO171">
        <v>208</v>
      </c>
    </row>
    <row r="172" spans="1:41" x14ac:dyDescent="0.2">
      <c r="A172" t="s">
        <v>15</v>
      </c>
      <c r="B172" t="s">
        <v>40</v>
      </c>
      <c r="C172" s="2">
        <v>69657</v>
      </c>
      <c r="D172">
        <v>64.626000000000005</v>
      </c>
      <c r="E172">
        <v>4</v>
      </c>
      <c r="G172" t="s">
        <v>16</v>
      </c>
      <c r="H172" t="s">
        <v>39</v>
      </c>
      <c r="I172" s="2">
        <v>48193</v>
      </c>
      <c r="J172">
        <v>129.46600000000001</v>
      </c>
      <c r="K172">
        <v>1</v>
      </c>
      <c r="M172" t="s">
        <v>16</v>
      </c>
      <c r="N172" t="s">
        <v>39</v>
      </c>
      <c r="O172" s="2">
        <v>2703879</v>
      </c>
      <c r="P172">
        <v>129.46600000000001</v>
      </c>
      <c r="Q172">
        <v>1</v>
      </c>
      <c r="S172" t="s">
        <v>17</v>
      </c>
      <c r="T172" t="s">
        <v>37</v>
      </c>
      <c r="U172" s="2">
        <v>1798</v>
      </c>
      <c r="V172">
        <v>100.601</v>
      </c>
      <c r="W172">
        <v>1</v>
      </c>
      <c r="Y172" t="s">
        <v>23</v>
      </c>
      <c r="Z172" t="s">
        <v>37</v>
      </c>
      <c r="AA172">
        <v>445</v>
      </c>
      <c r="AB172">
        <v>103.203</v>
      </c>
      <c r="AC172">
        <v>1</v>
      </c>
      <c r="AE172" t="s">
        <v>34</v>
      </c>
      <c r="AF172" t="s">
        <v>45</v>
      </c>
      <c r="AG172" s="2">
        <v>52648</v>
      </c>
      <c r="AH172">
        <v>34.682000000000002</v>
      </c>
      <c r="AI172">
        <v>10</v>
      </c>
      <c r="AK172" t="s">
        <v>34</v>
      </c>
      <c r="AL172" t="s">
        <v>43</v>
      </c>
      <c r="AM172" s="2">
        <v>80680</v>
      </c>
      <c r="AN172">
        <v>26.893999999999998</v>
      </c>
      <c r="AO172">
        <v>21</v>
      </c>
    </row>
    <row r="173" spans="1:41" x14ac:dyDescent="0.2">
      <c r="A173" t="s">
        <v>15</v>
      </c>
      <c r="B173" t="s">
        <v>41</v>
      </c>
      <c r="C173" s="2">
        <v>37677</v>
      </c>
      <c r="D173">
        <v>77.594999999999999</v>
      </c>
      <c r="E173">
        <v>2</v>
      </c>
      <c r="G173" t="s">
        <v>16</v>
      </c>
      <c r="H173" t="s">
        <v>40</v>
      </c>
      <c r="I173" s="2">
        <v>52891</v>
      </c>
      <c r="J173">
        <v>108.27800000000001</v>
      </c>
      <c r="K173">
        <v>2</v>
      </c>
      <c r="M173" t="s">
        <v>16</v>
      </c>
      <c r="N173" t="s">
        <v>40</v>
      </c>
      <c r="O173" s="2">
        <v>3010043</v>
      </c>
      <c r="P173">
        <v>108.563</v>
      </c>
      <c r="Q173">
        <v>2</v>
      </c>
      <c r="S173" t="s">
        <v>17</v>
      </c>
      <c r="T173" t="s">
        <v>38</v>
      </c>
      <c r="U173" s="2">
        <v>27826</v>
      </c>
      <c r="V173">
        <v>40.377000000000002</v>
      </c>
      <c r="W173">
        <v>9</v>
      </c>
      <c r="Y173" t="s">
        <v>23</v>
      </c>
      <c r="Z173" t="s">
        <v>41</v>
      </c>
      <c r="AA173">
        <v>298</v>
      </c>
      <c r="AB173">
        <v>92.231999999999999</v>
      </c>
      <c r="AC173">
        <v>1</v>
      </c>
      <c r="AE173" t="s">
        <v>23</v>
      </c>
      <c r="AF173" t="s">
        <v>37</v>
      </c>
      <c r="AG173">
        <v>977</v>
      </c>
      <c r="AH173">
        <v>92.37</v>
      </c>
      <c r="AI173">
        <v>3</v>
      </c>
      <c r="AK173" t="s">
        <v>34</v>
      </c>
      <c r="AL173" t="s">
        <v>44</v>
      </c>
      <c r="AM173" s="2">
        <v>124284</v>
      </c>
      <c r="AN173">
        <v>22.021999999999998</v>
      </c>
      <c r="AO173">
        <v>20</v>
      </c>
    </row>
    <row r="174" spans="1:41" x14ac:dyDescent="0.2">
      <c r="A174" t="s">
        <v>15</v>
      </c>
      <c r="B174" t="s">
        <v>45</v>
      </c>
      <c r="C174" s="2">
        <v>23953</v>
      </c>
      <c r="D174">
        <v>125.916</v>
      </c>
      <c r="E174">
        <v>1</v>
      </c>
      <c r="G174" t="s">
        <v>16</v>
      </c>
      <c r="H174" t="s">
        <v>41</v>
      </c>
      <c r="I174" s="2">
        <v>9908</v>
      </c>
      <c r="J174">
        <v>67.53</v>
      </c>
      <c r="K174">
        <v>2</v>
      </c>
      <c r="M174" t="s">
        <v>16</v>
      </c>
      <c r="N174" t="s">
        <v>41</v>
      </c>
      <c r="O174" s="2">
        <v>566158</v>
      </c>
      <c r="P174">
        <v>69.3</v>
      </c>
      <c r="Q174">
        <v>2</v>
      </c>
      <c r="S174" t="s">
        <v>17</v>
      </c>
      <c r="T174" t="s">
        <v>39</v>
      </c>
      <c r="U174" s="2">
        <v>7048247</v>
      </c>
      <c r="V174">
        <v>11.013999999999999</v>
      </c>
      <c r="W174">
        <v>117</v>
      </c>
      <c r="Y174" t="s">
        <v>24</v>
      </c>
      <c r="Z174" t="s">
        <v>42</v>
      </c>
      <c r="AA174" s="2">
        <v>12233</v>
      </c>
      <c r="AB174">
        <v>85.272000000000006</v>
      </c>
      <c r="AC174">
        <v>2</v>
      </c>
      <c r="AE174" t="s">
        <v>23</v>
      </c>
      <c r="AF174" t="s">
        <v>39</v>
      </c>
      <c r="AG174" s="2">
        <v>1114</v>
      </c>
      <c r="AH174">
        <v>110</v>
      </c>
      <c r="AI174">
        <v>1</v>
      </c>
      <c r="AK174" t="s">
        <v>34</v>
      </c>
      <c r="AL174" t="s">
        <v>45</v>
      </c>
      <c r="AM174" s="2">
        <v>82706</v>
      </c>
      <c r="AN174">
        <v>23.88</v>
      </c>
      <c r="AO174">
        <v>15</v>
      </c>
    </row>
    <row r="175" spans="1:41" x14ac:dyDescent="0.2">
      <c r="A175" t="s">
        <v>16</v>
      </c>
      <c r="B175" t="s">
        <v>35</v>
      </c>
      <c r="C175" s="2">
        <v>4628</v>
      </c>
      <c r="D175">
        <v>81.271000000000001</v>
      </c>
      <c r="E175">
        <v>1</v>
      </c>
      <c r="G175" t="s">
        <v>16</v>
      </c>
      <c r="H175" t="s">
        <v>42</v>
      </c>
      <c r="I175" s="2">
        <v>2434</v>
      </c>
      <c r="J175">
        <v>66.738</v>
      </c>
      <c r="K175">
        <v>2</v>
      </c>
      <c r="M175" t="s">
        <v>16</v>
      </c>
      <c r="N175" t="s">
        <v>42</v>
      </c>
      <c r="O175" s="2">
        <v>28136</v>
      </c>
      <c r="P175">
        <v>104.52</v>
      </c>
      <c r="Q175">
        <v>1</v>
      </c>
      <c r="S175" t="s">
        <v>17</v>
      </c>
      <c r="T175" t="s">
        <v>40</v>
      </c>
      <c r="U175" s="2">
        <v>3161514</v>
      </c>
      <c r="V175">
        <v>15.971</v>
      </c>
      <c r="W175">
        <v>64</v>
      </c>
      <c r="Y175" t="s">
        <v>15</v>
      </c>
      <c r="Z175" t="s">
        <v>35</v>
      </c>
      <c r="AA175" s="2">
        <v>18748</v>
      </c>
      <c r="AB175">
        <v>53.295000000000002</v>
      </c>
      <c r="AC175">
        <v>5</v>
      </c>
      <c r="AE175" t="s">
        <v>23</v>
      </c>
      <c r="AF175" t="s">
        <v>41</v>
      </c>
      <c r="AG175" s="2">
        <v>16746</v>
      </c>
      <c r="AH175">
        <v>92.231999999999999</v>
      </c>
      <c r="AI175">
        <v>1</v>
      </c>
      <c r="AK175" t="s">
        <v>23</v>
      </c>
      <c r="AL175" t="s">
        <v>37</v>
      </c>
      <c r="AM175" s="2">
        <v>6904</v>
      </c>
      <c r="AN175">
        <v>88.518000000000001</v>
      </c>
      <c r="AO175">
        <v>2</v>
      </c>
    </row>
    <row r="176" spans="1:41" x14ac:dyDescent="0.2">
      <c r="A176" t="s">
        <v>16</v>
      </c>
      <c r="B176" t="s">
        <v>39</v>
      </c>
      <c r="C176" s="2">
        <v>48193</v>
      </c>
      <c r="D176">
        <v>129.46600000000001</v>
      </c>
      <c r="E176">
        <v>1</v>
      </c>
      <c r="G176" t="s">
        <v>16</v>
      </c>
      <c r="H176" t="s">
        <v>45</v>
      </c>
      <c r="I176" s="2">
        <v>89593</v>
      </c>
      <c r="J176">
        <v>55.78</v>
      </c>
      <c r="K176">
        <v>2</v>
      </c>
      <c r="M176" t="s">
        <v>16</v>
      </c>
      <c r="N176" t="s">
        <v>45</v>
      </c>
      <c r="O176" s="2">
        <v>4656197</v>
      </c>
      <c r="P176">
        <v>55.261000000000003</v>
      </c>
      <c r="Q176">
        <v>2</v>
      </c>
      <c r="S176" t="s">
        <v>17</v>
      </c>
      <c r="T176" t="s">
        <v>41</v>
      </c>
      <c r="U176" s="2">
        <v>343474</v>
      </c>
      <c r="V176">
        <v>26.658999999999999</v>
      </c>
      <c r="W176">
        <v>30</v>
      </c>
      <c r="Y176" t="s">
        <v>15</v>
      </c>
      <c r="Z176" t="s">
        <v>37</v>
      </c>
      <c r="AA176" s="2">
        <v>7104</v>
      </c>
      <c r="AB176">
        <v>76.373000000000005</v>
      </c>
      <c r="AC176">
        <v>2</v>
      </c>
      <c r="AE176" t="s">
        <v>24</v>
      </c>
      <c r="AF176" t="s">
        <v>42</v>
      </c>
      <c r="AG176" s="2">
        <v>44324</v>
      </c>
      <c r="AH176">
        <v>69.626999999999995</v>
      </c>
      <c r="AI176">
        <v>3</v>
      </c>
      <c r="AK176" t="s">
        <v>23</v>
      </c>
      <c r="AL176" t="s">
        <v>39</v>
      </c>
      <c r="AM176" s="2">
        <v>2278</v>
      </c>
      <c r="AN176">
        <v>91.405000000000001</v>
      </c>
      <c r="AO176">
        <v>2</v>
      </c>
    </row>
    <row r="177" spans="1:41" x14ac:dyDescent="0.2">
      <c r="A177" t="s">
        <v>16</v>
      </c>
      <c r="B177" t="s">
        <v>40</v>
      </c>
      <c r="C177" s="2">
        <v>52891</v>
      </c>
      <c r="D177">
        <v>108.27800000000001</v>
      </c>
      <c r="E177">
        <v>2</v>
      </c>
      <c r="G177" t="s">
        <v>17</v>
      </c>
      <c r="H177" t="s">
        <v>35</v>
      </c>
      <c r="I177" s="2">
        <v>1403629</v>
      </c>
      <c r="J177">
        <v>24.236999999999998</v>
      </c>
      <c r="K177">
        <v>39</v>
      </c>
      <c r="M177" t="s">
        <v>17</v>
      </c>
      <c r="N177" t="s">
        <v>35</v>
      </c>
      <c r="O177" s="2">
        <v>67437904</v>
      </c>
      <c r="P177">
        <v>24.821000000000002</v>
      </c>
      <c r="Q177">
        <v>38</v>
      </c>
      <c r="S177" t="s">
        <v>17</v>
      </c>
      <c r="T177" t="s">
        <v>42</v>
      </c>
      <c r="U177" s="2">
        <v>973665</v>
      </c>
      <c r="V177">
        <v>23.341000000000001</v>
      </c>
      <c r="W177">
        <v>27</v>
      </c>
      <c r="Y177" t="s">
        <v>15</v>
      </c>
      <c r="Z177" t="s">
        <v>38</v>
      </c>
      <c r="AA177" s="2">
        <v>11673</v>
      </c>
      <c r="AB177">
        <v>84.356999999999999</v>
      </c>
      <c r="AC177">
        <v>1</v>
      </c>
      <c r="AE177" t="s">
        <v>15</v>
      </c>
      <c r="AF177" t="s">
        <v>35</v>
      </c>
      <c r="AG177" s="2">
        <v>119063</v>
      </c>
      <c r="AH177">
        <v>44.021999999999998</v>
      </c>
      <c r="AI177">
        <v>9</v>
      </c>
      <c r="AK177" t="s">
        <v>23</v>
      </c>
      <c r="AL177" t="s">
        <v>41</v>
      </c>
      <c r="AM177" s="2">
        <v>9031</v>
      </c>
      <c r="AN177">
        <v>84.602999999999994</v>
      </c>
      <c r="AO177">
        <v>1</v>
      </c>
    </row>
    <row r="178" spans="1:41" x14ac:dyDescent="0.2">
      <c r="A178" t="s">
        <v>16</v>
      </c>
      <c r="B178" t="s">
        <v>41</v>
      </c>
      <c r="C178" s="2">
        <v>9908</v>
      </c>
      <c r="D178">
        <v>67.53</v>
      </c>
      <c r="E178">
        <v>2</v>
      </c>
      <c r="G178" t="s">
        <v>17</v>
      </c>
      <c r="H178" t="s">
        <v>37</v>
      </c>
      <c r="I178" s="2">
        <v>2478</v>
      </c>
      <c r="J178">
        <v>100.601</v>
      </c>
      <c r="K178">
        <v>1</v>
      </c>
      <c r="M178" t="s">
        <v>17</v>
      </c>
      <c r="N178" t="s">
        <v>37</v>
      </c>
      <c r="O178" s="2">
        <v>130072</v>
      </c>
      <c r="P178">
        <v>100.601</v>
      </c>
      <c r="Q178">
        <v>1</v>
      </c>
      <c r="S178" t="s">
        <v>17</v>
      </c>
      <c r="T178" t="s">
        <v>43</v>
      </c>
      <c r="U178" s="2">
        <v>96855</v>
      </c>
      <c r="V178">
        <v>40.786000000000001</v>
      </c>
      <c r="W178">
        <v>8</v>
      </c>
      <c r="Y178" t="s">
        <v>15</v>
      </c>
      <c r="Z178" t="s">
        <v>39</v>
      </c>
      <c r="AA178" s="2">
        <v>432498</v>
      </c>
      <c r="AB178">
        <v>18.53</v>
      </c>
      <c r="AC178">
        <v>76</v>
      </c>
      <c r="AE178" t="s">
        <v>15</v>
      </c>
      <c r="AF178" t="s">
        <v>37</v>
      </c>
      <c r="AG178" s="2">
        <v>1571</v>
      </c>
      <c r="AH178">
        <v>53.44</v>
      </c>
      <c r="AI178">
        <v>8</v>
      </c>
      <c r="AK178" t="s">
        <v>14</v>
      </c>
      <c r="AL178" t="s">
        <v>40</v>
      </c>
      <c r="AM178">
        <v>64</v>
      </c>
      <c r="AN178">
        <v>104.928</v>
      </c>
      <c r="AO178">
        <v>1</v>
      </c>
    </row>
    <row r="179" spans="1:41" x14ac:dyDescent="0.2">
      <c r="A179" t="s">
        <v>16</v>
      </c>
      <c r="B179" t="s">
        <v>42</v>
      </c>
      <c r="C179" s="2">
        <v>2434</v>
      </c>
      <c r="D179">
        <v>66.738</v>
      </c>
      <c r="E179">
        <v>2</v>
      </c>
      <c r="G179" t="s">
        <v>17</v>
      </c>
      <c r="H179" t="s">
        <v>38</v>
      </c>
      <c r="I179" s="2">
        <v>44308</v>
      </c>
      <c r="J179">
        <v>36.786999999999999</v>
      </c>
      <c r="K179">
        <v>11</v>
      </c>
      <c r="M179" t="s">
        <v>17</v>
      </c>
      <c r="N179" t="s">
        <v>38</v>
      </c>
      <c r="O179" s="2">
        <v>2219277</v>
      </c>
      <c r="P179">
        <v>38.031999999999996</v>
      </c>
      <c r="Q179">
        <v>11</v>
      </c>
      <c r="S179" t="s">
        <v>17</v>
      </c>
      <c r="T179" t="s">
        <v>44</v>
      </c>
      <c r="U179" s="2">
        <v>130587</v>
      </c>
      <c r="V179">
        <v>39.619</v>
      </c>
      <c r="W179">
        <v>12</v>
      </c>
      <c r="Y179" t="s">
        <v>15</v>
      </c>
      <c r="Z179" t="s">
        <v>40</v>
      </c>
      <c r="AA179" s="2">
        <v>40868</v>
      </c>
      <c r="AB179">
        <v>65.132000000000005</v>
      </c>
      <c r="AC179">
        <v>3</v>
      </c>
      <c r="AE179" t="s">
        <v>15</v>
      </c>
      <c r="AF179" t="s">
        <v>38</v>
      </c>
      <c r="AG179" s="2">
        <v>11562</v>
      </c>
      <c r="AH179">
        <v>57.634999999999998</v>
      </c>
      <c r="AI179">
        <v>6</v>
      </c>
      <c r="AK179" t="s">
        <v>24</v>
      </c>
      <c r="AL179" t="s">
        <v>39</v>
      </c>
      <c r="AM179" s="2">
        <v>6157</v>
      </c>
      <c r="AN179">
        <v>102.414</v>
      </c>
      <c r="AO179">
        <v>1</v>
      </c>
    </row>
    <row r="180" spans="1:41" x14ac:dyDescent="0.2">
      <c r="A180" t="s">
        <v>16</v>
      </c>
      <c r="B180" t="s">
        <v>45</v>
      </c>
      <c r="C180" s="2">
        <v>89593</v>
      </c>
      <c r="D180">
        <v>55.78</v>
      </c>
      <c r="E180">
        <v>2</v>
      </c>
      <c r="G180" t="s">
        <v>17</v>
      </c>
      <c r="H180" t="s">
        <v>39</v>
      </c>
      <c r="I180" s="2">
        <v>9665909</v>
      </c>
      <c r="J180">
        <v>10.553000000000001</v>
      </c>
      <c r="K180">
        <v>139</v>
      </c>
      <c r="M180" t="s">
        <v>17</v>
      </c>
      <c r="N180" t="s">
        <v>39</v>
      </c>
      <c r="O180" s="2">
        <v>492064728</v>
      </c>
      <c r="P180">
        <v>10.692</v>
      </c>
      <c r="Q180">
        <v>130</v>
      </c>
      <c r="S180" t="s">
        <v>17</v>
      </c>
      <c r="T180" t="s">
        <v>45</v>
      </c>
      <c r="U180" s="2">
        <v>577778</v>
      </c>
      <c r="V180">
        <v>18.954999999999998</v>
      </c>
      <c r="W180">
        <v>42</v>
      </c>
      <c r="Y180" t="s">
        <v>15</v>
      </c>
      <c r="Z180" t="s">
        <v>41</v>
      </c>
      <c r="AA180" s="2">
        <v>12434</v>
      </c>
      <c r="AB180">
        <v>51.981000000000002</v>
      </c>
      <c r="AC180">
        <v>5</v>
      </c>
      <c r="AE180" t="s">
        <v>15</v>
      </c>
      <c r="AF180" t="s">
        <v>39</v>
      </c>
      <c r="AG180" s="2">
        <v>2368465</v>
      </c>
      <c r="AH180">
        <v>7.2969999999999997</v>
      </c>
      <c r="AI180">
        <v>109</v>
      </c>
      <c r="AK180" t="s">
        <v>24</v>
      </c>
      <c r="AL180" t="s">
        <v>42</v>
      </c>
      <c r="AM180" s="2">
        <v>12259</v>
      </c>
      <c r="AN180">
        <v>67.135999999999996</v>
      </c>
      <c r="AO180">
        <v>3</v>
      </c>
    </row>
    <row r="181" spans="1:41" x14ac:dyDescent="0.2">
      <c r="A181" t="s">
        <v>17</v>
      </c>
      <c r="B181" t="s">
        <v>35</v>
      </c>
      <c r="C181" s="2">
        <v>1414826</v>
      </c>
      <c r="D181">
        <v>24.045000000000002</v>
      </c>
      <c r="E181">
        <v>42</v>
      </c>
      <c r="G181" t="s">
        <v>17</v>
      </c>
      <c r="H181" t="s">
        <v>40</v>
      </c>
      <c r="I181" s="2">
        <v>4278308</v>
      </c>
      <c r="J181">
        <v>15.323</v>
      </c>
      <c r="K181">
        <v>75</v>
      </c>
      <c r="M181" t="s">
        <v>17</v>
      </c>
      <c r="N181" t="s">
        <v>40</v>
      </c>
      <c r="O181" s="2">
        <v>216086470</v>
      </c>
      <c r="P181">
        <v>15.417999999999999</v>
      </c>
      <c r="Q181">
        <v>70</v>
      </c>
      <c r="Y181" t="s">
        <v>15</v>
      </c>
      <c r="Z181" t="s">
        <v>42</v>
      </c>
      <c r="AA181" s="2">
        <v>17245</v>
      </c>
      <c r="AB181">
        <v>78.265000000000001</v>
      </c>
      <c r="AC181">
        <v>2</v>
      </c>
      <c r="AE181" t="s">
        <v>15</v>
      </c>
      <c r="AF181" t="s">
        <v>40</v>
      </c>
      <c r="AG181" s="2">
        <v>67733</v>
      </c>
      <c r="AH181">
        <v>45.445999999999998</v>
      </c>
      <c r="AI181">
        <v>8</v>
      </c>
      <c r="AK181" t="s">
        <v>15</v>
      </c>
      <c r="AL181" t="s">
        <v>35</v>
      </c>
      <c r="AM181" s="2">
        <v>41433</v>
      </c>
      <c r="AN181">
        <v>35.731999999999999</v>
      </c>
      <c r="AO181">
        <v>11</v>
      </c>
    </row>
    <row r="182" spans="1:41" x14ac:dyDescent="0.2">
      <c r="A182" t="s">
        <v>17</v>
      </c>
      <c r="B182" t="s">
        <v>37</v>
      </c>
      <c r="C182" s="2">
        <v>2478</v>
      </c>
      <c r="D182">
        <v>100.601</v>
      </c>
      <c r="E182">
        <v>1</v>
      </c>
      <c r="G182" t="s">
        <v>17</v>
      </c>
      <c r="H182" t="s">
        <v>41</v>
      </c>
      <c r="I182" s="2">
        <v>465412</v>
      </c>
      <c r="J182">
        <v>25.462</v>
      </c>
      <c r="K182">
        <v>41</v>
      </c>
      <c r="M182" t="s">
        <v>17</v>
      </c>
      <c r="N182" t="s">
        <v>41</v>
      </c>
      <c r="O182" s="2">
        <v>25673454</v>
      </c>
      <c r="P182">
        <v>25.451000000000001</v>
      </c>
      <c r="Q182">
        <v>40</v>
      </c>
      <c r="Y182" t="s">
        <v>15</v>
      </c>
      <c r="Z182" t="s">
        <v>44</v>
      </c>
      <c r="AA182" s="2">
        <v>22327</v>
      </c>
      <c r="AB182">
        <v>86</v>
      </c>
      <c r="AC182">
        <v>1</v>
      </c>
      <c r="AE182" t="s">
        <v>15</v>
      </c>
      <c r="AF182" t="s">
        <v>41</v>
      </c>
      <c r="AG182" s="2">
        <v>95081</v>
      </c>
      <c r="AH182">
        <v>33.280999999999999</v>
      </c>
      <c r="AI182">
        <v>12</v>
      </c>
      <c r="AK182" t="s">
        <v>15</v>
      </c>
      <c r="AL182" t="s">
        <v>37</v>
      </c>
      <c r="AM182" s="2">
        <v>39633</v>
      </c>
      <c r="AN182">
        <v>38.786999999999999</v>
      </c>
      <c r="AO182">
        <v>9</v>
      </c>
    </row>
    <row r="183" spans="1:41" x14ac:dyDescent="0.2">
      <c r="A183" t="s">
        <v>17</v>
      </c>
      <c r="B183" t="s">
        <v>38</v>
      </c>
      <c r="C183" s="2">
        <v>56961</v>
      </c>
      <c r="D183">
        <v>33.584000000000003</v>
      </c>
      <c r="E183">
        <v>15</v>
      </c>
      <c r="G183" t="s">
        <v>17</v>
      </c>
      <c r="H183" t="s">
        <v>42</v>
      </c>
      <c r="I183" s="2">
        <v>1586410</v>
      </c>
      <c r="J183">
        <v>21.670999999999999</v>
      </c>
      <c r="K183">
        <v>44</v>
      </c>
      <c r="M183" t="s">
        <v>17</v>
      </c>
      <c r="N183" t="s">
        <v>42</v>
      </c>
      <c r="O183" s="2">
        <v>73918040</v>
      </c>
      <c r="P183">
        <v>22.145</v>
      </c>
      <c r="Q183">
        <v>37</v>
      </c>
      <c r="Y183" t="s">
        <v>15</v>
      </c>
      <c r="Z183" t="s">
        <v>45</v>
      </c>
      <c r="AA183" s="2">
        <v>2909</v>
      </c>
      <c r="AB183">
        <v>89.796000000000006</v>
      </c>
      <c r="AC183">
        <v>2</v>
      </c>
      <c r="AE183" t="s">
        <v>15</v>
      </c>
      <c r="AF183" t="s">
        <v>42</v>
      </c>
      <c r="AG183" s="2">
        <v>23536</v>
      </c>
      <c r="AH183">
        <v>87.929000000000002</v>
      </c>
      <c r="AI183">
        <v>2</v>
      </c>
      <c r="AK183" t="s">
        <v>15</v>
      </c>
      <c r="AL183" t="s">
        <v>48</v>
      </c>
      <c r="AM183" s="2">
        <v>5622</v>
      </c>
      <c r="AN183">
        <v>104.511</v>
      </c>
      <c r="AO183">
        <v>1</v>
      </c>
    </row>
    <row r="184" spans="1:41" x14ac:dyDescent="0.2">
      <c r="A184" t="s">
        <v>17</v>
      </c>
      <c r="B184" t="s">
        <v>39</v>
      </c>
      <c r="C184" s="2">
        <v>9665909</v>
      </c>
      <c r="D184">
        <v>10.553000000000001</v>
      </c>
      <c r="E184">
        <v>139</v>
      </c>
      <c r="G184" t="s">
        <v>17</v>
      </c>
      <c r="H184" t="s">
        <v>43</v>
      </c>
      <c r="I184" s="2">
        <v>131676</v>
      </c>
      <c r="J184">
        <v>40.012</v>
      </c>
      <c r="K184">
        <v>9</v>
      </c>
      <c r="M184" t="s">
        <v>17</v>
      </c>
      <c r="N184" t="s">
        <v>43</v>
      </c>
      <c r="O184" s="2">
        <v>7489706</v>
      </c>
      <c r="P184">
        <v>40.396999999999998</v>
      </c>
      <c r="Q184">
        <v>8</v>
      </c>
      <c r="Y184" t="s">
        <v>16</v>
      </c>
      <c r="Z184" t="s">
        <v>35</v>
      </c>
      <c r="AA184" s="2">
        <v>43019</v>
      </c>
      <c r="AB184">
        <v>56.543999999999997</v>
      </c>
      <c r="AC184">
        <v>4</v>
      </c>
      <c r="AE184" t="s">
        <v>15</v>
      </c>
      <c r="AF184" t="s">
        <v>43</v>
      </c>
      <c r="AG184" s="2">
        <v>19166</v>
      </c>
      <c r="AH184">
        <v>80.748999999999995</v>
      </c>
      <c r="AI184">
        <v>2</v>
      </c>
      <c r="AK184" t="s">
        <v>15</v>
      </c>
      <c r="AL184" t="s">
        <v>38</v>
      </c>
      <c r="AM184" s="2">
        <v>30856</v>
      </c>
      <c r="AN184">
        <v>44.085999999999999</v>
      </c>
      <c r="AO184">
        <v>6</v>
      </c>
    </row>
    <row r="185" spans="1:41" x14ac:dyDescent="0.2">
      <c r="A185" t="s">
        <v>17</v>
      </c>
      <c r="B185" t="s">
        <v>40</v>
      </c>
      <c r="C185" s="2">
        <v>4278308</v>
      </c>
      <c r="D185">
        <v>15.323</v>
      </c>
      <c r="E185">
        <v>75</v>
      </c>
      <c r="G185" t="s">
        <v>17</v>
      </c>
      <c r="H185" t="s">
        <v>44</v>
      </c>
      <c r="I185" s="2">
        <v>180618</v>
      </c>
      <c r="J185">
        <v>40.095999999999997</v>
      </c>
      <c r="K185">
        <v>13</v>
      </c>
      <c r="M185" t="s">
        <v>17</v>
      </c>
      <c r="N185" t="s">
        <v>44</v>
      </c>
      <c r="O185" s="2">
        <v>10385426</v>
      </c>
      <c r="P185">
        <v>40.816000000000003</v>
      </c>
      <c r="Q185">
        <v>13</v>
      </c>
      <c r="Y185" t="s">
        <v>16</v>
      </c>
      <c r="Z185" t="s">
        <v>39</v>
      </c>
      <c r="AA185" s="2">
        <v>13745</v>
      </c>
      <c r="AB185">
        <v>59.677999999999997</v>
      </c>
      <c r="AC185">
        <v>4</v>
      </c>
      <c r="AE185" t="s">
        <v>15</v>
      </c>
      <c r="AF185" t="s">
        <v>44</v>
      </c>
      <c r="AG185" s="2">
        <v>37374</v>
      </c>
      <c r="AH185">
        <v>67.695999999999998</v>
      </c>
      <c r="AI185">
        <v>2</v>
      </c>
      <c r="AK185" t="s">
        <v>15</v>
      </c>
      <c r="AL185" t="s">
        <v>39</v>
      </c>
      <c r="AM185" s="2">
        <v>673458</v>
      </c>
      <c r="AN185">
        <v>5.8079999999999998</v>
      </c>
      <c r="AO185">
        <v>123</v>
      </c>
    </row>
    <row r="186" spans="1:41" x14ac:dyDescent="0.2">
      <c r="A186" t="s">
        <v>17</v>
      </c>
      <c r="B186" t="s">
        <v>41</v>
      </c>
      <c r="C186" s="2">
        <v>465412</v>
      </c>
      <c r="D186">
        <v>25.462</v>
      </c>
      <c r="E186">
        <v>41</v>
      </c>
      <c r="G186" t="s">
        <v>17</v>
      </c>
      <c r="H186" t="s">
        <v>45</v>
      </c>
      <c r="I186" s="2">
        <v>780816</v>
      </c>
      <c r="J186">
        <v>17.936</v>
      </c>
      <c r="K186">
        <v>46</v>
      </c>
      <c r="M186" t="s">
        <v>17</v>
      </c>
      <c r="N186" t="s">
        <v>45</v>
      </c>
      <c r="O186" s="2">
        <v>41684814</v>
      </c>
      <c r="P186">
        <v>18.413</v>
      </c>
      <c r="Q186">
        <v>45</v>
      </c>
      <c r="Y186" t="s">
        <v>16</v>
      </c>
      <c r="Z186" t="s">
        <v>40</v>
      </c>
      <c r="AA186" s="2">
        <v>6392</v>
      </c>
      <c r="AB186">
        <v>88.697999999999993</v>
      </c>
      <c r="AC186">
        <v>1</v>
      </c>
      <c r="AE186" t="s">
        <v>15</v>
      </c>
      <c r="AF186" t="s">
        <v>45</v>
      </c>
      <c r="AG186" s="2">
        <v>19535</v>
      </c>
      <c r="AH186">
        <v>64.292000000000002</v>
      </c>
      <c r="AI186">
        <v>3</v>
      </c>
      <c r="AK186" t="s">
        <v>15</v>
      </c>
      <c r="AL186" t="s">
        <v>40</v>
      </c>
      <c r="AM186" s="2">
        <v>44270</v>
      </c>
      <c r="AN186">
        <v>36.119999999999997</v>
      </c>
      <c r="AO186">
        <v>9</v>
      </c>
    </row>
    <row r="187" spans="1:41" x14ac:dyDescent="0.2">
      <c r="A187" t="s">
        <v>17</v>
      </c>
      <c r="B187" t="s">
        <v>42</v>
      </c>
      <c r="C187" s="2">
        <v>1653792</v>
      </c>
      <c r="D187">
        <v>20.966999999999999</v>
      </c>
      <c r="E187">
        <v>45</v>
      </c>
      <c r="Y187" t="s">
        <v>16</v>
      </c>
      <c r="Z187" t="s">
        <v>41</v>
      </c>
      <c r="AA187" s="2">
        <v>5827</v>
      </c>
      <c r="AB187">
        <v>103.983</v>
      </c>
      <c r="AC187">
        <v>2</v>
      </c>
      <c r="AE187" t="s">
        <v>16</v>
      </c>
      <c r="AF187" t="s">
        <v>35</v>
      </c>
      <c r="AG187" s="2">
        <v>82781</v>
      </c>
      <c r="AH187">
        <v>56.466999999999999</v>
      </c>
      <c r="AI187">
        <v>5</v>
      </c>
      <c r="AK187" t="s">
        <v>15</v>
      </c>
      <c r="AL187" t="s">
        <v>41</v>
      </c>
      <c r="AM187" s="2">
        <v>82967</v>
      </c>
      <c r="AN187">
        <v>25.702000000000002</v>
      </c>
      <c r="AO187">
        <v>14</v>
      </c>
    </row>
    <row r="188" spans="1:41" x14ac:dyDescent="0.2">
      <c r="A188" t="s">
        <v>17</v>
      </c>
      <c r="B188" t="s">
        <v>43</v>
      </c>
      <c r="C188" s="2">
        <v>131676</v>
      </c>
      <c r="D188">
        <v>40.012</v>
      </c>
      <c r="E188">
        <v>9</v>
      </c>
      <c r="Y188" t="s">
        <v>16</v>
      </c>
      <c r="Z188" t="s">
        <v>42</v>
      </c>
      <c r="AA188" s="2">
        <v>3720</v>
      </c>
      <c r="AB188">
        <v>60.927999999999997</v>
      </c>
      <c r="AC188">
        <v>3</v>
      </c>
      <c r="AE188" t="s">
        <v>16</v>
      </c>
      <c r="AF188" t="s">
        <v>38</v>
      </c>
      <c r="AG188">
        <v>236</v>
      </c>
      <c r="AH188">
        <v>89.662999999999997</v>
      </c>
      <c r="AI188">
        <v>1</v>
      </c>
      <c r="AK188" t="s">
        <v>15</v>
      </c>
      <c r="AL188" t="s">
        <v>42</v>
      </c>
      <c r="AM188" s="2">
        <v>21910</v>
      </c>
      <c r="AN188">
        <v>53.360999999999997</v>
      </c>
      <c r="AO188">
        <v>4</v>
      </c>
    </row>
    <row r="189" spans="1:41" x14ac:dyDescent="0.2">
      <c r="A189" t="s">
        <v>17</v>
      </c>
      <c r="B189" t="s">
        <v>44</v>
      </c>
      <c r="C189" s="2">
        <v>183561</v>
      </c>
      <c r="D189">
        <v>39.469000000000001</v>
      </c>
      <c r="E189">
        <v>16</v>
      </c>
      <c r="Y189" t="s">
        <v>16</v>
      </c>
      <c r="Z189" t="s">
        <v>45</v>
      </c>
      <c r="AA189" s="2">
        <v>3894</v>
      </c>
      <c r="AB189">
        <v>58.393000000000001</v>
      </c>
      <c r="AC189">
        <v>2</v>
      </c>
      <c r="AE189" t="s">
        <v>16</v>
      </c>
      <c r="AF189" t="s">
        <v>39</v>
      </c>
      <c r="AG189" s="2">
        <v>87209</v>
      </c>
      <c r="AH189">
        <v>49.499000000000002</v>
      </c>
      <c r="AI189">
        <v>5</v>
      </c>
      <c r="AK189" t="s">
        <v>15</v>
      </c>
      <c r="AL189" t="s">
        <v>43</v>
      </c>
      <c r="AM189" s="2">
        <v>11506</v>
      </c>
      <c r="AN189">
        <v>69.77</v>
      </c>
      <c r="AO189">
        <v>2</v>
      </c>
    </row>
    <row r="190" spans="1:41" x14ac:dyDescent="0.2">
      <c r="A190" t="s">
        <v>17</v>
      </c>
      <c r="B190" t="s">
        <v>45</v>
      </c>
      <c r="C190" s="2">
        <v>783106</v>
      </c>
      <c r="D190">
        <v>17.885000000000002</v>
      </c>
      <c r="E190">
        <v>47</v>
      </c>
      <c r="Y190" t="s">
        <v>17</v>
      </c>
      <c r="Z190" t="s">
        <v>35</v>
      </c>
      <c r="AA190" s="2">
        <v>311253</v>
      </c>
      <c r="AB190">
        <v>18.442</v>
      </c>
      <c r="AC190">
        <v>62</v>
      </c>
      <c r="AE190" t="s">
        <v>16</v>
      </c>
      <c r="AF190" t="s">
        <v>40</v>
      </c>
      <c r="AG190" s="2">
        <v>54302</v>
      </c>
      <c r="AH190">
        <v>72.102999999999994</v>
      </c>
      <c r="AI190">
        <v>2</v>
      </c>
      <c r="AK190" t="s">
        <v>15</v>
      </c>
      <c r="AL190" t="s">
        <v>44</v>
      </c>
      <c r="AM190" s="2">
        <v>13901</v>
      </c>
      <c r="AN190">
        <v>64.730999999999995</v>
      </c>
      <c r="AO190">
        <v>2</v>
      </c>
    </row>
    <row r="191" spans="1:41" x14ac:dyDescent="0.2">
      <c r="Y191" t="s">
        <v>17</v>
      </c>
      <c r="Z191" t="s">
        <v>46</v>
      </c>
      <c r="AA191" s="2">
        <v>17308</v>
      </c>
      <c r="AB191">
        <v>65.918000000000006</v>
      </c>
      <c r="AC191">
        <v>2</v>
      </c>
      <c r="AE191" t="s">
        <v>16</v>
      </c>
      <c r="AF191" t="s">
        <v>41</v>
      </c>
      <c r="AG191" s="2">
        <v>23368</v>
      </c>
      <c r="AH191">
        <v>46.043999999999997</v>
      </c>
      <c r="AI191">
        <v>6</v>
      </c>
      <c r="AK191" t="s">
        <v>15</v>
      </c>
      <c r="AL191" t="s">
        <v>45</v>
      </c>
      <c r="AM191" s="2">
        <v>15304</v>
      </c>
      <c r="AN191">
        <v>58.082999999999998</v>
      </c>
      <c r="AO191">
        <v>5</v>
      </c>
    </row>
    <row r="192" spans="1:41" x14ac:dyDescent="0.2">
      <c r="Y192" t="s">
        <v>17</v>
      </c>
      <c r="Z192" t="s">
        <v>38</v>
      </c>
      <c r="AA192" s="2">
        <v>25736</v>
      </c>
      <c r="AB192">
        <v>37.241</v>
      </c>
      <c r="AC192">
        <v>20</v>
      </c>
      <c r="AE192" t="s">
        <v>16</v>
      </c>
      <c r="AF192" t="s">
        <v>42</v>
      </c>
      <c r="AG192" s="2">
        <v>81028</v>
      </c>
      <c r="AH192">
        <v>43.942</v>
      </c>
      <c r="AI192">
        <v>6</v>
      </c>
      <c r="AK192" t="s">
        <v>16</v>
      </c>
      <c r="AL192" t="s">
        <v>35</v>
      </c>
      <c r="AM192" s="2">
        <v>28866</v>
      </c>
      <c r="AN192">
        <v>40.710999999999999</v>
      </c>
      <c r="AO192">
        <v>9</v>
      </c>
    </row>
    <row r="193" spans="25:41" x14ac:dyDescent="0.2">
      <c r="Y193" t="s">
        <v>17</v>
      </c>
      <c r="Z193" t="s">
        <v>47</v>
      </c>
      <c r="AA193" s="2">
        <v>3654</v>
      </c>
      <c r="AB193">
        <v>99.558000000000007</v>
      </c>
      <c r="AC193">
        <v>2</v>
      </c>
      <c r="AE193" t="s">
        <v>16</v>
      </c>
      <c r="AF193" t="s">
        <v>44</v>
      </c>
      <c r="AG193" s="2">
        <v>3839</v>
      </c>
      <c r="AH193">
        <v>77.102999999999994</v>
      </c>
      <c r="AI193">
        <v>1</v>
      </c>
      <c r="AK193" t="s">
        <v>16</v>
      </c>
      <c r="AL193" t="s">
        <v>38</v>
      </c>
      <c r="AM193" s="2">
        <v>22922</v>
      </c>
      <c r="AN193">
        <v>51.094000000000001</v>
      </c>
      <c r="AO193">
        <v>4</v>
      </c>
    </row>
    <row r="194" spans="25:41" x14ac:dyDescent="0.2">
      <c r="Y194" t="s">
        <v>17</v>
      </c>
      <c r="Z194" t="s">
        <v>39</v>
      </c>
      <c r="AA194" s="2">
        <v>1165933</v>
      </c>
      <c r="AB194">
        <v>10.794</v>
      </c>
      <c r="AC194">
        <v>243</v>
      </c>
      <c r="AE194" t="s">
        <v>16</v>
      </c>
      <c r="AF194" t="s">
        <v>45</v>
      </c>
      <c r="AG194" s="2">
        <v>50390</v>
      </c>
      <c r="AH194">
        <v>46.427</v>
      </c>
      <c r="AI194">
        <v>4</v>
      </c>
      <c r="AK194" t="s">
        <v>16</v>
      </c>
      <c r="AL194" t="s">
        <v>39</v>
      </c>
      <c r="AM194" s="2">
        <v>49732</v>
      </c>
      <c r="AN194">
        <v>33.863</v>
      </c>
      <c r="AO194">
        <v>11</v>
      </c>
    </row>
    <row r="195" spans="25:41" x14ac:dyDescent="0.2">
      <c r="Y195" t="s">
        <v>17</v>
      </c>
      <c r="Z195" t="s">
        <v>40</v>
      </c>
      <c r="AA195" s="2">
        <v>427809</v>
      </c>
      <c r="AB195">
        <v>13.558</v>
      </c>
      <c r="AC195">
        <v>122</v>
      </c>
      <c r="AE195" t="s">
        <v>17</v>
      </c>
      <c r="AF195" t="s">
        <v>35</v>
      </c>
      <c r="AG195" s="2">
        <v>2312304</v>
      </c>
      <c r="AH195">
        <v>9.6080000000000005</v>
      </c>
      <c r="AI195">
        <v>134</v>
      </c>
      <c r="AK195" t="s">
        <v>16</v>
      </c>
      <c r="AL195" t="s">
        <v>40</v>
      </c>
      <c r="AM195" s="2">
        <v>12397</v>
      </c>
      <c r="AN195">
        <v>69.94</v>
      </c>
      <c r="AO195">
        <v>2</v>
      </c>
    </row>
    <row r="196" spans="25:41" x14ac:dyDescent="0.2">
      <c r="Y196" t="s">
        <v>17</v>
      </c>
      <c r="Z196" t="s">
        <v>41</v>
      </c>
      <c r="AA196" s="2">
        <v>209276</v>
      </c>
      <c r="AB196">
        <v>29.731000000000002</v>
      </c>
      <c r="AC196">
        <v>63</v>
      </c>
      <c r="AE196" t="s">
        <v>17</v>
      </c>
      <c r="AF196" t="s">
        <v>46</v>
      </c>
      <c r="AG196" s="2">
        <v>13294</v>
      </c>
      <c r="AH196">
        <v>58.777999999999999</v>
      </c>
      <c r="AI196">
        <v>3</v>
      </c>
      <c r="AK196" t="s">
        <v>16</v>
      </c>
      <c r="AL196" t="s">
        <v>41</v>
      </c>
      <c r="AM196" s="2">
        <v>32991</v>
      </c>
      <c r="AN196">
        <v>42.055</v>
      </c>
      <c r="AO196">
        <v>6</v>
      </c>
    </row>
    <row r="197" spans="25:41" x14ac:dyDescent="0.2">
      <c r="Y197" t="s">
        <v>17</v>
      </c>
      <c r="Z197" t="s">
        <v>42</v>
      </c>
      <c r="AA197" s="2">
        <v>370999</v>
      </c>
      <c r="AB197">
        <v>20.297999999999998</v>
      </c>
      <c r="AC197">
        <v>95</v>
      </c>
      <c r="AE197" t="s">
        <v>17</v>
      </c>
      <c r="AF197" t="s">
        <v>37</v>
      </c>
      <c r="AG197" s="2">
        <v>6806</v>
      </c>
      <c r="AH197">
        <v>49.719000000000001</v>
      </c>
      <c r="AI197">
        <v>6</v>
      </c>
      <c r="AK197" t="s">
        <v>16</v>
      </c>
      <c r="AL197" t="s">
        <v>42</v>
      </c>
      <c r="AM197" s="2">
        <v>53690</v>
      </c>
      <c r="AN197">
        <v>33.188000000000002</v>
      </c>
      <c r="AO197">
        <v>9</v>
      </c>
    </row>
    <row r="198" spans="25:41" x14ac:dyDescent="0.2">
      <c r="Y198" t="s">
        <v>17</v>
      </c>
      <c r="Z198" t="s">
        <v>43</v>
      </c>
      <c r="AA198" s="2">
        <v>35319</v>
      </c>
      <c r="AB198">
        <v>41.881</v>
      </c>
      <c r="AC198">
        <v>15</v>
      </c>
      <c r="AE198" t="s">
        <v>17</v>
      </c>
      <c r="AF198" t="s">
        <v>38</v>
      </c>
      <c r="AG198" s="2">
        <v>186419</v>
      </c>
      <c r="AH198">
        <v>15.835000000000001</v>
      </c>
      <c r="AI198">
        <v>107</v>
      </c>
      <c r="AK198" t="s">
        <v>16</v>
      </c>
      <c r="AL198" t="s">
        <v>44</v>
      </c>
      <c r="AM198" s="2">
        <v>9263</v>
      </c>
      <c r="AN198">
        <v>84.843999999999994</v>
      </c>
      <c r="AO198">
        <v>1</v>
      </c>
    </row>
    <row r="199" spans="25:41" x14ac:dyDescent="0.2">
      <c r="Y199" t="s">
        <v>17</v>
      </c>
      <c r="Z199" t="s">
        <v>44</v>
      </c>
      <c r="AA199" s="2">
        <v>9926</v>
      </c>
      <c r="AB199">
        <v>40.612000000000002</v>
      </c>
      <c r="AC199">
        <v>12</v>
      </c>
      <c r="AE199" t="s">
        <v>17</v>
      </c>
      <c r="AF199" t="s">
        <v>47</v>
      </c>
      <c r="AG199" s="2">
        <v>37752</v>
      </c>
      <c r="AH199">
        <v>42.575000000000003</v>
      </c>
      <c r="AI199">
        <v>9</v>
      </c>
      <c r="AK199" t="s">
        <v>16</v>
      </c>
      <c r="AL199" t="s">
        <v>45</v>
      </c>
      <c r="AM199" s="2">
        <v>27429</v>
      </c>
      <c r="AN199">
        <v>46.74</v>
      </c>
      <c r="AO199">
        <v>4</v>
      </c>
    </row>
    <row r="200" spans="25:41" x14ac:dyDescent="0.2">
      <c r="Y200" t="s">
        <v>17</v>
      </c>
      <c r="Z200" t="s">
        <v>45</v>
      </c>
      <c r="AA200" s="2">
        <v>187021</v>
      </c>
      <c r="AB200">
        <v>21.919</v>
      </c>
      <c r="AC200">
        <v>58</v>
      </c>
      <c r="AE200" t="s">
        <v>17</v>
      </c>
      <c r="AF200" t="s">
        <v>39</v>
      </c>
      <c r="AG200" s="2">
        <v>10298729</v>
      </c>
      <c r="AH200">
        <v>4.859</v>
      </c>
      <c r="AI200">
        <v>433</v>
      </c>
      <c r="AK200" t="s">
        <v>17</v>
      </c>
      <c r="AL200" t="s">
        <v>35</v>
      </c>
      <c r="AM200" s="2">
        <v>895931</v>
      </c>
      <c r="AN200">
        <v>7.2610000000000001</v>
      </c>
      <c r="AO200">
        <v>171</v>
      </c>
    </row>
    <row r="201" spans="25:41" x14ac:dyDescent="0.2">
      <c r="AE201" t="s">
        <v>17</v>
      </c>
      <c r="AF201" t="s">
        <v>40</v>
      </c>
      <c r="AG201" s="2">
        <v>4468465</v>
      </c>
      <c r="AH201">
        <v>7.4249999999999998</v>
      </c>
      <c r="AI201">
        <v>241</v>
      </c>
      <c r="AK201" t="s">
        <v>17</v>
      </c>
      <c r="AL201" t="s">
        <v>46</v>
      </c>
      <c r="AM201" s="2">
        <v>15443</v>
      </c>
      <c r="AN201">
        <v>58.433999999999997</v>
      </c>
      <c r="AO201">
        <v>4</v>
      </c>
    </row>
    <row r="202" spans="25:41" x14ac:dyDescent="0.2">
      <c r="AE202" t="s">
        <v>17</v>
      </c>
      <c r="AF202" t="s">
        <v>41</v>
      </c>
      <c r="AG202" s="2">
        <v>961196</v>
      </c>
      <c r="AH202">
        <v>10.061999999999999</v>
      </c>
      <c r="AI202">
        <v>149</v>
      </c>
      <c r="AK202" t="s">
        <v>17</v>
      </c>
      <c r="AL202" t="s">
        <v>37</v>
      </c>
      <c r="AM202" s="2">
        <v>65773</v>
      </c>
      <c r="AN202">
        <v>30.071000000000002</v>
      </c>
      <c r="AO202">
        <v>11</v>
      </c>
    </row>
    <row r="203" spans="25:41" x14ac:dyDescent="0.2">
      <c r="AE203" t="s">
        <v>17</v>
      </c>
      <c r="AF203" t="s">
        <v>42</v>
      </c>
      <c r="AG203" s="2">
        <v>2136445</v>
      </c>
      <c r="AH203">
        <v>9.3339999999999996</v>
      </c>
      <c r="AI203">
        <v>154</v>
      </c>
      <c r="AK203" t="s">
        <v>17</v>
      </c>
      <c r="AL203" t="s">
        <v>38</v>
      </c>
      <c r="AM203" s="2">
        <v>939445</v>
      </c>
      <c r="AN203">
        <v>7.4139999999999997</v>
      </c>
      <c r="AO203">
        <v>164</v>
      </c>
    </row>
    <row r="204" spans="25:41" x14ac:dyDescent="0.2">
      <c r="AE204" t="s">
        <v>17</v>
      </c>
      <c r="AF204" t="s">
        <v>43</v>
      </c>
      <c r="AG204" s="2">
        <v>192554</v>
      </c>
      <c r="AH204">
        <v>22.04</v>
      </c>
      <c r="AI204">
        <v>30</v>
      </c>
      <c r="AK204" t="s">
        <v>17</v>
      </c>
      <c r="AL204" t="s">
        <v>47</v>
      </c>
      <c r="AM204" s="2">
        <v>72374</v>
      </c>
      <c r="AN204">
        <v>27.616</v>
      </c>
      <c r="AO204">
        <v>15</v>
      </c>
    </row>
    <row r="205" spans="25:41" x14ac:dyDescent="0.2">
      <c r="AE205" t="s">
        <v>17</v>
      </c>
      <c r="AF205" t="s">
        <v>44</v>
      </c>
      <c r="AG205" s="2">
        <v>218034</v>
      </c>
      <c r="AH205">
        <v>18.042999999999999</v>
      </c>
      <c r="AI205">
        <v>52</v>
      </c>
      <c r="AK205" t="s">
        <v>17</v>
      </c>
      <c r="AL205" t="s">
        <v>39</v>
      </c>
      <c r="AM205" s="2">
        <v>2920239</v>
      </c>
      <c r="AN205">
        <v>3.73</v>
      </c>
      <c r="AO205">
        <v>501</v>
      </c>
    </row>
    <row r="206" spans="25:41" x14ac:dyDescent="0.2">
      <c r="AE206" t="s">
        <v>17</v>
      </c>
      <c r="AF206" t="s">
        <v>45</v>
      </c>
      <c r="AG206" s="2">
        <v>1267371</v>
      </c>
      <c r="AH206">
        <v>7.9930000000000003</v>
      </c>
      <c r="AI206">
        <v>159</v>
      </c>
      <c r="AK206" t="s">
        <v>17</v>
      </c>
      <c r="AL206" t="s">
        <v>40</v>
      </c>
      <c r="AM206" s="2">
        <v>1614006</v>
      </c>
      <c r="AN206">
        <v>5.31</v>
      </c>
      <c r="AO206">
        <v>292</v>
      </c>
    </row>
    <row r="207" spans="25:41" x14ac:dyDescent="0.2">
      <c r="AK207" t="s">
        <v>17</v>
      </c>
      <c r="AL207" t="s">
        <v>41</v>
      </c>
      <c r="AM207" s="2">
        <v>1046541</v>
      </c>
      <c r="AN207">
        <v>6.77</v>
      </c>
      <c r="AO207">
        <v>175</v>
      </c>
    </row>
    <row r="208" spans="25:41" x14ac:dyDescent="0.2">
      <c r="AK208" t="s">
        <v>17</v>
      </c>
      <c r="AL208" t="s">
        <v>42</v>
      </c>
      <c r="AM208" s="2">
        <v>1106682</v>
      </c>
      <c r="AN208">
        <v>6.78</v>
      </c>
      <c r="AO208">
        <v>199</v>
      </c>
    </row>
    <row r="209" spans="1:41" x14ac:dyDescent="0.2">
      <c r="AK209" t="s">
        <v>17</v>
      </c>
      <c r="AL209" t="s">
        <v>43</v>
      </c>
      <c r="AM209" s="2">
        <v>225918</v>
      </c>
      <c r="AN209">
        <v>15.882999999999999</v>
      </c>
      <c r="AO209">
        <v>37</v>
      </c>
    </row>
    <row r="210" spans="1:41" x14ac:dyDescent="0.2">
      <c r="AK210" t="s">
        <v>17</v>
      </c>
      <c r="AL210" t="s">
        <v>44</v>
      </c>
      <c r="AM210" s="2">
        <v>401338</v>
      </c>
      <c r="AN210">
        <v>11.97</v>
      </c>
      <c r="AO210">
        <v>69</v>
      </c>
    </row>
    <row r="211" spans="1:41" x14ac:dyDescent="0.2">
      <c r="AK211" t="s">
        <v>17</v>
      </c>
      <c r="AL211" t="s">
        <v>45</v>
      </c>
      <c r="AM211" s="2">
        <v>1355676</v>
      </c>
      <c r="AN211">
        <v>5.6020000000000003</v>
      </c>
      <c r="AO211">
        <v>204</v>
      </c>
    </row>
    <row r="213" spans="1:41" x14ac:dyDescent="0.2">
      <c r="A213" s="3" t="s">
        <v>53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  <c r="AM213" s="4"/>
      <c r="AN213" s="4"/>
      <c r="AO213" s="4"/>
    </row>
    <row r="214" spans="1:41" x14ac:dyDescent="0.2">
      <c r="AG214" s="2"/>
    </row>
    <row r="215" spans="1:41" x14ac:dyDescent="0.2">
      <c r="A215" t="s">
        <v>19</v>
      </c>
      <c r="G215" t="s">
        <v>20</v>
      </c>
      <c r="M215" t="s">
        <v>21</v>
      </c>
      <c r="S215" t="s">
        <v>49</v>
      </c>
      <c r="Y215" t="s">
        <v>50</v>
      </c>
      <c r="AE215" t="s">
        <v>51</v>
      </c>
      <c r="AK215" t="s">
        <v>52</v>
      </c>
    </row>
    <row r="217" spans="1:41" x14ac:dyDescent="0.2">
      <c r="A217" t="s">
        <v>1</v>
      </c>
      <c r="B217" t="s">
        <v>2</v>
      </c>
      <c r="C217" t="s">
        <v>3</v>
      </c>
      <c r="D217" t="s">
        <v>4</v>
      </c>
      <c r="E217" t="s">
        <v>5</v>
      </c>
      <c r="G217" t="s">
        <v>1</v>
      </c>
      <c r="H217" t="s">
        <v>2</v>
      </c>
      <c r="I217" t="s">
        <v>3</v>
      </c>
      <c r="J217" t="s">
        <v>4</v>
      </c>
      <c r="K217" t="s">
        <v>5</v>
      </c>
      <c r="M217" t="s">
        <v>1</v>
      </c>
      <c r="N217" t="s">
        <v>2</v>
      </c>
      <c r="O217" t="s">
        <v>3</v>
      </c>
      <c r="P217" t="s">
        <v>4</v>
      </c>
      <c r="Q217" t="s">
        <v>5</v>
      </c>
      <c r="S217" t="s">
        <v>1</v>
      </c>
      <c r="T217" t="s">
        <v>2</v>
      </c>
      <c r="U217" t="s">
        <v>3</v>
      </c>
      <c r="V217" t="s">
        <v>4</v>
      </c>
      <c r="W217" t="s">
        <v>5</v>
      </c>
      <c r="Y217" t="s">
        <v>1</v>
      </c>
      <c r="Z217" t="s">
        <v>2</v>
      </c>
      <c r="AA217" t="s">
        <v>3</v>
      </c>
      <c r="AB217" t="s">
        <v>4</v>
      </c>
      <c r="AC217" t="s">
        <v>5</v>
      </c>
      <c r="AE217" t="s">
        <v>1</v>
      </c>
      <c r="AF217" t="s">
        <v>2</v>
      </c>
      <c r="AG217" t="s">
        <v>3</v>
      </c>
      <c r="AH217" t="s">
        <v>4</v>
      </c>
      <c r="AI217" t="s">
        <v>5</v>
      </c>
      <c r="AK217" t="s">
        <v>1</v>
      </c>
      <c r="AL217" t="s">
        <v>2</v>
      </c>
      <c r="AM217" t="s">
        <v>3</v>
      </c>
      <c r="AN217" t="s">
        <v>4</v>
      </c>
      <c r="AO217" t="s">
        <v>5</v>
      </c>
    </row>
    <row r="218" spans="1:41" x14ac:dyDescent="0.2">
      <c r="A218" t="s">
        <v>6</v>
      </c>
      <c r="B218" t="s">
        <v>6</v>
      </c>
      <c r="C218" s="2">
        <v>19934521</v>
      </c>
      <c r="D218">
        <v>6.6050000000000004</v>
      </c>
      <c r="E218">
        <v>630</v>
      </c>
      <c r="G218" t="s">
        <v>6</v>
      </c>
      <c r="H218" t="s">
        <v>6</v>
      </c>
      <c r="I218" s="2">
        <v>19608144</v>
      </c>
      <c r="J218">
        <v>6.681</v>
      </c>
      <c r="K218">
        <v>584</v>
      </c>
      <c r="M218" t="s">
        <v>6</v>
      </c>
      <c r="N218" t="s">
        <v>6</v>
      </c>
      <c r="O218" s="2">
        <v>1019411721</v>
      </c>
      <c r="P218">
        <v>6.782</v>
      </c>
      <c r="Q218">
        <v>524</v>
      </c>
      <c r="S218" t="s">
        <v>6</v>
      </c>
      <c r="T218" t="s">
        <v>6</v>
      </c>
      <c r="U218" s="2">
        <v>14051601</v>
      </c>
      <c r="V218">
        <v>7.1760000000000002</v>
      </c>
      <c r="W218">
        <v>415</v>
      </c>
      <c r="Y218" t="s">
        <v>6</v>
      </c>
      <c r="Z218" t="s">
        <v>6</v>
      </c>
      <c r="AA218" s="2">
        <v>19091489</v>
      </c>
      <c r="AB218">
        <v>3.2949999999999999</v>
      </c>
      <c r="AC218" s="2">
        <v>3331</v>
      </c>
      <c r="AE218" t="s">
        <v>6</v>
      </c>
      <c r="AF218" t="s">
        <v>6</v>
      </c>
      <c r="AG218" s="2">
        <v>44720707</v>
      </c>
      <c r="AH218">
        <v>1.194</v>
      </c>
      <c r="AI218" s="2">
        <v>4495</v>
      </c>
      <c r="AK218" t="s">
        <v>6</v>
      </c>
      <c r="AL218" t="s">
        <v>6</v>
      </c>
      <c r="AM218" s="2">
        <v>22063697</v>
      </c>
      <c r="AN218">
        <v>0.50800000000000001</v>
      </c>
      <c r="AO218" s="2">
        <v>5949</v>
      </c>
    </row>
    <row r="219" spans="1:41" x14ac:dyDescent="0.2">
      <c r="A219" t="s">
        <v>13</v>
      </c>
      <c r="B219" t="s">
        <v>6</v>
      </c>
      <c r="C219" s="2">
        <v>666983</v>
      </c>
      <c r="D219">
        <v>14.553000000000001</v>
      </c>
      <c r="E219">
        <v>181</v>
      </c>
      <c r="G219" t="s">
        <v>13</v>
      </c>
      <c r="H219" t="s">
        <v>6</v>
      </c>
      <c r="I219" s="2">
        <v>620860</v>
      </c>
      <c r="J219">
        <v>15.504</v>
      </c>
      <c r="K219">
        <v>147</v>
      </c>
      <c r="M219" t="s">
        <v>13</v>
      </c>
      <c r="N219" t="s">
        <v>6</v>
      </c>
      <c r="O219" s="2">
        <v>30758272</v>
      </c>
      <c r="P219">
        <v>16.431999999999999</v>
      </c>
      <c r="Q219">
        <v>130</v>
      </c>
      <c r="S219" t="s">
        <v>13</v>
      </c>
      <c r="T219" t="s">
        <v>6</v>
      </c>
      <c r="U219" s="2">
        <v>381529</v>
      </c>
      <c r="V219">
        <v>18.411999999999999</v>
      </c>
      <c r="W219">
        <v>85</v>
      </c>
      <c r="Y219" t="s">
        <v>13</v>
      </c>
      <c r="Z219" t="s">
        <v>6</v>
      </c>
      <c r="AA219" s="2">
        <v>9852908</v>
      </c>
      <c r="AB219">
        <v>5.0369999999999999</v>
      </c>
      <c r="AC219" s="2">
        <v>2154</v>
      </c>
      <c r="AE219" t="s">
        <v>13</v>
      </c>
      <c r="AF219" t="s">
        <v>6</v>
      </c>
      <c r="AG219" s="2">
        <v>12976595</v>
      </c>
      <c r="AH219">
        <v>1.6319999999999999</v>
      </c>
      <c r="AI219" s="2">
        <v>2712</v>
      </c>
      <c r="AK219" t="s">
        <v>13</v>
      </c>
      <c r="AL219" t="s">
        <v>6</v>
      </c>
      <c r="AM219" s="2">
        <v>8262335</v>
      </c>
      <c r="AN219">
        <v>0.63800000000000001</v>
      </c>
      <c r="AO219" s="2">
        <v>3555</v>
      </c>
    </row>
    <row r="220" spans="1:41" x14ac:dyDescent="0.2">
      <c r="A220" t="s">
        <v>34</v>
      </c>
      <c r="B220" t="s">
        <v>6</v>
      </c>
      <c r="C220" s="2">
        <v>40692</v>
      </c>
      <c r="D220">
        <v>97.128</v>
      </c>
      <c r="E220">
        <v>1</v>
      </c>
      <c r="G220" t="s">
        <v>34</v>
      </c>
      <c r="H220" t="s">
        <v>6</v>
      </c>
      <c r="I220" s="2">
        <v>40692</v>
      </c>
      <c r="J220">
        <v>97.128</v>
      </c>
      <c r="K220">
        <v>1</v>
      </c>
      <c r="M220" t="s">
        <v>34</v>
      </c>
      <c r="N220" t="s">
        <v>6</v>
      </c>
      <c r="O220" s="2">
        <v>2033770</v>
      </c>
      <c r="P220">
        <v>97.128</v>
      </c>
      <c r="Q220">
        <v>1</v>
      </c>
      <c r="S220" t="s">
        <v>34</v>
      </c>
      <c r="T220" t="s">
        <v>6</v>
      </c>
      <c r="U220" s="2">
        <v>26092</v>
      </c>
      <c r="V220">
        <v>97.128</v>
      </c>
      <c r="W220">
        <v>1</v>
      </c>
      <c r="Y220" t="s">
        <v>22</v>
      </c>
      <c r="Z220" t="s">
        <v>6</v>
      </c>
      <c r="AA220" s="2">
        <v>1826817</v>
      </c>
      <c r="AB220">
        <v>10.632</v>
      </c>
      <c r="AC220">
        <v>106</v>
      </c>
      <c r="AE220" t="s">
        <v>22</v>
      </c>
      <c r="AF220" t="s">
        <v>6</v>
      </c>
      <c r="AG220" s="2">
        <v>2139165</v>
      </c>
      <c r="AH220">
        <v>6.649</v>
      </c>
      <c r="AI220">
        <v>117</v>
      </c>
      <c r="AK220" t="s">
        <v>22</v>
      </c>
      <c r="AL220" t="s">
        <v>6</v>
      </c>
      <c r="AM220" s="2">
        <v>1233264</v>
      </c>
      <c r="AN220">
        <v>3.302</v>
      </c>
      <c r="AO220">
        <v>169</v>
      </c>
    </row>
    <row r="221" spans="1:41" x14ac:dyDescent="0.2">
      <c r="A221" t="s">
        <v>23</v>
      </c>
      <c r="B221" t="s">
        <v>6</v>
      </c>
      <c r="C221" s="2">
        <v>55489</v>
      </c>
      <c r="D221">
        <v>66.186999999999998</v>
      </c>
      <c r="E221">
        <v>4</v>
      </c>
      <c r="G221" t="s">
        <v>23</v>
      </c>
      <c r="H221" t="s">
        <v>6</v>
      </c>
      <c r="I221" s="2">
        <v>11477</v>
      </c>
      <c r="J221">
        <v>67.867000000000004</v>
      </c>
      <c r="K221">
        <v>3</v>
      </c>
      <c r="M221" t="s">
        <v>23</v>
      </c>
      <c r="N221" t="s">
        <v>6</v>
      </c>
      <c r="O221" s="2">
        <v>607023</v>
      </c>
      <c r="P221">
        <v>69.691999999999993</v>
      </c>
      <c r="Q221">
        <v>2</v>
      </c>
      <c r="S221" t="s">
        <v>23</v>
      </c>
      <c r="T221" t="s">
        <v>6</v>
      </c>
      <c r="U221" s="2">
        <v>1239</v>
      </c>
      <c r="V221">
        <v>67.320999999999998</v>
      </c>
      <c r="W221">
        <v>2</v>
      </c>
      <c r="Y221" t="s">
        <v>34</v>
      </c>
      <c r="Z221" t="s">
        <v>6</v>
      </c>
      <c r="AA221" s="2">
        <v>56385</v>
      </c>
      <c r="AB221">
        <v>54.146999999999998</v>
      </c>
      <c r="AC221">
        <v>9</v>
      </c>
      <c r="AE221" t="s">
        <v>34</v>
      </c>
      <c r="AF221" t="s">
        <v>6</v>
      </c>
      <c r="AG221" s="2">
        <v>72544</v>
      </c>
      <c r="AH221">
        <v>34.189</v>
      </c>
      <c r="AI221">
        <v>12</v>
      </c>
      <c r="AK221" t="s">
        <v>34</v>
      </c>
      <c r="AL221" t="s">
        <v>6</v>
      </c>
      <c r="AM221" s="2">
        <v>75881</v>
      </c>
      <c r="AN221">
        <v>26.584</v>
      </c>
      <c r="AO221">
        <v>14</v>
      </c>
    </row>
    <row r="222" spans="1:41" x14ac:dyDescent="0.2">
      <c r="A222" t="s">
        <v>14</v>
      </c>
      <c r="B222" t="s">
        <v>6</v>
      </c>
      <c r="C222" s="2">
        <v>22814</v>
      </c>
      <c r="D222">
        <v>84.471999999999994</v>
      </c>
      <c r="E222">
        <v>1</v>
      </c>
      <c r="G222" t="s">
        <v>14</v>
      </c>
      <c r="H222" t="s">
        <v>6</v>
      </c>
      <c r="I222" s="2">
        <v>22814</v>
      </c>
      <c r="J222">
        <v>84.471999999999994</v>
      </c>
      <c r="K222">
        <v>1</v>
      </c>
      <c r="M222" t="s">
        <v>14</v>
      </c>
      <c r="N222" t="s">
        <v>6</v>
      </c>
      <c r="O222" s="2">
        <v>1144850</v>
      </c>
      <c r="P222">
        <v>84.471999999999994</v>
      </c>
      <c r="Q222">
        <v>1</v>
      </c>
      <c r="S222" t="s">
        <v>14</v>
      </c>
      <c r="T222" t="s">
        <v>6</v>
      </c>
      <c r="U222" s="2">
        <v>17403</v>
      </c>
      <c r="V222">
        <v>84.471999999999994</v>
      </c>
      <c r="W222">
        <v>1</v>
      </c>
      <c r="Y222" t="s">
        <v>23</v>
      </c>
      <c r="Z222" t="s">
        <v>6</v>
      </c>
      <c r="AA222" s="2">
        <v>103582</v>
      </c>
      <c r="AB222">
        <v>42.073</v>
      </c>
      <c r="AC222">
        <v>9</v>
      </c>
      <c r="AE222" t="s">
        <v>23</v>
      </c>
      <c r="AF222" t="s">
        <v>6</v>
      </c>
      <c r="AG222" s="2">
        <v>275108</v>
      </c>
      <c r="AH222">
        <v>26.446000000000002</v>
      </c>
      <c r="AI222">
        <v>14</v>
      </c>
      <c r="AK222" t="s">
        <v>23</v>
      </c>
      <c r="AL222" t="s">
        <v>6</v>
      </c>
      <c r="AM222" s="2">
        <v>105543</v>
      </c>
      <c r="AN222">
        <v>20.576000000000001</v>
      </c>
      <c r="AO222">
        <v>19</v>
      </c>
    </row>
    <row r="223" spans="1:41" x14ac:dyDescent="0.2">
      <c r="A223" t="s">
        <v>15</v>
      </c>
      <c r="B223" t="s">
        <v>6</v>
      </c>
      <c r="C223" s="2">
        <v>3820584</v>
      </c>
      <c r="D223">
        <v>18.338999999999999</v>
      </c>
      <c r="E223">
        <v>82</v>
      </c>
      <c r="G223" t="s">
        <v>15</v>
      </c>
      <c r="H223" t="s">
        <v>6</v>
      </c>
      <c r="I223" s="2">
        <v>3819331</v>
      </c>
      <c r="J223">
        <v>18.346</v>
      </c>
      <c r="K223">
        <v>81</v>
      </c>
      <c r="M223" t="s">
        <v>15</v>
      </c>
      <c r="N223" t="s">
        <v>6</v>
      </c>
      <c r="O223" s="2">
        <v>197873620</v>
      </c>
      <c r="P223">
        <v>18.545999999999999</v>
      </c>
      <c r="Q223">
        <v>74</v>
      </c>
      <c r="S223" t="s">
        <v>15</v>
      </c>
      <c r="T223" t="s">
        <v>6</v>
      </c>
      <c r="U223" s="2">
        <v>2785659</v>
      </c>
      <c r="V223">
        <v>19.690000000000001</v>
      </c>
      <c r="W223">
        <v>66</v>
      </c>
      <c r="Y223" t="s">
        <v>14</v>
      </c>
      <c r="Z223" t="s">
        <v>6</v>
      </c>
      <c r="AA223" s="2">
        <v>77458</v>
      </c>
      <c r="AB223">
        <v>46.156999999999996</v>
      </c>
      <c r="AC223">
        <v>10</v>
      </c>
      <c r="AE223" t="s">
        <v>14</v>
      </c>
      <c r="AF223" t="s">
        <v>6</v>
      </c>
      <c r="AG223" s="2">
        <v>319146</v>
      </c>
      <c r="AH223">
        <v>30.032</v>
      </c>
      <c r="AI223">
        <v>11</v>
      </c>
      <c r="AK223" t="s">
        <v>14</v>
      </c>
      <c r="AL223" t="s">
        <v>6</v>
      </c>
      <c r="AM223" s="2">
        <v>62578</v>
      </c>
      <c r="AN223">
        <v>30.274999999999999</v>
      </c>
      <c r="AO223">
        <v>13</v>
      </c>
    </row>
    <row r="224" spans="1:41" x14ac:dyDescent="0.2">
      <c r="A224" t="s">
        <v>16</v>
      </c>
      <c r="B224" t="s">
        <v>6</v>
      </c>
      <c r="C224" s="2">
        <v>158362</v>
      </c>
      <c r="D224">
        <v>65.540999999999997</v>
      </c>
      <c r="E224">
        <v>5</v>
      </c>
      <c r="G224" t="s">
        <v>16</v>
      </c>
      <c r="H224" t="s">
        <v>6</v>
      </c>
      <c r="I224" s="2">
        <v>158362</v>
      </c>
      <c r="J224">
        <v>65.540999999999997</v>
      </c>
      <c r="K224">
        <v>5</v>
      </c>
      <c r="M224" t="s">
        <v>16</v>
      </c>
      <c r="N224" t="s">
        <v>6</v>
      </c>
      <c r="O224" s="2">
        <v>8833719</v>
      </c>
      <c r="P224">
        <v>72.763999999999996</v>
      </c>
      <c r="Q224">
        <v>5</v>
      </c>
      <c r="S224" t="s">
        <v>16</v>
      </c>
      <c r="T224" t="s">
        <v>6</v>
      </c>
      <c r="U224" s="2">
        <v>109485</v>
      </c>
      <c r="V224">
        <v>72.638000000000005</v>
      </c>
      <c r="W224">
        <v>3</v>
      </c>
      <c r="Y224" t="s">
        <v>24</v>
      </c>
      <c r="Z224" t="s">
        <v>6</v>
      </c>
      <c r="AA224" s="2">
        <v>85847</v>
      </c>
      <c r="AB224">
        <v>46.201999999999998</v>
      </c>
      <c r="AC224">
        <v>5</v>
      </c>
      <c r="AE224" t="s">
        <v>24</v>
      </c>
      <c r="AF224" t="s">
        <v>6</v>
      </c>
      <c r="AG224" s="2">
        <v>51930</v>
      </c>
      <c r="AH224">
        <v>103.63</v>
      </c>
      <c r="AI224">
        <v>6</v>
      </c>
      <c r="AK224" t="s">
        <v>24</v>
      </c>
      <c r="AL224" t="s">
        <v>6</v>
      </c>
      <c r="AM224" s="2">
        <v>55241</v>
      </c>
      <c r="AN224">
        <v>33.762999999999998</v>
      </c>
      <c r="AO224">
        <v>7</v>
      </c>
    </row>
    <row r="225" spans="1:41" x14ac:dyDescent="0.2">
      <c r="A225" t="s">
        <v>17</v>
      </c>
      <c r="B225" t="s">
        <v>6</v>
      </c>
      <c r="C225" s="2">
        <v>15169597</v>
      </c>
      <c r="D225">
        <v>7.3079999999999998</v>
      </c>
      <c r="E225">
        <v>357</v>
      </c>
      <c r="G225" t="s">
        <v>17</v>
      </c>
      <c r="H225" t="s">
        <v>6</v>
      </c>
      <c r="I225" s="2">
        <v>14934607</v>
      </c>
      <c r="J225">
        <v>7.3730000000000002</v>
      </c>
      <c r="K225">
        <v>347</v>
      </c>
      <c r="M225" t="s">
        <v>17</v>
      </c>
      <c r="N225" t="s">
        <v>6</v>
      </c>
      <c r="O225" s="2">
        <v>778160468</v>
      </c>
      <c r="P225">
        <v>7.4790000000000001</v>
      </c>
      <c r="Q225">
        <v>311</v>
      </c>
      <c r="S225" t="s">
        <v>17</v>
      </c>
      <c r="T225" t="s">
        <v>6</v>
      </c>
      <c r="U225" s="2">
        <v>10730193</v>
      </c>
      <c r="V225">
        <v>7.843</v>
      </c>
      <c r="W225">
        <v>257</v>
      </c>
      <c r="Y225" t="s">
        <v>15</v>
      </c>
      <c r="Z225" t="s">
        <v>6</v>
      </c>
      <c r="AA225" s="2">
        <v>2250273</v>
      </c>
      <c r="AB225">
        <v>8.9160000000000004</v>
      </c>
      <c r="AC225">
        <v>274</v>
      </c>
      <c r="AE225" t="s">
        <v>15</v>
      </c>
      <c r="AF225" t="s">
        <v>6</v>
      </c>
      <c r="AG225" s="2">
        <v>6808541</v>
      </c>
      <c r="AH225">
        <v>3.9159999999999999</v>
      </c>
      <c r="AI225">
        <v>393</v>
      </c>
      <c r="AK225" t="s">
        <v>15</v>
      </c>
      <c r="AL225" t="s">
        <v>6</v>
      </c>
      <c r="AM225" s="2">
        <v>2550903</v>
      </c>
      <c r="AN225">
        <v>2.3210000000000002</v>
      </c>
      <c r="AO225">
        <v>486</v>
      </c>
    </row>
    <row r="226" spans="1:41" x14ac:dyDescent="0.2">
      <c r="A226" t="s">
        <v>6</v>
      </c>
      <c r="B226" t="s">
        <v>54</v>
      </c>
      <c r="C226" s="2">
        <v>3474160</v>
      </c>
      <c r="D226">
        <v>18.640999999999998</v>
      </c>
      <c r="E226">
        <v>73</v>
      </c>
      <c r="G226" t="s">
        <v>6</v>
      </c>
      <c r="H226" t="s">
        <v>54</v>
      </c>
      <c r="I226" s="2">
        <v>3347922</v>
      </c>
      <c r="J226">
        <v>19.178999999999998</v>
      </c>
      <c r="K226">
        <v>71</v>
      </c>
      <c r="M226" t="s">
        <v>6</v>
      </c>
      <c r="N226" t="s">
        <v>54</v>
      </c>
      <c r="O226" s="2">
        <v>171415424</v>
      </c>
      <c r="P226">
        <v>19.541</v>
      </c>
      <c r="Q226">
        <v>63</v>
      </c>
      <c r="S226" t="s">
        <v>6</v>
      </c>
      <c r="T226" t="s">
        <v>54</v>
      </c>
      <c r="U226" s="2">
        <v>2425486</v>
      </c>
      <c r="V226">
        <v>20.381</v>
      </c>
      <c r="W226">
        <v>50</v>
      </c>
      <c r="Y226" t="s">
        <v>16</v>
      </c>
      <c r="Z226" t="s">
        <v>6</v>
      </c>
      <c r="AA226" s="2">
        <v>362080</v>
      </c>
      <c r="AB226">
        <v>23.385000000000002</v>
      </c>
      <c r="AC226">
        <v>40</v>
      </c>
      <c r="AE226" t="s">
        <v>16</v>
      </c>
      <c r="AF226" t="s">
        <v>6</v>
      </c>
      <c r="AG226" s="2">
        <v>975116</v>
      </c>
      <c r="AH226">
        <v>16.417999999999999</v>
      </c>
      <c r="AI226">
        <v>53</v>
      </c>
      <c r="AK226" t="s">
        <v>16</v>
      </c>
      <c r="AL226" t="s">
        <v>6</v>
      </c>
      <c r="AM226" s="2">
        <v>450188</v>
      </c>
      <c r="AN226">
        <v>11.164999999999999</v>
      </c>
      <c r="AO226">
        <v>85</v>
      </c>
    </row>
    <row r="227" spans="1:41" x14ac:dyDescent="0.2">
      <c r="A227" t="s">
        <v>6</v>
      </c>
      <c r="B227" t="s">
        <v>35</v>
      </c>
      <c r="C227" s="2">
        <v>39147</v>
      </c>
      <c r="D227">
        <v>92.787999999999997</v>
      </c>
      <c r="E227">
        <v>1</v>
      </c>
      <c r="G227" t="s">
        <v>6</v>
      </c>
      <c r="H227" t="s">
        <v>46</v>
      </c>
      <c r="I227" s="2">
        <v>19032</v>
      </c>
      <c r="J227">
        <v>98.602000000000004</v>
      </c>
      <c r="K227">
        <v>1</v>
      </c>
      <c r="M227" t="s">
        <v>6</v>
      </c>
      <c r="N227" t="s">
        <v>46</v>
      </c>
      <c r="O227" s="2">
        <v>1137284</v>
      </c>
      <c r="P227">
        <v>98.602000000000004</v>
      </c>
      <c r="Q227">
        <v>1</v>
      </c>
      <c r="S227" t="s">
        <v>6</v>
      </c>
      <c r="T227" t="s">
        <v>46</v>
      </c>
      <c r="U227" s="2">
        <v>13742</v>
      </c>
      <c r="V227">
        <v>98.602000000000004</v>
      </c>
      <c r="W227">
        <v>1</v>
      </c>
      <c r="Y227" t="s">
        <v>57</v>
      </c>
      <c r="Z227" t="s">
        <v>6</v>
      </c>
      <c r="AA227" s="2">
        <v>1476</v>
      </c>
      <c r="AB227">
        <v>107.795</v>
      </c>
      <c r="AC227">
        <v>1</v>
      </c>
      <c r="AE227" t="s">
        <v>57</v>
      </c>
      <c r="AF227" t="s">
        <v>6</v>
      </c>
      <c r="AG227" s="2">
        <v>50644</v>
      </c>
      <c r="AH227">
        <v>74.525999999999996</v>
      </c>
      <c r="AI227">
        <v>2</v>
      </c>
      <c r="AK227" t="s">
        <v>57</v>
      </c>
      <c r="AL227" t="s">
        <v>6</v>
      </c>
      <c r="AM227" s="2">
        <v>12610</v>
      </c>
      <c r="AN227">
        <v>70.537000000000006</v>
      </c>
      <c r="AO227">
        <v>2</v>
      </c>
    </row>
    <row r="228" spans="1:41" x14ac:dyDescent="0.2">
      <c r="A228" t="s">
        <v>6</v>
      </c>
      <c r="B228" t="s">
        <v>46</v>
      </c>
      <c r="C228" s="2">
        <v>19032</v>
      </c>
      <c r="D228">
        <v>98.602000000000004</v>
      </c>
      <c r="E228">
        <v>1</v>
      </c>
      <c r="G228" t="s">
        <v>6</v>
      </c>
      <c r="H228" t="s">
        <v>47</v>
      </c>
      <c r="I228" s="2">
        <v>83785</v>
      </c>
      <c r="J228">
        <v>42.054000000000002</v>
      </c>
      <c r="K228">
        <v>11</v>
      </c>
      <c r="M228" t="s">
        <v>6</v>
      </c>
      <c r="N228" t="s">
        <v>47</v>
      </c>
      <c r="O228" s="2">
        <v>4087579</v>
      </c>
      <c r="P228">
        <v>43.395000000000003</v>
      </c>
      <c r="Q228">
        <v>9</v>
      </c>
      <c r="S228" t="s">
        <v>6</v>
      </c>
      <c r="T228" t="s">
        <v>47</v>
      </c>
      <c r="U228" s="2">
        <v>44421</v>
      </c>
      <c r="V228">
        <v>41.569000000000003</v>
      </c>
      <c r="W228">
        <v>8</v>
      </c>
      <c r="Y228" t="s">
        <v>17</v>
      </c>
      <c r="Z228" t="s">
        <v>6</v>
      </c>
      <c r="AA228" s="2">
        <v>4474663</v>
      </c>
      <c r="AB228">
        <v>5.7320000000000002</v>
      </c>
      <c r="AC228">
        <v>733</v>
      </c>
      <c r="AE228" t="s">
        <v>17</v>
      </c>
      <c r="AF228" t="s">
        <v>6</v>
      </c>
      <c r="AG228" s="2">
        <v>21051917</v>
      </c>
      <c r="AH228">
        <v>2.097</v>
      </c>
      <c r="AI228" s="2">
        <v>1204</v>
      </c>
      <c r="AK228" t="s">
        <v>17</v>
      </c>
      <c r="AL228" t="s">
        <v>6</v>
      </c>
      <c r="AM228" s="2">
        <v>9255153</v>
      </c>
      <c r="AN228">
        <v>1.071</v>
      </c>
      <c r="AO228" s="2">
        <v>1657</v>
      </c>
    </row>
    <row r="229" spans="1:41" x14ac:dyDescent="0.2">
      <c r="A229" t="s">
        <v>6</v>
      </c>
      <c r="B229" t="s">
        <v>47</v>
      </c>
      <c r="C229" s="2">
        <v>89522</v>
      </c>
      <c r="D229">
        <v>39.747</v>
      </c>
      <c r="E229">
        <v>13</v>
      </c>
      <c r="G229" t="s">
        <v>6</v>
      </c>
      <c r="H229" t="s">
        <v>39</v>
      </c>
      <c r="I229" s="2">
        <v>7376600</v>
      </c>
      <c r="J229">
        <v>12.648</v>
      </c>
      <c r="K229">
        <v>142</v>
      </c>
      <c r="M229" t="s">
        <v>6</v>
      </c>
      <c r="N229" t="s">
        <v>39</v>
      </c>
      <c r="O229" s="2">
        <v>386768635</v>
      </c>
      <c r="P229">
        <v>12.795999999999999</v>
      </c>
      <c r="Q229">
        <v>127</v>
      </c>
      <c r="S229" t="s">
        <v>6</v>
      </c>
      <c r="T229" t="s">
        <v>39</v>
      </c>
      <c r="U229" s="2">
        <v>5376891</v>
      </c>
      <c r="V229">
        <v>13.461</v>
      </c>
      <c r="W229">
        <v>102</v>
      </c>
      <c r="Y229" t="s">
        <v>6</v>
      </c>
      <c r="Z229" t="s">
        <v>54</v>
      </c>
      <c r="AA229" s="2">
        <v>1261118</v>
      </c>
      <c r="AB229">
        <v>12.111000000000001</v>
      </c>
      <c r="AC229">
        <v>190</v>
      </c>
      <c r="AE229" t="s">
        <v>6</v>
      </c>
      <c r="AF229" t="s">
        <v>54</v>
      </c>
      <c r="AG229" s="2">
        <v>5837585</v>
      </c>
      <c r="AH229">
        <v>6.0960000000000001</v>
      </c>
      <c r="AI229">
        <v>281</v>
      </c>
      <c r="AK229" t="s">
        <v>6</v>
      </c>
      <c r="AL229" t="s">
        <v>54</v>
      </c>
      <c r="AM229" s="2">
        <v>1961018</v>
      </c>
      <c r="AN229">
        <v>4.7969999999999997</v>
      </c>
      <c r="AO229">
        <v>392</v>
      </c>
    </row>
    <row r="230" spans="1:41" x14ac:dyDescent="0.2">
      <c r="A230" t="s">
        <v>6</v>
      </c>
      <c r="B230" t="s">
        <v>39</v>
      </c>
      <c r="C230" s="2">
        <v>7396570</v>
      </c>
      <c r="D230">
        <v>12.616</v>
      </c>
      <c r="E230">
        <v>144</v>
      </c>
      <c r="G230" t="s">
        <v>6</v>
      </c>
      <c r="H230" t="s">
        <v>40</v>
      </c>
      <c r="I230" s="2">
        <v>4188197</v>
      </c>
      <c r="J230">
        <v>15.086</v>
      </c>
      <c r="K230">
        <v>92</v>
      </c>
      <c r="M230" t="s">
        <v>6</v>
      </c>
      <c r="N230" t="s">
        <v>40</v>
      </c>
      <c r="O230" s="2">
        <v>212342791</v>
      </c>
      <c r="P230">
        <v>15.345000000000001</v>
      </c>
      <c r="Q230">
        <v>83</v>
      </c>
      <c r="S230" t="s">
        <v>6</v>
      </c>
      <c r="T230" t="s">
        <v>40</v>
      </c>
      <c r="U230" s="2">
        <v>3061909</v>
      </c>
      <c r="V230">
        <v>15.785</v>
      </c>
      <c r="W230">
        <v>62</v>
      </c>
      <c r="Y230" t="s">
        <v>6</v>
      </c>
      <c r="Z230" t="s">
        <v>35</v>
      </c>
      <c r="AA230" s="2">
        <v>10665</v>
      </c>
      <c r="AB230">
        <v>79.849000000000004</v>
      </c>
      <c r="AC230">
        <v>4</v>
      </c>
      <c r="AE230" t="s">
        <v>6</v>
      </c>
      <c r="AF230" t="s">
        <v>35</v>
      </c>
      <c r="AG230" s="2">
        <v>142183</v>
      </c>
      <c r="AH230">
        <v>37.314</v>
      </c>
      <c r="AI230">
        <v>7</v>
      </c>
      <c r="AK230" t="s">
        <v>6</v>
      </c>
      <c r="AL230" t="s">
        <v>35</v>
      </c>
      <c r="AM230" s="2">
        <v>48976</v>
      </c>
      <c r="AN230">
        <v>33.726999999999997</v>
      </c>
      <c r="AO230">
        <v>12</v>
      </c>
    </row>
    <row r="231" spans="1:41" x14ac:dyDescent="0.2">
      <c r="A231" t="s">
        <v>6</v>
      </c>
      <c r="B231" t="s">
        <v>40</v>
      </c>
      <c r="C231" s="2">
        <v>4265989</v>
      </c>
      <c r="D231">
        <v>14.997999999999999</v>
      </c>
      <c r="E231">
        <v>95</v>
      </c>
      <c r="G231" t="s">
        <v>6</v>
      </c>
      <c r="H231" t="s">
        <v>41</v>
      </c>
      <c r="I231" s="2">
        <v>963271</v>
      </c>
      <c r="J231">
        <v>22.481000000000002</v>
      </c>
      <c r="K231">
        <v>51</v>
      </c>
      <c r="M231" t="s">
        <v>6</v>
      </c>
      <c r="N231" t="s">
        <v>41</v>
      </c>
      <c r="O231" s="2">
        <v>50974364</v>
      </c>
      <c r="P231">
        <v>22.337</v>
      </c>
      <c r="Q231">
        <v>50</v>
      </c>
      <c r="S231" t="s">
        <v>6</v>
      </c>
      <c r="T231" t="s">
        <v>41</v>
      </c>
      <c r="U231" s="2">
        <v>715998</v>
      </c>
      <c r="V231">
        <v>23.331</v>
      </c>
      <c r="W231">
        <v>39</v>
      </c>
      <c r="Y231" t="s">
        <v>6</v>
      </c>
      <c r="Z231" t="s">
        <v>46</v>
      </c>
      <c r="AA231" s="2">
        <v>21976</v>
      </c>
      <c r="AB231">
        <v>44.935000000000002</v>
      </c>
      <c r="AC231">
        <v>5</v>
      </c>
      <c r="AE231" t="s">
        <v>6</v>
      </c>
      <c r="AF231" t="s">
        <v>46</v>
      </c>
      <c r="AG231" s="2">
        <v>33403</v>
      </c>
      <c r="AH231">
        <v>41.555</v>
      </c>
      <c r="AI231">
        <v>9</v>
      </c>
      <c r="AK231" t="s">
        <v>6</v>
      </c>
      <c r="AL231" t="s">
        <v>46</v>
      </c>
      <c r="AM231" s="2">
        <v>72195</v>
      </c>
      <c r="AN231">
        <v>25.818000000000001</v>
      </c>
      <c r="AO231">
        <v>16</v>
      </c>
    </row>
    <row r="232" spans="1:41" x14ac:dyDescent="0.2">
      <c r="A232" t="s">
        <v>6</v>
      </c>
      <c r="B232" t="s">
        <v>41</v>
      </c>
      <c r="C232" s="2">
        <v>963271</v>
      </c>
      <c r="D232">
        <v>22.481000000000002</v>
      </c>
      <c r="E232">
        <v>51</v>
      </c>
      <c r="G232" t="s">
        <v>6</v>
      </c>
      <c r="H232" t="s">
        <v>55</v>
      </c>
      <c r="I232" s="2">
        <v>1821037</v>
      </c>
      <c r="J232">
        <v>24.352</v>
      </c>
      <c r="K232">
        <v>70</v>
      </c>
      <c r="M232" t="s">
        <v>6</v>
      </c>
      <c r="N232" t="s">
        <v>55</v>
      </c>
      <c r="O232" s="2">
        <v>98826470</v>
      </c>
      <c r="P232">
        <v>24.835999999999999</v>
      </c>
      <c r="Q232">
        <v>62</v>
      </c>
      <c r="S232" t="s">
        <v>6</v>
      </c>
      <c r="T232" t="s">
        <v>55</v>
      </c>
      <c r="U232" s="2">
        <v>1246365</v>
      </c>
      <c r="V232">
        <v>25.879000000000001</v>
      </c>
      <c r="W232">
        <v>49</v>
      </c>
      <c r="Y232" t="s">
        <v>6</v>
      </c>
      <c r="Z232" t="s">
        <v>47</v>
      </c>
      <c r="AA232" s="2">
        <v>200603</v>
      </c>
      <c r="AB232">
        <v>26.581</v>
      </c>
      <c r="AC232">
        <v>32</v>
      </c>
      <c r="AE232" t="s">
        <v>6</v>
      </c>
      <c r="AF232" t="s">
        <v>47</v>
      </c>
      <c r="AG232" s="2">
        <v>346691</v>
      </c>
      <c r="AH232">
        <v>14.999000000000001</v>
      </c>
      <c r="AI232">
        <v>67</v>
      </c>
      <c r="AK232" t="s">
        <v>6</v>
      </c>
      <c r="AL232" t="s">
        <v>47</v>
      </c>
      <c r="AM232" s="2">
        <v>422139</v>
      </c>
      <c r="AN232">
        <v>11.305999999999999</v>
      </c>
      <c r="AO232">
        <v>94</v>
      </c>
    </row>
    <row r="233" spans="1:41" x14ac:dyDescent="0.2">
      <c r="A233" t="s">
        <v>6</v>
      </c>
      <c r="B233" t="s">
        <v>55</v>
      </c>
      <c r="C233" s="2">
        <v>1854961</v>
      </c>
      <c r="D233">
        <v>23.914999999999999</v>
      </c>
      <c r="E233">
        <v>89</v>
      </c>
      <c r="G233" t="s">
        <v>6</v>
      </c>
      <c r="H233" t="s">
        <v>45</v>
      </c>
      <c r="I233" s="2">
        <v>42371</v>
      </c>
      <c r="J233">
        <v>45.354999999999997</v>
      </c>
      <c r="K233">
        <v>9</v>
      </c>
      <c r="M233" t="s">
        <v>6</v>
      </c>
      <c r="N233" t="s">
        <v>45</v>
      </c>
      <c r="O233" s="2">
        <v>2232470</v>
      </c>
      <c r="P233">
        <v>53.478000000000002</v>
      </c>
      <c r="Q233">
        <v>8</v>
      </c>
      <c r="S233" t="s">
        <v>6</v>
      </c>
      <c r="T233" t="s">
        <v>45</v>
      </c>
      <c r="U233" s="2">
        <v>26655</v>
      </c>
      <c r="V233">
        <v>57.21</v>
      </c>
      <c r="W233">
        <v>7</v>
      </c>
      <c r="Y233" t="s">
        <v>6</v>
      </c>
      <c r="Z233" t="s">
        <v>39</v>
      </c>
      <c r="AA233" s="2">
        <v>4069434</v>
      </c>
      <c r="AB233">
        <v>6.9669999999999996</v>
      </c>
      <c r="AC233">
        <v>513</v>
      </c>
      <c r="AE233" t="s">
        <v>6</v>
      </c>
      <c r="AF233" t="s">
        <v>39</v>
      </c>
      <c r="AG233" s="2">
        <v>12969080</v>
      </c>
      <c r="AH233">
        <v>4.07</v>
      </c>
      <c r="AI233">
        <v>682</v>
      </c>
      <c r="AK233" t="s">
        <v>6</v>
      </c>
      <c r="AL233" t="s">
        <v>39</v>
      </c>
      <c r="AM233" s="2">
        <v>4085595</v>
      </c>
      <c r="AN233">
        <v>3.0430000000000001</v>
      </c>
      <c r="AO233">
        <v>852</v>
      </c>
    </row>
    <row r="234" spans="1:41" x14ac:dyDescent="0.2">
      <c r="A234" t="s">
        <v>6</v>
      </c>
      <c r="B234" t="s">
        <v>45</v>
      </c>
      <c r="C234" s="2">
        <v>46027</v>
      </c>
      <c r="D234">
        <v>41.97</v>
      </c>
      <c r="E234">
        <v>13</v>
      </c>
      <c r="G234" t="s">
        <v>6</v>
      </c>
      <c r="H234" t="s">
        <v>56</v>
      </c>
      <c r="I234" s="2">
        <v>1765930</v>
      </c>
      <c r="J234">
        <v>12.996</v>
      </c>
      <c r="K234">
        <v>137</v>
      </c>
      <c r="M234" t="s">
        <v>6</v>
      </c>
      <c r="N234" t="s">
        <v>56</v>
      </c>
      <c r="O234" s="2">
        <v>91626705</v>
      </c>
      <c r="P234">
        <v>13.156000000000001</v>
      </c>
      <c r="Q234">
        <v>121</v>
      </c>
      <c r="S234" t="s">
        <v>6</v>
      </c>
      <c r="T234" t="s">
        <v>56</v>
      </c>
      <c r="U234" s="2">
        <v>1140134</v>
      </c>
      <c r="V234">
        <v>13.843999999999999</v>
      </c>
      <c r="W234">
        <v>97</v>
      </c>
      <c r="Y234" t="s">
        <v>6</v>
      </c>
      <c r="Z234" t="s">
        <v>40</v>
      </c>
      <c r="AA234" s="2">
        <v>3124014</v>
      </c>
      <c r="AB234">
        <v>9.8469999999999995</v>
      </c>
      <c r="AC234">
        <v>630</v>
      </c>
      <c r="AE234" t="s">
        <v>6</v>
      </c>
      <c r="AF234" t="s">
        <v>40</v>
      </c>
      <c r="AG234" s="2">
        <v>9901692</v>
      </c>
      <c r="AH234">
        <v>4.3520000000000003</v>
      </c>
      <c r="AI234">
        <v>831</v>
      </c>
      <c r="AK234" t="s">
        <v>6</v>
      </c>
      <c r="AL234" t="s">
        <v>40</v>
      </c>
      <c r="AM234" s="2">
        <v>3661762</v>
      </c>
      <c r="AN234">
        <v>3.097</v>
      </c>
      <c r="AO234" s="2">
        <v>1079</v>
      </c>
    </row>
    <row r="235" spans="1:41" x14ac:dyDescent="0.2">
      <c r="A235" t="s">
        <v>6</v>
      </c>
      <c r="B235" t="s">
        <v>56</v>
      </c>
      <c r="C235" s="2">
        <v>1785842</v>
      </c>
      <c r="D235">
        <v>12.856</v>
      </c>
      <c r="E235">
        <v>150</v>
      </c>
      <c r="G235" t="s">
        <v>13</v>
      </c>
      <c r="H235" t="s">
        <v>54</v>
      </c>
      <c r="I235" s="2">
        <v>62873</v>
      </c>
      <c r="J235">
        <v>74.742000000000004</v>
      </c>
      <c r="K235">
        <v>4</v>
      </c>
      <c r="M235" t="s">
        <v>13</v>
      </c>
      <c r="N235" t="s">
        <v>54</v>
      </c>
      <c r="O235" s="2">
        <v>3121619</v>
      </c>
      <c r="P235">
        <v>79.209000000000003</v>
      </c>
      <c r="Q235">
        <v>4</v>
      </c>
      <c r="S235" t="s">
        <v>13</v>
      </c>
      <c r="T235" t="s">
        <v>54</v>
      </c>
      <c r="U235" s="2">
        <v>44671</v>
      </c>
      <c r="V235">
        <v>81.667000000000002</v>
      </c>
      <c r="W235">
        <v>2</v>
      </c>
      <c r="Y235" t="s">
        <v>6</v>
      </c>
      <c r="Z235" t="s">
        <v>41</v>
      </c>
      <c r="AA235" s="2">
        <v>1411368</v>
      </c>
      <c r="AB235">
        <v>12.33</v>
      </c>
      <c r="AC235">
        <v>246</v>
      </c>
      <c r="AE235" t="s">
        <v>6</v>
      </c>
      <c r="AF235" t="s">
        <v>41</v>
      </c>
      <c r="AG235" s="2">
        <v>2312993</v>
      </c>
      <c r="AH235">
        <v>7.2530000000000001</v>
      </c>
      <c r="AI235">
        <v>347</v>
      </c>
      <c r="AK235" t="s">
        <v>6</v>
      </c>
      <c r="AL235" t="s">
        <v>41</v>
      </c>
      <c r="AM235" s="2">
        <v>1759377</v>
      </c>
      <c r="AN235">
        <v>5.2450000000000001</v>
      </c>
      <c r="AO235">
        <v>437</v>
      </c>
    </row>
    <row r="236" spans="1:41" x14ac:dyDescent="0.2">
      <c r="A236" t="s">
        <v>13</v>
      </c>
      <c r="B236" t="s">
        <v>54</v>
      </c>
      <c r="C236" s="2">
        <v>62873</v>
      </c>
      <c r="D236">
        <v>74.742000000000004</v>
      </c>
      <c r="E236">
        <v>4</v>
      </c>
      <c r="G236" t="s">
        <v>13</v>
      </c>
      <c r="H236" t="s">
        <v>39</v>
      </c>
      <c r="I236" s="2">
        <v>152585</v>
      </c>
      <c r="J236">
        <v>37.084000000000003</v>
      </c>
      <c r="K236">
        <v>17</v>
      </c>
      <c r="M236" t="s">
        <v>13</v>
      </c>
      <c r="N236" t="s">
        <v>39</v>
      </c>
      <c r="O236" s="2">
        <v>7751366</v>
      </c>
      <c r="P236">
        <v>38.405000000000001</v>
      </c>
      <c r="Q236">
        <v>15</v>
      </c>
      <c r="S236" t="s">
        <v>13</v>
      </c>
      <c r="T236" t="s">
        <v>39</v>
      </c>
      <c r="U236" s="2">
        <v>95609</v>
      </c>
      <c r="V236">
        <v>42.491999999999997</v>
      </c>
      <c r="W236">
        <v>8</v>
      </c>
      <c r="Y236" t="s">
        <v>6</v>
      </c>
      <c r="Z236" t="s">
        <v>55</v>
      </c>
      <c r="AA236" s="2">
        <v>6100114</v>
      </c>
      <c r="AB236">
        <v>6.7539999999999996</v>
      </c>
      <c r="AC236">
        <v>992</v>
      </c>
      <c r="AE236" t="s">
        <v>6</v>
      </c>
      <c r="AF236" t="s">
        <v>55</v>
      </c>
      <c r="AG236" s="2">
        <v>7965208</v>
      </c>
      <c r="AH236">
        <v>4.2469999999999999</v>
      </c>
      <c r="AI236" s="2">
        <v>1293</v>
      </c>
      <c r="AK236" t="s">
        <v>6</v>
      </c>
      <c r="AL236" t="s">
        <v>55</v>
      </c>
      <c r="AM236" s="2">
        <v>5541431</v>
      </c>
      <c r="AN236">
        <v>2.11</v>
      </c>
      <c r="AO236" s="2">
        <v>1775</v>
      </c>
    </row>
    <row r="237" spans="1:41" x14ac:dyDescent="0.2">
      <c r="A237" t="s">
        <v>13</v>
      </c>
      <c r="B237" t="s">
        <v>47</v>
      </c>
      <c r="C237">
        <v>872</v>
      </c>
      <c r="D237">
        <v>78.546000000000006</v>
      </c>
      <c r="E237">
        <v>2</v>
      </c>
      <c r="G237" t="s">
        <v>13</v>
      </c>
      <c r="H237" t="s">
        <v>40</v>
      </c>
      <c r="I237" s="2">
        <v>114905</v>
      </c>
      <c r="J237">
        <v>39.212000000000003</v>
      </c>
      <c r="K237">
        <v>24</v>
      </c>
      <c r="M237" t="s">
        <v>13</v>
      </c>
      <c r="N237" t="s">
        <v>40</v>
      </c>
      <c r="O237" s="2">
        <v>5480603</v>
      </c>
      <c r="P237">
        <v>41.344000000000001</v>
      </c>
      <c r="Q237">
        <v>21</v>
      </c>
      <c r="S237" t="s">
        <v>13</v>
      </c>
      <c r="T237" t="s">
        <v>40</v>
      </c>
      <c r="U237" s="2">
        <v>72424</v>
      </c>
      <c r="V237">
        <v>46.356000000000002</v>
      </c>
      <c r="W237">
        <v>9</v>
      </c>
      <c r="Y237" t="s">
        <v>6</v>
      </c>
      <c r="Z237" t="s">
        <v>45</v>
      </c>
      <c r="AA237" s="2">
        <v>722883</v>
      </c>
      <c r="AB237">
        <v>26.41</v>
      </c>
      <c r="AC237">
        <v>74</v>
      </c>
      <c r="AE237" t="s">
        <v>6</v>
      </c>
      <c r="AF237" t="s">
        <v>45</v>
      </c>
      <c r="AG237" s="2">
        <v>341353</v>
      </c>
      <c r="AH237">
        <v>13.585000000000001</v>
      </c>
      <c r="AI237">
        <v>94</v>
      </c>
      <c r="AK237" t="s">
        <v>6</v>
      </c>
      <c r="AL237" t="s">
        <v>45</v>
      </c>
      <c r="AM237" s="2">
        <v>353210</v>
      </c>
      <c r="AN237">
        <v>9.1560000000000006</v>
      </c>
      <c r="AO237">
        <v>117</v>
      </c>
    </row>
    <row r="238" spans="1:41" x14ac:dyDescent="0.2">
      <c r="A238" t="s">
        <v>13</v>
      </c>
      <c r="B238" t="s">
        <v>39</v>
      </c>
      <c r="C238" s="2">
        <v>152585</v>
      </c>
      <c r="D238">
        <v>37.084000000000003</v>
      </c>
      <c r="E238">
        <v>17</v>
      </c>
      <c r="G238" t="s">
        <v>13</v>
      </c>
      <c r="H238" t="s">
        <v>41</v>
      </c>
      <c r="I238" s="2">
        <v>25546</v>
      </c>
      <c r="J238">
        <v>34.223999999999997</v>
      </c>
      <c r="K238">
        <v>13</v>
      </c>
      <c r="M238" t="s">
        <v>13</v>
      </c>
      <c r="N238" t="s">
        <v>41</v>
      </c>
      <c r="O238" s="2">
        <v>1329641</v>
      </c>
      <c r="P238">
        <v>35.042000000000002</v>
      </c>
      <c r="Q238">
        <v>12</v>
      </c>
      <c r="S238" t="s">
        <v>13</v>
      </c>
      <c r="T238" t="s">
        <v>41</v>
      </c>
      <c r="U238" s="2">
        <v>17126</v>
      </c>
      <c r="V238">
        <v>36.012999999999998</v>
      </c>
      <c r="W238">
        <v>10</v>
      </c>
      <c r="Y238" t="s">
        <v>6</v>
      </c>
      <c r="Z238" t="s">
        <v>56</v>
      </c>
      <c r="AA238" s="2">
        <v>2169313</v>
      </c>
      <c r="AB238">
        <v>7.35</v>
      </c>
      <c r="AC238">
        <v>645</v>
      </c>
      <c r="AE238" t="s">
        <v>6</v>
      </c>
      <c r="AF238" t="s">
        <v>56</v>
      </c>
      <c r="AG238" s="2">
        <v>4870520</v>
      </c>
      <c r="AH238">
        <v>3.7570000000000001</v>
      </c>
      <c r="AI238">
        <v>884</v>
      </c>
      <c r="AK238" t="s">
        <v>6</v>
      </c>
      <c r="AL238" t="s">
        <v>56</v>
      </c>
      <c r="AM238" s="2">
        <v>4157995</v>
      </c>
      <c r="AN238">
        <v>2.8530000000000002</v>
      </c>
      <c r="AO238" s="2">
        <v>1175</v>
      </c>
    </row>
    <row r="239" spans="1:41" x14ac:dyDescent="0.2">
      <c r="A239" t="s">
        <v>13</v>
      </c>
      <c r="B239" t="s">
        <v>40</v>
      </c>
      <c r="C239" s="2">
        <v>115978</v>
      </c>
      <c r="D239">
        <v>38.854999999999997</v>
      </c>
      <c r="E239">
        <v>26</v>
      </c>
      <c r="G239" t="s">
        <v>13</v>
      </c>
      <c r="H239" t="s">
        <v>55</v>
      </c>
      <c r="I239" s="2">
        <v>101829</v>
      </c>
      <c r="J239">
        <v>26.962</v>
      </c>
      <c r="K239">
        <v>34</v>
      </c>
      <c r="M239" t="s">
        <v>13</v>
      </c>
      <c r="N239" t="s">
        <v>55</v>
      </c>
      <c r="O239" s="2">
        <v>5012648</v>
      </c>
      <c r="P239">
        <v>27.89</v>
      </c>
      <c r="Q239">
        <v>31</v>
      </c>
      <c r="S239" t="s">
        <v>13</v>
      </c>
      <c r="T239" t="s">
        <v>55</v>
      </c>
      <c r="U239" s="2">
        <v>64261</v>
      </c>
      <c r="V239">
        <v>29.562000000000001</v>
      </c>
      <c r="W239">
        <v>21</v>
      </c>
      <c r="Y239" t="s">
        <v>13</v>
      </c>
      <c r="Z239" t="s">
        <v>54</v>
      </c>
      <c r="AA239" s="2">
        <v>67251</v>
      </c>
      <c r="AB239">
        <v>44.238999999999997</v>
      </c>
      <c r="AC239">
        <v>21</v>
      </c>
      <c r="AE239" t="s">
        <v>13</v>
      </c>
      <c r="AF239" t="s">
        <v>54</v>
      </c>
      <c r="AG239" s="2">
        <v>185695</v>
      </c>
      <c r="AH239">
        <v>22.591000000000001</v>
      </c>
      <c r="AI239">
        <v>23</v>
      </c>
      <c r="AK239" t="s">
        <v>13</v>
      </c>
      <c r="AL239" t="s">
        <v>54</v>
      </c>
      <c r="AM239" s="2">
        <v>56167</v>
      </c>
      <c r="AN239">
        <v>22.431999999999999</v>
      </c>
      <c r="AO239">
        <v>28</v>
      </c>
    </row>
    <row r="240" spans="1:41" x14ac:dyDescent="0.2">
      <c r="A240" t="s">
        <v>13</v>
      </c>
      <c r="B240" t="s">
        <v>41</v>
      </c>
      <c r="C240" s="2">
        <v>25546</v>
      </c>
      <c r="D240">
        <v>34.223999999999997</v>
      </c>
      <c r="E240">
        <v>13</v>
      </c>
      <c r="G240" t="s">
        <v>13</v>
      </c>
      <c r="H240" t="s">
        <v>45</v>
      </c>
      <c r="I240" s="2">
        <v>39930</v>
      </c>
      <c r="J240">
        <v>47.701000000000001</v>
      </c>
      <c r="K240">
        <v>8</v>
      </c>
      <c r="M240" t="s">
        <v>13</v>
      </c>
      <c r="N240" t="s">
        <v>45</v>
      </c>
      <c r="O240" s="2">
        <v>2089633</v>
      </c>
      <c r="P240">
        <v>56.685000000000002</v>
      </c>
      <c r="Q240">
        <v>7</v>
      </c>
      <c r="S240" t="s">
        <v>13</v>
      </c>
      <c r="T240" t="s">
        <v>45</v>
      </c>
      <c r="U240" s="2">
        <v>24681</v>
      </c>
      <c r="V240">
        <v>61.218000000000004</v>
      </c>
      <c r="W240">
        <v>6</v>
      </c>
      <c r="Y240" t="s">
        <v>13</v>
      </c>
      <c r="Z240" t="s">
        <v>46</v>
      </c>
      <c r="AA240" s="2">
        <v>3299</v>
      </c>
      <c r="AB240">
        <v>48.99</v>
      </c>
      <c r="AC240">
        <v>1</v>
      </c>
      <c r="AE240" t="s">
        <v>13</v>
      </c>
      <c r="AF240" t="s">
        <v>46</v>
      </c>
      <c r="AG240" s="2">
        <v>3715</v>
      </c>
      <c r="AH240">
        <v>48.99</v>
      </c>
      <c r="AI240">
        <v>1</v>
      </c>
      <c r="AK240" t="s">
        <v>13</v>
      </c>
      <c r="AL240" t="s">
        <v>46</v>
      </c>
      <c r="AM240" s="2">
        <v>5906</v>
      </c>
      <c r="AN240">
        <v>52.073999999999998</v>
      </c>
      <c r="AO240">
        <v>1</v>
      </c>
    </row>
    <row r="241" spans="1:41" x14ac:dyDescent="0.2">
      <c r="A241" t="s">
        <v>13</v>
      </c>
      <c r="B241" t="s">
        <v>55</v>
      </c>
      <c r="C241" s="2">
        <v>135754</v>
      </c>
      <c r="D241">
        <v>22.081</v>
      </c>
      <c r="E241">
        <v>53</v>
      </c>
      <c r="G241" t="s">
        <v>13</v>
      </c>
      <c r="H241" t="s">
        <v>56</v>
      </c>
      <c r="I241" s="2">
        <v>123192</v>
      </c>
      <c r="J241">
        <v>22.452999999999999</v>
      </c>
      <c r="K241">
        <v>47</v>
      </c>
      <c r="M241" t="s">
        <v>13</v>
      </c>
      <c r="N241" t="s">
        <v>56</v>
      </c>
      <c r="O241" s="2">
        <v>5972761</v>
      </c>
      <c r="P241">
        <v>24.855</v>
      </c>
      <c r="Q241">
        <v>40</v>
      </c>
      <c r="S241" t="s">
        <v>13</v>
      </c>
      <c r="T241" t="s">
        <v>56</v>
      </c>
      <c r="U241" s="2">
        <v>62757</v>
      </c>
      <c r="V241">
        <v>25.690999999999999</v>
      </c>
      <c r="W241">
        <v>29</v>
      </c>
      <c r="Y241" t="s">
        <v>13</v>
      </c>
      <c r="Z241" t="s">
        <v>47</v>
      </c>
      <c r="AA241" s="2">
        <v>33458</v>
      </c>
      <c r="AB241">
        <v>50.594000000000001</v>
      </c>
      <c r="AC241">
        <v>7</v>
      </c>
      <c r="AE241" t="s">
        <v>13</v>
      </c>
      <c r="AF241" t="s">
        <v>47</v>
      </c>
      <c r="AG241" s="2">
        <v>16319</v>
      </c>
      <c r="AH241">
        <v>35.210999999999999</v>
      </c>
      <c r="AI241">
        <v>11</v>
      </c>
      <c r="AK241" t="s">
        <v>13</v>
      </c>
      <c r="AL241" t="s">
        <v>47</v>
      </c>
      <c r="AM241" s="2">
        <v>22045</v>
      </c>
      <c r="AN241">
        <v>27.622</v>
      </c>
      <c r="AO241">
        <v>12</v>
      </c>
    </row>
    <row r="242" spans="1:41" x14ac:dyDescent="0.2">
      <c r="A242" t="s">
        <v>13</v>
      </c>
      <c r="B242" t="s">
        <v>45</v>
      </c>
      <c r="C242" s="2">
        <v>43586</v>
      </c>
      <c r="D242">
        <v>43.932000000000002</v>
      </c>
      <c r="E242">
        <v>12</v>
      </c>
      <c r="G242" t="s">
        <v>34</v>
      </c>
      <c r="H242" t="s">
        <v>56</v>
      </c>
      <c r="I242" s="2">
        <v>40692</v>
      </c>
      <c r="J242">
        <v>97.128</v>
      </c>
      <c r="K242">
        <v>1</v>
      </c>
      <c r="M242" t="s">
        <v>34</v>
      </c>
      <c r="N242" t="s">
        <v>56</v>
      </c>
      <c r="O242" s="2">
        <v>2033770</v>
      </c>
      <c r="P242">
        <v>97.128</v>
      </c>
      <c r="Q242">
        <v>1</v>
      </c>
      <c r="S242" t="s">
        <v>34</v>
      </c>
      <c r="T242" t="s">
        <v>56</v>
      </c>
      <c r="U242" s="2">
        <v>26092</v>
      </c>
      <c r="V242">
        <v>97.128</v>
      </c>
      <c r="W242">
        <v>1</v>
      </c>
      <c r="Y242" t="s">
        <v>13</v>
      </c>
      <c r="Z242" t="s">
        <v>39</v>
      </c>
      <c r="AA242" s="2">
        <v>737154</v>
      </c>
      <c r="AB242">
        <v>12.147</v>
      </c>
      <c r="AC242">
        <v>185</v>
      </c>
      <c r="AE242" t="s">
        <v>13</v>
      </c>
      <c r="AF242" t="s">
        <v>39</v>
      </c>
      <c r="AG242" s="2">
        <v>1587364</v>
      </c>
      <c r="AH242">
        <v>5.2629999999999999</v>
      </c>
      <c r="AI242">
        <v>214</v>
      </c>
      <c r="AK242" t="s">
        <v>13</v>
      </c>
      <c r="AL242" t="s">
        <v>39</v>
      </c>
      <c r="AM242" s="2">
        <v>535319</v>
      </c>
      <c r="AN242">
        <v>4.0640000000000001</v>
      </c>
      <c r="AO242">
        <v>266</v>
      </c>
    </row>
    <row r="243" spans="1:41" x14ac:dyDescent="0.2">
      <c r="A243" t="s">
        <v>13</v>
      </c>
      <c r="B243" t="s">
        <v>56</v>
      </c>
      <c r="C243" s="2">
        <v>129790</v>
      </c>
      <c r="D243">
        <v>21.509</v>
      </c>
      <c r="E243">
        <v>54</v>
      </c>
      <c r="G243" t="s">
        <v>23</v>
      </c>
      <c r="H243" t="s">
        <v>47</v>
      </c>
      <c r="I243">
        <v>199</v>
      </c>
      <c r="J243">
        <v>97.128</v>
      </c>
      <c r="K243">
        <v>1</v>
      </c>
      <c r="M243" t="s">
        <v>23</v>
      </c>
      <c r="N243" t="s">
        <v>39</v>
      </c>
      <c r="O243" s="2">
        <v>607023</v>
      </c>
      <c r="P243">
        <v>69.691999999999993</v>
      </c>
      <c r="Q243">
        <v>2</v>
      </c>
      <c r="S243" t="s">
        <v>23</v>
      </c>
      <c r="T243" t="s">
        <v>39</v>
      </c>
      <c r="U243" s="2">
        <v>1239</v>
      </c>
      <c r="V243">
        <v>67.320999999999998</v>
      </c>
      <c r="W243">
        <v>2</v>
      </c>
      <c r="Y243" t="s">
        <v>13</v>
      </c>
      <c r="Z243" t="s">
        <v>40</v>
      </c>
      <c r="AA243" s="2">
        <v>1750945</v>
      </c>
      <c r="AB243">
        <v>15.265000000000001</v>
      </c>
      <c r="AC243">
        <v>452</v>
      </c>
      <c r="AE243" t="s">
        <v>13</v>
      </c>
      <c r="AF243" t="s">
        <v>40</v>
      </c>
      <c r="AG243" s="2">
        <v>3735332</v>
      </c>
      <c r="AH243">
        <v>3.6160000000000001</v>
      </c>
      <c r="AI243">
        <v>569</v>
      </c>
      <c r="AK243" t="s">
        <v>13</v>
      </c>
      <c r="AL243" t="s">
        <v>40</v>
      </c>
      <c r="AM243" s="2">
        <v>1687747</v>
      </c>
      <c r="AN243">
        <v>2.9740000000000002</v>
      </c>
      <c r="AO243">
        <v>744</v>
      </c>
    </row>
    <row r="244" spans="1:41" x14ac:dyDescent="0.2">
      <c r="A244" t="s">
        <v>34</v>
      </c>
      <c r="B244" t="s">
        <v>56</v>
      </c>
      <c r="C244" s="2">
        <v>40692</v>
      </c>
      <c r="D244">
        <v>97.128</v>
      </c>
      <c r="E244">
        <v>1</v>
      </c>
      <c r="G244" t="s">
        <v>23</v>
      </c>
      <c r="H244" t="s">
        <v>39</v>
      </c>
      <c r="I244" s="2">
        <v>11278</v>
      </c>
      <c r="J244">
        <v>69.046000000000006</v>
      </c>
      <c r="K244">
        <v>2</v>
      </c>
      <c r="M244" t="s">
        <v>14</v>
      </c>
      <c r="N244" t="s">
        <v>54</v>
      </c>
      <c r="O244" s="2">
        <v>1144850</v>
      </c>
      <c r="P244">
        <v>84.471999999999994</v>
      </c>
      <c r="Q244">
        <v>1</v>
      </c>
      <c r="S244" t="s">
        <v>14</v>
      </c>
      <c r="T244" t="s">
        <v>54</v>
      </c>
      <c r="U244" s="2">
        <v>17403</v>
      </c>
      <c r="V244">
        <v>84.471999999999994</v>
      </c>
      <c r="W244">
        <v>1</v>
      </c>
      <c r="Y244" t="s">
        <v>13</v>
      </c>
      <c r="Z244" t="s">
        <v>41</v>
      </c>
      <c r="AA244" s="2">
        <v>597798</v>
      </c>
      <c r="AB244">
        <v>15.105</v>
      </c>
      <c r="AC244">
        <v>142</v>
      </c>
      <c r="AE244" t="s">
        <v>13</v>
      </c>
      <c r="AF244" t="s">
        <v>41</v>
      </c>
      <c r="AG244" s="2">
        <v>634500</v>
      </c>
      <c r="AH244">
        <v>9.6240000000000006</v>
      </c>
      <c r="AI244">
        <v>173</v>
      </c>
      <c r="AK244" t="s">
        <v>13</v>
      </c>
      <c r="AL244" t="s">
        <v>41</v>
      </c>
      <c r="AM244" s="2">
        <v>453899</v>
      </c>
      <c r="AN244">
        <v>8.0730000000000004</v>
      </c>
      <c r="AO244">
        <v>212</v>
      </c>
    </row>
    <row r="245" spans="1:41" x14ac:dyDescent="0.2">
      <c r="A245" t="s">
        <v>23</v>
      </c>
      <c r="B245" t="s">
        <v>35</v>
      </c>
      <c r="C245" s="2">
        <v>39147</v>
      </c>
      <c r="D245">
        <v>92.787999999999997</v>
      </c>
      <c r="E245">
        <v>1</v>
      </c>
      <c r="G245" t="s">
        <v>14</v>
      </c>
      <c r="H245" t="s">
        <v>54</v>
      </c>
      <c r="I245" s="2">
        <v>22814</v>
      </c>
      <c r="J245">
        <v>84.471999999999994</v>
      </c>
      <c r="K245">
        <v>1</v>
      </c>
      <c r="M245" t="s">
        <v>15</v>
      </c>
      <c r="N245" t="s">
        <v>54</v>
      </c>
      <c r="O245" s="2">
        <v>43177824</v>
      </c>
      <c r="P245">
        <v>50.954000000000001</v>
      </c>
      <c r="Q245">
        <v>10</v>
      </c>
      <c r="S245" t="s">
        <v>15</v>
      </c>
      <c r="T245" t="s">
        <v>54</v>
      </c>
      <c r="U245" s="2">
        <v>631692</v>
      </c>
      <c r="V245">
        <v>51.731999999999999</v>
      </c>
      <c r="W245">
        <v>9</v>
      </c>
      <c r="Y245" t="s">
        <v>13</v>
      </c>
      <c r="Z245" t="s">
        <v>55</v>
      </c>
      <c r="AA245" s="2">
        <v>4919341</v>
      </c>
      <c r="AB245">
        <v>7.8920000000000003</v>
      </c>
      <c r="AC245">
        <v>834</v>
      </c>
      <c r="AE245" t="s">
        <v>13</v>
      </c>
      <c r="AF245" t="s">
        <v>55</v>
      </c>
      <c r="AG245" s="2">
        <v>4642790</v>
      </c>
      <c r="AH245">
        <v>3.9470000000000001</v>
      </c>
      <c r="AI245" s="2">
        <v>1082</v>
      </c>
      <c r="AK245" t="s">
        <v>13</v>
      </c>
      <c r="AL245" t="s">
        <v>55</v>
      </c>
      <c r="AM245" s="2">
        <v>3871743</v>
      </c>
      <c r="AN245">
        <v>1.798</v>
      </c>
      <c r="AO245" s="2">
        <v>1491</v>
      </c>
    </row>
    <row r="246" spans="1:41" x14ac:dyDescent="0.2">
      <c r="A246" t="s">
        <v>23</v>
      </c>
      <c r="B246" t="s">
        <v>47</v>
      </c>
      <c r="C246" s="2">
        <v>5065</v>
      </c>
      <c r="D246">
        <v>97.128</v>
      </c>
      <c r="E246">
        <v>1</v>
      </c>
      <c r="G246" t="s">
        <v>15</v>
      </c>
      <c r="H246" t="s">
        <v>54</v>
      </c>
      <c r="I246" s="2">
        <v>814111</v>
      </c>
      <c r="J246">
        <v>50.441000000000003</v>
      </c>
      <c r="K246">
        <v>11</v>
      </c>
      <c r="M246" t="s">
        <v>15</v>
      </c>
      <c r="N246" t="s">
        <v>47</v>
      </c>
      <c r="O246" s="2">
        <v>1328682</v>
      </c>
      <c r="P246">
        <v>94.606999999999999</v>
      </c>
      <c r="Q246">
        <v>1</v>
      </c>
      <c r="S246" t="s">
        <v>15</v>
      </c>
      <c r="T246" t="s">
        <v>47</v>
      </c>
      <c r="U246" s="2">
        <v>13314</v>
      </c>
      <c r="V246">
        <v>94.606999999999999</v>
      </c>
      <c r="W246">
        <v>1</v>
      </c>
      <c r="Y246" t="s">
        <v>13</v>
      </c>
      <c r="Z246" t="s">
        <v>45</v>
      </c>
      <c r="AA246" s="2">
        <v>707128</v>
      </c>
      <c r="AB246">
        <v>26.977</v>
      </c>
      <c r="AC246">
        <v>67</v>
      </c>
      <c r="AE246" t="s">
        <v>13</v>
      </c>
      <c r="AF246" t="s">
        <v>45</v>
      </c>
      <c r="AG246" s="2">
        <v>257237</v>
      </c>
      <c r="AH246">
        <v>13.382</v>
      </c>
      <c r="AI246">
        <v>83</v>
      </c>
      <c r="AK246" t="s">
        <v>13</v>
      </c>
      <c r="AL246" t="s">
        <v>45</v>
      </c>
      <c r="AM246" s="2">
        <v>250741</v>
      </c>
      <c r="AN246">
        <v>8.4890000000000008</v>
      </c>
      <c r="AO246">
        <v>99</v>
      </c>
    </row>
    <row r="247" spans="1:41" x14ac:dyDescent="0.2">
      <c r="A247" t="s">
        <v>23</v>
      </c>
      <c r="B247" t="s">
        <v>39</v>
      </c>
      <c r="C247" s="2">
        <v>11278</v>
      </c>
      <c r="D247">
        <v>69.046000000000006</v>
      </c>
      <c r="E247">
        <v>2</v>
      </c>
      <c r="G247" t="s">
        <v>15</v>
      </c>
      <c r="H247" t="s">
        <v>47</v>
      </c>
      <c r="I247" s="2">
        <v>27971</v>
      </c>
      <c r="J247">
        <v>91.37</v>
      </c>
      <c r="K247">
        <v>2</v>
      </c>
      <c r="M247" t="s">
        <v>15</v>
      </c>
      <c r="N247" t="s">
        <v>39</v>
      </c>
      <c r="O247" s="2">
        <v>58373472</v>
      </c>
      <c r="P247">
        <v>36.86</v>
      </c>
      <c r="Q247">
        <v>20</v>
      </c>
      <c r="S247" t="s">
        <v>15</v>
      </c>
      <c r="T247" t="s">
        <v>39</v>
      </c>
      <c r="U247" s="2">
        <v>868365</v>
      </c>
      <c r="V247">
        <v>38.15</v>
      </c>
      <c r="W247">
        <v>18</v>
      </c>
      <c r="Y247" t="s">
        <v>13</v>
      </c>
      <c r="Z247" t="s">
        <v>56</v>
      </c>
      <c r="AA247" s="2">
        <v>1036534</v>
      </c>
      <c r="AB247">
        <v>7.4880000000000004</v>
      </c>
      <c r="AC247">
        <v>445</v>
      </c>
      <c r="AE247" t="s">
        <v>13</v>
      </c>
      <c r="AF247" t="s">
        <v>56</v>
      </c>
      <c r="AG247" s="2">
        <v>1913644</v>
      </c>
      <c r="AH247">
        <v>2.5049999999999999</v>
      </c>
      <c r="AI247">
        <v>556</v>
      </c>
      <c r="AK247" t="s">
        <v>13</v>
      </c>
      <c r="AL247" t="s">
        <v>56</v>
      </c>
      <c r="AM247" s="2">
        <v>1378768</v>
      </c>
      <c r="AN247">
        <v>1.9610000000000001</v>
      </c>
      <c r="AO247">
        <v>702</v>
      </c>
    </row>
    <row r="248" spans="1:41" x14ac:dyDescent="0.2">
      <c r="A248" t="s">
        <v>14</v>
      </c>
      <c r="B248" t="s">
        <v>54</v>
      </c>
      <c r="C248" s="2">
        <v>22814</v>
      </c>
      <c r="D248">
        <v>84.471999999999994</v>
      </c>
      <c r="E248">
        <v>1</v>
      </c>
      <c r="G248" t="s">
        <v>15</v>
      </c>
      <c r="H248" t="s">
        <v>39</v>
      </c>
      <c r="I248" s="2">
        <v>1138124</v>
      </c>
      <c r="J248">
        <v>36.579000000000001</v>
      </c>
      <c r="K248">
        <v>21</v>
      </c>
      <c r="M248" t="s">
        <v>15</v>
      </c>
      <c r="N248" t="s">
        <v>40</v>
      </c>
      <c r="O248" s="2">
        <v>28840091</v>
      </c>
      <c r="P248">
        <v>49.386000000000003</v>
      </c>
      <c r="Q248">
        <v>8</v>
      </c>
      <c r="S248" t="s">
        <v>15</v>
      </c>
      <c r="T248" t="s">
        <v>40</v>
      </c>
      <c r="U248" s="2">
        <v>418845</v>
      </c>
      <c r="V248">
        <v>51.38</v>
      </c>
      <c r="W248">
        <v>7</v>
      </c>
      <c r="Y248" t="s">
        <v>22</v>
      </c>
      <c r="Z248" t="s">
        <v>54</v>
      </c>
      <c r="AA248" s="2">
        <v>4375</v>
      </c>
      <c r="AB248">
        <v>63.432000000000002</v>
      </c>
      <c r="AC248">
        <v>3</v>
      </c>
      <c r="AE248" t="s">
        <v>22</v>
      </c>
      <c r="AF248" t="s">
        <v>54</v>
      </c>
      <c r="AG248" s="2">
        <v>41825</v>
      </c>
      <c r="AH248">
        <v>53.207999999999998</v>
      </c>
      <c r="AI248">
        <v>3</v>
      </c>
      <c r="AK248" t="s">
        <v>22</v>
      </c>
      <c r="AL248" t="s">
        <v>54</v>
      </c>
      <c r="AM248" s="2">
        <v>30038</v>
      </c>
      <c r="AN248">
        <v>47.295999999999999</v>
      </c>
      <c r="AO248">
        <v>4</v>
      </c>
    </row>
    <row r="249" spans="1:41" x14ac:dyDescent="0.2">
      <c r="A249" t="s">
        <v>15</v>
      </c>
      <c r="B249" t="s">
        <v>54</v>
      </c>
      <c r="C249" s="2">
        <v>814111</v>
      </c>
      <c r="D249">
        <v>50.441000000000003</v>
      </c>
      <c r="E249">
        <v>11</v>
      </c>
      <c r="G249" t="s">
        <v>15</v>
      </c>
      <c r="H249" t="s">
        <v>40</v>
      </c>
      <c r="I249" s="2">
        <v>562721</v>
      </c>
      <c r="J249">
        <v>48.951000000000001</v>
      </c>
      <c r="K249">
        <v>8</v>
      </c>
      <c r="M249" t="s">
        <v>15</v>
      </c>
      <c r="N249" t="s">
        <v>41</v>
      </c>
      <c r="O249" s="2">
        <v>2940986</v>
      </c>
      <c r="P249">
        <v>60.234999999999999</v>
      </c>
      <c r="Q249">
        <v>4</v>
      </c>
      <c r="S249" t="s">
        <v>15</v>
      </c>
      <c r="T249" t="s">
        <v>41</v>
      </c>
      <c r="U249" s="2">
        <v>41006</v>
      </c>
      <c r="V249">
        <v>60.52</v>
      </c>
      <c r="W249">
        <v>3</v>
      </c>
      <c r="Y249" t="s">
        <v>22</v>
      </c>
      <c r="Z249" t="s">
        <v>39</v>
      </c>
      <c r="AA249" s="2">
        <v>1347480</v>
      </c>
      <c r="AB249">
        <v>14.266</v>
      </c>
      <c r="AC249">
        <v>59</v>
      </c>
      <c r="AE249" t="s">
        <v>22</v>
      </c>
      <c r="AF249" t="s">
        <v>39</v>
      </c>
      <c r="AG249" s="2">
        <v>1237196</v>
      </c>
      <c r="AH249">
        <v>9.7089999999999996</v>
      </c>
      <c r="AI249">
        <v>65</v>
      </c>
      <c r="AK249" t="s">
        <v>22</v>
      </c>
      <c r="AL249" t="s">
        <v>39</v>
      </c>
      <c r="AM249" s="2">
        <v>680824</v>
      </c>
      <c r="AN249">
        <v>6.452</v>
      </c>
      <c r="AO249">
        <v>93</v>
      </c>
    </row>
    <row r="250" spans="1:41" x14ac:dyDescent="0.2">
      <c r="A250" t="s">
        <v>15</v>
      </c>
      <c r="B250" t="s">
        <v>47</v>
      </c>
      <c r="C250" s="2">
        <v>27971</v>
      </c>
      <c r="D250">
        <v>91.37</v>
      </c>
      <c r="E250">
        <v>2</v>
      </c>
      <c r="G250" t="s">
        <v>15</v>
      </c>
      <c r="H250" t="s">
        <v>41</v>
      </c>
      <c r="I250" s="2">
        <v>58664</v>
      </c>
      <c r="J250">
        <v>60.273000000000003</v>
      </c>
      <c r="K250">
        <v>4</v>
      </c>
      <c r="M250" t="s">
        <v>15</v>
      </c>
      <c r="N250" t="s">
        <v>55</v>
      </c>
      <c r="O250" s="2">
        <v>43559176</v>
      </c>
      <c r="P250">
        <v>40.015999999999998</v>
      </c>
      <c r="Q250">
        <v>14</v>
      </c>
      <c r="S250" t="s">
        <v>15</v>
      </c>
      <c r="T250" t="s">
        <v>55</v>
      </c>
      <c r="U250" s="2">
        <v>591574</v>
      </c>
      <c r="V250">
        <v>42.487000000000002</v>
      </c>
      <c r="W250">
        <v>14</v>
      </c>
      <c r="Y250" t="s">
        <v>22</v>
      </c>
      <c r="Z250" t="s">
        <v>40</v>
      </c>
      <c r="AA250" s="2">
        <v>217934</v>
      </c>
      <c r="AB250">
        <v>26.61</v>
      </c>
      <c r="AC250">
        <v>16</v>
      </c>
      <c r="AE250" t="s">
        <v>22</v>
      </c>
      <c r="AF250" t="s">
        <v>40</v>
      </c>
      <c r="AG250" s="2">
        <v>364333</v>
      </c>
      <c r="AH250">
        <v>22.202999999999999</v>
      </c>
      <c r="AI250">
        <v>18</v>
      </c>
      <c r="AK250" t="s">
        <v>22</v>
      </c>
      <c r="AL250" t="s">
        <v>40</v>
      </c>
      <c r="AM250" s="2">
        <v>175679</v>
      </c>
      <c r="AN250">
        <v>18.155000000000001</v>
      </c>
      <c r="AO250">
        <v>24</v>
      </c>
    </row>
    <row r="251" spans="1:41" x14ac:dyDescent="0.2">
      <c r="A251" t="s">
        <v>15</v>
      </c>
      <c r="B251" t="s">
        <v>39</v>
      </c>
      <c r="C251" s="2">
        <v>1138124</v>
      </c>
      <c r="D251">
        <v>36.579000000000001</v>
      </c>
      <c r="E251">
        <v>21</v>
      </c>
      <c r="G251" t="s">
        <v>15</v>
      </c>
      <c r="H251" t="s">
        <v>55</v>
      </c>
      <c r="I251" s="2">
        <v>823459</v>
      </c>
      <c r="J251">
        <v>40.334000000000003</v>
      </c>
      <c r="K251">
        <v>16</v>
      </c>
      <c r="M251" t="s">
        <v>15</v>
      </c>
      <c r="N251" t="s">
        <v>56</v>
      </c>
      <c r="O251" s="2">
        <v>19653390</v>
      </c>
      <c r="P251">
        <v>32.619</v>
      </c>
      <c r="Q251">
        <v>17</v>
      </c>
      <c r="S251" t="s">
        <v>15</v>
      </c>
      <c r="T251" t="s">
        <v>56</v>
      </c>
      <c r="U251" s="2">
        <v>220862</v>
      </c>
      <c r="V251">
        <v>34.695</v>
      </c>
      <c r="W251">
        <v>14</v>
      </c>
      <c r="Y251" t="s">
        <v>22</v>
      </c>
      <c r="Z251" t="s">
        <v>55</v>
      </c>
      <c r="AA251" s="2">
        <v>257028</v>
      </c>
      <c r="AB251">
        <v>21.414999999999999</v>
      </c>
      <c r="AC251">
        <v>28</v>
      </c>
      <c r="AE251" t="s">
        <v>22</v>
      </c>
      <c r="AF251" t="s">
        <v>55</v>
      </c>
      <c r="AG251" s="2">
        <v>479380</v>
      </c>
      <c r="AH251">
        <v>20.986000000000001</v>
      </c>
      <c r="AI251">
        <v>29</v>
      </c>
      <c r="AK251" t="s">
        <v>22</v>
      </c>
      <c r="AL251" t="s">
        <v>55</v>
      </c>
      <c r="AM251" s="2">
        <v>334895</v>
      </c>
      <c r="AN251">
        <v>12.304</v>
      </c>
      <c r="AO251">
        <v>46</v>
      </c>
    </row>
    <row r="252" spans="1:41" x14ac:dyDescent="0.2">
      <c r="A252" t="s">
        <v>15</v>
      </c>
      <c r="B252" t="s">
        <v>40</v>
      </c>
      <c r="C252" s="2">
        <v>562721</v>
      </c>
      <c r="D252">
        <v>48.951000000000001</v>
      </c>
      <c r="E252">
        <v>8</v>
      </c>
      <c r="G252" t="s">
        <v>15</v>
      </c>
      <c r="H252" t="s">
        <v>56</v>
      </c>
      <c r="I252" s="2">
        <v>394282</v>
      </c>
      <c r="J252">
        <v>32.32</v>
      </c>
      <c r="K252">
        <v>19</v>
      </c>
      <c r="M252" t="s">
        <v>16</v>
      </c>
      <c r="N252" t="s">
        <v>39</v>
      </c>
      <c r="O252" s="2">
        <v>5365529</v>
      </c>
      <c r="P252">
        <v>104.53400000000001</v>
      </c>
      <c r="Q252">
        <v>1</v>
      </c>
      <c r="S252" t="s">
        <v>16</v>
      </c>
      <c r="T252" t="s">
        <v>39</v>
      </c>
      <c r="U252" s="2">
        <v>61689</v>
      </c>
      <c r="V252">
        <v>104.53400000000001</v>
      </c>
      <c r="W252">
        <v>1</v>
      </c>
      <c r="Y252" t="s">
        <v>34</v>
      </c>
      <c r="Z252" t="s">
        <v>55</v>
      </c>
      <c r="AA252" s="2">
        <v>24345</v>
      </c>
      <c r="AB252">
        <v>72.019000000000005</v>
      </c>
      <c r="AC252">
        <v>4</v>
      </c>
      <c r="AE252" t="s">
        <v>22</v>
      </c>
      <c r="AF252" t="s">
        <v>56</v>
      </c>
      <c r="AG252" s="2">
        <v>16432</v>
      </c>
      <c r="AH252">
        <v>75.978999999999999</v>
      </c>
      <c r="AI252">
        <v>2</v>
      </c>
      <c r="AK252" t="s">
        <v>22</v>
      </c>
      <c r="AL252" t="s">
        <v>56</v>
      </c>
      <c r="AM252" s="2">
        <v>11829</v>
      </c>
      <c r="AN252">
        <v>69.813000000000002</v>
      </c>
      <c r="AO252">
        <v>2</v>
      </c>
    </row>
    <row r="253" spans="1:41" x14ac:dyDescent="0.2">
      <c r="A253" t="s">
        <v>15</v>
      </c>
      <c r="B253" t="s">
        <v>41</v>
      </c>
      <c r="C253" s="2">
        <v>58664</v>
      </c>
      <c r="D253">
        <v>60.273000000000003</v>
      </c>
      <c r="E253">
        <v>4</v>
      </c>
      <c r="G253" t="s">
        <v>16</v>
      </c>
      <c r="H253" t="s">
        <v>39</v>
      </c>
      <c r="I253" s="2">
        <v>77265</v>
      </c>
      <c r="J253">
        <v>104.53400000000001</v>
      </c>
      <c r="K253">
        <v>1</v>
      </c>
      <c r="M253" t="s">
        <v>16</v>
      </c>
      <c r="N253" t="s">
        <v>40</v>
      </c>
      <c r="O253" s="2">
        <v>3468191</v>
      </c>
      <c r="P253">
        <v>90.525999999999996</v>
      </c>
      <c r="Q253">
        <v>4</v>
      </c>
      <c r="S253" t="s">
        <v>16</v>
      </c>
      <c r="T253" t="s">
        <v>40</v>
      </c>
      <c r="U253" s="2">
        <v>47796</v>
      </c>
      <c r="V253">
        <v>97.376000000000005</v>
      </c>
      <c r="W253">
        <v>2</v>
      </c>
      <c r="Y253" t="s">
        <v>34</v>
      </c>
      <c r="Z253" t="s">
        <v>56</v>
      </c>
      <c r="AA253" s="2">
        <v>32040</v>
      </c>
      <c r="AB253">
        <v>78.010999999999996</v>
      </c>
      <c r="AC253">
        <v>5</v>
      </c>
      <c r="AE253" t="s">
        <v>34</v>
      </c>
      <c r="AF253" t="s">
        <v>47</v>
      </c>
      <c r="AG253" s="2">
        <v>4284</v>
      </c>
      <c r="AH253">
        <v>92.787999999999997</v>
      </c>
      <c r="AI253">
        <v>1</v>
      </c>
      <c r="AK253" t="s">
        <v>34</v>
      </c>
      <c r="AL253" t="s">
        <v>47</v>
      </c>
      <c r="AM253" s="2">
        <v>14724</v>
      </c>
      <c r="AN253">
        <v>68.328000000000003</v>
      </c>
      <c r="AO253">
        <v>2</v>
      </c>
    </row>
    <row r="254" spans="1:41" x14ac:dyDescent="0.2">
      <c r="A254" t="s">
        <v>15</v>
      </c>
      <c r="B254" t="s">
        <v>55</v>
      </c>
      <c r="C254" s="2">
        <v>823459</v>
      </c>
      <c r="D254">
        <v>40.334000000000003</v>
      </c>
      <c r="E254">
        <v>16</v>
      </c>
      <c r="G254" t="s">
        <v>16</v>
      </c>
      <c r="H254" t="s">
        <v>40</v>
      </c>
      <c r="I254" s="2">
        <v>81097</v>
      </c>
      <c r="J254">
        <v>80.381</v>
      </c>
      <c r="K254">
        <v>4</v>
      </c>
      <c r="M254" t="s">
        <v>17</v>
      </c>
      <c r="N254" t="s">
        <v>54</v>
      </c>
      <c r="O254" s="2">
        <v>123971131</v>
      </c>
      <c r="P254">
        <v>20.265000000000001</v>
      </c>
      <c r="Q254">
        <v>48</v>
      </c>
      <c r="S254" t="s">
        <v>17</v>
      </c>
      <c r="T254" t="s">
        <v>54</v>
      </c>
      <c r="U254" s="2">
        <v>1731719</v>
      </c>
      <c r="V254">
        <v>21.302</v>
      </c>
      <c r="W254">
        <v>38</v>
      </c>
      <c r="Y254" t="s">
        <v>23</v>
      </c>
      <c r="Z254" t="s">
        <v>47</v>
      </c>
      <c r="AA254" s="2">
        <v>7701</v>
      </c>
      <c r="AB254">
        <v>97.128</v>
      </c>
      <c r="AC254">
        <v>1</v>
      </c>
      <c r="AE254" t="s">
        <v>34</v>
      </c>
      <c r="AF254" t="s">
        <v>41</v>
      </c>
      <c r="AG254" s="2">
        <v>1846</v>
      </c>
      <c r="AH254">
        <v>101.761</v>
      </c>
      <c r="AI254">
        <v>1</v>
      </c>
      <c r="AK254" t="s">
        <v>34</v>
      </c>
      <c r="AL254" t="s">
        <v>41</v>
      </c>
      <c r="AM254" s="2">
        <v>6221</v>
      </c>
      <c r="AN254">
        <v>100.205</v>
      </c>
      <c r="AO254">
        <v>1</v>
      </c>
    </row>
    <row r="255" spans="1:41" x14ac:dyDescent="0.2">
      <c r="A255" t="s">
        <v>15</v>
      </c>
      <c r="B255" t="s">
        <v>56</v>
      </c>
      <c r="C255" s="2">
        <v>395534</v>
      </c>
      <c r="D255">
        <v>32.213000000000001</v>
      </c>
      <c r="E255">
        <v>20</v>
      </c>
      <c r="G255" t="s">
        <v>17</v>
      </c>
      <c r="H255" t="s">
        <v>54</v>
      </c>
      <c r="I255" s="2">
        <v>2448124</v>
      </c>
      <c r="J255">
        <v>20.059999999999999</v>
      </c>
      <c r="K255">
        <v>56</v>
      </c>
      <c r="M255" t="s">
        <v>17</v>
      </c>
      <c r="N255" t="s">
        <v>46</v>
      </c>
      <c r="O255" s="2">
        <v>1137284</v>
      </c>
      <c r="P255">
        <v>98.602000000000004</v>
      </c>
      <c r="Q255">
        <v>1</v>
      </c>
      <c r="S255" t="s">
        <v>17</v>
      </c>
      <c r="T255" t="s">
        <v>46</v>
      </c>
      <c r="U255" s="2">
        <v>13742</v>
      </c>
      <c r="V255">
        <v>98.602000000000004</v>
      </c>
      <c r="W255">
        <v>1</v>
      </c>
      <c r="Y255" t="s">
        <v>23</v>
      </c>
      <c r="Z255" t="s">
        <v>39</v>
      </c>
      <c r="AA255" s="2">
        <v>32639</v>
      </c>
      <c r="AB255">
        <v>54.057000000000002</v>
      </c>
      <c r="AC255">
        <v>4</v>
      </c>
      <c r="AE255" t="s">
        <v>34</v>
      </c>
      <c r="AF255" t="s">
        <v>55</v>
      </c>
      <c r="AG255" s="2">
        <v>12995</v>
      </c>
      <c r="AH255">
        <v>48.555</v>
      </c>
      <c r="AI255">
        <v>5</v>
      </c>
      <c r="AK255" t="s">
        <v>34</v>
      </c>
      <c r="AL255" t="s">
        <v>55</v>
      </c>
      <c r="AM255" s="2">
        <v>13773</v>
      </c>
      <c r="AN255">
        <v>55.738999999999997</v>
      </c>
      <c r="AO255">
        <v>5</v>
      </c>
    </row>
    <row r="256" spans="1:41" x14ac:dyDescent="0.2">
      <c r="A256" t="s">
        <v>16</v>
      </c>
      <c r="B256" t="s">
        <v>39</v>
      </c>
      <c r="C256" s="2">
        <v>77265</v>
      </c>
      <c r="D256">
        <v>104.53400000000001</v>
      </c>
      <c r="E256">
        <v>1</v>
      </c>
      <c r="G256" t="s">
        <v>17</v>
      </c>
      <c r="H256" t="s">
        <v>46</v>
      </c>
      <c r="I256" s="2">
        <v>19032</v>
      </c>
      <c r="J256">
        <v>98.602000000000004</v>
      </c>
      <c r="K256">
        <v>1</v>
      </c>
      <c r="M256" t="s">
        <v>17</v>
      </c>
      <c r="N256" t="s">
        <v>47</v>
      </c>
      <c r="O256" s="2">
        <v>2758898</v>
      </c>
      <c r="P256">
        <v>45.362000000000002</v>
      </c>
      <c r="Q256">
        <v>8</v>
      </c>
      <c r="S256" t="s">
        <v>17</v>
      </c>
      <c r="T256" t="s">
        <v>47</v>
      </c>
      <c r="U256" s="2">
        <v>31107</v>
      </c>
      <c r="V256">
        <v>43.405999999999999</v>
      </c>
      <c r="W256">
        <v>7</v>
      </c>
      <c r="Y256" t="s">
        <v>23</v>
      </c>
      <c r="Z256" t="s">
        <v>56</v>
      </c>
      <c r="AA256" s="2">
        <v>63243</v>
      </c>
      <c r="AB256">
        <v>64.094999999999999</v>
      </c>
      <c r="AC256">
        <v>4</v>
      </c>
      <c r="AE256" t="s">
        <v>34</v>
      </c>
      <c r="AF256" t="s">
        <v>56</v>
      </c>
      <c r="AG256" s="2">
        <v>53419</v>
      </c>
      <c r="AH256">
        <v>44.262999999999998</v>
      </c>
      <c r="AI256">
        <v>5</v>
      </c>
      <c r="AK256" t="s">
        <v>34</v>
      </c>
      <c r="AL256" t="s">
        <v>56</v>
      </c>
      <c r="AM256" s="2">
        <v>41163</v>
      </c>
      <c r="AN256">
        <v>37.527000000000001</v>
      </c>
      <c r="AO256">
        <v>6</v>
      </c>
    </row>
    <row r="257" spans="1:41" x14ac:dyDescent="0.2">
      <c r="A257" t="s">
        <v>16</v>
      </c>
      <c r="B257" t="s">
        <v>40</v>
      </c>
      <c r="C257" s="2">
        <v>81097</v>
      </c>
      <c r="D257">
        <v>80.381</v>
      </c>
      <c r="E257">
        <v>4</v>
      </c>
      <c r="G257" t="s">
        <v>17</v>
      </c>
      <c r="H257" t="s">
        <v>47</v>
      </c>
      <c r="I257" s="2">
        <v>55614</v>
      </c>
      <c r="J257">
        <v>43.613</v>
      </c>
      <c r="K257">
        <v>8</v>
      </c>
      <c r="M257" t="s">
        <v>17</v>
      </c>
      <c r="N257" t="s">
        <v>39</v>
      </c>
      <c r="O257" s="2">
        <v>314671246</v>
      </c>
      <c r="P257">
        <v>14.037000000000001</v>
      </c>
      <c r="Q257">
        <v>89</v>
      </c>
      <c r="S257" t="s">
        <v>17</v>
      </c>
      <c r="T257" t="s">
        <v>39</v>
      </c>
      <c r="U257" s="2">
        <v>4349988</v>
      </c>
      <c r="V257">
        <v>14.706</v>
      </c>
      <c r="W257">
        <v>73</v>
      </c>
      <c r="Y257" t="s">
        <v>14</v>
      </c>
      <c r="Z257" t="s">
        <v>54</v>
      </c>
      <c r="AA257" s="2">
        <v>72937</v>
      </c>
      <c r="AB257">
        <v>48.238999999999997</v>
      </c>
      <c r="AC257">
        <v>9</v>
      </c>
      <c r="AE257" t="s">
        <v>23</v>
      </c>
      <c r="AF257" t="s">
        <v>35</v>
      </c>
      <c r="AG257" s="2">
        <v>17800</v>
      </c>
      <c r="AH257">
        <v>92.787999999999997</v>
      </c>
      <c r="AI257">
        <v>1</v>
      </c>
      <c r="AK257" t="s">
        <v>23</v>
      </c>
      <c r="AL257" t="s">
        <v>54</v>
      </c>
      <c r="AM257" s="2">
        <v>4523</v>
      </c>
      <c r="AN257">
        <v>99.5</v>
      </c>
      <c r="AO257">
        <v>1</v>
      </c>
    </row>
    <row r="258" spans="1:41" x14ac:dyDescent="0.2">
      <c r="A258" t="s">
        <v>17</v>
      </c>
      <c r="B258" t="s">
        <v>54</v>
      </c>
      <c r="C258" s="2">
        <v>2574363</v>
      </c>
      <c r="D258">
        <v>19.36</v>
      </c>
      <c r="E258">
        <v>58</v>
      </c>
      <c r="G258" t="s">
        <v>17</v>
      </c>
      <c r="H258" t="s">
        <v>39</v>
      </c>
      <c r="I258" s="2">
        <v>5997348</v>
      </c>
      <c r="J258">
        <v>13.84</v>
      </c>
      <c r="K258">
        <v>101</v>
      </c>
      <c r="M258" t="s">
        <v>17</v>
      </c>
      <c r="N258" t="s">
        <v>40</v>
      </c>
      <c r="O258" s="2">
        <v>174553906</v>
      </c>
      <c r="P258">
        <v>16.667000000000002</v>
      </c>
      <c r="Q258">
        <v>50</v>
      </c>
      <c r="S258" t="s">
        <v>17</v>
      </c>
      <c r="T258" t="s">
        <v>40</v>
      </c>
      <c r="U258" s="2">
        <v>2522844</v>
      </c>
      <c r="V258">
        <v>17.024999999999999</v>
      </c>
      <c r="W258">
        <v>44</v>
      </c>
      <c r="Y258" t="s">
        <v>14</v>
      </c>
      <c r="Z258" t="s">
        <v>55</v>
      </c>
      <c r="AA258" s="2">
        <v>4521</v>
      </c>
      <c r="AB258">
        <v>140.42099999999999</v>
      </c>
      <c r="AC258">
        <v>1</v>
      </c>
      <c r="AE258" t="s">
        <v>23</v>
      </c>
      <c r="AF258" t="s">
        <v>47</v>
      </c>
      <c r="AG258" s="2">
        <v>6835</v>
      </c>
      <c r="AH258">
        <v>72.161000000000001</v>
      </c>
      <c r="AI258">
        <v>2</v>
      </c>
      <c r="AK258" t="s">
        <v>23</v>
      </c>
      <c r="AL258" t="s">
        <v>35</v>
      </c>
      <c r="AM258" s="2">
        <v>4589</v>
      </c>
      <c r="AN258">
        <v>99.5</v>
      </c>
      <c r="AO258">
        <v>1</v>
      </c>
    </row>
    <row r="259" spans="1:41" x14ac:dyDescent="0.2">
      <c r="A259" t="s">
        <v>17</v>
      </c>
      <c r="B259" t="s">
        <v>46</v>
      </c>
      <c r="C259" s="2">
        <v>19032</v>
      </c>
      <c r="D259">
        <v>98.602000000000004</v>
      </c>
      <c r="E259">
        <v>1</v>
      </c>
      <c r="G259" t="s">
        <v>17</v>
      </c>
      <c r="H259" t="s">
        <v>40</v>
      </c>
      <c r="I259" s="2">
        <v>3429474</v>
      </c>
      <c r="J259">
        <v>16.446999999999999</v>
      </c>
      <c r="K259">
        <v>56</v>
      </c>
      <c r="M259" t="s">
        <v>17</v>
      </c>
      <c r="N259" t="s">
        <v>41</v>
      </c>
      <c r="O259" s="2">
        <v>46703737</v>
      </c>
      <c r="P259">
        <v>24.062000000000001</v>
      </c>
      <c r="Q259">
        <v>34</v>
      </c>
      <c r="S259" t="s">
        <v>17</v>
      </c>
      <c r="T259" t="s">
        <v>41</v>
      </c>
      <c r="U259" s="2">
        <v>657865</v>
      </c>
      <c r="V259">
        <v>25.093</v>
      </c>
      <c r="W259">
        <v>26</v>
      </c>
      <c r="Y259" t="s">
        <v>24</v>
      </c>
      <c r="Z259" t="s">
        <v>54</v>
      </c>
      <c r="AA259" s="2">
        <v>18706</v>
      </c>
      <c r="AB259">
        <v>94.856999999999999</v>
      </c>
      <c r="AC259">
        <v>1</v>
      </c>
      <c r="AE259" t="s">
        <v>23</v>
      </c>
      <c r="AF259" t="s">
        <v>39</v>
      </c>
      <c r="AG259" s="2">
        <v>131209</v>
      </c>
      <c r="AH259">
        <v>50.29</v>
      </c>
      <c r="AI259">
        <v>5</v>
      </c>
      <c r="AK259" t="s">
        <v>23</v>
      </c>
      <c r="AL259" t="s">
        <v>47</v>
      </c>
      <c r="AM259" s="2">
        <v>10000</v>
      </c>
      <c r="AN259">
        <v>77.463999999999999</v>
      </c>
      <c r="AO259">
        <v>2</v>
      </c>
    </row>
    <row r="260" spans="1:41" x14ac:dyDescent="0.2">
      <c r="A260" t="s">
        <v>17</v>
      </c>
      <c r="B260" t="s">
        <v>47</v>
      </c>
      <c r="C260" s="2">
        <v>55614</v>
      </c>
      <c r="D260">
        <v>43.613</v>
      </c>
      <c r="E260">
        <v>8</v>
      </c>
      <c r="G260" t="s">
        <v>17</v>
      </c>
      <c r="H260" t="s">
        <v>41</v>
      </c>
      <c r="I260" s="2">
        <v>879061</v>
      </c>
      <c r="J260">
        <v>24.283000000000001</v>
      </c>
      <c r="K260">
        <v>34</v>
      </c>
      <c r="M260" t="s">
        <v>17</v>
      </c>
      <c r="N260" t="s">
        <v>55</v>
      </c>
      <c r="O260" s="2">
        <v>50254645</v>
      </c>
      <c r="P260">
        <v>34.273000000000003</v>
      </c>
      <c r="Q260">
        <v>17</v>
      </c>
      <c r="S260" t="s">
        <v>17</v>
      </c>
      <c r="T260" t="s">
        <v>55</v>
      </c>
      <c r="U260" s="2">
        <v>590530</v>
      </c>
      <c r="V260">
        <v>34.079000000000001</v>
      </c>
      <c r="W260">
        <v>14</v>
      </c>
      <c r="Y260" t="s">
        <v>24</v>
      </c>
      <c r="Z260" t="s">
        <v>39</v>
      </c>
      <c r="AA260" s="2">
        <v>65601</v>
      </c>
      <c r="AB260">
        <v>54.030999999999999</v>
      </c>
      <c r="AC260">
        <v>3</v>
      </c>
      <c r="AE260" t="s">
        <v>23</v>
      </c>
      <c r="AF260" t="s">
        <v>41</v>
      </c>
      <c r="AG260" s="2">
        <v>13607</v>
      </c>
      <c r="AH260">
        <v>97.128</v>
      </c>
      <c r="AI260">
        <v>1</v>
      </c>
      <c r="AK260" t="s">
        <v>23</v>
      </c>
      <c r="AL260" t="s">
        <v>39</v>
      </c>
      <c r="AM260" s="2">
        <v>28194</v>
      </c>
      <c r="AN260">
        <v>46.914000000000001</v>
      </c>
      <c r="AO260">
        <v>5</v>
      </c>
    </row>
    <row r="261" spans="1:41" x14ac:dyDescent="0.2">
      <c r="A261" t="s">
        <v>17</v>
      </c>
      <c r="B261" t="s">
        <v>39</v>
      </c>
      <c r="C261" s="2">
        <v>6017318</v>
      </c>
      <c r="D261">
        <v>13.795999999999999</v>
      </c>
      <c r="E261">
        <v>103</v>
      </c>
      <c r="G261" t="s">
        <v>17</v>
      </c>
      <c r="H261" t="s">
        <v>55</v>
      </c>
      <c r="I261" s="2">
        <v>895749</v>
      </c>
      <c r="J261">
        <v>32.658999999999999</v>
      </c>
      <c r="K261">
        <v>20</v>
      </c>
      <c r="M261" t="s">
        <v>17</v>
      </c>
      <c r="N261" t="s">
        <v>45</v>
      </c>
      <c r="O261" s="2">
        <v>142837</v>
      </c>
      <c r="P261">
        <v>104.53400000000001</v>
      </c>
      <c r="Q261">
        <v>1</v>
      </c>
      <c r="S261" t="s">
        <v>17</v>
      </c>
      <c r="T261" t="s">
        <v>45</v>
      </c>
      <c r="U261" s="2">
        <v>1974</v>
      </c>
      <c r="V261">
        <v>104.53400000000001</v>
      </c>
      <c r="W261">
        <v>1</v>
      </c>
      <c r="Y261" t="s">
        <v>24</v>
      </c>
      <c r="Z261" t="s">
        <v>40</v>
      </c>
      <c r="AA261" s="2">
        <v>1540</v>
      </c>
      <c r="AB261">
        <v>91.597999999999999</v>
      </c>
      <c r="AC261">
        <v>1</v>
      </c>
      <c r="AE261" t="s">
        <v>23</v>
      </c>
      <c r="AF261" t="s">
        <v>56</v>
      </c>
      <c r="AG261" s="2">
        <v>105657</v>
      </c>
      <c r="AH261">
        <v>39.569000000000003</v>
      </c>
      <c r="AI261">
        <v>5</v>
      </c>
      <c r="AK261" t="s">
        <v>23</v>
      </c>
      <c r="AL261" t="s">
        <v>40</v>
      </c>
      <c r="AM261" s="2">
        <v>2316</v>
      </c>
      <c r="AN261">
        <v>99.5</v>
      </c>
      <c r="AO261">
        <v>1</v>
      </c>
    </row>
    <row r="262" spans="1:41" x14ac:dyDescent="0.2">
      <c r="A262" t="s">
        <v>17</v>
      </c>
      <c r="B262" t="s">
        <v>40</v>
      </c>
      <c r="C262" s="2">
        <v>3506193</v>
      </c>
      <c r="D262">
        <v>16.341000000000001</v>
      </c>
      <c r="E262">
        <v>57</v>
      </c>
      <c r="G262" t="s">
        <v>17</v>
      </c>
      <c r="H262" t="s">
        <v>45</v>
      </c>
      <c r="I262" s="2">
        <v>2441</v>
      </c>
      <c r="J262">
        <v>104.53400000000001</v>
      </c>
      <c r="K262">
        <v>1</v>
      </c>
      <c r="M262" t="s">
        <v>17</v>
      </c>
      <c r="N262" t="s">
        <v>56</v>
      </c>
      <c r="O262" s="2">
        <v>63966784</v>
      </c>
      <c r="P262">
        <v>15.484999999999999</v>
      </c>
      <c r="Q262">
        <v>63</v>
      </c>
      <c r="S262" t="s">
        <v>17</v>
      </c>
      <c r="T262" t="s">
        <v>56</v>
      </c>
      <c r="U262" s="2">
        <v>830423</v>
      </c>
      <c r="V262">
        <v>16.219000000000001</v>
      </c>
      <c r="W262">
        <v>53</v>
      </c>
      <c r="Y262" t="s">
        <v>15</v>
      </c>
      <c r="Z262" t="s">
        <v>54</v>
      </c>
      <c r="AA262" s="2">
        <v>288777</v>
      </c>
      <c r="AB262">
        <v>27.774000000000001</v>
      </c>
      <c r="AC262">
        <v>36</v>
      </c>
      <c r="AE262" t="s">
        <v>14</v>
      </c>
      <c r="AF262" t="s">
        <v>54</v>
      </c>
      <c r="AG262" s="2">
        <v>293302</v>
      </c>
      <c r="AH262">
        <v>30.245000000000001</v>
      </c>
      <c r="AI262">
        <v>10</v>
      </c>
      <c r="AK262" t="s">
        <v>23</v>
      </c>
      <c r="AL262" t="s">
        <v>41</v>
      </c>
      <c r="AM262" s="2">
        <v>2987</v>
      </c>
      <c r="AN262">
        <v>93.971000000000004</v>
      </c>
      <c r="AO262">
        <v>1</v>
      </c>
    </row>
    <row r="263" spans="1:41" x14ac:dyDescent="0.2">
      <c r="A263" t="s">
        <v>17</v>
      </c>
      <c r="B263" t="s">
        <v>41</v>
      </c>
      <c r="C263" s="2">
        <v>879061</v>
      </c>
      <c r="D263">
        <v>24.283000000000001</v>
      </c>
      <c r="E263">
        <v>34</v>
      </c>
      <c r="G263" t="s">
        <v>17</v>
      </c>
      <c r="H263" t="s">
        <v>56</v>
      </c>
      <c r="I263" s="2">
        <v>1207764</v>
      </c>
      <c r="J263">
        <v>15.29</v>
      </c>
      <c r="K263">
        <v>70</v>
      </c>
      <c r="Y263" t="s">
        <v>15</v>
      </c>
      <c r="Z263" t="s">
        <v>46</v>
      </c>
      <c r="AA263" s="2">
        <v>4403</v>
      </c>
      <c r="AB263">
        <v>46.530999999999999</v>
      </c>
      <c r="AC263">
        <v>2</v>
      </c>
      <c r="AE263" t="s">
        <v>14</v>
      </c>
      <c r="AF263" t="s">
        <v>55</v>
      </c>
      <c r="AG263" s="2">
        <v>25844</v>
      </c>
      <c r="AH263">
        <v>140.42099999999999</v>
      </c>
      <c r="AI263">
        <v>1</v>
      </c>
      <c r="AK263" t="s">
        <v>23</v>
      </c>
      <c r="AL263" t="s">
        <v>56</v>
      </c>
      <c r="AM263" s="2">
        <v>52934</v>
      </c>
      <c r="AN263">
        <v>32.761000000000003</v>
      </c>
      <c r="AO263">
        <v>8</v>
      </c>
    </row>
    <row r="264" spans="1:41" x14ac:dyDescent="0.2">
      <c r="A264" t="s">
        <v>17</v>
      </c>
      <c r="B264" t="s">
        <v>55</v>
      </c>
      <c r="C264" s="2">
        <v>895749</v>
      </c>
      <c r="D264">
        <v>32.658999999999999</v>
      </c>
      <c r="E264">
        <v>20</v>
      </c>
      <c r="Y264" t="s">
        <v>15</v>
      </c>
      <c r="Z264" t="s">
        <v>47</v>
      </c>
      <c r="AA264" s="2">
        <v>63613</v>
      </c>
      <c r="AB264">
        <v>56.912999999999997</v>
      </c>
      <c r="AC264">
        <v>5</v>
      </c>
      <c r="AE264" t="s">
        <v>24</v>
      </c>
      <c r="AF264" t="s">
        <v>54</v>
      </c>
      <c r="AG264" s="2">
        <v>63305</v>
      </c>
      <c r="AH264">
        <v>70.965999999999994</v>
      </c>
      <c r="AI264">
        <v>2</v>
      </c>
      <c r="AK264" t="s">
        <v>14</v>
      </c>
      <c r="AL264" t="s">
        <v>54</v>
      </c>
      <c r="AM264" s="2">
        <v>55002</v>
      </c>
      <c r="AN264">
        <v>32.46</v>
      </c>
      <c r="AO264">
        <v>11</v>
      </c>
    </row>
    <row r="265" spans="1:41" x14ac:dyDescent="0.2">
      <c r="A265" t="s">
        <v>17</v>
      </c>
      <c r="B265" t="s">
        <v>45</v>
      </c>
      <c r="C265" s="2">
        <v>2441</v>
      </c>
      <c r="D265">
        <v>104.53400000000001</v>
      </c>
      <c r="E265">
        <v>1</v>
      </c>
      <c r="Y265" t="s">
        <v>15</v>
      </c>
      <c r="Z265" t="s">
        <v>39</v>
      </c>
      <c r="AA265" s="2">
        <v>690854</v>
      </c>
      <c r="AB265">
        <v>18.324000000000002</v>
      </c>
      <c r="AC265">
        <v>72</v>
      </c>
      <c r="AE265" t="s">
        <v>24</v>
      </c>
      <c r="AF265" t="s">
        <v>39</v>
      </c>
      <c r="AG265" s="2">
        <v>-14411</v>
      </c>
      <c r="AH265">
        <v>204.691</v>
      </c>
      <c r="AI265">
        <v>3</v>
      </c>
      <c r="AK265" t="s">
        <v>14</v>
      </c>
      <c r="AL265" t="s">
        <v>55</v>
      </c>
      <c r="AM265" s="2">
        <v>7576</v>
      </c>
      <c r="AN265">
        <v>83.668999999999997</v>
      </c>
      <c r="AO265">
        <v>2</v>
      </c>
    </row>
    <row r="266" spans="1:41" x14ac:dyDescent="0.2">
      <c r="A266" t="s">
        <v>17</v>
      </c>
      <c r="B266" t="s">
        <v>56</v>
      </c>
      <c r="C266" s="2">
        <v>1219827</v>
      </c>
      <c r="D266">
        <v>15.146000000000001</v>
      </c>
      <c r="E266">
        <v>75</v>
      </c>
      <c r="Y266" t="s">
        <v>15</v>
      </c>
      <c r="Z266" t="s">
        <v>40</v>
      </c>
      <c r="AA266" s="2">
        <v>327389</v>
      </c>
      <c r="AB266">
        <v>26.099</v>
      </c>
      <c r="AC266">
        <v>40</v>
      </c>
      <c r="AE266" t="s">
        <v>24</v>
      </c>
      <c r="AF266" t="s">
        <v>40</v>
      </c>
      <c r="AG266" s="2">
        <v>3037</v>
      </c>
      <c r="AH266">
        <v>91.597999999999999</v>
      </c>
      <c r="AI266">
        <v>1</v>
      </c>
      <c r="AK266" t="s">
        <v>24</v>
      </c>
      <c r="AL266" t="s">
        <v>54</v>
      </c>
      <c r="AM266" s="2">
        <v>18052</v>
      </c>
      <c r="AN266">
        <v>58.472999999999999</v>
      </c>
      <c r="AO266">
        <v>3</v>
      </c>
    </row>
    <row r="267" spans="1:41" x14ac:dyDescent="0.2">
      <c r="Y267" t="s">
        <v>15</v>
      </c>
      <c r="Z267" t="s">
        <v>41</v>
      </c>
      <c r="AA267" s="2">
        <v>172081</v>
      </c>
      <c r="AB267">
        <v>33.999000000000002</v>
      </c>
      <c r="AC267">
        <v>29</v>
      </c>
      <c r="AE267" t="s">
        <v>15</v>
      </c>
      <c r="AF267" t="s">
        <v>54</v>
      </c>
      <c r="AG267" s="2">
        <v>985701</v>
      </c>
      <c r="AH267">
        <v>15.944000000000001</v>
      </c>
      <c r="AI267">
        <v>46</v>
      </c>
      <c r="AK267" t="s">
        <v>24</v>
      </c>
      <c r="AL267" t="s">
        <v>39</v>
      </c>
      <c r="AM267" s="2">
        <v>33502</v>
      </c>
      <c r="AN267">
        <v>44.491999999999997</v>
      </c>
      <c r="AO267">
        <v>3</v>
      </c>
    </row>
    <row r="268" spans="1:41" x14ac:dyDescent="0.2">
      <c r="Y268" t="s">
        <v>15</v>
      </c>
      <c r="Z268" t="s">
        <v>55</v>
      </c>
      <c r="AA268" s="2">
        <v>589748</v>
      </c>
      <c r="AB268">
        <v>18.885999999999999</v>
      </c>
      <c r="AC268">
        <v>65</v>
      </c>
      <c r="AE268" t="s">
        <v>15</v>
      </c>
      <c r="AF268" t="s">
        <v>35</v>
      </c>
      <c r="AG268" s="2">
        <v>15189</v>
      </c>
      <c r="AH268">
        <v>84.471999999999994</v>
      </c>
      <c r="AI268">
        <v>1</v>
      </c>
      <c r="AK268" t="s">
        <v>24</v>
      </c>
      <c r="AL268" t="s">
        <v>40</v>
      </c>
      <c r="AM268" s="2">
        <v>3686</v>
      </c>
      <c r="AN268">
        <v>102.393</v>
      </c>
      <c r="AO268">
        <v>1</v>
      </c>
    </row>
    <row r="269" spans="1:41" x14ac:dyDescent="0.2">
      <c r="Y269" t="s">
        <v>15</v>
      </c>
      <c r="Z269" t="s">
        <v>56</v>
      </c>
      <c r="AA269" s="2">
        <v>113408</v>
      </c>
      <c r="AB269">
        <v>42.445999999999998</v>
      </c>
      <c r="AC269">
        <v>25</v>
      </c>
      <c r="AE269" t="s">
        <v>15</v>
      </c>
      <c r="AF269" t="s">
        <v>46</v>
      </c>
      <c r="AG269" s="2">
        <v>5173</v>
      </c>
      <c r="AH269">
        <v>72.254000000000005</v>
      </c>
      <c r="AI269">
        <v>3</v>
      </c>
      <c r="AK269" t="s">
        <v>15</v>
      </c>
      <c r="AL269" t="s">
        <v>54</v>
      </c>
      <c r="AM269" s="2">
        <v>302882</v>
      </c>
      <c r="AN269">
        <v>13.381</v>
      </c>
      <c r="AO269">
        <v>60</v>
      </c>
    </row>
    <row r="270" spans="1:41" x14ac:dyDescent="0.2">
      <c r="Y270" t="s">
        <v>16</v>
      </c>
      <c r="Z270" t="s">
        <v>54</v>
      </c>
      <c r="AA270" s="2">
        <v>57628</v>
      </c>
      <c r="AB270">
        <v>41.67</v>
      </c>
      <c r="AC270">
        <v>12</v>
      </c>
      <c r="AE270" t="s">
        <v>15</v>
      </c>
      <c r="AF270" t="s">
        <v>47</v>
      </c>
      <c r="AG270" s="2">
        <v>59641</v>
      </c>
      <c r="AH270">
        <v>37.186</v>
      </c>
      <c r="AI270">
        <v>10</v>
      </c>
      <c r="AK270" t="s">
        <v>15</v>
      </c>
      <c r="AL270" t="s">
        <v>35</v>
      </c>
      <c r="AM270" s="2">
        <v>1958</v>
      </c>
      <c r="AN270">
        <v>87.832999999999998</v>
      </c>
      <c r="AO270">
        <v>1</v>
      </c>
    </row>
    <row r="271" spans="1:41" x14ac:dyDescent="0.2">
      <c r="Y271" t="s">
        <v>16</v>
      </c>
      <c r="Z271" t="s">
        <v>39</v>
      </c>
      <c r="AA271" s="2">
        <v>16712</v>
      </c>
      <c r="AB271">
        <v>87.831999999999994</v>
      </c>
      <c r="AC271">
        <v>3</v>
      </c>
      <c r="AE271" t="s">
        <v>15</v>
      </c>
      <c r="AF271" t="s">
        <v>39</v>
      </c>
      <c r="AG271" s="2">
        <v>2444319</v>
      </c>
      <c r="AH271">
        <v>10.509</v>
      </c>
      <c r="AI271">
        <v>99</v>
      </c>
      <c r="AK271" t="s">
        <v>15</v>
      </c>
      <c r="AL271" t="s">
        <v>46</v>
      </c>
      <c r="AM271" s="2">
        <v>6363</v>
      </c>
      <c r="AN271">
        <v>58.488999999999997</v>
      </c>
      <c r="AO271">
        <v>3</v>
      </c>
    </row>
    <row r="272" spans="1:41" x14ac:dyDescent="0.2">
      <c r="Y272" t="s">
        <v>16</v>
      </c>
      <c r="Z272" t="s">
        <v>40</v>
      </c>
      <c r="AA272" s="2">
        <v>234662</v>
      </c>
      <c r="AB272">
        <v>32.052999999999997</v>
      </c>
      <c r="AC272">
        <v>18</v>
      </c>
      <c r="AE272" t="s">
        <v>15</v>
      </c>
      <c r="AF272" t="s">
        <v>40</v>
      </c>
      <c r="AG272" s="2">
        <v>1414550</v>
      </c>
      <c r="AH272">
        <v>14.847</v>
      </c>
      <c r="AI272">
        <v>55</v>
      </c>
      <c r="AK272" t="s">
        <v>15</v>
      </c>
      <c r="AL272" t="s">
        <v>47</v>
      </c>
      <c r="AM272" s="2">
        <v>49067</v>
      </c>
      <c r="AN272">
        <v>31.863</v>
      </c>
      <c r="AO272">
        <v>13</v>
      </c>
    </row>
    <row r="273" spans="25:41" x14ac:dyDescent="0.2">
      <c r="Y273" t="s">
        <v>16</v>
      </c>
      <c r="Z273" t="s">
        <v>41</v>
      </c>
      <c r="AA273" s="2">
        <v>40508</v>
      </c>
      <c r="AB273">
        <v>64.741</v>
      </c>
      <c r="AC273">
        <v>3</v>
      </c>
      <c r="AE273" t="s">
        <v>15</v>
      </c>
      <c r="AF273" t="s">
        <v>41</v>
      </c>
      <c r="AG273" s="2">
        <v>384959</v>
      </c>
      <c r="AH273">
        <v>20.821000000000002</v>
      </c>
      <c r="AI273">
        <v>49</v>
      </c>
      <c r="AK273" t="s">
        <v>15</v>
      </c>
      <c r="AL273" t="s">
        <v>39</v>
      </c>
      <c r="AM273" s="2">
        <v>571713</v>
      </c>
      <c r="AN273">
        <v>9.0950000000000006</v>
      </c>
      <c r="AO273">
        <v>111</v>
      </c>
    </row>
    <row r="274" spans="25:41" x14ac:dyDescent="0.2">
      <c r="Y274" t="s">
        <v>16</v>
      </c>
      <c r="Z274" t="s">
        <v>55</v>
      </c>
      <c r="AA274" s="2">
        <v>9966</v>
      </c>
      <c r="AB274">
        <v>79.552000000000007</v>
      </c>
      <c r="AC274">
        <v>2</v>
      </c>
      <c r="AE274" t="s">
        <v>15</v>
      </c>
      <c r="AF274" t="s">
        <v>55</v>
      </c>
      <c r="AG274" s="2">
        <v>1198409</v>
      </c>
      <c r="AH274">
        <v>14.196999999999999</v>
      </c>
      <c r="AI274">
        <v>85</v>
      </c>
      <c r="AK274" t="s">
        <v>15</v>
      </c>
      <c r="AL274" t="s">
        <v>40</v>
      </c>
      <c r="AM274" s="2">
        <v>382946</v>
      </c>
      <c r="AN274">
        <v>11.909000000000001</v>
      </c>
      <c r="AO274">
        <v>69</v>
      </c>
    </row>
    <row r="275" spans="25:41" x14ac:dyDescent="0.2">
      <c r="Y275" t="s">
        <v>16</v>
      </c>
      <c r="Z275" t="s">
        <v>56</v>
      </c>
      <c r="AA275" s="2">
        <v>2603</v>
      </c>
      <c r="AB275">
        <v>82.007999999999996</v>
      </c>
      <c r="AC275">
        <v>2</v>
      </c>
      <c r="AE275" t="s">
        <v>15</v>
      </c>
      <c r="AF275" t="s">
        <v>45</v>
      </c>
      <c r="AG275" s="2">
        <v>30748</v>
      </c>
      <c r="AH275">
        <v>78.281000000000006</v>
      </c>
      <c r="AI275">
        <v>1</v>
      </c>
      <c r="AK275" t="s">
        <v>15</v>
      </c>
      <c r="AL275" t="s">
        <v>41</v>
      </c>
      <c r="AM275" s="2">
        <v>356374</v>
      </c>
      <c r="AN275">
        <v>12.321999999999999</v>
      </c>
      <c r="AO275">
        <v>64</v>
      </c>
    </row>
    <row r="276" spans="25:41" x14ac:dyDescent="0.2">
      <c r="Y276" t="s">
        <v>57</v>
      </c>
      <c r="Z276" t="s">
        <v>40</v>
      </c>
      <c r="AA276" s="2">
        <v>1476</v>
      </c>
      <c r="AB276">
        <v>107.795</v>
      </c>
      <c r="AC276">
        <v>1</v>
      </c>
      <c r="AE276" t="s">
        <v>15</v>
      </c>
      <c r="AF276" t="s">
        <v>56</v>
      </c>
      <c r="AG276" s="2">
        <v>269851</v>
      </c>
      <c r="AH276">
        <v>18.495999999999999</v>
      </c>
      <c r="AI276">
        <v>44</v>
      </c>
      <c r="AK276" t="s">
        <v>15</v>
      </c>
      <c r="AL276" t="s">
        <v>55</v>
      </c>
      <c r="AM276" s="2">
        <v>573121</v>
      </c>
      <c r="AN276">
        <v>9.4350000000000005</v>
      </c>
      <c r="AO276">
        <v>109</v>
      </c>
    </row>
    <row r="277" spans="25:41" x14ac:dyDescent="0.2">
      <c r="Y277" t="s">
        <v>17</v>
      </c>
      <c r="Z277" t="s">
        <v>54</v>
      </c>
      <c r="AA277" s="2">
        <v>751443</v>
      </c>
      <c r="AB277">
        <v>15.798999999999999</v>
      </c>
      <c r="AC277">
        <v>109</v>
      </c>
      <c r="AE277" t="s">
        <v>16</v>
      </c>
      <c r="AF277" t="s">
        <v>54</v>
      </c>
      <c r="AG277" s="2">
        <v>295819</v>
      </c>
      <c r="AH277">
        <v>29.771000000000001</v>
      </c>
      <c r="AI277">
        <v>16</v>
      </c>
      <c r="AK277" t="s">
        <v>15</v>
      </c>
      <c r="AL277" t="s">
        <v>45</v>
      </c>
      <c r="AM277" s="2">
        <v>10983</v>
      </c>
      <c r="AN277">
        <v>71.584999999999994</v>
      </c>
      <c r="AO277">
        <v>2</v>
      </c>
    </row>
    <row r="278" spans="25:41" x14ac:dyDescent="0.2">
      <c r="Y278" t="s">
        <v>17</v>
      </c>
      <c r="Z278" t="s">
        <v>35</v>
      </c>
      <c r="AA278" s="2">
        <v>10665</v>
      </c>
      <c r="AB278">
        <v>79.849000000000004</v>
      </c>
      <c r="AC278">
        <v>4</v>
      </c>
      <c r="AE278" t="s">
        <v>16</v>
      </c>
      <c r="AF278" t="s">
        <v>39</v>
      </c>
      <c r="AG278" s="2">
        <v>73403</v>
      </c>
      <c r="AH278">
        <v>55.311</v>
      </c>
      <c r="AI278">
        <v>4</v>
      </c>
      <c r="AK278" t="s">
        <v>15</v>
      </c>
      <c r="AL278" t="s">
        <v>56</v>
      </c>
      <c r="AM278" s="2">
        <v>295496</v>
      </c>
      <c r="AN278">
        <v>13.46</v>
      </c>
      <c r="AO278">
        <v>54</v>
      </c>
    </row>
    <row r="279" spans="25:41" x14ac:dyDescent="0.2">
      <c r="Y279" t="s">
        <v>17</v>
      </c>
      <c r="Z279" t="s">
        <v>46</v>
      </c>
      <c r="AA279" s="2">
        <v>14274</v>
      </c>
      <c r="AB279">
        <v>64.263000000000005</v>
      </c>
      <c r="AC279">
        <v>3</v>
      </c>
      <c r="AE279" t="s">
        <v>16</v>
      </c>
      <c r="AF279" t="s">
        <v>40</v>
      </c>
      <c r="AG279" s="2">
        <v>483829</v>
      </c>
      <c r="AH279">
        <v>24.870999999999999</v>
      </c>
      <c r="AI279">
        <v>22</v>
      </c>
      <c r="AK279" t="s">
        <v>16</v>
      </c>
      <c r="AL279" t="s">
        <v>54</v>
      </c>
      <c r="AM279" s="2">
        <v>140020</v>
      </c>
      <c r="AN279">
        <v>19.731000000000002</v>
      </c>
      <c r="AO279">
        <v>28</v>
      </c>
    </row>
    <row r="280" spans="25:41" x14ac:dyDescent="0.2">
      <c r="Y280" t="s">
        <v>17</v>
      </c>
      <c r="Z280" t="s">
        <v>47</v>
      </c>
      <c r="AA280" s="2">
        <v>95831</v>
      </c>
      <c r="AB280">
        <v>35.996000000000002</v>
      </c>
      <c r="AC280">
        <v>19</v>
      </c>
      <c r="AE280" t="s">
        <v>16</v>
      </c>
      <c r="AF280" t="s">
        <v>41</v>
      </c>
      <c r="AG280" s="2">
        <v>31747</v>
      </c>
      <c r="AH280">
        <v>67.554000000000002</v>
      </c>
      <c r="AI280">
        <v>3</v>
      </c>
      <c r="AK280" t="s">
        <v>16</v>
      </c>
      <c r="AL280" t="s">
        <v>35</v>
      </c>
      <c r="AM280" s="2">
        <v>4685</v>
      </c>
      <c r="AN280">
        <v>118.24</v>
      </c>
      <c r="AO280">
        <v>1</v>
      </c>
    </row>
    <row r="281" spans="25:41" x14ac:dyDescent="0.2">
      <c r="Y281" t="s">
        <v>17</v>
      </c>
      <c r="Z281" t="s">
        <v>39</v>
      </c>
      <c r="AA281" s="2">
        <v>1178995</v>
      </c>
      <c r="AB281">
        <v>11.493</v>
      </c>
      <c r="AC281">
        <v>192</v>
      </c>
      <c r="AE281" t="s">
        <v>16</v>
      </c>
      <c r="AF281" t="s">
        <v>55</v>
      </c>
      <c r="AG281" s="2">
        <v>39581</v>
      </c>
      <c r="AH281">
        <v>78.972999999999999</v>
      </c>
      <c r="AI281">
        <v>2</v>
      </c>
      <c r="AK281" t="s">
        <v>16</v>
      </c>
      <c r="AL281" t="s">
        <v>39</v>
      </c>
      <c r="AM281" s="2">
        <v>57390</v>
      </c>
      <c r="AN281">
        <v>32.514000000000003</v>
      </c>
      <c r="AO281">
        <v>9</v>
      </c>
    </row>
    <row r="282" spans="25:41" x14ac:dyDescent="0.2">
      <c r="Y282" t="s">
        <v>17</v>
      </c>
      <c r="Z282" t="s">
        <v>40</v>
      </c>
      <c r="AA282" s="2">
        <v>590067</v>
      </c>
      <c r="AB282">
        <v>14.41</v>
      </c>
      <c r="AC282">
        <v>102</v>
      </c>
      <c r="AE282" t="s">
        <v>16</v>
      </c>
      <c r="AF282" t="s">
        <v>56</v>
      </c>
      <c r="AG282" s="2">
        <v>50738</v>
      </c>
      <c r="AH282">
        <v>50.189</v>
      </c>
      <c r="AI282">
        <v>6</v>
      </c>
      <c r="AK282" t="s">
        <v>16</v>
      </c>
      <c r="AL282" t="s">
        <v>40</v>
      </c>
      <c r="AM282" s="2">
        <v>155097</v>
      </c>
      <c r="AN282">
        <v>19.829000000000001</v>
      </c>
      <c r="AO282">
        <v>27</v>
      </c>
    </row>
    <row r="283" spans="25:41" x14ac:dyDescent="0.2">
      <c r="Y283" t="s">
        <v>17</v>
      </c>
      <c r="Z283" t="s">
        <v>41</v>
      </c>
      <c r="AA283" s="2">
        <v>600982</v>
      </c>
      <c r="AB283">
        <v>22.36</v>
      </c>
      <c r="AC283">
        <v>72</v>
      </c>
      <c r="AE283" t="s">
        <v>57</v>
      </c>
      <c r="AF283" t="s">
        <v>40</v>
      </c>
      <c r="AG283" s="2">
        <v>50644</v>
      </c>
      <c r="AH283">
        <v>74.525999999999996</v>
      </c>
      <c r="AI283">
        <v>2</v>
      </c>
      <c r="AK283" t="s">
        <v>16</v>
      </c>
      <c r="AL283" t="s">
        <v>41</v>
      </c>
      <c r="AM283" s="2">
        <v>18106</v>
      </c>
      <c r="AN283">
        <v>59.030999999999999</v>
      </c>
      <c r="AO283">
        <v>4</v>
      </c>
    </row>
    <row r="284" spans="25:41" x14ac:dyDescent="0.2">
      <c r="Y284" t="s">
        <v>17</v>
      </c>
      <c r="Z284" t="s">
        <v>55</v>
      </c>
      <c r="AA284" s="2">
        <v>295165</v>
      </c>
      <c r="AB284">
        <v>19.692</v>
      </c>
      <c r="AC284">
        <v>58</v>
      </c>
      <c r="AE284" t="s">
        <v>17</v>
      </c>
      <c r="AF284" t="s">
        <v>54</v>
      </c>
      <c r="AG284" s="2">
        <v>3971938</v>
      </c>
      <c r="AH284">
        <v>7.6539999999999999</v>
      </c>
      <c r="AI284">
        <v>185</v>
      </c>
      <c r="AK284" t="s">
        <v>16</v>
      </c>
      <c r="AL284" t="s">
        <v>55</v>
      </c>
      <c r="AM284" s="2">
        <v>23418</v>
      </c>
      <c r="AN284">
        <v>52.161999999999999</v>
      </c>
      <c r="AO284">
        <v>5</v>
      </c>
    </row>
    <row r="285" spans="25:41" x14ac:dyDescent="0.2">
      <c r="Y285" t="s">
        <v>17</v>
      </c>
      <c r="Z285" t="s">
        <v>45</v>
      </c>
      <c r="AA285" s="2">
        <v>15755</v>
      </c>
      <c r="AB285">
        <v>49.188000000000002</v>
      </c>
      <c r="AC285">
        <v>7</v>
      </c>
      <c r="AE285" t="s">
        <v>17</v>
      </c>
      <c r="AF285" t="s">
        <v>35</v>
      </c>
      <c r="AG285" s="2">
        <v>109193</v>
      </c>
      <c r="AH285">
        <v>43.622</v>
      </c>
      <c r="AI285">
        <v>6</v>
      </c>
      <c r="AK285" t="s">
        <v>16</v>
      </c>
      <c r="AL285" t="s">
        <v>56</v>
      </c>
      <c r="AM285" s="2">
        <v>51474</v>
      </c>
      <c r="AN285">
        <v>33.14</v>
      </c>
      <c r="AO285">
        <v>11</v>
      </c>
    </row>
    <row r="286" spans="25:41" x14ac:dyDescent="0.2">
      <c r="Y286" t="s">
        <v>17</v>
      </c>
      <c r="Z286" t="s">
        <v>56</v>
      </c>
      <c r="AA286" s="2">
        <v>921485</v>
      </c>
      <c r="AB286">
        <v>13.275</v>
      </c>
      <c r="AC286">
        <v>167</v>
      </c>
      <c r="AE286" t="s">
        <v>17</v>
      </c>
      <c r="AF286" t="s">
        <v>46</v>
      </c>
      <c r="AG286" s="2">
        <v>24514</v>
      </c>
      <c r="AH286">
        <v>53.901000000000003</v>
      </c>
      <c r="AI286">
        <v>6</v>
      </c>
      <c r="AK286" t="s">
        <v>57</v>
      </c>
      <c r="AL286" t="s">
        <v>40</v>
      </c>
      <c r="AM286" s="2">
        <v>12610</v>
      </c>
      <c r="AN286">
        <v>70.537000000000006</v>
      </c>
      <c r="AO286">
        <v>2</v>
      </c>
    </row>
    <row r="287" spans="25:41" x14ac:dyDescent="0.2">
      <c r="AE287" t="s">
        <v>17</v>
      </c>
      <c r="AF287" t="s">
        <v>47</v>
      </c>
      <c r="AG287" s="2">
        <v>259612</v>
      </c>
      <c r="AH287">
        <v>17.815000000000001</v>
      </c>
      <c r="AI287">
        <v>43</v>
      </c>
      <c r="AK287" t="s">
        <v>17</v>
      </c>
      <c r="AL287" t="s">
        <v>54</v>
      </c>
      <c r="AM287" s="2">
        <v>1354333</v>
      </c>
      <c r="AN287">
        <v>5.8140000000000001</v>
      </c>
      <c r="AO287">
        <v>267</v>
      </c>
    </row>
    <row r="288" spans="25:41" x14ac:dyDescent="0.2">
      <c r="AE288" t="s">
        <v>17</v>
      </c>
      <c r="AF288" t="s">
        <v>39</v>
      </c>
      <c r="AG288" s="2">
        <v>7510000</v>
      </c>
      <c r="AH288">
        <v>5.7889999999999997</v>
      </c>
      <c r="AI288">
        <v>300</v>
      </c>
      <c r="AK288" t="s">
        <v>17</v>
      </c>
      <c r="AL288" t="s">
        <v>35</v>
      </c>
      <c r="AM288" s="2">
        <v>37745</v>
      </c>
      <c r="AN288">
        <v>38.722000000000001</v>
      </c>
      <c r="AO288">
        <v>10</v>
      </c>
    </row>
    <row r="289" spans="31:41" x14ac:dyDescent="0.2">
      <c r="AE289" t="s">
        <v>17</v>
      </c>
      <c r="AF289" t="s">
        <v>40</v>
      </c>
      <c r="AG289" s="2">
        <v>3849968</v>
      </c>
      <c r="AH289">
        <v>8.484</v>
      </c>
      <c r="AI289">
        <v>166</v>
      </c>
      <c r="AK289" t="s">
        <v>17</v>
      </c>
      <c r="AL289" t="s">
        <v>46</v>
      </c>
      <c r="AM289" s="2">
        <v>59926</v>
      </c>
      <c r="AN289">
        <v>29.835000000000001</v>
      </c>
      <c r="AO289">
        <v>13</v>
      </c>
    </row>
    <row r="290" spans="31:41" x14ac:dyDescent="0.2">
      <c r="AE290" t="s">
        <v>17</v>
      </c>
      <c r="AF290" t="s">
        <v>41</v>
      </c>
      <c r="AG290" s="2">
        <v>1246335</v>
      </c>
      <c r="AH290">
        <v>10.615</v>
      </c>
      <c r="AI290">
        <v>124</v>
      </c>
      <c r="AK290" t="s">
        <v>17</v>
      </c>
      <c r="AL290" t="s">
        <v>47</v>
      </c>
      <c r="AM290" s="2">
        <v>326302</v>
      </c>
      <c r="AN290">
        <v>13.141999999999999</v>
      </c>
      <c r="AO290">
        <v>66</v>
      </c>
    </row>
    <row r="291" spans="31:41" x14ac:dyDescent="0.2">
      <c r="AE291" t="s">
        <v>17</v>
      </c>
      <c r="AF291" t="s">
        <v>55</v>
      </c>
      <c r="AG291" s="2">
        <v>1566210</v>
      </c>
      <c r="AH291">
        <v>12.882</v>
      </c>
      <c r="AI291">
        <v>91</v>
      </c>
      <c r="AK291" t="s">
        <v>17</v>
      </c>
      <c r="AL291" t="s">
        <v>39</v>
      </c>
      <c r="AM291" s="2">
        <v>2178654</v>
      </c>
      <c r="AN291">
        <v>4.6029999999999998</v>
      </c>
      <c r="AO291">
        <v>376</v>
      </c>
    </row>
    <row r="292" spans="31:41" x14ac:dyDescent="0.2">
      <c r="AE292" t="s">
        <v>17</v>
      </c>
      <c r="AF292" t="s">
        <v>45</v>
      </c>
      <c r="AG292" s="2">
        <v>53367</v>
      </c>
      <c r="AH292">
        <v>38.113</v>
      </c>
      <c r="AI292">
        <v>10</v>
      </c>
      <c r="AK292" t="s">
        <v>17</v>
      </c>
      <c r="AL292" t="s">
        <v>40</v>
      </c>
      <c r="AM292" s="2">
        <v>1241680</v>
      </c>
      <c r="AN292">
        <v>6.4889999999999999</v>
      </c>
      <c r="AO292">
        <v>215</v>
      </c>
    </row>
    <row r="293" spans="31:41" x14ac:dyDescent="0.2">
      <c r="AE293" t="s">
        <v>17</v>
      </c>
      <c r="AF293" t="s">
        <v>56</v>
      </c>
      <c r="AG293" s="2">
        <v>2460780</v>
      </c>
      <c r="AH293">
        <v>6.5229999999999997</v>
      </c>
      <c r="AI293">
        <v>273</v>
      </c>
      <c r="AK293" t="s">
        <v>17</v>
      </c>
      <c r="AL293" t="s">
        <v>41</v>
      </c>
      <c r="AM293" s="2">
        <v>921790</v>
      </c>
      <c r="AN293">
        <v>7.766</v>
      </c>
      <c r="AO293">
        <v>160</v>
      </c>
    </row>
    <row r="294" spans="31:41" x14ac:dyDescent="0.2">
      <c r="AK294" t="s">
        <v>17</v>
      </c>
      <c r="AL294" t="s">
        <v>55</v>
      </c>
      <c r="AM294" s="2">
        <v>716906</v>
      </c>
      <c r="AN294">
        <v>8.8940000000000001</v>
      </c>
      <c r="AO294">
        <v>127</v>
      </c>
    </row>
    <row r="295" spans="31:41" x14ac:dyDescent="0.2">
      <c r="AK295" t="s">
        <v>17</v>
      </c>
      <c r="AL295" t="s">
        <v>45</v>
      </c>
      <c r="AM295" s="2">
        <v>91485</v>
      </c>
      <c r="AN295">
        <v>25.347999999999999</v>
      </c>
      <c r="AO295">
        <v>16</v>
      </c>
    </row>
    <row r="296" spans="31:41" x14ac:dyDescent="0.2">
      <c r="AK296" t="s">
        <v>17</v>
      </c>
      <c r="AL296" t="s">
        <v>56</v>
      </c>
      <c r="AM296" s="2">
        <v>2326331</v>
      </c>
      <c r="AN296">
        <v>4.5140000000000002</v>
      </c>
      <c r="AO296">
        <v>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EE7E-9727-7446-80C2-A806404471FF}">
  <dimension ref="A1:O101"/>
  <sheetViews>
    <sheetView workbookViewId="0">
      <selection activeCell="H38" sqref="H38"/>
    </sheetView>
  </sheetViews>
  <sheetFormatPr baseColWidth="10" defaultRowHeight="16" x14ac:dyDescent="0.2"/>
  <cols>
    <col min="1" max="1" width="22.33203125" customWidth="1"/>
    <col min="6" max="6" width="22.83203125" customWidth="1"/>
    <col min="10" max="10" width="13.6640625" customWidth="1"/>
    <col min="11" max="11" width="23.1640625" customWidth="1"/>
  </cols>
  <sheetData>
    <row r="1" spans="1:15" x14ac:dyDescent="0.2">
      <c r="A1" t="s">
        <v>59</v>
      </c>
    </row>
    <row r="3" spans="1:15" x14ac:dyDescent="0.2">
      <c r="A3" s="7" t="s">
        <v>0</v>
      </c>
      <c r="B3" s="9"/>
      <c r="C3" s="9"/>
      <c r="D3" s="9"/>
      <c r="E3" s="9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8"/>
      <c r="B4" s="8"/>
      <c r="C4" s="8"/>
      <c r="D4" s="8"/>
      <c r="E4" s="8"/>
    </row>
    <row r="5" spans="1:15" x14ac:dyDescent="0.2">
      <c r="A5" s="8" t="s">
        <v>19</v>
      </c>
      <c r="B5" s="8"/>
      <c r="C5" s="8"/>
      <c r="D5" s="8"/>
      <c r="E5" s="8"/>
      <c r="F5" t="s">
        <v>50</v>
      </c>
      <c r="K5" t="s">
        <v>51</v>
      </c>
    </row>
    <row r="6" spans="1:15" x14ac:dyDescent="0.2">
      <c r="A6" s="8"/>
      <c r="B6" s="8"/>
      <c r="C6" s="8"/>
      <c r="D6" s="8"/>
      <c r="E6" s="8"/>
    </row>
    <row r="7" spans="1:15" x14ac:dyDescent="0.2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t="s">
        <v>1</v>
      </c>
      <c r="G7" t="s">
        <v>2</v>
      </c>
      <c r="H7" t="s">
        <v>3</v>
      </c>
      <c r="I7" t="s">
        <v>4</v>
      </c>
      <c r="J7" t="s">
        <v>5</v>
      </c>
      <c r="K7" t="s">
        <v>1</v>
      </c>
      <c r="L7" t="s">
        <v>2</v>
      </c>
      <c r="M7" t="s">
        <v>3</v>
      </c>
      <c r="N7" t="s">
        <v>4</v>
      </c>
      <c r="O7" t="s">
        <v>5</v>
      </c>
    </row>
    <row r="8" spans="1:15" x14ac:dyDescent="0.2">
      <c r="A8" s="8" t="s">
        <v>6</v>
      </c>
      <c r="B8" s="8" t="s">
        <v>6</v>
      </c>
      <c r="C8" s="10">
        <v>11144856</v>
      </c>
      <c r="D8" s="8">
        <v>6.032</v>
      </c>
      <c r="E8" s="8">
        <v>480</v>
      </c>
      <c r="F8" t="s">
        <v>6</v>
      </c>
      <c r="G8" t="s">
        <v>6</v>
      </c>
      <c r="H8" s="2">
        <v>8276270</v>
      </c>
      <c r="I8">
        <v>2.335</v>
      </c>
      <c r="J8" s="2">
        <v>2668</v>
      </c>
      <c r="K8" t="s">
        <v>6</v>
      </c>
      <c r="L8" t="s">
        <v>6</v>
      </c>
      <c r="M8" s="2">
        <v>23200948</v>
      </c>
      <c r="N8">
        <v>0.89800000000000002</v>
      </c>
      <c r="O8" s="2">
        <v>3115</v>
      </c>
    </row>
    <row r="9" spans="1:15" x14ac:dyDescent="0.2">
      <c r="A9" s="8" t="s">
        <v>13</v>
      </c>
      <c r="B9" s="8" t="s">
        <v>6</v>
      </c>
      <c r="C9" s="10">
        <v>959</v>
      </c>
      <c r="D9" s="8">
        <v>100</v>
      </c>
      <c r="E9" s="8">
        <v>1</v>
      </c>
      <c r="F9" t="s">
        <v>13</v>
      </c>
      <c r="G9" t="s">
        <v>6</v>
      </c>
      <c r="H9" s="2">
        <v>20056</v>
      </c>
      <c r="I9">
        <v>17.399000000000001</v>
      </c>
      <c r="J9">
        <v>26</v>
      </c>
      <c r="K9" t="s">
        <v>13</v>
      </c>
      <c r="L9" t="s">
        <v>6</v>
      </c>
      <c r="M9" s="2">
        <v>65262</v>
      </c>
      <c r="N9">
        <v>13.244999999999999</v>
      </c>
      <c r="O9">
        <v>29</v>
      </c>
    </row>
    <row r="10" spans="1:15" x14ac:dyDescent="0.2">
      <c r="A10" s="8" t="s">
        <v>14</v>
      </c>
      <c r="B10" s="8" t="s">
        <v>6</v>
      </c>
      <c r="C10" s="10">
        <v>121</v>
      </c>
      <c r="D10" s="8">
        <v>107.58</v>
      </c>
      <c r="E10" s="8">
        <v>1</v>
      </c>
      <c r="F10" t="s">
        <v>22</v>
      </c>
      <c r="G10" t="s">
        <v>6</v>
      </c>
      <c r="H10" s="2">
        <v>54190</v>
      </c>
      <c r="I10">
        <v>36.253999999999998</v>
      </c>
      <c r="J10">
        <v>16</v>
      </c>
      <c r="K10" t="s">
        <v>22</v>
      </c>
      <c r="L10" t="s">
        <v>6</v>
      </c>
      <c r="M10" s="2">
        <v>118672</v>
      </c>
      <c r="N10">
        <v>27.155999999999999</v>
      </c>
      <c r="O10">
        <v>17</v>
      </c>
    </row>
    <row r="11" spans="1:15" x14ac:dyDescent="0.2">
      <c r="A11" s="8" t="s">
        <v>15</v>
      </c>
      <c r="B11" s="8" t="s">
        <v>6</v>
      </c>
      <c r="C11" s="10">
        <v>238758</v>
      </c>
      <c r="D11" s="8">
        <v>35.96</v>
      </c>
      <c r="E11" s="8">
        <v>10</v>
      </c>
      <c r="F11" t="s">
        <v>23</v>
      </c>
      <c r="G11" t="s">
        <v>6</v>
      </c>
      <c r="H11" s="2">
        <v>44428</v>
      </c>
      <c r="I11">
        <v>43.655000000000001</v>
      </c>
      <c r="J11">
        <v>10</v>
      </c>
      <c r="K11" t="s">
        <v>23</v>
      </c>
      <c r="L11" t="s">
        <v>6</v>
      </c>
      <c r="M11" s="2">
        <v>78751</v>
      </c>
      <c r="N11">
        <v>34.381</v>
      </c>
      <c r="O11">
        <v>11</v>
      </c>
    </row>
    <row r="12" spans="1:15" x14ac:dyDescent="0.2">
      <c r="A12" s="8" t="s">
        <v>16</v>
      </c>
      <c r="B12" s="8" t="s">
        <v>6</v>
      </c>
      <c r="C12" s="10">
        <v>91450</v>
      </c>
      <c r="D12" s="8">
        <v>61.357999999999997</v>
      </c>
      <c r="E12" s="8">
        <v>4</v>
      </c>
      <c r="F12" t="s">
        <v>14</v>
      </c>
      <c r="G12" t="s">
        <v>6</v>
      </c>
      <c r="H12" s="2">
        <v>1462</v>
      </c>
      <c r="I12">
        <v>78.748000000000005</v>
      </c>
      <c r="J12">
        <v>2</v>
      </c>
      <c r="K12" t="s">
        <v>14</v>
      </c>
      <c r="L12" t="s">
        <v>6</v>
      </c>
      <c r="M12" s="2">
        <v>8723</v>
      </c>
      <c r="N12">
        <v>76.096000000000004</v>
      </c>
      <c r="O12">
        <v>2</v>
      </c>
    </row>
    <row r="13" spans="1:15" x14ac:dyDescent="0.2">
      <c r="A13" s="8" t="s">
        <v>17</v>
      </c>
      <c r="B13" s="8" t="s">
        <v>6</v>
      </c>
      <c r="C13" s="10">
        <v>10197662</v>
      </c>
      <c r="D13" s="8">
        <v>6.3</v>
      </c>
      <c r="E13" s="8">
        <v>441</v>
      </c>
      <c r="F13" t="s">
        <v>24</v>
      </c>
      <c r="G13" t="s">
        <v>6</v>
      </c>
      <c r="H13" s="2">
        <v>5600</v>
      </c>
      <c r="I13">
        <v>58.396000000000001</v>
      </c>
      <c r="J13">
        <v>5</v>
      </c>
      <c r="K13" t="s">
        <v>24</v>
      </c>
      <c r="L13" t="s">
        <v>6</v>
      </c>
      <c r="M13" s="2">
        <v>27674</v>
      </c>
      <c r="N13">
        <v>47.335999999999999</v>
      </c>
      <c r="O13">
        <v>5</v>
      </c>
    </row>
    <row r="14" spans="1:15" x14ac:dyDescent="0.2">
      <c r="A14" s="8" t="s">
        <v>18</v>
      </c>
      <c r="B14" s="8" t="s">
        <v>6</v>
      </c>
      <c r="C14" s="10">
        <v>615906</v>
      </c>
      <c r="D14" s="8">
        <v>28.018999999999998</v>
      </c>
      <c r="E14" s="8">
        <v>29</v>
      </c>
      <c r="F14" t="s">
        <v>15</v>
      </c>
      <c r="G14" t="s">
        <v>6</v>
      </c>
      <c r="H14" s="2">
        <v>581652</v>
      </c>
      <c r="I14">
        <v>11.048</v>
      </c>
      <c r="J14" s="2">
        <v>152</v>
      </c>
      <c r="K14" t="s">
        <v>15</v>
      </c>
      <c r="L14" t="s">
        <v>6</v>
      </c>
      <c r="M14" s="2">
        <v>1200552</v>
      </c>
      <c r="N14">
        <v>5.9630000000000001</v>
      </c>
      <c r="O14" s="2">
        <v>166</v>
      </c>
    </row>
    <row r="15" spans="1:15" x14ac:dyDescent="0.2">
      <c r="A15" s="8" t="s">
        <v>6</v>
      </c>
      <c r="B15" s="8" t="s">
        <v>7</v>
      </c>
      <c r="C15" s="10">
        <v>1230457</v>
      </c>
      <c r="D15" s="8">
        <v>16.777000000000001</v>
      </c>
      <c r="E15" s="8">
        <v>61</v>
      </c>
      <c r="F15" t="s">
        <v>16</v>
      </c>
      <c r="G15" t="s">
        <v>6</v>
      </c>
      <c r="H15" s="2">
        <v>96600</v>
      </c>
      <c r="I15">
        <v>24.207999999999998</v>
      </c>
      <c r="J15">
        <v>34</v>
      </c>
      <c r="K15" t="s">
        <v>16</v>
      </c>
      <c r="L15" t="s">
        <v>6</v>
      </c>
      <c r="M15" s="2">
        <v>290185</v>
      </c>
      <c r="N15">
        <v>17.913</v>
      </c>
      <c r="O15">
        <v>41</v>
      </c>
    </row>
    <row r="16" spans="1:15" x14ac:dyDescent="0.2">
      <c r="A16" s="8" t="s">
        <v>6</v>
      </c>
      <c r="B16" s="8" t="s">
        <v>8</v>
      </c>
      <c r="C16" s="10">
        <v>1539308</v>
      </c>
      <c r="D16" s="8">
        <v>14.250999999999999</v>
      </c>
      <c r="E16" s="8">
        <v>80</v>
      </c>
      <c r="F16" t="s">
        <v>17</v>
      </c>
      <c r="G16" t="s">
        <v>6</v>
      </c>
      <c r="H16" s="2">
        <v>7466455</v>
      </c>
      <c r="I16">
        <v>2.4470000000000001</v>
      </c>
      <c r="J16" s="2">
        <v>2428</v>
      </c>
      <c r="K16" t="s">
        <v>17</v>
      </c>
      <c r="L16" t="s">
        <v>6</v>
      </c>
      <c r="M16" s="2">
        <v>21378292</v>
      </c>
      <c r="N16">
        <v>0.96699999999999997</v>
      </c>
      <c r="O16" s="2">
        <v>2860</v>
      </c>
    </row>
    <row r="17" spans="1:15" x14ac:dyDescent="0.2">
      <c r="A17" s="8" t="s">
        <v>6</v>
      </c>
      <c r="B17" s="8" t="s">
        <v>9</v>
      </c>
      <c r="C17" s="10">
        <v>376662</v>
      </c>
      <c r="D17" s="8">
        <v>31.248999999999999</v>
      </c>
      <c r="E17" s="8">
        <v>19</v>
      </c>
      <c r="F17" t="s">
        <v>18</v>
      </c>
      <c r="G17" t="s">
        <v>6</v>
      </c>
      <c r="H17" s="2">
        <v>5825</v>
      </c>
      <c r="I17">
        <v>58.84</v>
      </c>
      <c r="J17">
        <v>4</v>
      </c>
      <c r="K17" t="s">
        <v>18</v>
      </c>
      <c r="L17" t="s">
        <v>6</v>
      </c>
      <c r="M17" s="2">
        <v>32837</v>
      </c>
      <c r="N17">
        <v>30.317</v>
      </c>
      <c r="O17">
        <v>31</v>
      </c>
    </row>
    <row r="18" spans="1:15" x14ac:dyDescent="0.2">
      <c r="A18" s="8" t="s">
        <v>6</v>
      </c>
      <c r="B18" s="8" t="s">
        <v>10</v>
      </c>
      <c r="C18" s="10">
        <v>1648099</v>
      </c>
      <c r="D18" s="8">
        <v>14.775</v>
      </c>
      <c r="E18" s="8">
        <v>81</v>
      </c>
      <c r="F18" t="s">
        <v>6</v>
      </c>
      <c r="G18" t="s">
        <v>7</v>
      </c>
      <c r="H18" s="2">
        <v>839621</v>
      </c>
      <c r="I18">
        <v>7.6310000000000002</v>
      </c>
      <c r="J18">
        <v>302</v>
      </c>
      <c r="K18" t="s">
        <v>6</v>
      </c>
      <c r="L18" t="s">
        <v>7</v>
      </c>
      <c r="M18" s="2">
        <v>2593876</v>
      </c>
      <c r="N18">
        <v>4.97</v>
      </c>
      <c r="O18">
        <v>357</v>
      </c>
    </row>
    <row r="19" spans="1:15" x14ac:dyDescent="0.2">
      <c r="A19" s="8" t="s">
        <v>6</v>
      </c>
      <c r="B19" s="8" t="s">
        <v>11</v>
      </c>
      <c r="C19" s="10">
        <v>930526</v>
      </c>
      <c r="D19" s="8">
        <v>23.242999999999999</v>
      </c>
      <c r="E19" s="8">
        <v>40</v>
      </c>
      <c r="F19" t="s">
        <v>6</v>
      </c>
      <c r="G19" t="s">
        <v>8</v>
      </c>
      <c r="H19" s="2">
        <v>1363761</v>
      </c>
      <c r="I19">
        <v>7.4950000000000001</v>
      </c>
      <c r="J19">
        <v>444</v>
      </c>
      <c r="K19" t="s">
        <v>6</v>
      </c>
      <c r="L19" t="s">
        <v>8</v>
      </c>
      <c r="M19" s="2">
        <v>3773602</v>
      </c>
      <c r="N19">
        <v>4.2510000000000003</v>
      </c>
      <c r="O19">
        <v>508</v>
      </c>
    </row>
    <row r="20" spans="1:15" x14ac:dyDescent="0.2">
      <c r="A20" s="8" t="s">
        <v>6</v>
      </c>
      <c r="B20" s="8" t="s">
        <v>12</v>
      </c>
      <c r="C20" s="10">
        <v>5419804</v>
      </c>
      <c r="D20" s="8">
        <v>9.3230000000000004</v>
      </c>
      <c r="E20" s="8">
        <v>199</v>
      </c>
      <c r="F20" t="s">
        <v>6</v>
      </c>
      <c r="G20" t="s">
        <v>9</v>
      </c>
      <c r="H20" s="2">
        <v>679064</v>
      </c>
      <c r="I20">
        <v>8.6210000000000004</v>
      </c>
      <c r="J20">
        <v>209</v>
      </c>
      <c r="K20" t="s">
        <v>6</v>
      </c>
      <c r="L20" t="s">
        <v>9</v>
      </c>
      <c r="M20" s="2">
        <v>1648611</v>
      </c>
      <c r="N20">
        <v>5.1859999999999999</v>
      </c>
      <c r="O20">
        <v>249</v>
      </c>
    </row>
    <row r="21" spans="1:15" x14ac:dyDescent="0.2">
      <c r="F21" t="s">
        <v>6</v>
      </c>
      <c r="G21" t="s">
        <v>10</v>
      </c>
      <c r="H21" s="2">
        <v>1515676</v>
      </c>
      <c r="I21">
        <v>6.0369999999999999</v>
      </c>
      <c r="J21">
        <v>431</v>
      </c>
      <c r="K21" t="s">
        <v>6</v>
      </c>
      <c r="L21" t="s">
        <v>10</v>
      </c>
      <c r="M21" s="2">
        <v>3817130</v>
      </c>
      <c r="N21">
        <v>3.6720000000000002</v>
      </c>
      <c r="O21">
        <v>499</v>
      </c>
    </row>
    <row r="22" spans="1:15" x14ac:dyDescent="0.2">
      <c r="F22" t="s">
        <v>6</v>
      </c>
      <c r="G22" t="s">
        <v>11</v>
      </c>
      <c r="H22" s="2">
        <v>403831</v>
      </c>
      <c r="I22">
        <v>11.951000000000001</v>
      </c>
      <c r="J22" s="2">
        <v>152</v>
      </c>
      <c r="K22" t="s">
        <v>6</v>
      </c>
      <c r="L22" t="s">
        <v>11</v>
      </c>
      <c r="M22" s="2">
        <v>1499833</v>
      </c>
      <c r="N22">
        <v>6.1840000000000002</v>
      </c>
      <c r="O22" s="2">
        <v>196</v>
      </c>
    </row>
    <row r="23" spans="1:15" x14ac:dyDescent="0.2">
      <c r="F23" t="s">
        <v>6</v>
      </c>
      <c r="G23" t="s">
        <v>12</v>
      </c>
      <c r="H23" s="2">
        <v>3474317</v>
      </c>
      <c r="I23">
        <v>3.8730000000000002</v>
      </c>
      <c r="J23" s="2">
        <v>1130</v>
      </c>
      <c r="K23" t="s">
        <v>6</v>
      </c>
      <c r="L23" t="s">
        <v>12</v>
      </c>
      <c r="M23" s="2">
        <v>9867896</v>
      </c>
      <c r="N23">
        <v>2.0179999999999998</v>
      </c>
      <c r="O23" s="2">
        <v>1306</v>
      </c>
    </row>
    <row r="25" spans="1:15" x14ac:dyDescent="0.2">
      <c r="A25" s="3" t="s">
        <v>25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5"/>
      <c r="N25" s="4"/>
      <c r="O25" s="4"/>
    </row>
    <row r="26" spans="1:15" x14ac:dyDescent="0.2">
      <c r="M26" s="2"/>
    </row>
    <row r="27" spans="1:15" x14ac:dyDescent="0.2">
      <c r="A27" t="s">
        <v>19</v>
      </c>
      <c r="F27" t="s">
        <v>50</v>
      </c>
      <c r="K27" t="s">
        <v>51</v>
      </c>
    </row>
    <row r="29" spans="1:15" x14ac:dyDescent="0.2">
      <c r="A29" t="s">
        <v>1</v>
      </c>
      <c r="B29" t="s">
        <v>2</v>
      </c>
      <c r="C29" t="s">
        <v>3</v>
      </c>
      <c r="D29" t="s">
        <v>4</v>
      </c>
      <c r="E29" t="s">
        <v>5</v>
      </c>
      <c r="F29" t="s">
        <v>1</v>
      </c>
      <c r="G29" t="s">
        <v>2</v>
      </c>
      <c r="H29" t="s">
        <v>3</v>
      </c>
      <c r="I29" t="s">
        <v>4</v>
      </c>
      <c r="J29" t="s">
        <v>5</v>
      </c>
      <c r="K29" t="s">
        <v>1</v>
      </c>
      <c r="L29" t="s">
        <v>2</v>
      </c>
      <c r="M29" t="s">
        <v>3</v>
      </c>
      <c r="N29" t="s">
        <v>4</v>
      </c>
      <c r="O29" t="s">
        <v>5</v>
      </c>
    </row>
    <row r="30" spans="1:15" x14ac:dyDescent="0.2">
      <c r="A30" t="s">
        <v>6</v>
      </c>
      <c r="B30" t="s">
        <v>6</v>
      </c>
      <c r="C30" s="2">
        <v>23173239</v>
      </c>
      <c r="D30">
        <v>4.569</v>
      </c>
      <c r="E30">
        <v>855</v>
      </c>
      <c r="F30" t="s">
        <v>6</v>
      </c>
      <c r="G30" t="s">
        <v>6</v>
      </c>
      <c r="H30" s="2">
        <v>12335714</v>
      </c>
      <c r="I30">
        <v>2.5750000000000002</v>
      </c>
      <c r="J30" s="2">
        <v>2687</v>
      </c>
      <c r="K30" t="s">
        <v>6</v>
      </c>
      <c r="L30" t="s">
        <v>6</v>
      </c>
      <c r="M30" s="2">
        <v>48991499</v>
      </c>
      <c r="N30">
        <v>1.2470000000000001</v>
      </c>
      <c r="O30" s="2">
        <v>3632</v>
      </c>
    </row>
    <row r="31" spans="1:15" x14ac:dyDescent="0.2">
      <c r="A31" t="s">
        <v>13</v>
      </c>
      <c r="B31" t="s">
        <v>6</v>
      </c>
      <c r="C31" s="2">
        <v>108587</v>
      </c>
      <c r="D31">
        <v>57.887</v>
      </c>
      <c r="E31">
        <v>6</v>
      </c>
      <c r="F31" t="s">
        <v>13</v>
      </c>
      <c r="G31" t="s">
        <v>6</v>
      </c>
      <c r="H31" s="2">
        <v>874920</v>
      </c>
      <c r="I31">
        <v>9.3580000000000005</v>
      </c>
      <c r="J31">
        <v>193</v>
      </c>
      <c r="K31" t="s">
        <v>13</v>
      </c>
      <c r="L31" t="s">
        <v>6</v>
      </c>
      <c r="M31" s="2">
        <v>2130021</v>
      </c>
      <c r="N31">
        <v>4.4859999999999998</v>
      </c>
      <c r="O31">
        <v>223</v>
      </c>
    </row>
    <row r="32" spans="1:15" x14ac:dyDescent="0.2">
      <c r="A32" t="s">
        <v>14</v>
      </c>
      <c r="B32" t="s">
        <v>6</v>
      </c>
      <c r="C32" s="2">
        <v>57837</v>
      </c>
      <c r="D32">
        <v>53.026000000000003</v>
      </c>
      <c r="E32">
        <v>7</v>
      </c>
      <c r="F32" t="s">
        <v>22</v>
      </c>
      <c r="G32" t="s">
        <v>6</v>
      </c>
      <c r="H32" s="2">
        <v>204835</v>
      </c>
      <c r="I32">
        <v>17.442</v>
      </c>
      <c r="J32">
        <v>39</v>
      </c>
      <c r="K32" t="s">
        <v>22</v>
      </c>
      <c r="L32" t="s">
        <v>6</v>
      </c>
      <c r="M32" s="2">
        <v>438329</v>
      </c>
      <c r="N32">
        <v>8.7210000000000001</v>
      </c>
      <c r="O32">
        <v>50</v>
      </c>
    </row>
    <row r="33" spans="1:15" x14ac:dyDescent="0.2">
      <c r="A33" t="s">
        <v>15</v>
      </c>
      <c r="B33" t="s">
        <v>6</v>
      </c>
      <c r="C33" s="2">
        <v>446496</v>
      </c>
      <c r="D33">
        <v>32.417000000000002</v>
      </c>
      <c r="E33">
        <v>17</v>
      </c>
      <c r="F33" t="s">
        <v>23</v>
      </c>
      <c r="G33" t="s">
        <v>6</v>
      </c>
      <c r="H33" s="2">
        <v>246459</v>
      </c>
      <c r="I33">
        <v>26.587</v>
      </c>
      <c r="J33">
        <v>38</v>
      </c>
      <c r="K33" t="s">
        <v>23</v>
      </c>
      <c r="L33" t="s">
        <v>6</v>
      </c>
      <c r="M33" s="2">
        <v>316079</v>
      </c>
      <c r="N33">
        <v>19.042999999999999</v>
      </c>
      <c r="O33">
        <v>40</v>
      </c>
    </row>
    <row r="34" spans="1:15" x14ac:dyDescent="0.2">
      <c r="A34" t="s">
        <v>16</v>
      </c>
      <c r="B34" t="s">
        <v>6</v>
      </c>
      <c r="C34" s="2">
        <v>54444</v>
      </c>
      <c r="D34">
        <v>72.948999999999998</v>
      </c>
      <c r="E34">
        <v>6</v>
      </c>
      <c r="F34" t="s">
        <v>14</v>
      </c>
      <c r="G34" t="s">
        <v>6</v>
      </c>
      <c r="H34" s="2">
        <v>264971</v>
      </c>
      <c r="I34">
        <v>31.545000000000002</v>
      </c>
      <c r="J34">
        <v>35</v>
      </c>
      <c r="K34" t="s">
        <v>14</v>
      </c>
      <c r="L34" t="s">
        <v>6</v>
      </c>
      <c r="M34" s="2">
        <v>496904</v>
      </c>
      <c r="N34">
        <v>18.277000000000001</v>
      </c>
      <c r="O34">
        <v>53</v>
      </c>
    </row>
    <row r="35" spans="1:15" x14ac:dyDescent="0.2">
      <c r="A35" t="s">
        <v>17</v>
      </c>
      <c r="B35" t="s">
        <v>6</v>
      </c>
      <c r="C35" s="2">
        <v>20010793</v>
      </c>
      <c r="D35">
        <v>5.0579999999999998</v>
      </c>
      <c r="E35">
        <v>702</v>
      </c>
      <c r="F35" t="s">
        <v>24</v>
      </c>
      <c r="G35" t="s">
        <v>6</v>
      </c>
      <c r="H35" s="2">
        <v>15955</v>
      </c>
      <c r="I35">
        <v>99.64</v>
      </c>
      <c r="J35">
        <v>1</v>
      </c>
      <c r="K35" t="s">
        <v>24</v>
      </c>
      <c r="L35" t="s">
        <v>6</v>
      </c>
      <c r="M35" s="2">
        <v>24353</v>
      </c>
      <c r="N35">
        <v>71.081999999999994</v>
      </c>
      <c r="O35">
        <v>2</v>
      </c>
    </row>
    <row r="36" spans="1:15" x14ac:dyDescent="0.2">
      <c r="A36" t="s">
        <v>18</v>
      </c>
      <c r="B36" t="s">
        <v>6</v>
      </c>
      <c r="C36" s="2">
        <v>2495081</v>
      </c>
      <c r="D36">
        <v>12.35</v>
      </c>
      <c r="E36">
        <v>162</v>
      </c>
      <c r="F36" t="s">
        <v>15</v>
      </c>
      <c r="G36" t="s">
        <v>6</v>
      </c>
      <c r="H36" s="2">
        <v>698021</v>
      </c>
      <c r="I36">
        <v>14.006</v>
      </c>
      <c r="J36">
        <v>126</v>
      </c>
      <c r="K36" t="s">
        <v>15</v>
      </c>
      <c r="L36" t="s">
        <v>6</v>
      </c>
      <c r="M36" s="2">
        <v>1903209</v>
      </c>
      <c r="N36">
        <v>9.9030000000000005</v>
      </c>
      <c r="O36">
        <v>167</v>
      </c>
    </row>
    <row r="37" spans="1:15" x14ac:dyDescent="0.2">
      <c r="A37" t="s">
        <v>6</v>
      </c>
      <c r="B37" t="s">
        <v>26</v>
      </c>
      <c r="C37" s="2">
        <v>310097</v>
      </c>
      <c r="D37">
        <v>37.197000000000003</v>
      </c>
      <c r="E37">
        <v>11</v>
      </c>
      <c r="F37" t="s">
        <v>16</v>
      </c>
      <c r="G37" t="s">
        <v>6</v>
      </c>
      <c r="H37" s="2">
        <v>227979</v>
      </c>
      <c r="I37">
        <v>24.721</v>
      </c>
      <c r="J37">
        <v>47</v>
      </c>
      <c r="K37" t="s">
        <v>16</v>
      </c>
      <c r="L37" t="s">
        <v>6</v>
      </c>
      <c r="M37" s="2">
        <v>806953</v>
      </c>
      <c r="N37">
        <v>15.72</v>
      </c>
      <c r="O37">
        <v>61</v>
      </c>
    </row>
    <row r="38" spans="1:15" x14ac:dyDescent="0.2">
      <c r="A38" t="s">
        <v>6</v>
      </c>
      <c r="B38" t="s">
        <v>27</v>
      </c>
      <c r="C38" s="2">
        <v>7604562</v>
      </c>
      <c r="D38">
        <v>8.2319999999999993</v>
      </c>
      <c r="E38">
        <v>317</v>
      </c>
      <c r="F38" t="s">
        <v>17</v>
      </c>
      <c r="G38" t="s">
        <v>6</v>
      </c>
      <c r="H38" s="2">
        <v>9727514</v>
      </c>
      <c r="I38">
        <v>2.8460000000000001</v>
      </c>
      <c r="J38" s="2">
        <v>2209</v>
      </c>
      <c r="K38" t="s">
        <v>17</v>
      </c>
      <c r="L38" t="s">
        <v>6</v>
      </c>
      <c r="M38" s="2">
        <v>42622042</v>
      </c>
      <c r="N38">
        <v>1.476</v>
      </c>
      <c r="O38" s="2">
        <v>3015</v>
      </c>
    </row>
    <row r="39" spans="1:15" x14ac:dyDescent="0.2">
      <c r="A39" t="s">
        <v>6</v>
      </c>
      <c r="B39" t="s">
        <v>28</v>
      </c>
      <c r="C39" s="2">
        <v>3085389</v>
      </c>
      <c r="D39">
        <v>12.407</v>
      </c>
      <c r="E39">
        <v>117</v>
      </c>
      <c r="F39" t="s">
        <v>18</v>
      </c>
      <c r="G39" t="s">
        <v>6</v>
      </c>
      <c r="H39" s="2">
        <v>75058</v>
      </c>
      <c r="I39">
        <v>35.518999999999998</v>
      </c>
      <c r="J39">
        <v>21</v>
      </c>
      <c r="K39" t="s">
        <v>18</v>
      </c>
      <c r="L39" t="s">
        <v>6</v>
      </c>
      <c r="M39" s="2">
        <v>253609</v>
      </c>
      <c r="N39">
        <v>14.048999999999999</v>
      </c>
      <c r="O39">
        <v>173</v>
      </c>
    </row>
    <row r="40" spans="1:15" x14ac:dyDescent="0.2">
      <c r="A40" t="s">
        <v>6</v>
      </c>
      <c r="B40" t="s">
        <v>29</v>
      </c>
      <c r="C40" s="2">
        <v>4099424</v>
      </c>
      <c r="D40">
        <v>11.724</v>
      </c>
      <c r="E40">
        <v>123</v>
      </c>
      <c r="F40" t="s">
        <v>6</v>
      </c>
      <c r="G40" t="s">
        <v>26</v>
      </c>
      <c r="H40" s="2">
        <v>77461</v>
      </c>
      <c r="I40">
        <v>47.985999999999997</v>
      </c>
      <c r="J40">
        <v>14</v>
      </c>
      <c r="K40" t="s">
        <v>6</v>
      </c>
      <c r="L40" t="s">
        <v>26</v>
      </c>
      <c r="M40" s="2">
        <v>299861</v>
      </c>
      <c r="N40">
        <v>24.707000000000001</v>
      </c>
      <c r="O40">
        <v>21</v>
      </c>
    </row>
    <row r="41" spans="1:15" x14ac:dyDescent="0.2">
      <c r="A41" t="s">
        <v>6</v>
      </c>
      <c r="B41" t="s">
        <v>30</v>
      </c>
      <c r="C41" s="2">
        <v>4546518</v>
      </c>
      <c r="D41">
        <v>11.253</v>
      </c>
      <c r="E41">
        <v>137</v>
      </c>
      <c r="F41" t="s">
        <v>6</v>
      </c>
      <c r="G41" t="s">
        <v>27</v>
      </c>
      <c r="H41" s="2">
        <v>4061155</v>
      </c>
      <c r="I41">
        <v>4.5599999999999996</v>
      </c>
      <c r="J41">
        <v>933</v>
      </c>
      <c r="K41" t="s">
        <v>6</v>
      </c>
      <c r="L41" t="s">
        <v>27</v>
      </c>
      <c r="M41" s="2">
        <v>17901513</v>
      </c>
      <c r="N41">
        <v>2.5489999999999999</v>
      </c>
      <c r="O41" s="2">
        <v>1241</v>
      </c>
    </row>
    <row r="42" spans="1:15" x14ac:dyDescent="0.2">
      <c r="A42" t="s">
        <v>6</v>
      </c>
      <c r="B42" t="s">
        <v>31</v>
      </c>
      <c r="C42" s="2">
        <v>1869988</v>
      </c>
      <c r="D42">
        <v>15.413</v>
      </c>
      <c r="E42">
        <v>77</v>
      </c>
      <c r="F42" t="s">
        <v>6</v>
      </c>
      <c r="G42" t="s">
        <v>28</v>
      </c>
      <c r="H42" s="2">
        <v>987188</v>
      </c>
      <c r="I42">
        <v>8.6430000000000007</v>
      </c>
      <c r="J42">
        <v>277</v>
      </c>
      <c r="K42" t="s">
        <v>6</v>
      </c>
      <c r="L42" t="s">
        <v>28</v>
      </c>
      <c r="M42" s="2">
        <v>5368590</v>
      </c>
      <c r="N42">
        <v>5.5140000000000002</v>
      </c>
      <c r="O42">
        <v>410</v>
      </c>
    </row>
    <row r="43" spans="1:15" x14ac:dyDescent="0.2">
      <c r="A43" t="s">
        <v>6</v>
      </c>
      <c r="B43" t="s">
        <v>32</v>
      </c>
      <c r="C43" s="2">
        <v>1657261</v>
      </c>
      <c r="D43">
        <v>18.102</v>
      </c>
      <c r="E43">
        <v>73</v>
      </c>
      <c r="F43" t="s">
        <v>6</v>
      </c>
      <c r="G43" t="s">
        <v>29</v>
      </c>
      <c r="H43" s="2">
        <v>1447850</v>
      </c>
      <c r="I43">
        <v>8.423</v>
      </c>
      <c r="J43">
        <v>307</v>
      </c>
      <c r="K43" t="s">
        <v>6</v>
      </c>
      <c r="L43" t="s">
        <v>29</v>
      </c>
      <c r="M43" s="2">
        <v>6603801</v>
      </c>
      <c r="N43">
        <v>5.3120000000000003</v>
      </c>
      <c r="O43">
        <v>435</v>
      </c>
    </row>
    <row r="44" spans="1:15" x14ac:dyDescent="0.2">
      <c r="F44" t="s">
        <v>6</v>
      </c>
      <c r="G44" t="s">
        <v>30</v>
      </c>
      <c r="H44" s="2">
        <v>2265912</v>
      </c>
      <c r="I44">
        <v>7.3460000000000001</v>
      </c>
      <c r="J44">
        <v>406</v>
      </c>
      <c r="K44" t="s">
        <v>6</v>
      </c>
      <c r="L44" t="s">
        <v>30</v>
      </c>
      <c r="M44" s="2">
        <v>8369291</v>
      </c>
      <c r="N44">
        <v>4.1970000000000001</v>
      </c>
      <c r="O44">
        <v>571</v>
      </c>
    </row>
    <row r="45" spans="1:15" x14ac:dyDescent="0.2">
      <c r="F45" t="s">
        <v>6</v>
      </c>
      <c r="G45" t="s">
        <v>31</v>
      </c>
      <c r="H45" s="2">
        <v>789023</v>
      </c>
      <c r="I45">
        <v>11.329000000000001</v>
      </c>
      <c r="J45">
        <v>182</v>
      </c>
      <c r="K45" t="s">
        <v>6</v>
      </c>
      <c r="L45" t="s">
        <v>31</v>
      </c>
      <c r="M45" s="2">
        <v>3464732</v>
      </c>
      <c r="N45">
        <v>7.1440000000000001</v>
      </c>
      <c r="O45">
        <v>269</v>
      </c>
    </row>
    <row r="46" spans="1:15" x14ac:dyDescent="0.2">
      <c r="F46" t="s">
        <v>6</v>
      </c>
      <c r="G46" t="s">
        <v>32</v>
      </c>
      <c r="H46" s="2">
        <v>2707125</v>
      </c>
      <c r="I46">
        <v>5.5670000000000002</v>
      </c>
      <c r="J46">
        <v>568</v>
      </c>
      <c r="K46" t="s">
        <v>6</v>
      </c>
      <c r="L46" t="s">
        <v>32</v>
      </c>
      <c r="M46" s="2">
        <v>6983712</v>
      </c>
      <c r="N46">
        <v>2.778</v>
      </c>
      <c r="O46">
        <v>685</v>
      </c>
    </row>
    <row r="48" spans="1:15" x14ac:dyDescent="0.2">
      <c r="A48" s="3" t="s">
        <v>33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  <c r="N48" s="4"/>
      <c r="O48" s="4"/>
    </row>
    <row r="49" spans="1:15" x14ac:dyDescent="0.2">
      <c r="M49" s="2"/>
    </row>
    <row r="50" spans="1:15" x14ac:dyDescent="0.2">
      <c r="A50" t="s">
        <v>19</v>
      </c>
      <c r="F50" t="s">
        <v>50</v>
      </c>
      <c r="K50" t="s">
        <v>51</v>
      </c>
    </row>
    <row r="52" spans="1:15" x14ac:dyDescent="0.2">
      <c r="A52" t="s">
        <v>1</v>
      </c>
      <c r="B52" t="s">
        <v>2</v>
      </c>
      <c r="C52" t="s">
        <v>3</v>
      </c>
      <c r="D52" t="s">
        <v>4</v>
      </c>
      <c r="E52" t="s">
        <v>5</v>
      </c>
      <c r="F52" t="s">
        <v>1</v>
      </c>
      <c r="G52" t="s">
        <v>2</v>
      </c>
      <c r="H52" t="s">
        <v>3</v>
      </c>
      <c r="I52" t="s">
        <v>4</v>
      </c>
      <c r="J52" t="s">
        <v>5</v>
      </c>
      <c r="K52" t="s">
        <v>1</v>
      </c>
      <c r="L52" t="s">
        <v>2</v>
      </c>
      <c r="M52" t="s">
        <v>3</v>
      </c>
      <c r="N52" t="s">
        <v>4</v>
      </c>
      <c r="O52" t="s">
        <v>5</v>
      </c>
    </row>
    <row r="53" spans="1:15" x14ac:dyDescent="0.2">
      <c r="A53" t="s">
        <v>6</v>
      </c>
      <c r="B53" t="s">
        <v>6</v>
      </c>
      <c r="C53" s="2">
        <v>23033218</v>
      </c>
      <c r="D53">
        <v>5.74</v>
      </c>
      <c r="E53" s="2">
        <v>1114</v>
      </c>
      <c r="F53" t="s">
        <v>6</v>
      </c>
      <c r="G53" t="s">
        <v>6</v>
      </c>
      <c r="H53" s="2">
        <v>14823437</v>
      </c>
      <c r="I53">
        <v>3.0030000000000001</v>
      </c>
      <c r="J53" s="2">
        <v>5041</v>
      </c>
      <c r="K53" t="s">
        <v>6</v>
      </c>
      <c r="L53" t="s">
        <v>6</v>
      </c>
      <c r="M53" s="2">
        <v>52013779</v>
      </c>
      <c r="N53">
        <v>1.06</v>
      </c>
      <c r="O53" s="2">
        <v>8194</v>
      </c>
    </row>
    <row r="54" spans="1:15" x14ac:dyDescent="0.2">
      <c r="A54" t="s">
        <v>13</v>
      </c>
      <c r="B54" t="s">
        <v>6</v>
      </c>
      <c r="C54" s="2">
        <v>1911332</v>
      </c>
      <c r="D54">
        <v>8.1150000000000002</v>
      </c>
      <c r="E54">
        <v>572</v>
      </c>
      <c r="F54" t="s">
        <v>13</v>
      </c>
      <c r="G54" t="s">
        <v>6</v>
      </c>
      <c r="H54" s="2">
        <v>9631967</v>
      </c>
      <c r="I54">
        <v>3.7930000000000001</v>
      </c>
      <c r="J54" s="2">
        <v>3971</v>
      </c>
      <c r="K54" t="s">
        <v>13</v>
      </c>
      <c r="L54" t="s">
        <v>6</v>
      </c>
      <c r="M54" s="2">
        <v>19803985</v>
      </c>
      <c r="N54">
        <v>1.095</v>
      </c>
      <c r="O54" s="2">
        <v>6050</v>
      </c>
    </row>
    <row r="55" spans="1:15" x14ac:dyDescent="0.2">
      <c r="A55" t="s">
        <v>22</v>
      </c>
      <c r="B55" t="s">
        <v>6</v>
      </c>
      <c r="C55" s="2">
        <v>18933</v>
      </c>
      <c r="D55">
        <v>103.203</v>
      </c>
      <c r="E55">
        <v>1</v>
      </c>
      <c r="F55" t="s">
        <v>22</v>
      </c>
      <c r="G55" t="s">
        <v>6</v>
      </c>
      <c r="H55" s="2">
        <v>329435</v>
      </c>
      <c r="I55">
        <v>25.986000000000001</v>
      </c>
      <c r="J55">
        <v>20</v>
      </c>
      <c r="K55" t="s">
        <v>22</v>
      </c>
      <c r="L55" t="s">
        <v>6</v>
      </c>
      <c r="M55" s="2">
        <v>195743</v>
      </c>
      <c r="N55">
        <v>17.547999999999998</v>
      </c>
      <c r="O55">
        <v>25</v>
      </c>
    </row>
    <row r="56" spans="1:15" x14ac:dyDescent="0.2">
      <c r="A56" t="s">
        <v>34</v>
      </c>
      <c r="B56" t="s">
        <v>6</v>
      </c>
      <c r="C56" s="2">
        <v>896573</v>
      </c>
      <c r="D56">
        <v>20.88</v>
      </c>
      <c r="E56">
        <v>69</v>
      </c>
      <c r="F56" t="s">
        <v>34</v>
      </c>
      <c r="G56" t="s">
        <v>6</v>
      </c>
      <c r="H56" s="2">
        <v>1442425</v>
      </c>
      <c r="I56">
        <v>9.843</v>
      </c>
      <c r="J56">
        <v>250</v>
      </c>
      <c r="K56" t="s">
        <v>34</v>
      </c>
      <c r="L56" t="s">
        <v>6</v>
      </c>
      <c r="M56" s="2">
        <v>6705281</v>
      </c>
      <c r="N56">
        <v>3.6120000000000001</v>
      </c>
      <c r="O56">
        <v>511</v>
      </c>
    </row>
    <row r="57" spans="1:15" x14ac:dyDescent="0.2">
      <c r="A57" t="s">
        <v>23</v>
      </c>
      <c r="B57" t="s">
        <v>6</v>
      </c>
      <c r="C57" s="2">
        <v>1089</v>
      </c>
      <c r="D57">
        <v>110</v>
      </c>
      <c r="E57">
        <v>1</v>
      </c>
      <c r="F57" t="s">
        <v>23</v>
      </c>
      <c r="G57" t="s">
        <v>6</v>
      </c>
      <c r="H57">
        <v>743</v>
      </c>
      <c r="I57">
        <v>72.046999999999997</v>
      </c>
      <c r="J57">
        <v>2</v>
      </c>
      <c r="K57" t="s">
        <v>23</v>
      </c>
      <c r="L57" t="s">
        <v>6</v>
      </c>
      <c r="M57" s="2">
        <v>18836</v>
      </c>
      <c r="N57">
        <v>82.387</v>
      </c>
      <c r="O57">
        <v>5</v>
      </c>
    </row>
    <row r="58" spans="1:15" x14ac:dyDescent="0.2">
      <c r="A58" t="s">
        <v>15</v>
      </c>
      <c r="B58" t="s">
        <v>6</v>
      </c>
      <c r="C58" s="2">
        <v>1361615</v>
      </c>
      <c r="D58">
        <v>25.001999999999999</v>
      </c>
      <c r="E58">
        <v>35</v>
      </c>
      <c r="F58" t="s">
        <v>24</v>
      </c>
      <c r="G58" t="s">
        <v>6</v>
      </c>
      <c r="H58" s="2">
        <v>12233</v>
      </c>
      <c r="I58">
        <v>85.272000000000006</v>
      </c>
      <c r="J58">
        <v>2</v>
      </c>
      <c r="K58" t="s">
        <v>24</v>
      </c>
      <c r="L58" t="s">
        <v>6</v>
      </c>
      <c r="M58" s="2">
        <v>44324</v>
      </c>
      <c r="N58">
        <v>69.626999999999995</v>
      </c>
      <c r="O58">
        <v>3</v>
      </c>
    </row>
    <row r="59" spans="1:15" x14ac:dyDescent="0.2">
      <c r="A59" t="s">
        <v>16</v>
      </c>
      <c r="B59" t="s">
        <v>6</v>
      </c>
      <c r="C59" s="2">
        <v>207647</v>
      </c>
      <c r="D59">
        <v>47.508000000000003</v>
      </c>
      <c r="E59">
        <v>10</v>
      </c>
      <c r="F59" t="s">
        <v>15</v>
      </c>
      <c r="G59" t="s">
        <v>6</v>
      </c>
      <c r="H59" s="2">
        <v>565804</v>
      </c>
      <c r="I59">
        <v>14.949</v>
      </c>
      <c r="J59">
        <v>97</v>
      </c>
      <c r="K59" t="s">
        <v>15</v>
      </c>
      <c r="L59" t="s">
        <v>6</v>
      </c>
      <c r="M59" s="2">
        <v>2763086</v>
      </c>
      <c r="N59">
        <v>5.7229999999999999</v>
      </c>
      <c r="O59">
        <v>161</v>
      </c>
    </row>
    <row r="60" spans="1:15" x14ac:dyDescent="0.2">
      <c r="A60" t="s">
        <v>17</v>
      </c>
      <c r="B60" t="s">
        <v>6</v>
      </c>
      <c r="C60" s="2">
        <v>18636029</v>
      </c>
      <c r="D60">
        <v>6.7460000000000004</v>
      </c>
      <c r="E60">
        <v>430</v>
      </c>
      <c r="F60" t="s">
        <v>16</v>
      </c>
      <c r="G60" t="s">
        <v>6</v>
      </c>
      <c r="H60" s="2">
        <v>76597</v>
      </c>
      <c r="I60">
        <v>34.283000000000001</v>
      </c>
      <c r="J60">
        <v>16</v>
      </c>
      <c r="K60" t="s">
        <v>16</v>
      </c>
      <c r="L60" t="s">
        <v>6</v>
      </c>
      <c r="M60" s="2">
        <v>383154</v>
      </c>
      <c r="N60">
        <v>21.474</v>
      </c>
      <c r="O60">
        <v>30</v>
      </c>
    </row>
    <row r="61" spans="1:15" x14ac:dyDescent="0.2">
      <c r="A61" t="s">
        <v>6</v>
      </c>
      <c r="B61" t="s">
        <v>35</v>
      </c>
      <c r="C61" s="2">
        <v>1497820</v>
      </c>
      <c r="D61">
        <v>22.928000000000001</v>
      </c>
      <c r="E61">
        <v>47</v>
      </c>
      <c r="F61" t="s">
        <v>17</v>
      </c>
      <c r="G61" t="s">
        <v>6</v>
      </c>
      <c r="H61" s="2">
        <v>2764233</v>
      </c>
      <c r="I61">
        <v>6.29</v>
      </c>
      <c r="J61">
        <v>694</v>
      </c>
      <c r="K61" t="s">
        <v>17</v>
      </c>
      <c r="L61" t="s">
        <v>6</v>
      </c>
      <c r="M61" s="2">
        <v>22099369</v>
      </c>
      <c r="N61">
        <v>2.0609999999999999</v>
      </c>
      <c r="O61" s="2">
        <v>1477</v>
      </c>
    </row>
    <row r="62" spans="1:15" x14ac:dyDescent="0.2">
      <c r="A62" t="s">
        <v>6</v>
      </c>
      <c r="B62" t="s">
        <v>36</v>
      </c>
      <c r="C62">
        <v>339</v>
      </c>
      <c r="D62">
        <v>101.373</v>
      </c>
      <c r="E62">
        <v>1</v>
      </c>
      <c r="F62" t="s">
        <v>6</v>
      </c>
      <c r="G62" t="s">
        <v>35</v>
      </c>
      <c r="H62" s="2">
        <v>404984</v>
      </c>
      <c r="I62">
        <v>16.056999999999999</v>
      </c>
      <c r="J62">
        <v>78</v>
      </c>
      <c r="K62" t="s">
        <v>6</v>
      </c>
      <c r="L62" t="s">
        <v>35</v>
      </c>
      <c r="M62" s="2">
        <v>2791149</v>
      </c>
      <c r="N62">
        <v>8.9459999999999997</v>
      </c>
      <c r="O62">
        <v>158</v>
      </c>
    </row>
    <row r="63" spans="1:15" x14ac:dyDescent="0.2">
      <c r="A63" t="s">
        <v>6</v>
      </c>
      <c r="B63" t="s">
        <v>37</v>
      </c>
      <c r="C63" s="2">
        <v>18382</v>
      </c>
      <c r="D63">
        <v>39.679000000000002</v>
      </c>
      <c r="E63">
        <v>13</v>
      </c>
      <c r="F63" t="s">
        <v>6</v>
      </c>
      <c r="G63" t="s">
        <v>36</v>
      </c>
      <c r="H63" s="2">
        <v>12047</v>
      </c>
      <c r="I63">
        <v>48.607999999999997</v>
      </c>
      <c r="J63">
        <v>9</v>
      </c>
      <c r="K63" t="s">
        <v>6</v>
      </c>
      <c r="L63" t="s">
        <v>36</v>
      </c>
      <c r="M63" s="2">
        <v>60809</v>
      </c>
      <c r="N63">
        <v>35.831000000000003</v>
      </c>
      <c r="O63">
        <v>10</v>
      </c>
    </row>
    <row r="64" spans="1:15" x14ac:dyDescent="0.2">
      <c r="A64" t="s">
        <v>6</v>
      </c>
      <c r="B64" t="s">
        <v>38</v>
      </c>
      <c r="C64" s="2">
        <v>92402</v>
      </c>
      <c r="D64">
        <v>24.135999999999999</v>
      </c>
      <c r="E64">
        <v>39</v>
      </c>
      <c r="F64" t="s">
        <v>6</v>
      </c>
      <c r="G64" t="s">
        <v>46</v>
      </c>
      <c r="H64" s="2">
        <v>17308</v>
      </c>
      <c r="I64">
        <v>65.918000000000006</v>
      </c>
      <c r="J64">
        <v>2</v>
      </c>
      <c r="K64" t="s">
        <v>6</v>
      </c>
      <c r="L64" t="s">
        <v>46</v>
      </c>
      <c r="M64" s="2">
        <v>13294</v>
      </c>
      <c r="N64">
        <v>58.777999999999999</v>
      </c>
      <c r="O64">
        <v>3</v>
      </c>
    </row>
    <row r="65" spans="1:15" x14ac:dyDescent="0.2">
      <c r="A65" t="s">
        <v>6</v>
      </c>
      <c r="B65" t="s">
        <v>39</v>
      </c>
      <c r="C65" s="2">
        <v>11705084</v>
      </c>
      <c r="D65">
        <v>9.2750000000000004</v>
      </c>
      <c r="E65">
        <v>213</v>
      </c>
      <c r="F65" t="s">
        <v>6</v>
      </c>
      <c r="G65" t="s">
        <v>37</v>
      </c>
      <c r="H65" s="2">
        <v>17110</v>
      </c>
      <c r="I65">
        <v>50.027000000000001</v>
      </c>
      <c r="J65">
        <v>9</v>
      </c>
      <c r="K65" t="s">
        <v>6</v>
      </c>
      <c r="L65" t="s">
        <v>37</v>
      </c>
      <c r="M65" s="2">
        <v>31668</v>
      </c>
      <c r="N65">
        <v>27.986000000000001</v>
      </c>
      <c r="O65">
        <v>79</v>
      </c>
    </row>
    <row r="66" spans="1:15" x14ac:dyDescent="0.2">
      <c r="A66" t="s">
        <v>6</v>
      </c>
      <c r="B66" t="s">
        <v>40</v>
      </c>
      <c r="C66" s="2">
        <v>5254755</v>
      </c>
      <c r="D66">
        <v>12.811999999999999</v>
      </c>
      <c r="E66">
        <v>209</v>
      </c>
      <c r="F66" t="s">
        <v>6</v>
      </c>
      <c r="G66" t="s">
        <v>38</v>
      </c>
      <c r="H66" s="2">
        <v>74764</v>
      </c>
      <c r="I66">
        <v>21.888000000000002</v>
      </c>
      <c r="J66">
        <v>55</v>
      </c>
      <c r="K66" t="s">
        <v>6</v>
      </c>
      <c r="L66" t="s">
        <v>38</v>
      </c>
      <c r="M66" s="2">
        <v>330476</v>
      </c>
      <c r="N66">
        <v>11.007</v>
      </c>
      <c r="O66">
        <v>317</v>
      </c>
    </row>
    <row r="67" spans="1:15" x14ac:dyDescent="0.2">
      <c r="A67" t="s">
        <v>6</v>
      </c>
      <c r="B67" t="s">
        <v>41</v>
      </c>
      <c r="C67" s="2">
        <v>925060</v>
      </c>
      <c r="D67">
        <v>14.503</v>
      </c>
      <c r="E67">
        <v>194</v>
      </c>
      <c r="F67" t="s">
        <v>6</v>
      </c>
      <c r="G67" t="s">
        <v>47</v>
      </c>
      <c r="H67" s="2">
        <v>4387</v>
      </c>
      <c r="I67">
        <v>84.694999999999993</v>
      </c>
      <c r="J67">
        <v>3</v>
      </c>
      <c r="K67" t="s">
        <v>6</v>
      </c>
      <c r="L67" t="s">
        <v>47</v>
      </c>
      <c r="M67" s="2">
        <v>37993</v>
      </c>
      <c r="N67">
        <v>42.308</v>
      </c>
      <c r="O67">
        <v>11</v>
      </c>
    </row>
    <row r="68" spans="1:15" x14ac:dyDescent="0.2">
      <c r="A68" t="s">
        <v>6</v>
      </c>
      <c r="B68" t="s">
        <v>42</v>
      </c>
      <c r="C68" s="2">
        <v>1805614</v>
      </c>
      <c r="D68">
        <v>19.393000000000001</v>
      </c>
      <c r="E68">
        <v>71</v>
      </c>
      <c r="F68" t="s">
        <v>6</v>
      </c>
      <c r="G68" t="s">
        <v>39</v>
      </c>
      <c r="H68" s="2">
        <v>2770093</v>
      </c>
      <c r="I68">
        <v>6.5659999999999998</v>
      </c>
      <c r="J68">
        <v>655</v>
      </c>
      <c r="K68" t="s">
        <v>6</v>
      </c>
      <c r="L68" t="s">
        <v>39</v>
      </c>
      <c r="M68" s="2">
        <v>18287397</v>
      </c>
      <c r="N68">
        <v>3.2690000000000001</v>
      </c>
      <c r="O68">
        <v>972</v>
      </c>
    </row>
    <row r="69" spans="1:15" x14ac:dyDescent="0.2">
      <c r="A69" t="s">
        <v>6</v>
      </c>
      <c r="B69" t="s">
        <v>43</v>
      </c>
      <c r="C69" s="2">
        <v>144614</v>
      </c>
      <c r="D69">
        <v>36.838999999999999</v>
      </c>
      <c r="E69">
        <v>12</v>
      </c>
      <c r="F69" t="s">
        <v>6</v>
      </c>
      <c r="G69" t="s">
        <v>40</v>
      </c>
      <c r="H69" s="2">
        <v>5603267</v>
      </c>
      <c r="I69">
        <v>5.8209999999999997</v>
      </c>
      <c r="J69" s="2">
        <v>1544</v>
      </c>
      <c r="K69" t="s">
        <v>6</v>
      </c>
      <c r="L69" t="s">
        <v>40</v>
      </c>
      <c r="M69" s="2">
        <v>15136967</v>
      </c>
      <c r="N69">
        <v>2.8130000000000002</v>
      </c>
      <c r="O69" s="2">
        <v>2071</v>
      </c>
    </row>
    <row r="70" spans="1:15" x14ac:dyDescent="0.2">
      <c r="A70" t="s">
        <v>6</v>
      </c>
      <c r="B70" t="s">
        <v>44</v>
      </c>
      <c r="C70" s="2">
        <v>343543</v>
      </c>
      <c r="D70">
        <v>27.698</v>
      </c>
      <c r="E70">
        <v>58</v>
      </c>
      <c r="F70" t="s">
        <v>6</v>
      </c>
      <c r="G70" t="s">
        <v>41</v>
      </c>
      <c r="H70" s="2">
        <v>1296402</v>
      </c>
      <c r="I70">
        <v>8.6959999999999997</v>
      </c>
      <c r="J70">
        <v>714</v>
      </c>
      <c r="K70" t="s">
        <v>6</v>
      </c>
      <c r="L70" t="s">
        <v>41</v>
      </c>
      <c r="M70" s="2">
        <v>3404808</v>
      </c>
      <c r="N70">
        <v>3.5449999999999999</v>
      </c>
      <c r="O70" s="2">
        <v>1309</v>
      </c>
    </row>
    <row r="71" spans="1:15" x14ac:dyDescent="0.2">
      <c r="A71" t="s">
        <v>6</v>
      </c>
      <c r="B71" t="s">
        <v>45</v>
      </c>
      <c r="C71" s="2">
        <v>1245605</v>
      </c>
      <c r="D71">
        <v>12.414</v>
      </c>
      <c r="E71">
        <v>257</v>
      </c>
      <c r="F71" t="s">
        <v>6</v>
      </c>
      <c r="G71" t="s">
        <v>42</v>
      </c>
      <c r="H71" s="2">
        <v>2086622</v>
      </c>
      <c r="I71">
        <v>9.59</v>
      </c>
      <c r="J71">
        <v>483</v>
      </c>
      <c r="K71" t="s">
        <v>6</v>
      </c>
      <c r="L71" t="s">
        <v>42</v>
      </c>
      <c r="M71" s="2">
        <v>5256591</v>
      </c>
      <c r="N71">
        <v>5.0609999999999999</v>
      </c>
      <c r="O71">
        <v>656</v>
      </c>
    </row>
    <row r="72" spans="1:15" x14ac:dyDescent="0.2">
      <c r="F72" t="s">
        <v>6</v>
      </c>
      <c r="G72" t="s">
        <v>43</v>
      </c>
      <c r="H72" s="2">
        <v>73914</v>
      </c>
      <c r="I72">
        <v>28.492000000000001</v>
      </c>
      <c r="J72">
        <v>28</v>
      </c>
      <c r="K72" t="s">
        <v>6</v>
      </c>
      <c r="L72" t="s">
        <v>43</v>
      </c>
      <c r="M72" s="2">
        <v>406213</v>
      </c>
      <c r="N72">
        <v>17.643999999999998</v>
      </c>
      <c r="O72">
        <v>52</v>
      </c>
    </row>
    <row r="73" spans="1:15" x14ac:dyDescent="0.2">
      <c r="F73" t="s">
        <v>6</v>
      </c>
      <c r="G73" t="s">
        <v>44</v>
      </c>
      <c r="H73" s="2">
        <v>328424</v>
      </c>
      <c r="I73">
        <v>14.013999999999999</v>
      </c>
      <c r="J73">
        <v>178</v>
      </c>
      <c r="K73" t="s">
        <v>6</v>
      </c>
      <c r="L73" t="s">
        <v>44</v>
      </c>
      <c r="M73" s="2">
        <v>772821</v>
      </c>
      <c r="N73">
        <v>7.5110000000000001</v>
      </c>
      <c r="O73">
        <v>354</v>
      </c>
    </row>
    <row r="74" spans="1:15" x14ac:dyDescent="0.2">
      <c r="F74" t="s">
        <v>6</v>
      </c>
      <c r="G74" t="s">
        <v>45</v>
      </c>
      <c r="H74" s="2">
        <v>2134114</v>
      </c>
      <c r="I74">
        <v>6.63</v>
      </c>
      <c r="J74" s="2">
        <v>1283</v>
      </c>
      <c r="K74" t="s">
        <v>6</v>
      </c>
      <c r="L74" t="s">
        <v>45</v>
      </c>
      <c r="M74" s="2">
        <v>5483593</v>
      </c>
      <c r="N74">
        <v>2.2650000000000001</v>
      </c>
      <c r="O74" s="2">
        <v>2202</v>
      </c>
    </row>
    <row r="76" spans="1:15" x14ac:dyDescent="0.2">
      <c r="A76" s="3" t="s">
        <v>53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5"/>
      <c r="N76" s="4"/>
      <c r="O76" s="4"/>
    </row>
    <row r="77" spans="1:15" x14ac:dyDescent="0.2">
      <c r="M77" s="2"/>
    </row>
    <row r="78" spans="1:15" x14ac:dyDescent="0.2">
      <c r="A78" t="s">
        <v>19</v>
      </c>
      <c r="F78" t="s">
        <v>50</v>
      </c>
      <c r="K78" t="s">
        <v>51</v>
      </c>
    </row>
    <row r="80" spans="1:15" x14ac:dyDescent="0.2">
      <c r="A80" t="s">
        <v>1</v>
      </c>
      <c r="B80" t="s">
        <v>2</v>
      </c>
      <c r="C80" t="s">
        <v>3</v>
      </c>
      <c r="D80" t="s">
        <v>4</v>
      </c>
      <c r="E80" t="s">
        <v>5</v>
      </c>
      <c r="F80" t="s">
        <v>1</v>
      </c>
      <c r="G80" t="s">
        <v>2</v>
      </c>
      <c r="H80" t="s">
        <v>3</v>
      </c>
      <c r="I80" t="s">
        <v>4</v>
      </c>
      <c r="J80" t="s">
        <v>5</v>
      </c>
      <c r="K80" t="s">
        <v>1</v>
      </c>
      <c r="L80" t="s">
        <v>2</v>
      </c>
      <c r="M80" t="s">
        <v>3</v>
      </c>
      <c r="N80" t="s">
        <v>4</v>
      </c>
      <c r="O80" t="s">
        <v>5</v>
      </c>
    </row>
    <row r="81" spans="1:15" x14ac:dyDescent="0.2">
      <c r="A81" t="s">
        <v>6</v>
      </c>
      <c r="B81" t="s">
        <v>6</v>
      </c>
      <c r="C81" s="2">
        <v>19934521</v>
      </c>
      <c r="D81">
        <v>6.6050000000000004</v>
      </c>
      <c r="E81">
        <v>630</v>
      </c>
      <c r="F81" t="s">
        <v>6</v>
      </c>
      <c r="G81" t="s">
        <v>6</v>
      </c>
      <c r="H81" s="2">
        <v>19091489</v>
      </c>
      <c r="I81">
        <v>3.2949999999999999</v>
      </c>
      <c r="J81" s="2">
        <v>3331</v>
      </c>
      <c r="K81" t="s">
        <v>6</v>
      </c>
      <c r="L81" t="s">
        <v>6</v>
      </c>
      <c r="M81" s="2">
        <v>44720707</v>
      </c>
      <c r="N81">
        <v>1.194</v>
      </c>
      <c r="O81" s="2">
        <v>4495</v>
      </c>
    </row>
    <row r="82" spans="1:15" x14ac:dyDescent="0.2">
      <c r="A82" t="s">
        <v>13</v>
      </c>
      <c r="B82" t="s">
        <v>6</v>
      </c>
      <c r="C82" s="2">
        <v>666983</v>
      </c>
      <c r="D82">
        <v>14.553000000000001</v>
      </c>
      <c r="E82">
        <v>181</v>
      </c>
      <c r="F82" t="s">
        <v>13</v>
      </c>
      <c r="G82" t="s">
        <v>6</v>
      </c>
      <c r="H82" s="2">
        <v>9852908</v>
      </c>
      <c r="I82">
        <v>5.0369999999999999</v>
      </c>
      <c r="J82" s="2">
        <v>2154</v>
      </c>
      <c r="K82" t="s">
        <v>13</v>
      </c>
      <c r="L82" t="s">
        <v>6</v>
      </c>
      <c r="M82" s="2">
        <v>12976595</v>
      </c>
      <c r="N82">
        <v>1.6319999999999999</v>
      </c>
      <c r="O82" s="2">
        <v>2712</v>
      </c>
    </row>
    <row r="83" spans="1:15" x14ac:dyDescent="0.2">
      <c r="A83" t="s">
        <v>34</v>
      </c>
      <c r="B83" t="s">
        <v>6</v>
      </c>
      <c r="C83" s="2">
        <v>40692</v>
      </c>
      <c r="D83">
        <v>97.128</v>
      </c>
      <c r="E83">
        <v>1</v>
      </c>
      <c r="F83" t="s">
        <v>22</v>
      </c>
      <c r="G83" t="s">
        <v>6</v>
      </c>
      <c r="H83" s="2">
        <v>1826817</v>
      </c>
      <c r="I83">
        <v>10.632</v>
      </c>
      <c r="J83">
        <v>106</v>
      </c>
      <c r="K83" t="s">
        <v>22</v>
      </c>
      <c r="L83" t="s">
        <v>6</v>
      </c>
      <c r="M83" s="2">
        <v>2139165</v>
      </c>
      <c r="N83">
        <v>6.649</v>
      </c>
      <c r="O83">
        <v>117</v>
      </c>
    </row>
    <row r="84" spans="1:15" x14ac:dyDescent="0.2">
      <c r="A84" t="s">
        <v>23</v>
      </c>
      <c r="B84" t="s">
        <v>6</v>
      </c>
      <c r="C84" s="2">
        <v>55489</v>
      </c>
      <c r="D84">
        <v>66.186999999999998</v>
      </c>
      <c r="E84">
        <v>4</v>
      </c>
      <c r="F84" t="s">
        <v>34</v>
      </c>
      <c r="G84" t="s">
        <v>6</v>
      </c>
      <c r="H84" s="2">
        <v>56385</v>
      </c>
      <c r="I84">
        <v>54.146999999999998</v>
      </c>
      <c r="J84">
        <v>9</v>
      </c>
      <c r="K84" t="s">
        <v>34</v>
      </c>
      <c r="L84" t="s">
        <v>6</v>
      </c>
      <c r="M84" s="2">
        <v>72544</v>
      </c>
      <c r="N84">
        <v>34.189</v>
      </c>
      <c r="O84">
        <v>12</v>
      </c>
    </row>
    <row r="85" spans="1:15" x14ac:dyDescent="0.2">
      <c r="A85" t="s">
        <v>14</v>
      </c>
      <c r="B85" t="s">
        <v>6</v>
      </c>
      <c r="C85" s="2">
        <v>22814</v>
      </c>
      <c r="D85">
        <v>84.471999999999994</v>
      </c>
      <c r="E85">
        <v>1</v>
      </c>
      <c r="F85" t="s">
        <v>23</v>
      </c>
      <c r="G85" t="s">
        <v>6</v>
      </c>
      <c r="H85" s="2">
        <v>103582</v>
      </c>
      <c r="I85">
        <v>42.073</v>
      </c>
      <c r="J85">
        <v>9</v>
      </c>
      <c r="K85" t="s">
        <v>23</v>
      </c>
      <c r="L85" t="s">
        <v>6</v>
      </c>
      <c r="M85" s="2">
        <v>275108</v>
      </c>
      <c r="N85">
        <v>26.446000000000002</v>
      </c>
      <c r="O85">
        <v>14</v>
      </c>
    </row>
    <row r="86" spans="1:15" x14ac:dyDescent="0.2">
      <c r="A86" t="s">
        <v>15</v>
      </c>
      <c r="B86" t="s">
        <v>6</v>
      </c>
      <c r="C86" s="2">
        <v>3820584</v>
      </c>
      <c r="D86">
        <v>18.338999999999999</v>
      </c>
      <c r="E86">
        <v>82</v>
      </c>
      <c r="F86" t="s">
        <v>14</v>
      </c>
      <c r="G86" t="s">
        <v>6</v>
      </c>
      <c r="H86" s="2">
        <v>77458</v>
      </c>
      <c r="I86">
        <v>46.156999999999996</v>
      </c>
      <c r="J86">
        <v>10</v>
      </c>
      <c r="K86" t="s">
        <v>14</v>
      </c>
      <c r="L86" t="s">
        <v>6</v>
      </c>
      <c r="M86" s="2">
        <v>319146</v>
      </c>
      <c r="N86">
        <v>30.032</v>
      </c>
      <c r="O86">
        <v>11</v>
      </c>
    </row>
    <row r="87" spans="1:15" x14ac:dyDescent="0.2">
      <c r="A87" t="s">
        <v>16</v>
      </c>
      <c r="B87" t="s">
        <v>6</v>
      </c>
      <c r="C87" s="2">
        <v>158362</v>
      </c>
      <c r="D87">
        <v>65.540999999999997</v>
      </c>
      <c r="E87">
        <v>5</v>
      </c>
      <c r="F87" t="s">
        <v>24</v>
      </c>
      <c r="G87" t="s">
        <v>6</v>
      </c>
      <c r="H87" s="2">
        <v>85847</v>
      </c>
      <c r="I87">
        <v>46.201999999999998</v>
      </c>
      <c r="J87">
        <v>5</v>
      </c>
      <c r="K87" t="s">
        <v>24</v>
      </c>
      <c r="L87" t="s">
        <v>6</v>
      </c>
      <c r="M87" s="2">
        <v>51930</v>
      </c>
      <c r="N87">
        <v>103.63</v>
      </c>
      <c r="O87">
        <v>6</v>
      </c>
    </row>
    <row r="88" spans="1:15" x14ac:dyDescent="0.2">
      <c r="A88" t="s">
        <v>17</v>
      </c>
      <c r="B88" t="s">
        <v>6</v>
      </c>
      <c r="C88" s="2">
        <v>15169597</v>
      </c>
      <c r="D88">
        <v>7.3079999999999998</v>
      </c>
      <c r="E88">
        <v>357</v>
      </c>
      <c r="F88" t="s">
        <v>15</v>
      </c>
      <c r="G88" t="s">
        <v>6</v>
      </c>
      <c r="H88" s="2">
        <v>2250273</v>
      </c>
      <c r="I88">
        <v>8.9160000000000004</v>
      </c>
      <c r="J88">
        <v>274</v>
      </c>
      <c r="K88" t="s">
        <v>15</v>
      </c>
      <c r="L88" t="s">
        <v>6</v>
      </c>
      <c r="M88" s="2">
        <v>6808541</v>
      </c>
      <c r="N88">
        <v>3.9159999999999999</v>
      </c>
      <c r="O88">
        <v>393</v>
      </c>
    </row>
    <row r="89" spans="1:15" x14ac:dyDescent="0.2">
      <c r="A89" t="s">
        <v>6</v>
      </c>
      <c r="B89" t="s">
        <v>54</v>
      </c>
      <c r="C89" s="2">
        <v>3474160</v>
      </c>
      <c r="D89">
        <v>18.640999999999998</v>
      </c>
      <c r="E89">
        <v>73</v>
      </c>
      <c r="F89" t="s">
        <v>16</v>
      </c>
      <c r="G89" t="s">
        <v>6</v>
      </c>
      <c r="H89" s="2">
        <v>362080</v>
      </c>
      <c r="I89">
        <v>23.385000000000002</v>
      </c>
      <c r="J89">
        <v>40</v>
      </c>
      <c r="K89" t="s">
        <v>16</v>
      </c>
      <c r="L89" t="s">
        <v>6</v>
      </c>
      <c r="M89" s="2">
        <v>975116</v>
      </c>
      <c r="N89">
        <v>16.417999999999999</v>
      </c>
      <c r="O89">
        <v>53</v>
      </c>
    </row>
    <row r="90" spans="1:15" x14ac:dyDescent="0.2">
      <c r="A90" t="s">
        <v>6</v>
      </c>
      <c r="B90" t="s">
        <v>35</v>
      </c>
      <c r="C90" s="2">
        <v>39147</v>
      </c>
      <c r="D90">
        <v>92.787999999999997</v>
      </c>
      <c r="E90">
        <v>1</v>
      </c>
      <c r="F90" t="s">
        <v>57</v>
      </c>
      <c r="G90" t="s">
        <v>6</v>
      </c>
      <c r="H90" s="2">
        <v>1476</v>
      </c>
      <c r="I90">
        <v>107.795</v>
      </c>
      <c r="J90">
        <v>1</v>
      </c>
      <c r="K90" t="s">
        <v>57</v>
      </c>
      <c r="L90" t="s">
        <v>6</v>
      </c>
      <c r="M90" s="2">
        <v>50644</v>
      </c>
      <c r="N90">
        <v>74.525999999999996</v>
      </c>
      <c r="O90">
        <v>2</v>
      </c>
    </row>
    <row r="91" spans="1:15" x14ac:dyDescent="0.2">
      <c r="A91" t="s">
        <v>6</v>
      </c>
      <c r="B91" t="s">
        <v>46</v>
      </c>
      <c r="C91" s="2">
        <v>19032</v>
      </c>
      <c r="D91">
        <v>98.602000000000004</v>
      </c>
      <c r="E91">
        <v>1</v>
      </c>
      <c r="F91" t="s">
        <v>17</v>
      </c>
      <c r="G91" t="s">
        <v>6</v>
      </c>
      <c r="H91" s="2">
        <v>4474663</v>
      </c>
      <c r="I91">
        <v>5.7320000000000002</v>
      </c>
      <c r="J91">
        <v>733</v>
      </c>
      <c r="K91" t="s">
        <v>17</v>
      </c>
      <c r="L91" t="s">
        <v>6</v>
      </c>
      <c r="M91" s="2">
        <v>21051917</v>
      </c>
      <c r="N91">
        <v>2.097</v>
      </c>
      <c r="O91" s="2">
        <v>1204</v>
      </c>
    </row>
    <row r="92" spans="1:15" x14ac:dyDescent="0.2">
      <c r="A92" t="s">
        <v>6</v>
      </c>
      <c r="B92" t="s">
        <v>47</v>
      </c>
      <c r="C92" s="2">
        <v>89522</v>
      </c>
      <c r="D92">
        <v>39.747</v>
      </c>
      <c r="E92">
        <v>13</v>
      </c>
      <c r="F92" t="s">
        <v>6</v>
      </c>
      <c r="G92" t="s">
        <v>54</v>
      </c>
      <c r="H92" s="2">
        <v>1261118</v>
      </c>
      <c r="I92">
        <v>12.111000000000001</v>
      </c>
      <c r="J92">
        <v>190</v>
      </c>
      <c r="K92" t="s">
        <v>6</v>
      </c>
      <c r="L92" t="s">
        <v>54</v>
      </c>
      <c r="M92" s="2">
        <v>5837585</v>
      </c>
      <c r="N92">
        <v>6.0960000000000001</v>
      </c>
      <c r="O92">
        <v>281</v>
      </c>
    </row>
    <row r="93" spans="1:15" x14ac:dyDescent="0.2">
      <c r="A93" t="s">
        <v>6</v>
      </c>
      <c r="B93" t="s">
        <v>39</v>
      </c>
      <c r="C93" s="2">
        <v>7396570</v>
      </c>
      <c r="D93">
        <v>12.616</v>
      </c>
      <c r="E93">
        <v>144</v>
      </c>
      <c r="F93" t="s">
        <v>6</v>
      </c>
      <c r="G93" t="s">
        <v>35</v>
      </c>
      <c r="H93" s="2">
        <v>10665</v>
      </c>
      <c r="I93">
        <v>79.849000000000004</v>
      </c>
      <c r="J93">
        <v>4</v>
      </c>
      <c r="K93" t="s">
        <v>6</v>
      </c>
      <c r="L93" t="s">
        <v>35</v>
      </c>
      <c r="M93" s="2">
        <v>142183</v>
      </c>
      <c r="N93">
        <v>37.314</v>
      </c>
      <c r="O93">
        <v>7</v>
      </c>
    </row>
    <row r="94" spans="1:15" x14ac:dyDescent="0.2">
      <c r="A94" t="s">
        <v>6</v>
      </c>
      <c r="B94" t="s">
        <v>40</v>
      </c>
      <c r="C94" s="2">
        <v>4265989</v>
      </c>
      <c r="D94">
        <v>14.997999999999999</v>
      </c>
      <c r="E94">
        <v>95</v>
      </c>
      <c r="F94" t="s">
        <v>6</v>
      </c>
      <c r="G94" t="s">
        <v>46</v>
      </c>
      <c r="H94" s="2">
        <v>21976</v>
      </c>
      <c r="I94">
        <v>44.935000000000002</v>
      </c>
      <c r="J94">
        <v>5</v>
      </c>
      <c r="K94" t="s">
        <v>6</v>
      </c>
      <c r="L94" t="s">
        <v>46</v>
      </c>
      <c r="M94" s="2">
        <v>33403</v>
      </c>
      <c r="N94">
        <v>41.555</v>
      </c>
      <c r="O94">
        <v>9</v>
      </c>
    </row>
    <row r="95" spans="1:15" x14ac:dyDescent="0.2">
      <c r="A95" t="s">
        <v>6</v>
      </c>
      <c r="B95" t="s">
        <v>41</v>
      </c>
      <c r="C95" s="2">
        <v>963271</v>
      </c>
      <c r="D95">
        <v>22.481000000000002</v>
      </c>
      <c r="E95">
        <v>51</v>
      </c>
      <c r="F95" t="s">
        <v>6</v>
      </c>
      <c r="G95" t="s">
        <v>47</v>
      </c>
      <c r="H95" s="2">
        <v>200603</v>
      </c>
      <c r="I95">
        <v>26.581</v>
      </c>
      <c r="J95">
        <v>32</v>
      </c>
      <c r="K95" t="s">
        <v>6</v>
      </c>
      <c r="L95" t="s">
        <v>47</v>
      </c>
      <c r="M95" s="2">
        <v>346691</v>
      </c>
      <c r="N95">
        <v>14.999000000000001</v>
      </c>
      <c r="O95">
        <v>67</v>
      </c>
    </row>
    <row r="96" spans="1:15" x14ac:dyDescent="0.2">
      <c r="A96" t="s">
        <v>6</v>
      </c>
      <c r="B96" t="s">
        <v>55</v>
      </c>
      <c r="C96" s="2">
        <v>1854961</v>
      </c>
      <c r="D96">
        <v>23.914999999999999</v>
      </c>
      <c r="E96">
        <v>89</v>
      </c>
      <c r="F96" t="s">
        <v>6</v>
      </c>
      <c r="G96" t="s">
        <v>39</v>
      </c>
      <c r="H96" s="2">
        <v>4069434</v>
      </c>
      <c r="I96">
        <v>6.9669999999999996</v>
      </c>
      <c r="J96">
        <v>513</v>
      </c>
      <c r="K96" t="s">
        <v>6</v>
      </c>
      <c r="L96" t="s">
        <v>39</v>
      </c>
      <c r="M96" s="2">
        <v>12969080</v>
      </c>
      <c r="N96">
        <v>4.07</v>
      </c>
      <c r="O96">
        <v>682</v>
      </c>
    </row>
    <row r="97" spans="1:15" x14ac:dyDescent="0.2">
      <c r="A97" t="s">
        <v>6</v>
      </c>
      <c r="B97" t="s">
        <v>45</v>
      </c>
      <c r="C97" s="2">
        <v>46027</v>
      </c>
      <c r="D97">
        <v>41.97</v>
      </c>
      <c r="E97">
        <v>13</v>
      </c>
      <c r="F97" t="s">
        <v>6</v>
      </c>
      <c r="G97" t="s">
        <v>40</v>
      </c>
      <c r="H97" s="2">
        <v>3124014</v>
      </c>
      <c r="I97">
        <v>9.8469999999999995</v>
      </c>
      <c r="J97">
        <v>630</v>
      </c>
      <c r="K97" t="s">
        <v>6</v>
      </c>
      <c r="L97" t="s">
        <v>40</v>
      </c>
      <c r="M97" s="2">
        <v>9901692</v>
      </c>
      <c r="N97">
        <v>4.3520000000000003</v>
      </c>
      <c r="O97">
        <v>831</v>
      </c>
    </row>
    <row r="98" spans="1:15" x14ac:dyDescent="0.2">
      <c r="A98" t="s">
        <v>6</v>
      </c>
      <c r="B98" t="s">
        <v>56</v>
      </c>
      <c r="C98" s="2">
        <v>1785842</v>
      </c>
      <c r="D98">
        <v>12.856</v>
      </c>
      <c r="E98">
        <v>150</v>
      </c>
      <c r="F98" t="s">
        <v>6</v>
      </c>
      <c r="G98" t="s">
        <v>41</v>
      </c>
      <c r="H98" s="2">
        <v>1411368</v>
      </c>
      <c r="I98">
        <v>12.33</v>
      </c>
      <c r="J98">
        <v>246</v>
      </c>
      <c r="K98" t="s">
        <v>6</v>
      </c>
      <c r="L98" t="s">
        <v>41</v>
      </c>
      <c r="M98" s="2">
        <v>2312993</v>
      </c>
      <c r="N98">
        <v>7.2530000000000001</v>
      </c>
      <c r="O98">
        <v>347</v>
      </c>
    </row>
    <row r="99" spans="1:15" x14ac:dyDescent="0.2">
      <c r="F99" t="s">
        <v>6</v>
      </c>
      <c r="G99" t="s">
        <v>55</v>
      </c>
      <c r="H99" s="2">
        <v>6100114</v>
      </c>
      <c r="I99">
        <v>6.7539999999999996</v>
      </c>
      <c r="J99">
        <v>992</v>
      </c>
      <c r="K99" t="s">
        <v>6</v>
      </c>
      <c r="L99" t="s">
        <v>55</v>
      </c>
      <c r="M99" s="2">
        <v>7965208</v>
      </c>
      <c r="N99">
        <v>4.2469999999999999</v>
      </c>
      <c r="O99" s="2">
        <v>1293</v>
      </c>
    </row>
    <row r="100" spans="1:15" x14ac:dyDescent="0.2">
      <c r="F100" t="s">
        <v>6</v>
      </c>
      <c r="G100" t="s">
        <v>45</v>
      </c>
      <c r="H100" s="2">
        <v>722883</v>
      </c>
      <c r="I100">
        <v>26.41</v>
      </c>
      <c r="J100">
        <v>74</v>
      </c>
      <c r="K100" t="s">
        <v>6</v>
      </c>
      <c r="L100" t="s">
        <v>45</v>
      </c>
      <c r="M100" s="2">
        <v>341353</v>
      </c>
      <c r="N100">
        <v>13.585000000000001</v>
      </c>
      <c r="O100">
        <v>94</v>
      </c>
    </row>
    <row r="101" spans="1:15" x14ac:dyDescent="0.2">
      <c r="F101" t="s">
        <v>6</v>
      </c>
      <c r="G101" t="s">
        <v>56</v>
      </c>
      <c r="H101" s="2">
        <v>2169313</v>
      </c>
      <c r="I101">
        <v>7.35</v>
      </c>
      <c r="J101">
        <v>645</v>
      </c>
      <c r="K101" t="s">
        <v>6</v>
      </c>
      <c r="L101" t="s">
        <v>56</v>
      </c>
      <c r="M101" s="2">
        <v>4870520</v>
      </c>
      <c r="N101">
        <v>3.7570000000000001</v>
      </c>
      <c r="O101">
        <v>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43450-CB9F-F94A-A854-7E83C6B83E31}">
  <dimension ref="A1:M260"/>
  <sheetViews>
    <sheetView topLeftCell="A203" workbookViewId="0">
      <selection activeCell="B231" sqref="B231"/>
    </sheetView>
  </sheetViews>
  <sheetFormatPr baseColWidth="10" defaultRowHeight="16" x14ac:dyDescent="0.2"/>
  <cols>
    <col min="1" max="1" width="30.5" customWidth="1"/>
    <col min="2" max="2" width="28.1640625" customWidth="1"/>
    <col min="3" max="3" width="21.6640625" customWidth="1"/>
    <col min="4" max="4" width="21" customWidth="1"/>
    <col min="5" max="5" width="17.5" customWidth="1"/>
    <col min="6" max="6" width="24.5" customWidth="1"/>
    <col min="7" max="7" width="18.33203125" customWidth="1"/>
    <col min="8" max="8" width="16.1640625" customWidth="1"/>
  </cols>
  <sheetData>
    <row r="1" spans="1:13" x14ac:dyDescent="0.2">
      <c r="A1" t="s">
        <v>60</v>
      </c>
    </row>
    <row r="2" spans="1:13" x14ac:dyDescent="0.2">
      <c r="A2" t="s">
        <v>61</v>
      </c>
    </row>
    <row r="4" spans="1:13" x14ac:dyDescent="0.2">
      <c r="A4" s="12" t="s">
        <v>130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6" spans="1:13" x14ac:dyDescent="0.2">
      <c r="B6" s="14" t="s">
        <v>113</v>
      </c>
      <c r="C6" s="14" t="s">
        <v>114</v>
      </c>
    </row>
    <row r="7" spans="1:13" x14ac:dyDescent="0.2">
      <c r="A7" t="s">
        <v>33</v>
      </c>
      <c r="B7" s="2">
        <v>23033218</v>
      </c>
      <c r="C7" s="2">
        <f>B7*0.5*0.907185*3.67</f>
        <v>38343040.413890548</v>
      </c>
    </row>
    <row r="8" spans="1:13" x14ac:dyDescent="0.2">
      <c r="A8" t="s">
        <v>53</v>
      </c>
      <c r="B8" s="2">
        <v>19934521</v>
      </c>
      <c r="C8" s="2">
        <f t="shared" ref="C8:C10" si="0">B8*0.5*0.907185*3.67</f>
        <v>33184687.625261474</v>
      </c>
    </row>
    <row r="9" spans="1:13" x14ac:dyDescent="0.2">
      <c r="A9" t="s">
        <v>0</v>
      </c>
      <c r="B9" s="2">
        <v>11144856</v>
      </c>
      <c r="C9" s="2">
        <f t="shared" si="0"/>
        <v>18552668.759310599</v>
      </c>
    </row>
    <row r="10" spans="1:13" x14ac:dyDescent="0.2">
      <c r="A10" t="s">
        <v>25</v>
      </c>
      <c r="B10" s="2">
        <v>23173239</v>
      </c>
      <c r="C10" s="2">
        <f t="shared" si="0"/>
        <v>38576131.198764525</v>
      </c>
    </row>
    <row r="12" spans="1:13" x14ac:dyDescent="0.2">
      <c r="A12" s="12" t="s">
        <v>129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4" spans="1:13" x14ac:dyDescent="0.2">
      <c r="A14" s="13" t="s">
        <v>111</v>
      </c>
      <c r="B14" s="79"/>
      <c r="C14" s="79"/>
      <c r="D14" s="79"/>
      <c r="E14" s="79"/>
      <c r="J14" s="14" t="s">
        <v>180</v>
      </c>
      <c r="L14" t="s">
        <v>181</v>
      </c>
    </row>
    <row r="15" spans="1:13" x14ac:dyDescent="0.2">
      <c r="B15" s="18" t="s">
        <v>109</v>
      </c>
      <c r="C15" s="18" t="s">
        <v>110</v>
      </c>
      <c r="D15" s="18" t="s">
        <v>105</v>
      </c>
      <c r="E15" s="18" t="s">
        <v>106</v>
      </c>
      <c r="F15" s="18" t="s">
        <v>108</v>
      </c>
      <c r="G15" s="18" t="s">
        <v>107</v>
      </c>
      <c r="H15" s="18"/>
      <c r="J15" s="18" t="s">
        <v>105</v>
      </c>
      <c r="K15" s="18" t="s">
        <v>108</v>
      </c>
      <c r="L15" s="18" t="s">
        <v>106</v>
      </c>
      <c r="M15" s="18" t="s">
        <v>107</v>
      </c>
    </row>
    <row r="16" spans="1:13" x14ac:dyDescent="0.2">
      <c r="A16" t="s">
        <v>33</v>
      </c>
      <c r="B16" s="24">
        <f>(3824.8/3918.3)</f>
        <v>0.97613761069851723</v>
      </c>
      <c r="C16" s="24">
        <f>1-B16</f>
        <v>2.3862389301482767E-2</v>
      </c>
      <c r="D16" s="24">
        <f>(2801+665)/3918.3</f>
        <v>0.88456728683357577</v>
      </c>
      <c r="E16" s="24">
        <f>(314+44.5)/3918.3+0.0001</f>
        <v>9.1593760049000841E-2</v>
      </c>
      <c r="F16" s="24">
        <f>(50.7+4.6)/3918.3</f>
        <v>1.4113263405048109E-2</v>
      </c>
      <c r="G16" s="24">
        <f>(38+0.2)/3918.3</f>
        <v>9.7491258964346791E-3</v>
      </c>
      <c r="H16" s="24">
        <f>SUM(D16:G16)</f>
        <v>1.0000234361840594</v>
      </c>
      <c r="J16" s="24">
        <v>0.97616104688257666</v>
      </c>
      <c r="K16" s="24">
        <f>F16+G16</f>
        <v>2.3862389301482788E-2</v>
      </c>
      <c r="L16" s="24">
        <v>0.97616104688257666</v>
      </c>
      <c r="M16" s="24">
        <v>2.3862389301482788E-2</v>
      </c>
    </row>
    <row r="17" spans="1:13" x14ac:dyDescent="0.2">
      <c r="A17" t="s">
        <v>53</v>
      </c>
      <c r="B17" s="24">
        <f>1-C17</f>
        <v>0.96</v>
      </c>
      <c r="C17" s="24">
        <v>0.04</v>
      </c>
      <c r="D17" s="24">
        <v>0.80900000000000005</v>
      </c>
      <c r="E17" s="24">
        <f>0.111+0.008+0.031+0.0002</f>
        <v>0.1502</v>
      </c>
      <c r="F17" s="24">
        <v>2.5999999999999999E-2</v>
      </c>
      <c r="G17" s="24">
        <v>1.4800000000000001E-2</v>
      </c>
      <c r="H17" s="24">
        <f t="shared" ref="H17:H19" si="1">SUM(D17:G17)</f>
        <v>1</v>
      </c>
      <c r="J17" s="24">
        <v>0.95920000000000005</v>
      </c>
      <c r="K17" s="24">
        <f t="shared" ref="K17:K19" si="2">F17+G17</f>
        <v>4.0800000000000003E-2</v>
      </c>
      <c r="L17" s="24">
        <v>0.95920000000000005</v>
      </c>
      <c r="M17" s="24">
        <v>4.0800000000000003E-2</v>
      </c>
    </row>
    <row r="18" spans="1:13" x14ac:dyDescent="0.2">
      <c r="A18" t="s">
        <v>0</v>
      </c>
      <c r="B18" s="24">
        <f>(729060+1764665/4.68)/2418300</f>
        <v>0.45739782944224083</v>
      </c>
      <c r="C18" s="24">
        <f>1-B18</f>
        <v>0.54260217055775917</v>
      </c>
      <c r="D18" s="24">
        <f>729060/2418300</f>
        <v>0.30147624364222803</v>
      </c>
      <c r="E18" s="24">
        <f>(1764665/4.68)/2418300</f>
        <v>0.15592158580001278</v>
      </c>
      <c r="F18" s="24">
        <f>209938/2418300</f>
        <v>8.68122234627631E-2</v>
      </c>
      <c r="G18" s="24">
        <f>C18-F18</f>
        <v>0.4557899470949961</v>
      </c>
      <c r="H18" s="24">
        <f t="shared" si="1"/>
        <v>1</v>
      </c>
      <c r="J18" s="24">
        <v>0.45739782944224083</v>
      </c>
      <c r="K18" s="24">
        <f t="shared" si="2"/>
        <v>0.54260217055775917</v>
      </c>
      <c r="L18" s="24">
        <v>0.45739782944224083</v>
      </c>
      <c r="M18" s="24">
        <v>0.54260217055775917</v>
      </c>
    </row>
    <row r="19" spans="1:13" x14ac:dyDescent="0.2">
      <c r="A19" t="s">
        <v>25</v>
      </c>
      <c r="B19" s="24">
        <f>641760/872501</f>
        <v>0.73554070425134188</v>
      </c>
      <c r="C19" s="24">
        <f>1-B19</f>
        <v>0.26445929574865812</v>
      </c>
      <c r="D19" s="24">
        <f>(249248+52838)/872501</f>
        <v>0.34622997566764968</v>
      </c>
      <c r="E19" s="24">
        <f>(50499+41390+3279+244507)/872501</f>
        <v>0.38931187471418371</v>
      </c>
      <c r="F19" s="24">
        <f>(135233+3020)/872501</f>
        <v>0.15845597884701565</v>
      </c>
      <c r="G19" s="24">
        <f>(59112+9891+23484)/872501</f>
        <v>0.10600217077115098</v>
      </c>
      <c r="H19" s="24">
        <f t="shared" si="1"/>
        <v>1</v>
      </c>
      <c r="J19" s="24">
        <v>0.7355418503818334</v>
      </c>
      <c r="K19" s="24">
        <f t="shared" si="2"/>
        <v>0.2644581496181666</v>
      </c>
      <c r="L19" s="24">
        <v>0.7355418503818334</v>
      </c>
      <c r="M19" s="24">
        <v>0.2644581496181666</v>
      </c>
    </row>
    <row r="21" spans="1:13" x14ac:dyDescent="0.2">
      <c r="A21" s="13" t="s">
        <v>112</v>
      </c>
      <c r="J21" s="18" t="s">
        <v>186</v>
      </c>
      <c r="L21" s="18" t="s">
        <v>187</v>
      </c>
    </row>
    <row r="22" spans="1:13" x14ac:dyDescent="0.2">
      <c r="D22" s="18" t="s">
        <v>105</v>
      </c>
      <c r="E22" s="18" t="s">
        <v>106</v>
      </c>
      <c r="F22" s="18" t="s">
        <v>108</v>
      </c>
      <c r="G22" s="18" t="s">
        <v>107</v>
      </c>
      <c r="I22" s="14" t="s">
        <v>182</v>
      </c>
      <c r="J22" s="2">
        <f>J16*$C7*D23+K16*$C7*F23</f>
        <v>15497849.838046758</v>
      </c>
      <c r="L22" s="2">
        <f>L16*$C7*E23+M16*$C7*G23</f>
        <v>3033998.6751756696</v>
      </c>
    </row>
    <row r="23" spans="1:13" x14ac:dyDescent="0.2">
      <c r="A23" t="s">
        <v>33</v>
      </c>
      <c r="D23" s="25">
        <f>0.13+0.279</f>
        <v>0.40900000000000003</v>
      </c>
      <c r="E23" s="25">
        <f>0.076</f>
        <v>7.5999999999999998E-2</v>
      </c>
      <c r="F23" s="25">
        <f>0.03+0.177</f>
        <v>0.20699999999999999</v>
      </c>
      <c r="G23" s="25">
        <f>0.03+0.177</f>
        <v>0.20699999999999999</v>
      </c>
      <c r="I23" s="14" t="s">
        <v>183</v>
      </c>
      <c r="J23" s="2">
        <f t="shared" ref="J23:J25" si="3">J17*$C8*D24+K17*$C8*F24</f>
        <v>13299042.31719959</v>
      </c>
      <c r="L23" s="2">
        <f t="shared" ref="L23:L25" si="4">L17*$C8*E24+M17*$C8*G24</f>
        <v>2699401.7779393699</v>
      </c>
    </row>
    <row r="24" spans="1:13" x14ac:dyDescent="0.2">
      <c r="A24" t="s">
        <v>53</v>
      </c>
      <c r="D24" s="25">
        <f>0.13+0.279</f>
        <v>0.40900000000000003</v>
      </c>
      <c r="E24" s="25">
        <f>0.076</f>
        <v>7.5999999999999998E-2</v>
      </c>
      <c r="F24" s="25">
        <f>0.03+0.177</f>
        <v>0.20699999999999999</v>
      </c>
      <c r="G24" s="25">
        <f>0.03+0.177</f>
        <v>0.20699999999999999</v>
      </c>
      <c r="I24" s="14" t="s">
        <v>184</v>
      </c>
      <c r="J24" s="2">
        <f t="shared" si="3"/>
        <v>5879615.2287838887</v>
      </c>
      <c r="L24" s="2">
        <f t="shared" si="4"/>
        <v>3391149.0242113755</v>
      </c>
    </row>
    <row r="25" spans="1:13" x14ac:dyDescent="0.2">
      <c r="A25" t="s">
        <v>0</v>
      </c>
      <c r="D25" s="25">
        <f>0.095+0.223</f>
        <v>0.318</v>
      </c>
      <c r="E25" s="25">
        <f>0.006+0.084</f>
        <v>9.0000000000000011E-2</v>
      </c>
      <c r="F25" s="25">
        <f>0.035+0.281</f>
        <v>0.31600000000000006</v>
      </c>
      <c r="G25" s="25">
        <f>0.103+0.158</f>
        <v>0.26100000000000001</v>
      </c>
      <c r="I25" s="14" t="s">
        <v>185</v>
      </c>
      <c r="J25" s="2">
        <f t="shared" si="3"/>
        <v>12635123.369944789</v>
      </c>
      <c r="L25" s="2">
        <f t="shared" si="4"/>
        <v>5918717.796009684</v>
      </c>
    </row>
    <row r="26" spans="1:13" x14ac:dyDescent="0.2">
      <c r="A26" t="s">
        <v>25</v>
      </c>
      <c r="D26" s="25">
        <f>0.104+0.232</f>
        <v>0.33600000000000002</v>
      </c>
      <c r="E26" s="25">
        <f>0.036+0.105</f>
        <v>0.14099999999999999</v>
      </c>
      <c r="F26" s="25">
        <f>0.037+0.267</f>
        <v>0.30399999999999999</v>
      </c>
      <c r="G26" s="25">
        <f>0.063+0.125</f>
        <v>0.188</v>
      </c>
    </row>
    <row r="28" spans="1:13" x14ac:dyDescent="0.2">
      <c r="A28" s="13" t="s">
        <v>115</v>
      </c>
    </row>
    <row r="29" spans="1:13" x14ac:dyDescent="0.2">
      <c r="D29" s="18" t="s">
        <v>105</v>
      </c>
      <c r="E29" s="18" t="s">
        <v>106</v>
      </c>
      <c r="F29" s="18" t="s">
        <v>108</v>
      </c>
      <c r="G29" s="18" t="s">
        <v>107</v>
      </c>
      <c r="H29" s="18" t="s">
        <v>116</v>
      </c>
      <c r="I29" s="18" t="s">
        <v>117</v>
      </c>
    </row>
    <row r="30" spans="1:13" x14ac:dyDescent="0.2">
      <c r="A30" t="s">
        <v>33</v>
      </c>
      <c r="D30" s="2">
        <f>D16*$C$7*D23</f>
        <v>13872052.684196912</v>
      </c>
      <c r="E30" s="2">
        <f t="shared" ref="E30:G30" si="5">E16*$C$7*E23</f>
        <v>266910.7264846465</v>
      </c>
      <c r="F30" s="2">
        <f t="shared" si="5"/>
        <v>112017.10382610993</v>
      </c>
      <c r="G30" s="2">
        <f t="shared" si="5"/>
        <v>77378.903547150068</v>
      </c>
      <c r="H30" s="2">
        <f>-SUM(D30:G30)</f>
        <v>-14328359.418054817</v>
      </c>
      <c r="I30" s="6">
        <f>H30/$C7</f>
        <v>-0.37368866066406348</v>
      </c>
    </row>
    <row r="31" spans="1:13" x14ac:dyDescent="0.2">
      <c r="A31" t="s">
        <v>53</v>
      </c>
      <c r="D31" s="2">
        <f>D17*$C$8*D24</f>
        <v>10980182.626134144</v>
      </c>
      <c r="E31" s="2">
        <f t="shared" ref="E31:G31" si="6">E17*$C$8*E24</f>
        <v>378809.84617988474</v>
      </c>
      <c r="F31" s="2">
        <f t="shared" si="6"/>
        <v>178599.98879915723</v>
      </c>
      <c r="G31" s="2">
        <f t="shared" si="6"/>
        <v>101664.60900875105</v>
      </c>
      <c r="H31" s="2">
        <f t="shared" ref="H31:H33" si="7">-SUM(D31:G31)</f>
        <v>-11639257.070121937</v>
      </c>
      <c r="I31" s="6">
        <f>H31/$C8</f>
        <v>-0.35074180000000005</v>
      </c>
    </row>
    <row r="32" spans="1:13" x14ac:dyDescent="0.2">
      <c r="A32" t="s">
        <v>0</v>
      </c>
      <c r="D32" s="2">
        <f>D18*$C$9*D25</f>
        <v>1778634.066096361</v>
      </c>
      <c r="E32" s="2">
        <f t="shared" ref="E32:G32" si="8">E18*$C$9*E25</f>
        <v>260348.53803966581</v>
      </c>
      <c r="F32" s="2">
        <f t="shared" si="8"/>
        <v>508949.10266779107</v>
      </c>
      <c r="G32" s="2">
        <f t="shared" si="8"/>
        <v>2207047.2971043405</v>
      </c>
      <c r="H32" s="2">
        <f t="shared" si="7"/>
        <v>-4754979.0039081592</v>
      </c>
      <c r="I32" s="6">
        <f>H32/$C9</f>
        <v>-0.25629622700625687</v>
      </c>
    </row>
    <row r="33" spans="1:13" x14ac:dyDescent="0.2">
      <c r="A33" t="s">
        <v>25</v>
      </c>
      <c r="D33" s="2">
        <f>D19*$C$10*D26</f>
        <v>4487687.5566769019</v>
      </c>
      <c r="E33" s="2">
        <f t="shared" ref="E33:G33" si="9">E19*$C$10*E26</f>
        <v>2117558.5798257971</v>
      </c>
      <c r="F33" s="2">
        <f t="shared" si="9"/>
        <v>1858236.063286264</v>
      </c>
      <c r="G33" s="2">
        <f t="shared" si="9"/>
        <v>768760.88564009138</v>
      </c>
      <c r="H33" s="2">
        <f t="shared" si="7"/>
        <v>-9232243.0854290556</v>
      </c>
      <c r="I33" s="6">
        <f>H33/$C10</f>
        <v>-0.23932527183349936</v>
      </c>
    </row>
    <row r="36" spans="1:13" x14ac:dyDescent="0.2">
      <c r="A36" s="12" t="s">
        <v>128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x14ac:dyDescent="0.2">
      <c r="A37" t="s">
        <v>124</v>
      </c>
    </row>
    <row r="38" spans="1:13" x14ac:dyDescent="0.2">
      <c r="B38" s="18" t="s">
        <v>62</v>
      </c>
      <c r="C38" s="18" t="s">
        <v>63</v>
      </c>
      <c r="D38" s="18" t="s">
        <v>64</v>
      </c>
      <c r="E38" s="18" t="s">
        <v>75</v>
      </c>
    </row>
    <row r="39" spans="1:13" x14ac:dyDescent="0.2">
      <c r="A39" s="13" t="s">
        <v>33</v>
      </c>
    </row>
    <row r="40" spans="1:13" x14ac:dyDescent="0.2">
      <c r="A40" s="15" t="s">
        <v>6</v>
      </c>
      <c r="B40" s="2">
        <v>185250</v>
      </c>
      <c r="C40" s="17">
        <v>-4</v>
      </c>
      <c r="D40" s="19">
        <v>13</v>
      </c>
      <c r="E40" s="2">
        <f>ABS(B40*C40*D40)</f>
        <v>9633000</v>
      </c>
    </row>
    <row r="41" spans="1:13" x14ac:dyDescent="0.2">
      <c r="A41" s="13" t="s">
        <v>53</v>
      </c>
      <c r="B41" s="2"/>
      <c r="D41" s="19"/>
    </row>
    <row r="42" spans="1:13" x14ac:dyDescent="0.2">
      <c r="A42" s="16" t="s">
        <v>6</v>
      </c>
      <c r="B42" s="2">
        <v>160550</v>
      </c>
      <c r="C42" s="17">
        <v>-4</v>
      </c>
      <c r="D42" s="19">
        <v>13</v>
      </c>
      <c r="E42" s="2">
        <f>ABS(B42*C42*D42)</f>
        <v>8348600</v>
      </c>
    </row>
    <row r="43" spans="1:13" x14ac:dyDescent="0.2">
      <c r="A43" s="13" t="s">
        <v>0</v>
      </c>
      <c r="B43" s="2"/>
      <c r="D43" s="19"/>
    </row>
    <row r="44" spans="1:13" x14ac:dyDescent="0.2">
      <c r="A44" s="16" t="s">
        <v>65</v>
      </c>
      <c r="B44" s="2">
        <f>AVERAGE(25082,20971,22741,23033,21442)+AVERAGE(3744,3457,3791,2774,2845)</f>
        <v>25976</v>
      </c>
      <c r="C44">
        <v>-1.49</v>
      </c>
      <c r="D44" s="19">
        <v>13</v>
      </c>
      <c r="E44" s="2">
        <f>ABS(B44*C44*D44)</f>
        <v>503155.12</v>
      </c>
    </row>
    <row r="45" spans="1:13" x14ac:dyDescent="0.2">
      <c r="A45" s="16" t="s">
        <v>66</v>
      </c>
      <c r="B45" s="2">
        <f>AVERAGE(162978,141833,144012,140062,126984)+AVERAGE(209028,175057,167543,176593,170968)</f>
        <v>323011.59999999998</v>
      </c>
      <c r="C45">
        <v>-0.74</v>
      </c>
      <c r="D45" s="19">
        <v>13</v>
      </c>
      <c r="E45" s="2">
        <f>ABS(B45*C45*D45)</f>
        <v>3107371.5919999997</v>
      </c>
    </row>
    <row r="46" spans="1:13" x14ac:dyDescent="0.2">
      <c r="A46" s="16" t="s">
        <v>87</v>
      </c>
      <c r="B46" s="2">
        <v>124735</v>
      </c>
      <c r="D46" s="19"/>
      <c r="E46" s="2"/>
    </row>
    <row r="47" spans="1:13" x14ac:dyDescent="0.2">
      <c r="A47" s="16" t="s">
        <v>93</v>
      </c>
      <c r="B47" s="2"/>
      <c r="D47" s="19"/>
      <c r="E47" s="2">
        <f>SUM(E44:E46)</f>
        <v>3610526.7119999998</v>
      </c>
    </row>
    <row r="48" spans="1:13" x14ac:dyDescent="0.2">
      <c r="A48" s="13" t="s">
        <v>25</v>
      </c>
      <c r="B48" s="2"/>
      <c r="D48" s="19"/>
    </row>
    <row r="49" spans="1:5" x14ac:dyDescent="0.2">
      <c r="A49" s="16" t="s">
        <v>67</v>
      </c>
      <c r="B49" s="2">
        <f>0.4*222300</f>
        <v>88920</v>
      </c>
      <c r="C49">
        <v>-3.71</v>
      </c>
      <c r="D49" s="19">
        <v>13</v>
      </c>
      <c r="E49" s="2">
        <f t="shared" ref="E49:E50" si="10">ABS(B49*C49*D49)</f>
        <v>4288611.6000000006</v>
      </c>
    </row>
    <row r="50" spans="1:5" x14ac:dyDescent="0.2">
      <c r="A50" s="16" t="s">
        <v>68</v>
      </c>
      <c r="B50" s="2">
        <f>0.6*222300</f>
        <v>133380</v>
      </c>
      <c r="C50" s="17">
        <v>-2.5</v>
      </c>
      <c r="D50" s="19">
        <v>13</v>
      </c>
      <c r="E50" s="2">
        <f t="shared" si="10"/>
        <v>4334850</v>
      </c>
    </row>
    <row r="51" spans="1:5" x14ac:dyDescent="0.2">
      <c r="A51" s="16" t="s">
        <v>93</v>
      </c>
      <c r="B51" s="2">
        <f>SUM(B49:B50)</f>
        <v>222300</v>
      </c>
      <c r="D51" s="19"/>
      <c r="E51" s="2">
        <f>SUM(E49:E50)</f>
        <v>8623461.6000000015</v>
      </c>
    </row>
    <row r="52" spans="1:5" x14ac:dyDescent="0.2">
      <c r="A52" s="16"/>
      <c r="B52" s="2"/>
      <c r="D52" s="19"/>
    </row>
    <row r="53" spans="1:5" x14ac:dyDescent="0.2">
      <c r="D53" s="19"/>
    </row>
    <row r="54" spans="1:5" x14ac:dyDescent="0.2">
      <c r="A54" s="14"/>
      <c r="B54" s="18" t="s">
        <v>69</v>
      </c>
      <c r="D54" s="19"/>
    </row>
    <row r="55" spans="1:5" x14ac:dyDescent="0.2">
      <c r="B55" s="14" t="s">
        <v>71</v>
      </c>
      <c r="C55" s="17">
        <f>(((-620+-564+-520+-497+-600+-767+-130+-21)/8)*10000/1000000)*3.67/2.47</f>
        <v>-6.9072520242914965</v>
      </c>
      <c r="D55" s="19">
        <v>13</v>
      </c>
    </row>
    <row r="56" spans="1:5" x14ac:dyDescent="0.2">
      <c r="B56" s="14" t="s">
        <v>72</v>
      </c>
      <c r="C56" s="17">
        <f>(((-6+-142)/2)*10000/1000000)*3.67/2.47</f>
        <v>-1.0995141700404856</v>
      </c>
      <c r="D56" s="19">
        <v>13</v>
      </c>
    </row>
    <row r="57" spans="1:5" x14ac:dyDescent="0.2">
      <c r="B57" s="14" t="s">
        <v>78</v>
      </c>
      <c r="C57" s="17">
        <v>-4</v>
      </c>
      <c r="D57" s="19"/>
    </row>
    <row r="58" spans="1:5" x14ac:dyDescent="0.2">
      <c r="D58" s="19"/>
    </row>
    <row r="59" spans="1:5" x14ac:dyDescent="0.2">
      <c r="B59" s="18" t="s">
        <v>0</v>
      </c>
      <c r="D59" s="19"/>
    </row>
    <row r="60" spans="1:5" x14ac:dyDescent="0.2">
      <c r="B60" s="14" t="s">
        <v>70</v>
      </c>
      <c r="C60" s="17">
        <f>(-0.5*3.67)/2.47</f>
        <v>-0.74291497975708498</v>
      </c>
      <c r="D60" s="19">
        <v>13</v>
      </c>
    </row>
    <row r="61" spans="1:5" x14ac:dyDescent="0.2">
      <c r="B61" s="14" t="s">
        <v>73</v>
      </c>
      <c r="C61" s="17">
        <f>C60*2</f>
        <v>-1.48582995951417</v>
      </c>
      <c r="D61" s="19">
        <v>13</v>
      </c>
    </row>
    <row r="63" spans="1:5" x14ac:dyDescent="0.2">
      <c r="B63" s="18" t="s">
        <v>25</v>
      </c>
    </row>
    <row r="64" spans="1:5" x14ac:dyDescent="0.2">
      <c r="B64" s="14" t="s">
        <v>74</v>
      </c>
      <c r="C64" s="17">
        <v>-2.5</v>
      </c>
      <c r="D64">
        <v>13</v>
      </c>
    </row>
    <row r="65" spans="1:13" x14ac:dyDescent="0.2">
      <c r="B65" s="14" t="s">
        <v>76</v>
      </c>
      <c r="C65" s="17">
        <f>(-2.5*3.67)/2.47</f>
        <v>-3.714574898785425</v>
      </c>
    </row>
    <row r="67" spans="1:13" x14ac:dyDescent="0.2">
      <c r="A67" t="s">
        <v>77</v>
      </c>
    </row>
    <row r="68" spans="1:13" x14ac:dyDescent="0.2">
      <c r="B68" t="s">
        <v>33</v>
      </c>
      <c r="C68" t="s">
        <v>118</v>
      </c>
    </row>
    <row r="69" spans="1:13" x14ac:dyDescent="0.2">
      <c r="B69" t="s">
        <v>53</v>
      </c>
      <c r="C69" t="s">
        <v>118</v>
      </c>
    </row>
    <row r="70" spans="1:13" x14ac:dyDescent="0.2">
      <c r="B70" t="s">
        <v>0</v>
      </c>
      <c r="C70" t="s">
        <v>119</v>
      </c>
    </row>
    <row r="71" spans="1:13" x14ac:dyDescent="0.2">
      <c r="B71" t="s">
        <v>25</v>
      </c>
      <c r="C71" t="s">
        <v>118</v>
      </c>
    </row>
    <row r="72" spans="1:13" x14ac:dyDescent="0.2">
      <c r="B72" s="16" t="s">
        <v>120</v>
      </c>
      <c r="C72">
        <f>25700</f>
        <v>25700</v>
      </c>
      <c r="D72">
        <f>C72/C74</f>
        <v>0.59659222805144152</v>
      </c>
    </row>
    <row r="73" spans="1:13" x14ac:dyDescent="0.2">
      <c r="B73" s="16" t="s">
        <v>121</v>
      </c>
      <c r="C73">
        <v>17378</v>
      </c>
      <c r="D73">
        <f>1-D72</f>
        <v>0.40340777194855848</v>
      </c>
    </row>
    <row r="74" spans="1:13" x14ac:dyDescent="0.2">
      <c r="C74">
        <f>SUM(C72:C73)</f>
        <v>43078</v>
      </c>
    </row>
    <row r="76" spans="1:13" x14ac:dyDescent="0.2">
      <c r="A76" s="12" t="s">
        <v>127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x14ac:dyDescent="0.2">
      <c r="A77" t="s">
        <v>123</v>
      </c>
    </row>
    <row r="78" spans="1:13" x14ac:dyDescent="0.2">
      <c r="D78" s="14"/>
      <c r="E78" s="18" t="s">
        <v>90</v>
      </c>
      <c r="F78" s="18" t="s">
        <v>77</v>
      </c>
      <c r="G78" s="18" t="s">
        <v>91</v>
      </c>
      <c r="H78" s="18" t="s">
        <v>92</v>
      </c>
    </row>
    <row r="79" spans="1:13" x14ac:dyDescent="0.2">
      <c r="A79" s="13" t="s">
        <v>33</v>
      </c>
      <c r="B79" t="s">
        <v>125</v>
      </c>
      <c r="C79">
        <v>4.74</v>
      </c>
      <c r="E79" s="2">
        <f>4000</f>
        <v>4000</v>
      </c>
      <c r="F79" s="2">
        <f>B40-E79</f>
        <v>181250</v>
      </c>
      <c r="G79" s="17">
        <f>(C79+C95)/2</f>
        <v>4.2949362320252691</v>
      </c>
      <c r="H79" s="2">
        <f>E79*G79*100+F79*G79*13</f>
        <v>11837917.989519648</v>
      </c>
    </row>
    <row r="80" spans="1:13" x14ac:dyDescent="0.2">
      <c r="B80" t="s">
        <v>79</v>
      </c>
    </row>
    <row r="81" spans="1:8" x14ac:dyDescent="0.2">
      <c r="B81" t="s">
        <v>82</v>
      </c>
      <c r="C81" s="2">
        <v>22099369</v>
      </c>
    </row>
    <row r="82" spans="1:8" x14ac:dyDescent="0.2">
      <c r="B82" t="s">
        <v>83</v>
      </c>
      <c r="C82" s="2">
        <v>2764233</v>
      </c>
    </row>
    <row r="83" spans="1:8" x14ac:dyDescent="0.2">
      <c r="B83" t="s">
        <v>80</v>
      </c>
      <c r="C83" s="2">
        <f>C81-C82</f>
        <v>19335136</v>
      </c>
    </row>
    <row r="84" spans="1:8" x14ac:dyDescent="0.2">
      <c r="B84" t="s">
        <v>81</v>
      </c>
      <c r="C84" s="2">
        <f>(C83/2)*3.67*0.907185</f>
        <v>32186900.721213602</v>
      </c>
    </row>
    <row r="85" spans="1:8" x14ac:dyDescent="0.2">
      <c r="A85" t="s">
        <v>122</v>
      </c>
      <c r="B85" t="s">
        <v>84</v>
      </c>
      <c r="C85" s="2">
        <f>10659366-185250*13</f>
        <v>8251116</v>
      </c>
    </row>
    <row r="86" spans="1:8" x14ac:dyDescent="0.2">
      <c r="B86" t="s">
        <v>85</v>
      </c>
      <c r="C86" s="17">
        <f>C84/C85</f>
        <v>3.9009148242751164</v>
      </c>
    </row>
    <row r="88" spans="1:8" x14ac:dyDescent="0.2">
      <c r="A88" s="13" t="s">
        <v>53</v>
      </c>
      <c r="E88" s="18" t="s">
        <v>90</v>
      </c>
      <c r="F88" s="18" t="s">
        <v>77</v>
      </c>
      <c r="G88" s="18" t="s">
        <v>91</v>
      </c>
      <c r="H88" s="18" t="s">
        <v>92</v>
      </c>
    </row>
    <row r="89" spans="1:8" x14ac:dyDescent="0.2">
      <c r="B89" t="s">
        <v>79</v>
      </c>
      <c r="E89" s="2">
        <f>15000</f>
        <v>15000</v>
      </c>
      <c r="F89" s="2">
        <f>B42-E89</f>
        <v>145550</v>
      </c>
      <c r="G89">
        <v>4.29</v>
      </c>
      <c r="H89" s="2">
        <f>E89*G89*100+F89*G89*13</f>
        <v>14552323.5</v>
      </c>
    </row>
    <row r="90" spans="1:8" x14ac:dyDescent="0.2">
      <c r="B90" t="s">
        <v>82</v>
      </c>
      <c r="C90" s="2">
        <v>21051917</v>
      </c>
    </row>
    <row r="91" spans="1:8" x14ac:dyDescent="0.2">
      <c r="B91" t="s">
        <v>83</v>
      </c>
      <c r="C91" s="2">
        <v>4474663</v>
      </c>
    </row>
    <row r="92" spans="1:8" x14ac:dyDescent="0.2">
      <c r="B92" t="s">
        <v>80</v>
      </c>
      <c r="C92" s="2">
        <f>C90-C91</f>
        <v>16577254</v>
      </c>
    </row>
    <row r="93" spans="1:8" x14ac:dyDescent="0.2">
      <c r="B93" t="s">
        <v>81</v>
      </c>
      <c r="C93" s="2">
        <f>(C92/2)*3.67*0.907185</f>
        <v>27595897.37193165</v>
      </c>
    </row>
    <row r="94" spans="1:8" x14ac:dyDescent="0.2">
      <c r="A94" t="s">
        <v>122</v>
      </c>
      <c r="B94" t="s">
        <v>84</v>
      </c>
      <c r="C94" s="2">
        <f>9255153-160550*13</f>
        <v>7168003</v>
      </c>
    </row>
    <row r="95" spans="1:8" x14ac:dyDescent="0.2">
      <c r="B95" t="s">
        <v>85</v>
      </c>
      <c r="C95" s="17">
        <f>C93/C94</f>
        <v>3.849872464050538</v>
      </c>
    </row>
    <row r="96" spans="1:8" x14ac:dyDescent="0.2">
      <c r="A96" s="13" t="s">
        <v>0</v>
      </c>
      <c r="E96" s="20" t="s">
        <v>90</v>
      </c>
      <c r="F96" s="20" t="s">
        <v>77</v>
      </c>
      <c r="G96" s="20" t="s">
        <v>91</v>
      </c>
      <c r="H96" s="20" t="s">
        <v>92</v>
      </c>
    </row>
    <row r="97" spans="1:8" x14ac:dyDescent="0.2">
      <c r="E97" s="2">
        <f>5150</f>
        <v>5150</v>
      </c>
      <c r="F97" s="2">
        <f>B46-E97</f>
        <v>119585</v>
      </c>
      <c r="G97">
        <v>1.63</v>
      </c>
      <c r="H97" s="2">
        <f>E97*G97*100+F97*G97*13</f>
        <v>3373456.15</v>
      </c>
    </row>
    <row r="98" spans="1:8" x14ac:dyDescent="0.2">
      <c r="B98" t="s">
        <v>86</v>
      </c>
      <c r="C98" s="17">
        <f>(1.8*3.67)/2.47</f>
        <v>2.6744939271255057</v>
      </c>
    </row>
    <row r="99" spans="1:8" x14ac:dyDescent="0.2">
      <c r="B99" t="s">
        <v>88</v>
      </c>
      <c r="C99" s="17">
        <v>1.63</v>
      </c>
    </row>
    <row r="100" spans="1:8" x14ac:dyDescent="0.2">
      <c r="B100" t="s">
        <v>79</v>
      </c>
    </row>
    <row r="101" spans="1:8" x14ac:dyDescent="0.2">
      <c r="B101" t="s">
        <v>82</v>
      </c>
      <c r="C101" s="2">
        <v>21378292</v>
      </c>
    </row>
    <row r="102" spans="1:8" x14ac:dyDescent="0.2">
      <c r="B102" t="s">
        <v>83</v>
      </c>
      <c r="C102" s="2">
        <v>7466455</v>
      </c>
    </row>
    <row r="103" spans="1:8" x14ac:dyDescent="0.2">
      <c r="B103" t="s">
        <v>80</v>
      </c>
      <c r="C103" s="2">
        <f>C101-C102</f>
        <v>13911837</v>
      </c>
    </row>
    <row r="104" spans="1:8" x14ac:dyDescent="0.2">
      <c r="B104" t="s">
        <v>81</v>
      </c>
      <c r="C104" s="2">
        <f>(C103/2)*3.67*0.907185</f>
        <v>23158819.072630577</v>
      </c>
    </row>
    <row r="105" spans="1:8" x14ac:dyDescent="0.2">
      <c r="A105" s="8" t="s">
        <v>122</v>
      </c>
      <c r="B105" t="s">
        <v>84</v>
      </c>
      <c r="C105" s="2">
        <f>16072009-124735*13</f>
        <v>14450454</v>
      </c>
    </row>
    <row r="106" spans="1:8" x14ac:dyDescent="0.2">
      <c r="B106" t="s">
        <v>85</v>
      </c>
      <c r="C106" s="17">
        <f>C104/C105</f>
        <v>1.6026360882938748</v>
      </c>
    </row>
    <row r="107" spans="1:8" x14ac:dyDescent="0.2">
      <c r="E107" s="20" t="s">
        <v>90</v>
      </c>
      <c r="F107" s="20" t="s">
        <v>77</v>
      </c>
      <c r="G107" s="20" t="s">
        <v>91</v>
      </c>
      <c r="H107" s="20" t="s">
        <v>92</v>
      </c>
    </row>
    <row r="108" spans="1:8" x14ac:dyDescent="0.2">
      <c r="A108" s="13" t="s">
        <v>25</v>
      </c>
      <c r="B108" t="s">
        <v>89</v>
      </c>
      <c r="C108">
        <v>4.49</v>
      </c>
      <c r="E108" s="2">
        <f>12138.7</f>
        <v>12138.7</v>
      </c>
      <c r="F108" s="2">
        <f>B51-E108</f>
        <v>210161.3</v>
      </c>
      <c r="G108" s="17">
        <f>(4.49+4.36)/2</f>
        <v>4.4250000000000007</v>
      </c>
      <c r="H108" s="2">
        <f>E108*G108*100+F108*G108*13</f>
        <v>17460903.532500003</v>
      </c>
    </row>
    <row r="109" spans="1:8" x14ac:dyDescent="0.2">
      <c r="B109" t="s">
        <v>79</v>
      </c>
    </row>
    <row r="110" spans="1:8" x14ac:dyDescent="0.2">
      <c r="B110" t="s">
        <v>82</v>
      </c>
      <c r="C110" s="2">
        <v>42622042</v>
      </c>
    </row>
    <row r="111" spans="1:8" x14ac:dyDescent="0.2">
      <c r="B111" t="s">
        <v>83</v>
      </c>
      <c r="C111" s="2">
        <v>9727514</v>
      </c>
    </row>
    <row r="112" spans="1:8" x14ac:dyDescent="0.2">
      <c r="B112" t="s">
        <v>80</v>
      </c>
      <c r="C112" s="2">
        <f>C110-C111</f>
        <v>32894528</v>
      </c>
    </row>
    <row r="113" spans="1:6" x14ac:dyDescent="0.2">
      <c r="B113" t="s">
        <v>81</v>
      </c>
      <c r="C113" s="2">
        <f>(C112/2)*3.67*0.907185</f>
        <v>54759010.074052796</v>
      </c>
    </row>
    <row r="114" spans="1:6" x14ac:dyDescent="0.2">
      <c r="A114" s="8" t="s">
        <v>122</v>
      </c>
      <c r="B114" t="s">
        <v>84</v>
      </c>
      <c r="C114" s="2">
        <f>15454747-222300*13</f>
        <v>12564847</v>
      </c>
    </row>
    <row r="115" spans="1:6" x14ac:dyDescent="0.2">
      <c r="B115" t="s">
        <v>85</v>
      </c>
      <c r="C115" s="17">
        <f>C113/C114</f>
        <v>4.3581119669863702</v>
      </c>
    </row>
    <row r="118" spans="1:6" x14ac:dyDescent="0.2">
      <c r="A118" s="13" t="s">
        <v>94</v>
      </c>
    </row>
    <row r="119" spans="1:6" x14ac:dyDescent="0.2">
      <c r="A119" t="s">
        <v>97</v>
      </c>
      <c r="B119" s="18"/>
      <c r="C119" s="18"/>
      <c r="D119" s="21"/>
      <c r="E119" s="22"/>
      <c r="F119" s="22"/>
    </row>
    <row r="120" spans="1:6" x14ac:dyDescent="0.2">
      <c r="B120" s="18"/>
      <c r="C120" s="18"/>
      <c r="D120" s="21"/>
      <c r="E120" s="22"/>
      <c r="F120" s="22"/>
    </row>
    <row r="121" spans="1:6" x14ac:dyDescent="0.2">
      <c r="A121" t="s">
        <v>100</v>
      </c>
      <c r="B121" s="18"/>
      <c r="C121" s="18"/>
      <c r="D121" s="21"/>
      <c r="E121" s="22"/>
      <c r="F121" s="22"/>
    </row>
    <row r="122" spans="1:6" x14ac:dyDescent="0.2">
      <c r="A122" t="s">
        <v>98</v>
      </c>
      <c r="B122" s="17">
        <f>(((-142)*10000/1000000)*3.67/2.47)</f>
        <v>-2.109878542510121</v>
      </c>
      <c r="C122" s="18"/>
      <c r="D122" s="21"/>
      <c r="E122" s="22"/>
      <c r="F122" s="22"/>
    </row>
    <row r="123" spans="1:6" x14ac:dyDescent="0.2">
      <c r="A123" t="s">
        <v>101</v>
      </c>
      <c r="B123" s="17">
        <f>(((389)*10000/1000000)*3.67/2.47)</f>
        <v>5.7798785425101213</v>
      </c>
      <c r="C123" s="18"/>
      <c r="D123" s="21"/>
      <c r="E123" s="22"/>
      <c r="F123" s="22"/>
    </row>
    <row r="124" spans="1:6" x14ac:dyDescent="0.2">
      <c r="A124" t="s">
        <v>99</v>
      </c>
      <c r="B124" s="17">
        <f>(((299)*10000/1000000)*3.67/2.47)</f>
        <v>4.4426315789473678</v>
      </c>
      <c r="C124" s="18"/>
      <c r="D124" s="21"/>
      <c r="E124" s="22"/>
      <c r="F124" s="22"/>
    </row>
    <row r="125" spans="1:6" x14ac:dyDescent="0.2">
      <c r="B125" s="18"/>
      <c r="C125" s="18"/>
      <c r="D125" s="21"/>
      <c r="E125" s="22"/>
      <c r="F125" s="22"/>
    </row>
    <row r="126" spans="1:6" x14ac:dyDescent="0.2">
      <c r="B126" s="13" t="s">
        <v>95</v>
      </c>
      <c r="C126" s="13" t="s">
        <v>96</v>
      </c>
      <c r="D126" s="21"/>
      <c r="E126" s="22"/>
      <c r="F126" s="22"/>
    </row>
    <row r="127" spans="1:6" x14ac:dyDescent="0.2">
      <c r="A127" t="s">
        <v>102</v>
      </c>
      <c r="D127" s="21"/>
      <c r="E127" s="22"/>
      <c r="F127" s="22"/>
    </row>
    <row r="128" spans="1:6" x14ac:dyDescent="0.2">
      <c r="A128" t="s">
        <v>98</v>
      </c>
      <c r="B128">
        <v>14</v>
      </c>
      <c r="C128">
        <v>0</v>
      </c>
      <c r="D128" s="21"/>
      <c r="E128" s="22"/>
      <c r="F128" s="22"/>
    </row>
    <row r="129" spans="1:13" x14ac:dyDescent="0.2">
      <c r="A129" t="s">
        <v>101</v>
      </c>
      <c r="B129">
        <v>15</v>
      </c>
      <c r="C129">
        <v>0</v>
      </c>
    </row>
    <row r="130" spans="1:13" x14ac:dyDescent="0.2">
      <c r="A130" t="s">
        <v>99</v>
      </c>
      <c r="B130">
        <v>10</v>
      </c>
      <c r="C130">
        <v>40</v>
      </c>
    </row>
    <row r="131" spans="1:13" x14ac:dyDescent="0.2">
      <c r="A131" t="s">
        <v>103</v>
      </c>
      <c r="B131" s="23">
        <f>B128*B122+B129*B123+B130*B124</f>
        <v>101.5861943319838</v>
      </c>
      <c r="C131" s="23">
        <f>C130*B124</f>
        <v>177.70526315789471</v>
      </c>
    </row>
    <row r="132" spans="1:13" x14ac:dyDescent="0.2">
      <c r="B132" s="14" t="s">
        <v>104</v>
      </c>
      <c r="C132" s="6">
        <f>(C131-B131)/B131</f>
        <v>0.74930525084101185</v>
      </c>
    </row>
    <row r="134" spans="1:13" x14ac:dyDescent="0.2">
      <c r="A134" t="s">
        <v>126</v>
      </c>
    </row>
    <row r="136" spans="1:13" x14ac:dyDescent="0.2">
      <c r="A136" s="12" t="s">
        <v>131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8" spans="1:13" x14ac:dyDescent="0.2">
      <c r="A138" s="13" t="s">
        <v>148</v>
      </c>
    </row>
    <row r="140" spans="1:13" x14ac:dyDescent="0.2">
      <c r="A140" s="28" t="s">
        <v>132</v>
      </c>
    </row>
    <row r="141" spans="1:13" x14ac:dyDescent="0.2">
      <c r="B141" s="18" t="s">
        <v>136</v>
      </c>
      <c r="C141" s="18" t="s">
        <v>135</v>
      </c>
      <c r="D141" s="18" t="s">
        <v>139</v>
      </c>
      <c r="E141" s="18"/>
      <c r="F141" s="18"/>
    </row>
    <row r="142" spans="1:13" x14ac:dyDescent="0.2">
      <c r="A142" t="s">
        <v>133</v>
      </c>
      <c r="B142">
        <v>16.5</v>
      </c>
      <c r="C142" s="24">
        <f>B142/0.1395</f>
        <v>118.27956989247311</v>
      </c>
      <c r="D142">
        <f>C142/1000</f>
        <v>0.11827956989247311</v>
      </c>
    </row>
    <row r="143" spans="1:13" x14ac:dyDescent="0.2">
      <c r="A143" t="s">
        <v>134</v>
      </c>
      <c r="B143" s="27"/>
      <c r="C143" s="24"/>
    </row>
    <row r="144" spans="1:13" x14ac:dyDescent="0.2">
      <c r="A144" s="26" t="s">
        <v>137</v>
      </c>
      <c r="B144">
        <v>10</v>
      </c>
      <c r="C144" s="24">
        <f>B144/0.1395</f>
        <v>71.68458781362007</v>
      </c>
      <c r="D144">
        <f t="shared" ref="D144:D145" si="11">C144/1000</f>
        <v>7.1684587813620068E-2</v>
      </c>
    </row>
    <row r="145" spans="1:4" x14ac:dyDescent="0.2">
      <c r="A145" s="26" t="s">
        <v>138</v>
      </c>
      <c r="B145">
        <v>18</v>
      </c>
      <c r="C145" s="24">
        <f>B145/0.1395</f>
        <v>129.03225806451613</v>
      </c>
      <c r="D145">
        <f t="shared" si="11"/>
        <v>0.12903225806451613</v>
      </c>
    </row>
    <row r="146" spans="1:4" x14ac:dyDescent="0.2">
      <c r="A146" s="16" t="s">
        <v>144</v>
      </c>
      <c r="B146">
        <f>AVERAGE(B142,B144,B145)</f>
        <v>14.833333333333334</v>
      </c>
      <c r="C146" s="24"/>
      <c r="D146">
        <f>AVERAGE(D142,D144,D145)</f>
        <v>0.10633213859020312</v>
      </c>
    </row>
    <row r="147" spans="1:4" x14ac:dyDescent="0.2">
      <c r="A147" s="16"/>
      <c r="C147" s="24"/>
    </row>
    <row r="148" spans="1:4" x14ac:dyDescent="0.2">
      <c r="B148" s="18" t="s">
        <v>142</v>
      </c>
      <c r="C148" s="18" t="s">
        <v>143</v>
      </c>
    </row>
    <row r="149" spans="1:4" x14ac:dyDescent="0.2">
      <c r="A149" t="s">
        <v>141</v>
      </c>
      <c r="B149" s="2">
        <v>3880133</v>
      </c>
      <c r="C149" s="2">
        <f>B149*D$146</f>
        <v>412582.8399044206</v>
      </c>
    </row>
    <row r="150" spans="1:4" x14ac:dyDescent="0.2">
      <c r="A150" t="s">
        <v>140</v>
      </c>
      <c r="B150" s="2">
        <v>2738945</v>
      </c>
      <c r="C150" s="2">
        <f>B150*D$146</f>
        <v>291237.87933094386</v>
      </c>
    </row>
    <row r="152" spans="1:4" x14ac:dyDescent="0.2">
      <c r="A152" t="s">
        <v>147</v>
      </c>
    </row>
    <row r="153" spans="1:4" x14ac:dyDescent="0.2">
      <c r="A153" t="s">
        <v>145</v>
      </c>
      <c r="B153">
        <v>8.6</v>
      </c>
    </row>
    <row r="155" spans="1:4" x14ac:dyDescent="0.2">
      <c r="B155" s="18" t="s">
        <v>146</v>
      </c>
      <c r="C155" s="18" t="s">
        <v>143</v>
      </c>
    </row>
    <row r="156" spans="1:4" x14ac:dyDescent="0.2">
      <c r="A156" t="s">
        <v>141</v>
      </c>
      <c r="B156" s="2">
        <f>185250/2.47</f>
        <v>75000</v>
      </c>
      <c r="C156" s="2">
        <f>B156*B$153</f>
        <v>645000</v>
      </c>
    </row>
    <row r="157" spans="1:4" x14ac:dyDescent="0.2">
      <c r="A157" t="s">
        <v>140</v>
      </c>
      <c r="B157" s="2">
        <f>160550/2.47</f>
        <v>64999.999999999993</v>
      </c>
      <c r="C157" s="2">
        <f>B157*B$153</f>
        <v>558999.99999999988</v>
      </c>
    </row>
    <row r="159" spans="1:4" x14ac:dyDescent="0.2">
      <c r="A159" s="28" t="s">
        <v>0</v>
      </c>
    </row>
    <row r="160" spans="1:4" x14ac:dyDescent="0.2">
      <c r="B160" s="18" t="s">
        <v>136</v>
      </c>
    </row>
    <row r="161" spans="1:7" x14ac:dyDescent="0.2">
      <c r="A161" t="s">
        <v>150</v>
      </c>
      <c r="B161">
        <f>(9.25+7.86)/2</f>
        <v>8.5549999999999997</v>
      </c>
    </row>
    <row r="162" spans="1:7" x14ac:dyDescent="0.2">
      <c r="A162" t="s">
        <v>149</v>
      </c>
      <c r="B162" s="24">
        <f>10.167/(10.736+7.395)</f>
        <v>0.5607523026860074</v>
      </c>
    </row>
    <row r="163" spans="1:7" x14ac:dyDescent="0.2">
      <c r="A163" t="s">
        <v>151</v>
      </c>
      <c r="B163" s="24">
        <f>B161+(1-B162)*B161</f>
        <v>12.312764050521206</v>
      </c>
    </row>
    <row r="164" spans="1:7" x14ac:dyDescent="0.2">
      <c r="A164" t="s">
        <v>152</v>
      </c>
      <c r="B164" s="24">
        <f>B153*(B163/B146)</f>
        <v>7.1386362360325188</v>
      </c>
    </row>
    <row r="166" spans="1:7" x14ac:dyDescent="0.2">
      <c r="A166" t="s">
        <v>153</v>
      </c>
      <c r="B166" s="2">
        <f>322239</f>
        <v>322239</v>
      </c>
      <c r="C166" s="18" t="s">
        <v>143</v>
      </c>
    </row>
    <row r="167" spans="1:7" x14ac:dyDescent="0.2">
      <c r="A167" t="s">
        <v>154</v>
      </c>
      <c r="B167" s="2">
        <f>B166/2.47</f>
        <v>130461.13360323885</v>
      </c>
      <c r="C167" s="2">
        <f>B167*B164</f>
        <v>931314.57573396049</v>
      </c>
    </row>
    <row r="169" spans="1:7" x14ac:dyDescent="0.2">
      <c r="A169" t="s">
        <v>155</v>
      </c>
      <c r="B169" s="2">
        <v>222300</v>
      </c>
      <c r="C169" s="18" t="s">
        <v>143</v>
      </c>
    </row>
    <row r="170" spans="1:7" x14ac:dyDescent="0.2">
      <c r="A170" t="s">
        <v>156</v>
      </c>
      <c r="B170" s="2">
        <f>B169/2.47</f>
        <v>90000</v>
      </c>
      <c r="C170" s="2">
        <f>B170*B164</f>
        <v>642477.2612429267</v>
      </c>
    </row>
    <row r="172" spans="1:7" x14ac:dyDescent="0.2">
      <c r="A172" s="13" t="s">
        <v>158</v>
      </c>
    </row>
    <row r="173" spans="1:7" x14ac:dyDescent="0.2">
      <c r="B173" s="18" t="s">
        <v>162</v>
      </c>
      <c r="C173" s="18" t="s">
        <v>163</v>
      </c>
      <c r="D173" s="18" t="s">
        <v>157</v>
      </c>
      <c r="E173" s="18" t="s">
        <v>159</v>
      </c>
      <c r="F173" s="18" t="s">
        <v>160</v>
      </c>
      <c r="G173" s="18" t="s">
        <v>161</v>
      </c>
    </row>
    <row r="174" spans="1:7" x14ac:dyDescent="0.2">
      <c r="A174" t="s">
        <v>33</v>
      </c>
      <c r="B174" s="2">
        <v>95000</v>
      </c>
      <c r="C174">
        <v>225</v>
      </c>
      <c r="D174" s="29">
        <f>(B174*C174)/2205</f>
        <v>9693.8775510204086</v>
      </c>
      <c r="E174" s="24">
        <v>4.2999999999999997E-2</v>
      </c>
      <c r="F174" s="17">
        <f>D174*E174</f>
        <v>416.83673469387753</v>
      </c>
      <c r="G174" s="2">
        <f>F174*298</f>
        <v>124217.3469387755</v>
      </c>
    </row>
    <row r="175" spans="1:7" x14ac:dyDescent="0.2">
      <c r="A175" t="s">
        <v>53</v>
      </c>
      <c r="B175" s="2">
        <f>B174*0.75</f>
        <v>71250</v>
      </c>
      <c r="C175">
        <v>225</v>
      </c>
      <c r="D175" s="29">
        <f>(B175*C175)/2205</f>
        <v>7270.408163265306</v>
      </c>
      <c r="E175" s="24">
        <v>4.2999999999999997E-2</v>
      </c>
      <c r="F175" s="17">
        <f>D175*E175</f>
        <v>312.62755102040813</v>
      </c>
      <c r="G175" s="2">
        <f>F175*298</f>
        <v>93163.010204081627</v>
      </c>
    </row>
    <row r="176" spans="1:7" x14ac:dyDescent="0.2">
      <c r="A176" t="s">
        <v>0</v>
      </c>
      <c r="B176" s="2">
        <v>0</v>
      </c>
      <c r="C176">
        <v>0</v>
      </c>
      <c r="D176" s="30">
        <v>0</v>
      </c>
      <c r="E176">
        <v>0</v>
      </c>
      <c r="F176">
        <v>0</v>
      </c>
      <c r="G176">
        <v>0</v>
      </c>
    </row>
    <row r="177" spans="1:13" x14ac:dyDescent="0.2">
      <c r="A177" t="s">
        <v>25</v>
      </c>
      <c r="B177" s="2">
        <v>100000</v>
      </c>
      <c r="C177">
        <v>225</v>
      </c>
      <c r="D177" s="29">
        <f>(B177*C177)/2205</f>
        <v>10204.081632653062</v>
      </c>
      <c r="E177" s="24">
        <v>4.2999999999999997E-2</v>
      </c>
      <c r="F177" s="17">
        <f>D177*E177</f>
        <v>438.77551020408163</v>
      </c>
      <c r="G177" s="2">
        <f>F177*298</f>
        <v>130755.10204081633</v>
      </c>
    </row>
    <row r="179" spans="1:13" x14ac:dyDescent="0.2">
      <c r="A179" s="12" t="s">
        <v>172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1" spans="1:13" x14ac:dyDescent="0.2">
      <c r="B181" s="18" t="s">
        <v>164</v>
      </c>
      <c r="C181" s="18" t="s">
        <v>165</v>
      </c>
      <c r="D181" s="18" t="s">
        <v>168</v>
      </c>
      <c r="E181" s="18" t="s">
        <v>169</v>
      </c>
      <c r="F181" s="18" t="s">
        <v>170</v>
      </c>
      <c r="G181" s="18" t="s">
        <v>171</v>
      </c>
    </row>
    <row r="182" spans="1:13" x14ac:dyDescent="0.2">
      <c r="A182" t="s">
        <v>33</v>
      </c>
      <c r="B182">
        <v>42</v>
      </c>
      <c r="C182">
        <v>0.22</v>
      </c>
      <c r="D182" s="2">
        <v>185250</v>
      </c>
      <c r="E182" s="2">
        <f>D182*C182*B182</f>
        <v>1711710</v>
      </c>
      <c r="F182">
        <v>0.15</v>
      </c>
      <c r="G182" s="2">
        <f>F182*E182*3.67</f>
        <v>942296.35499999998</v>
      </c>
    </row>
    <row r="183" spans="1:13" x14ac:dyDescent="0.2">
      <c r="A183" t="s">
        <v>53</v>
      </c>
      <c r="B183">
        <v>43</v>
      </c>
      <c r="C183">
        <v>0.22</v>
      </c>
      <c r="D183" s="2">
        <v>160550</v>
      </c>
      <c r="E183" s="2">
        <f>D183*C183*B183</f>
        <v>1518803</v>
      </c>
      <c r="F183">
        <v>0.15</v>
      </c>
      <c r="G183" s="2">
        <f>F183*E183*3.67</f>
        <v>836101.05149999994</v>
      </c>
    </row>
    <row r="184" spans="1:13" x14ac:dyDescent="0.2">
      <c r="A184" t="s">
        <v>0</v>
      </c>
      <c r="B184">
        <v>38</v>
      </c>
      <c r="E184" s="2"/>
      <c r="G184" s="2">
        <f>SUM(G185:G186)</f>
        <v>741144.0719927398</v>
      </c>
    </row>
    <row r="185" spans="1:13" x14ac:dyDescent="0.2">
      <c r="A185" s="16" t="s">
        <v>166</v>
      </c>
      <c r="B185">
        <v>38</v>
      </c>
      <c r="C185">
        <v>0.36</v>
      </c>
      <c r="D185" s="2">
        <f>124735*0.4574</f>
        <v>57053.788999999997</v>
      </c>
      <c r="E185" s="2">
        <f>D185*C185*B185</f>
        <v>780495.83351999987</v>
      </c>
      <c r="F185">
        <v>0.15</v>
      </c>
      <c r="G185" s="31">
        <f t="shared" ref="G185:G186" si="12">F185*E185*3.67</f>
        <v>429662.95635275991</v>
      </c>
    </row>
    <row r="186" spans="1:13" x14ac:dyDescent="0.2">
      <c r="A186" s="16" t="s">
        <v>167</v>
      </c>
      <c r="B186">
        <v>38</v>
      </c>
      <c r="C186">
        <v>0.22</v>
      </c>
      <c r="D186" s="2">
        <f>124735*(1-0.4574)</f>
        <v>67681.210999999996</v>
      </c>
      <c r="E186" s="2">
        <f>D186*C186*B186</f>
        <v>565814.92395999993</v>
      </c>
      <c r="F186">
        <v>0.15</v>
      </c>
      <c r="G186" s="31">
        <f t="shared" si="12"/>
        <v>311481.11563997989</v>
      </c>
    </row>
    <row r="187" spans="1:13" x14ac:dyDescent="0.2">
      <c r="A187" t="s">
        <v>25</v>
      </c>
      <c r="B187">
        <v>33</v>
      </c>
      <c r="D187" s="2"/>
      <c r="E187" s="2"/>
      <c r="G187" s="2">
        <f>SUM(G188:G189)</f>
        <v>1114601.9741999996</v>
      </c>
    </row>
    <row r="188" spans="1:13" x14ac:dyDescent="0.2">
      <c r="A188" s="16" t="s">
        <v>166</v>
      </c>
      <c r="B188">
        <v>33</v>
      </c>
      <c r="C188">
        <v>0.36</v>
      </c>
      <c r="D188" s="2">
        <f>0.4*222300</f>
        <v>88920</v>
      </c>
      <c r="E188" s="2">
        <f>D188*C188*B188</f>
        <v>1056369.5999999999</v>
      </c>
      <c r="F188">
        <v>0.15</v>
      </c>
      <c r="G188" s="31">
        <f t="shared" ref="G188:G189" si="13">F188*E188*3.67</f>
        <v>581531.46479999984</v>
      </c>
    </row>
    <row r="189" spans="1:13" x14ac:dyDescent="0.2">
      <c r="A189" s="16" t="s">
        <v>167</v>
      </c>
      <c r="B189">
        <v>33</v>
      </c>
      <c r="C189">
        <v>0.22</v>
      </c>
      <c r="D189" s="2">
        <f>0.6*222300</f>
        <v>133380</v>
      </c>
      <c r="E189" s="2">
        <f>D189*C189*B189</f>
        <v>968338.79999999993</v>
      </c>
      <c r="F189">
        <v>0.15</v>
      </c>
      <c r="G189" s="31">
        <f t="shared" si="13"/>
        <v>533070.50939999986</v>
      </c>
    </row>
    <row r="191" spans="1:13" x14ac:dyDescent="0.2">
      <c r="B191" s="18" t="s">
        <v>165</v>
      </c>
    </row>
    <row r="192" spans="1:13" x14ac:dyDescent="0.2">
      <c r="A192" t="s">
        <v>173</v>
      </c>
      <c r="B192" s="6">
        <v>0.22</v>
      </c>
    </row>
    <row r="193" spans="1:13" x14ac:dyDescent="0.2">
      <c r="A193" t="s">
        <v>175</v>
      </c>
      <c r="B193" s="6">
        <v>0.36</v>
      </c>
    </row>
    <row r="194" spans="1:13" x14ac:dyDescent="0.2">
      <c r="A194" t="s">
        <v>174</v>
      </c>
      <c r="B194" s="6">
        <v>0.2</v>
      </c>
    </row>
    <row r="196" spans="1:13" x14ac:dyDescent="0.2">
      <c r="A196" t="s">
        <v>176</v>
      </c>
      <c r="B196" s="14" t="s">
        <v>177</v>
      </c>
    </row>
    <row r="198" spans="1:13" x14ac:dyDescent="0.2">
      <c r="A198" s="12" t="s">
        <v>178</v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203" spans="1:13" x14ac:dyDescent="0.2">
      <c r="A203" s="47"/>
      <c r="B203" s="48" t="s">
        <v>33</v>
      </c>
      <c r="C203" s="48" t="s">
        <v>53</v>
      </c>
      <c r="D203" s="48" t="s">
        <v>0</v>
      </c>
      <c r="E203" s="48" t="s">
        <v>25</v>
      </c>
    </row>
    <row r="204" spans="1:13" x14ac:dyDescent="0.2">
      <c r="A204" s="47" t="s">
        <v>199</v>
      </c>
      <c r="B204" s="35">
        <v>38343040.413890548</v>
      </c>
      <c r="C204" s="35">
        <v>33184687.625261474</v>
      </c>
      <c r="D204" s="35">
        <v>18552668.759310599</v>
      </c>
      <c r="E204" s="35">
        <v>38576131.198764525</v>
      </c>
    </row>
    <row r="205" spans="1:13" x14ac:dyDescent="0.2">
      <c r="A205" s="47" t="s">
        <v>200</v>
      </c>
      <c r="B205" s="35">
        <v>-14328359.418054817</v>
      </c>
      <c r="C205" s="35">
        <v>-11639257.070121937</v>
      </c>
      <c r="D205" s="35">
        <v>-4754979.0039081592</v>
      </c>
      <c r="E205" s="35">
        <v>-9232243.0854290556</v>
      </c>
    </row>
    <row r="206" spans="1:13" x14ac:dyDescent="0.2">
      <c r="A206" s="47" t="s">
        <v>201</v>
      </c>
      <c r="B206" s="35">
        <v>9633000</v>
      </c>
      <c r="C206" s="35">
        <v>8348600</v>
      </c>
      <c r="D206" s="35">
        <v>3610526.7119999998</v>
      </c>
      <c r="E206" s="35">
        <v>8623461.6000000015</v>
      </c>
    </row>
    <row r="207" spans="1:13" x14ac:dyDescent="0.2">
      <c r="A207" s="47" t="s">
        <v>202</v>
      </c>
      <c r="B207" s="35">
        <v>11837917.989519648</v>
      </c>
      <c r="C207" s="35">
        <v>14552323.5</v>
      </c>
      <c r="D207" s="35">
        <v>3373456.15</v>
      </c>
      <c r="E207" s="35">
        <v>17460903.532500003</v>
      </c>
    </row>
    <row r="208" spans="1:13" x14ac:dyDescent="0.2">
      <c r="A208" s="47" t="s">
        <v>203</v>
      </c>
      <c r="B208" s="35">
        <v>645000</v>
      </c>
      <c r="C208" s="35">
        <v>558999.99999999988</v>
      </c>
      <c r="D208" s="35">
        <v>931314.57573396049</v>
      </c>
      <c r="E208" s="35">
        <v>642477.2612429267</v>
      </c>
    </row>
    <row r="209" spans="1:5" x14ac:dyDescent="0.2">
      <c r="A209" s="50" t="s">
        <v>204</v>
      </c>
      <c r="B209" s="38">
        <v>942296.35499999998</v>
      </c>
      <c r="C209" s="38">
        <v>836101.05149999994</v>
      </c>
      <c r="D209" s="38">
        <v>741144.0719927398</v>
      </c>
      <c r="E209" s="38">
        <v>1114601.9741999996</v>
      </c>
    </row>
    <row r="210" spans="1:5" x14ac:dyDescent="0.2">
      <c r="A210" s="46" t="s">
        <v>205</v>
      </c>
      <c r="B210" s="35">
        <f>SUM(B204:B209)</f>
        <v>47072895.340355374</v>
      </c>
      <c r="C210" s="35">
        <f t="shared" ref="C210:E210" si="14">SUM(C204:C209)</f>
        <v>45841455.106639542</v>
      </c>
      <c r="D210" s="35">
        <f t="shared" si="14"/>
        <v>22454131.265129138</v>
      </c>
      <c r="E210" s="35">
        <f t="shared" si="14"/>
        <v>57185332.481278397</v>
      </c>
    </row>
    <row r="211" spans="1:5" x14ac:dyDescent="0.2">
      <c r="A211" s="47" t="s">
        <v>179</v>
      </c>
      <c r="B211" s="35">
        <v>3880133</v>
      </c>
      <c r="C211" s="35">
        <v>2738945</v>
      </c>
      <c r="D211" s="35">
        <v>2418299.923076923</v>
      </c>
      <c r="E211" s="35">
        <v>3605337</v>
      </c>
    </row>
    <row r="212" spans="1:5" x14ac:dyDescent="0.2">
      <c r="A212" s="47" t="s">
        <v>231</v>
      </c>
      <c r="B212" s="36">
        <f>B210/B211</f>
        <v>12.131773663520136</v>
      </c>
      <c r="C212" s="36">
        <f t="shared" ref="C212:E212" si="15">C210/C211</f>
        <v>16.736902386371227</v>
      </c>
      <c r="D212" s="36">
        <f t="shared" si="15"/>
        <v>9.2850895171677603</v>
      </c>
      <c r="E212" s="36">
        <f t="shared" si="15"/>
        <v>15.86130020058552</v>
      </c>
    </row>
    <row r="213" spans="1:5" x14ac:dyDescent="0.2">
      <c r="A213" s="51" t="s">
        <v>228</v>
      </c>
      <c r="B213" s="36">
        <v>11.830368938477982</v>
      </c>
      <c r="C213" s="36">
        <v>16.130908017343128</v>
      </c>
      <c r="D213" s="36">
        <v>8.8200370999122537</v>
      </c>
      <c r="E213" s="36">
        <v>14.110712164844136</v>
      </c>
    </row>
    <row r="214" spans="1:5" x14ac:dyDescent="0.2">
      <c r="A214" s="51" t="s">
        <v>229</v>
      </c>
      <c r="B214" s="36">
        <v>15.042591602719424</v>
      </c>
      <c r="C214" s="36">
        <v>20.000880046449311</v>
      </c>
      <c r="D214" s="36">
        <v>9.8490518142684067</v>
      </c>
      <c r="E214" s="36">
        <v>15.973618621004853</v>
      </c>
    </row>
    <row r="215" spans="1:5" x14ac:dyDescent="0.2">
      <c r="A215" s="51" t="s">
        <v>227</v>
      </c>
      <c r="B215" s="36">
        <v>9.08</v>
      </c>
      <c r="C215" s="36">
        <v>11.42</v>
      </c>
      <c r="D215" s="36">
        <v>7.89</v>
      </c>
      <c r="E215" s="36">
        <v>11.02</v>
      </c>
    </row>
    <row r="216" spans="1:5" x14ac:dyDescent="0.2">
      <c r="A216" s="52" t="s">
        <v>230</v>
      </c>
      <c r="B216" s="39">
        <f>G79*100</f>
        <v>429.49362320252692</v>
      </c>
      <c r="C216" s="39">
        <f>G89*100</f>
        <v>429</v>
      </c>
      <c r="D216" s="39">
        <f>G97*100</f>
        <v>163</v>
      </c>
      <c r="E216" s="39">
        <f>G108*100</f>
        <v>442.50000000000006</v>
      </c>
    </row>
    <row r="217" spans="1:5" x14ac:dyDescent="0.2">
      <c r="A217" s="51" t="s">
        <v>197</v>
      </c>
      <c r="B217" s="37">
        <f>0.66*B226+0.34*B233</f>
        <v>345895503.84486735</v>
      </c>
      <c r="C217" s="37">
        <f t="shared" ref="C217:E217" si="16">0.66*C226+0.34*C233</f>
        <v>213698077.31245032</v>
      </c>
      <c r="D217" s="37">
        <f t="shared" si="16"/>
        <v>82752294.824822858</v>
      </c>
      <c r="E217" s="37">
        <f t="shared" si="16"/>
        <v>357420450.22186416</v>
      </c>
    </row>
    <row r="218" spans="1:5" x14ac:dyDescent="0.2">
      <c r="A218" s="51" t="s">
        <v>198</v>
      </c>
      <c r="B218" s="37">
        <f>0.34*B226+0.66*B233</f>
        <v>233614138.89417738</v>
      </c>
      <c r="C218" s="37">
        <f t="shared" ref="C218:E218" si="17">0.34*C226+0.66*C233</f>
        <v>144329405.15202427</v>
      </c>
      <c r="D218" s="37">
        <f t="shared" si="17"/>
        <v>55890018.46548561</v>
      </c>
      <c r="E218" s="37">
        <f t="shared" si="17"/>
        <v>241397964.91601318</v>
      </c>
    </row>
    <row r="220" spans="1:5" x14ac:dyDescent="0.2">
      <c r="A220" s="33" t="s">
        <v>188</v>
      </c>
    </row>
    <row r="221" spans="1:5" x14ac:dyDescent="0.2">
      <c r="B221" s="18" t="s">
        <v>182</v>
      </c>
      <c r="C221" s="18" t="s">
        <v>183</v>
      </c>
      <c r="D221" s="18" t="s">
        <v>184</v>
      </c>
      <c r="E221" s="18" t="s">
        <v>185</v>
      </c>
    </row>
    <row r="222" spans="1:5" x14ac:dyDescent="0.2">
      <c r="A222" s="34" t="s">
        <v>190</v>
      </c>
      <c r="B222" s="30">
        <v>2554547</v>
      </c>
      <c r="C222" s="30">
        <v>1143981</v>
      </c>
      <c r="D222" s="30">
        <v>798522.63459999999</v>
      </c>
      <c r="E222" s="30">
        <v>2018988.7200000002</v>
      </c>
    </row>
    <row r="223" spans="1:5" x14ac:dyDescent="0.2">
      <c r="A223" s="32" t="s">
        <v>243</v>
      </c>
      <c r="B223" s="2">
        <f>66/74*B222</f>
        <v>2278379.7567567569</v>
      </c>
      <c r="C223" s="2">
        <f t="shared" ref="C223:E223" si="18">66/74*C222</f>
        <v>1020307.3783783783</v>
      </c>
      <c r="D223" s="2">
        <f t="shared" si="18"/>
        <v>712195.86329189187</v>
      </c>
      <c r="E223" s="2">
        <f t="shared" si="18"/>
        <v>1800719.6691891893</v>
      </c>
    </row>
    <row r="224" spans="1:5" x14ac:dyDescent="0.2">
      <c r="A224" s="34" t="s">
        <v>191</v>
      </c>
      <c r="B224" s="2">
        <f>0.33*B223</f>
        <v>751865.31972972979</v>
      </c>
      <c r="C224" s="2">
        <f t="shared" ref="C224:E224" si="19">0.33*C223</f>
        <v>336701.43486486486</v>
      </c>
      <c r="D224" s="2">
        <f t="shared" si="19"/>
        <v>235024.63488632432</v>
      </c>
      <c r="E224" s="2">
        <f t="shared" si="19"/>
        <v>594237.49083243252</v>
      </c>
    </row>
    <row r="225" spans="1:5" x14ac:dyDescent="0.2">
      <c r="A225" s="34" t="s">
        <v>192</v>
      </c>
      <c r="B225" s="2">
        <f>B212*B224</f>
        <v>9121459.8844112828</v>
      </c>
      <c r="C225" s="2">
        <f>C212*C224</f>
        <v>5635339.0486843726</v>
      </c>
      <c r="D225" s="2">
        <f>D212*D224</f>
        <v>2182224.7736591902</v>
      </c>
      <c r="E225" s="2">
        <f>E212*E224</f>
        <v>9425379.2325358987</v>
      </c>
    </row>
    <row r="226" spans="1:5" x14ac:dyDescent="0.2">
      <c r="A226" s="34" t="s">
        <v>195</v>
      </c>
      <c r="B226" s="32">
        <f>B225*51</f>
        <v>465194454.1049754</v>
      </c>
      <c r="C226" s="32">
        <f t="shared" ref="C226:E226" si="20">C225*51</f>
        <v>287402291.482903</v>
      </c>
      <c r="D226" s="32">
        <f t="shared" si="20"/>
        <v>111293463.4566187</v>
      </c>
      <c r="E226" s="32">
        <f t="shared" si="20"/>
        <v>480694340.85933083</v>
      </c>
    </row>
    <row r="227" spans="1:5" x14ac:dyDescent="0.2">
      <c r="A227" s="34"/>
    </row>
    <row r="228" spans="1:5" x14ac:dyDescent="0.2">
      <c r="A228" s="33" t="s">
        <v>189</v>
      </c>
    </row>
    <row r="230" spans="1:5" x14ac:dyDescent="0.2">
      <c r="A230" t="s">
        <v>193</v>
      </c>
      <c r="B230" s="32">
        <v>13116925.919798071</v>
      </c>
    </row>
    <row r="231" spans="1:5" x14ac:dyDescent="0.2">
      <c r="A231" t="s">
        <v>194</v>
      </c>
      <c r="B231" s="32">
        <v>3223305.5394131187</v>
      </c>
    </row>
    <row r="232" spans="1:5" x14ac:dyDescent="0.2">
      <c r="A232" s="16" t="s">
        <v>196</v>
      </c>
      <c r="B232" s="24">
        <f>B231/B230</f>
        <v>0.24573635309992969</v>
      </c>
    </row>
    <row r="233" spans="1:5" x14ac:dyDescent="0.2">
      <c r="A233" t="s">
        <v>195</v>
      </c>
      <c r="B233" s="32">
        <f>$B$232*B226</f>
        <v>114315188.63406928</v>
      </c>
      <c r="C233" s="32">
        <f t="shared" ref="C233:E233" si="21">$B$232*C226</f>
        <v>70625190.98157157</v>
      </c>
      <c r="D233" s="32">
        <f t="shared" si="21"/>
        <v>27348849.833689775</v>
      </c>
      <c r="E233" s="32">
        <f t="shared" si="21"/>
        <v>118124074.27854648</v>
      </c>
    </row>
    <row r="235" spans="1:5" x14ac:dyDescent="0.2">
      <c r="A235" t="s">
        <v>211</v>
      </c>
    </row>
    <row r="236" spans="1:5" x14ac:dyDescent="0.2">
      <c r="B236" s="18" t="s">
        <v>212</v>
      </c>
      <c r="C236" s="18" t="s">
        <v>213</v>
      </c>
      <c r="D236" s="18" t="s">
        <v>214</v>
      </c>
      <c r="E236" s="18" t="s">
        <v>215</v>
      </c>
    </row>
    <row r="237" spans="1:5" x14ac:dyDescent="0.2">
      <c r="A237" t="s">
        <v>33</v>
      </c>
      <c r="B237" s="2">
        <f>B210-B208</f>
        <v>46427895.340355374</v>
      </c>
      <c r="C237">
        <v>0</v>
      </c>
      <c r="D237" s="2">
        <f>B237-C237</f>
        <v>46427895.340355374</v>
      </c>
      <c r="E237">
        <v>1</v>
      </c>
    </row>
    <row r="238" spans="1:5" x14ac:dyDescent="0.2">
      <c r="A238" t="s">
        <v>53</v>
      </c>
      <c r="B238" s="2">
        <f>C210-C208</f>
        <v>45282455.106639542</v>
      </c>
      <c r="C238">
        <v>0</v>
      </c>
      <c r="D238" s="2">
        <f t="shared" ref="D238:D240" si="22">B238-C238</f>
        <v>45282455.106639542</v>
      </c>
      <c r="E238">
        <v>1</v>
      </c>
    </row>
    <row r="239" spans="1:5" x14ac:dyDescent="0.2">
      <c r="A239" t="s">
        <v>0</v>
      </c>
      <c r="B239" s="2">
        <f>D210-D208</f>
        <v>21522816.689395178</v>
      </c>
      <c r="C239" s="2">
        <v>7030000</v>
      </c>
      <c r="D239" s="2">
        <f t="shared" si="22"/>
        <v>14492816.689395178</v>
      </c>
      <c r="E239">
        <v>2</v>
      </c>
    </row>
    <row r="240" spans="1:5" x14ac:dyDescent="0.2">
      <c r="A240" t="s">
        <v>25</v>
      </c>
      <c r="B240" s="2">
        <f>E210-E208</f>
        <v>56542855.220035471</v>
      </c>
      <c r="C240">
        <v>0</v>
      </c>
      <c r="D240" s="2">
        <f t="shared" si="22"/>
        <v>56542855.220035471</v>
      </c>
      <c r="E240">
        <v>2</v>
      </c>
    </row>
    <row r="242" spans="1:13" x14ac:dyDescent="0.2">
      <c r="A242" s="12" t="s">
        <v>216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4" spans="1:13" x14ac:dyDescent="0.2">
      <c r="B244" s="18" t="s">
        <v>218</v>
      </c>
      <c r="C244" s="18" t="s">
        <v>224</v>
      </c>
      <c r="D244" s="18" t="s">
        <v>225</v>
      </c>
      <c r="E244" s="18" t="s">
        <v>222</v>
      </c>
      <c r="F244" s="18" t="s">
        <v>223</v>
      </c>
    </row>
    <row r="245" spans="1:13" x14ac:dyDescent="0.2">
      <c r="A245" t="s">
        <v>33</v>
      </c>
      <c r="B245" s="14" t="s">
        <v>219</v>
      </c>
      <c r="C245">
        <v>2.85</v>
      </c>
      <c r="D245" s="17">
        <f>C245*0.907185</f>
        <v>2.5854772500000003</v>
      </c>
      <c r="E245" s="17">
        <v>11.830368938477982</v>
      </c>
      <c r="F245" s="17">
        <f>D245*E245</f>
        <v>30.587149749541474</v>
      </c>
    </row>
    <row r="246" spans="1:13" x14ac:dyDescent="0.2">
      <c r="A246" t="s">
        <v>217</v>
      </c>
      <c r="B246" s="14" t="s">
        <v>219</v>
      </c>
      <c r="C246">
        <v>2.85</v>
      </c>
      <c r="D246" s="17">
        <f t="shared" ref="D246:D248" si="23">C246*0.907185</f>
        <v>2.5854772500000003</v>
      </c>
      <c r="E246" s="17">
        <v>16.130908017343128</v>
      </c>
      <c r="F246" s="17">
        <f t="shared" ref="F246:F248" si="24">D246*E246</f>
        <v>41.706095700683264</v>
      </c>
    </row>
    <row r="247" spans="1:13" x14ac:dyDescent="0.2">
      <c r="A247" t="s">
        <v>0</v>
      </c>
      <c r="B247" s="14" t="s">
        <v>220</v>
      </c>
      <c r="C247" s="17">
        <v>2.35</v>
      </c>
      <c r="D247" s="17">
        <f t="shared" si="23"/>
        <v>2.1318847500000002</v>
      </c>
      <c r="E247" s="17">
        <v>8.8200370999122537</v>
      </c>
      <c r="F247" s="17">
        <f t="shared" si="24"/>
        <v>18.803302587737161</v>
      </c>
    </row>
    <row r="248" spans="1:13" x14ac:dyDescent="0.2">
      <c r="A248" t="s">
        <v>25</v>
      </c>
      <c r="B248" s="14" t="s">
        <v>221</v>
      </c>
      <c r="C248" s="17">
        <v>3.2</v>
      </c>
      <c r="D248" s="17">
        <f t="shared" si="23"/>
        <v>2.9029920000000002</v>
      </c>
      <c r="E248" s="17">
        <v>14.110712164844136</v>
      </c>
      <c r="F248" s="17">
        <f t="shared" si="24"/>
        <v>40.963284528845215</v>
      </c>
    </row>
    <row r="251" spans="1:13" x14ac:dyDescent="0.2">
      <c r="A251" s="12" t="s">
        <v>226</v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</row>
    <row r="253" spans="1:13" x14ac:dyDescent="0.2">
      <c r="A253" t="s">
        <v>232</v>
      </c>
      <c r="B253">
        <v>25</v>
      </c>
      <c r="C253">
        <f>B253/2.47</f>
        <v>10.121457489878543</v>
      </c>
    </row>
    <row r="254" spans="1:13" x14ac:dyDescent="0.2">
      <c r="A254" t="s">
        <v>233</v>
      </c>
      <c r="B254">
        <v>20</v>
      </c>
      <c r="C254">
        <f>B254*2.3597*2.47</f>
        <v>116.56918000000002</v>
      </c>
    </row>
    <row r="255" spans="1:13" x14ac:dyDescent="0.2">
      <c r="A255" t="s">
        <v>239</v>
      </c>
      <c r="B255">
        <f>B253*B254</f>
        <v>500</v>
      </c>
    </row>
    <row r="256" spans="1:13" x14ac:dyDescent="0.2">
      <c r="A256" t="s">
        <v>234</v>
      </c>
      <c r="B256">
        <f>B255*D215</f>
        <v>3945</v>
      </c>
    </row>
    <row r="257" spans="1:2" x14ac:dyDescent="0.2">
      <c r="A257" t="s">
        <v>235</v>
      </c>
      <c r="B257">
        <f>25*D216</f>
        <v>4075</v>
      </c>
    </row>
    <row r="258" spans="1:2" x14ac:dyDescent="0.2">
      <c r="A258" t="s">
        <v>236</v>
      </c>
      <c r="B258">
        <f>0.68*B253*1.8*100</f>
        <v>3060</v>
      </c>
    </row>
    <row r="259" spans="1:2" x14ac:dyDescent="0.2">
      <c r="A259" t="s">
        <v>237</v>
      </c>
      <c r="B259">
        <f>B256+B257-B258</f>
        <v>4960</v>
      </c>
    </row>
    <row r="260" spans="1:2" x14ac:dyDescent="0.2">
      <c r="A260" t="s">
        <v>238</v>
      </c>
      <c r="B260" s="49">
        <f>B259*51</f>
        <v>252960</v>
      </c>
    </row>
  </sheetData>
  <mergeCells count="2">
    <mergeCell ref="B14:C14"/>
    <mergeCell ref="D14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4F0B8-A509-4B4E-A660-FE0275B7D863}">
  <dimension ref="A2:M34"/>
  <sheetViews>
    <sheetView showGridLines="0" topLeftCell="F1" workbookViewId="0">
      <selection activeCell="L28" sqref="L28"/>
    </sheetView>
  </sheetViews>
  <sheetFormatPr baseColWidth="10" defaultRowHeight="16" x14ac:dyDescent="0.2"/>
  <cols>
    <col min="1" max="1" width="33.33203125" style="22" customWidth="1"/>
    <col min="2" max="2" width="14" style="22" customWidth="1"/>
    <col min="3" max="3" width="14.1640625" style="22" customWidth="1"/>
    <col min="4" max="4" width="14.6640625" style="22" customWidth="1"/>
    <col min="5" max="5" width="15.1640625" style="22" customWidth="1"/>
    <col min="6" max="6" width="10.83203125" style="22"/>
    <col min="7" max="7" width="33.33203125" style="22" customWidth="1"/>
    <col min="8" max="8" width="15.33203125" style="22" customWidth="1"/>
    <col min="9" max="9" width="17.6640625" style="22" customWidth="1"/>
    <col min="10" max="10" width="16.1640625" style="22" customWidth="1"/>
    <col min="11" max="11" width="18.33203125" style="22" customWidth="1"/>
    <col min="12" max="12" width="49.1640625" style="22" customWidth="1"/>
    <col min="13" max="13" width="14" style="22" customWidth="1"/>
    <col min="14" max="16384" width="10.83203125" style="22"/>
  </cols>
  <sheetData>
    <row r="2" spans="1:13" x14ac:dyDescent="0.2">
      <c r="A2" s="22" t="s">
        <v>206</v>
      </c>
      <c r="G2" s="22" t="s">
        <v>307</v>
      </c>
      <c r="L2" s="71" t="s">
        <v>207</v>
      </c>
    </row>
    <row r="3" spans="1:13" x14ac:dyDescent="0.2">
      <c r="A3" s="67" t="s">
        <v>270</v>
      </c>
      <c r="B3" s="68" t="s">
        <v>33</v>
      </c>
      <c r="C3" s="68" t="s">
        <v>53</v>
      </c>
      <c r="D3" s="68" t="s">
        <v>0</v>
      </c>
      <c r="E3" s="68" t="s">
        <v>25</v>
      </c>
      <c r="G3" s="74"/>
      <c r="H3" s="75" t="s">
        <v>287</v>
      </c>
      <c r="I3" s="75" t="s">
        <v>288</v>
      </c>
      <c r="J3" s="75" t="s">
        <v>289</v>
      </c>
      <c r="L3" s="72" t="s">
        <v>282</v>
      </c>
      <c r="M3" s="50"/>
    </row>
    <row r="4" spans="1:13" x14ac:dyDescent="0.2">
      <c r="A4" s="61" t="s">
        <v>199</v>
      </c>
      <c r="B4" s="40">
        <v>38343040</v>
      </c>
      <c r="C4" s="40">
        <v>33184688</v>
      </c>
      <c r="D4" s="40">
        <v>18552669</v>
      </c>
      <c r="E4" s="40">
        <v>38576131</v>
      </c>
      <c r="G4" s="46"/>
      <c r="H4" s="73" t="s">
        <v>208</v>
      </c>
      <c r="I4" s="73" t="s">
        <v>209</v>
      </c>
      <c r="J4" s="73" t="s">
        <v>210</v>
      </c>
      <c r="L4" s="22" t="s">
        <v>284</v>
      </c>
      <c r="M4" s="36">
        <f>25/2.47</f>
        <v>10.121457489878543</v>
      </c>
    </row>
    <row r="5" spans="1:13" x14ac:dyDescent="0.2">
      <c r="A5" s="61" t="s">
        <v>200</v>
      </c>
      <c r="B5" s="40">
        <v>-14328359</v>
      </c>
      <c r="C5" s="40">
        <v>-11639257</v>
      </c>
      <c r="D5" s="40">
        <v>-4754979</v>
      </c>
      <c r="E5" s="40">
        <v>-9232243</v>
      </c>
      <c r="G5" s="51" t="s">
        <v>272</v>
      </c>
      <c r="H5" s="55">
        <v>36966</v>
      </c>
      <c r="I5" s="55">
        <v>36966</v>
      </c>
      <c r="J5" s="55">
        <v>27782</v>
      </c>
      <c r="L5" s="22" t="s">
        <v>302</v>
      </c>
      <c r="M5" s="36">
        <f>20*2.3597*2.47</f>
        <v>116.56918000000002</v>
      </c>
    </row>
    <row r="6" spans="1:13" x14ac:dyDescent="0.2">
      <c r="A6" s="61" t="s">
        <v>201</v>
      </c>
      <c r="B6" s="40">
        <v>9633000</v>
      </c>
      <c r="C6" s="40">
        <v>8348600</v>
      </c>
      <c r="D6" s="40">
        <v>3610527</v>
      </c>
      <c r="E6" s="40">
        <v>8623462</v>
      </c>
      <c r="G6" s="51" t="s">
        <v>240</v>
      </c>
      <c r="H6" s="55">
        <v>73774</v>
      </c>
      <c r="I6" s="55">
        <v>65844</v>
      </c>
      <c r="J6" s="55">
        <v>53267</v>
      </c>
      <c r="L6" s="22" t="s">
        <v>298</v>
      </c>
      <c r="M6" s="36">
        <v>0.91</v>
      </c>
    </row>
    <row r="7" spans="1:13" x14ac:dyDescent="0.2">
      <c r="A7" s="61" t="s">
        <v>202</v>
      </c>
      <c r="B7" s="40">
        <v>11837918</v>
      </c>
      <c r="C7" s="40">
        <v>14552324</v>
      </c>
      <c r="D7" s="40">
        <v>3373456</v>
      </c>
      <c r="E7" s="40">
        <v>17460904</v>
      </c>
      <c r="G7" s="51" t="s">
        <v>273</v>
      </c>
      <c r="H7" s="55">
        <f>H6*2.3597</f>
        <v>174084.50780000002</v>
      </c>
      <c r="I7" s="55">
        <f t="shared" ref="I7:J7" si="0">I6*2.3597</f>
        <v>155372.08680000002</v>
      </c>
      <c r="J7" s="55">
        <f t="shared" si="0"/>
        <v>125694.13990000001</v>
      </c>
      <c r="L7" s="22" t="s">
        <v>299</v>
      </c>
      <c r="M7" s="36">
        <v>109.7</v>
      </c>
    </row>
    <row r="8" spans="1:13" x14ac:dyDescent="0.2">
      <c r="A8" s="61" t="s">
        <v>203</v>
      </c>
      <c r="B8" s="40">
        <v>645000</v>
      </c>
      <c r="C8" s="40">
        <v>559000</v>
      </c>
      <c r="D8" s="40">
        <v>931315</v>
      </c>
      <c r="E8" s="40">
        <v>642477</v>
      </c>
      <c r="G8" s="51" t="s">
        <v>241</v>
      </c>
      <c r="H8" s="56">
        <v>827</v>
      </c>
      <c r="I8" s="56">
        <v>916</v>
      </c>
      <c r="J8" s="56">
        <v>873</v>
      </c>
      <c r="L8" s="22" t="s">
        <v>285</v>
      </c>
      <c r="M8" s="77">
        <v>0.66</v>
      </c>
    </row>
    <row r="9" spans="1:13" x14ac:dyDescent="0.2">
      <c r="A9" s="62" t="s">
        <v>204</v>
      </c>
      <c r="B9" s="41">
        <v>942296</v>
      </c>
      <c r="C9" s="41">
        <v>836101</v>
      </c>
      <c r="D9" s="41">
        <v>741144</v>
      </c>
      <c r="E9" s="41">
        <v>1114602</v>
      </c>
      <c r="G9" s="51" t="s">
        <v>274</v>
      </c>
      <c r="H9" s="56">
        <f>H8/2.3597</f>
        <v>350.46827986608463</v>
      </c>
      <c r="I9" s="56">
        <f t="shared" ref="I9:J9" si="1">I8/2.3597</f>
        <v>388.1849387634021</v>
      </c>
      <c r="J9" s="56">
        <f t="shared" si="1"/>
        <v>369.96228334110265</v>
      </c>
      <c r="L9" s="22" t="s">
        <v>301</v>
      </c>
      <c r="M9" s="77">
        <f>1.8*2.47/3.67</f>
        <v>1.2114441416893735</v>
      </c>
    </row>
    <row r="10" spans="1:13" x14ac:dyDescent="0.2">
      <c r="A10" s="63" t="s">
        <v>244</v>
      </c>
      <c r="B10" s="40">
        <v>47072895</v>
      </c>
      <c r="C10" s="40">
        <v>45841455</v>
      </c>
      <c r="D10" s="40">
        <v>22454131</v>
      </c>
      <c r="E10" s="40">
        <v>57185332</v>
      </c>
      <c r="G10" s="51" t="s">
        <v>275</v>
      </c>
      <c r="H10" s="57">
        <v>216.08</v>
      </c>
      <c r="I10" s="57">
        <v>216.08</v>
      </c>
      <c r="J10" s="57">
        <v>216.08</v>
      </c>
      <c r="L10" s="22" t="s">
        <v>300</v>
      </c>
      <c r="M10" s="76">
        <v>51</v>
      </c>
    </row>
    <row r="11" spans="1:13" x14ac:dyDescent="0.2">
      <c r="A11" s="65" t="s">
        <v>279</v>
      </c>
      <c r="B11" s="66"/>
      <c r="C11" s="66"/>
      <c r="D11" s="66"/>
      <c r="E11" s="66"/>
      <c r="G11" s="51" t="s">
        <v>290</v>
      </c>
      <c r="H11" s="57">
        <v>15.66</v>
      </c>
      <c r="I11" s="57">
        <v>15.66</v>
      </c>
      <c r="J11" s="57">
        <v>15.66</v>
      </c>
      <c r="L11" s="72" t="s">
        <v>283</v>
      </c>
      <c r="M11" s="50"/>
    </row>
    <row r="12" spans="1:13" x14ac:dyDescent="0.2">
      <c r="A12" s="61" t="s">
        <v>245</v>
      </c>
      <c r="B12" s="59" t="s">
        <v>252</v>
      </c>
      <c r="C12" s="59" t="s">
        <v>256</v>
      </c>
      <c r="D12" s="59" t="s">
        <v>259</v>
      </c>
      <c r="E12" s="59" t="s">
        <v>264</v>
      </c>
      <c r="G12" s="51" t="s">
        <v>291</v>
      </c>
      <c r="H12" s="57">
        <v>22.32</v>
      </c>
      <c r="I12" s="57">
        <v>17.309999999999999</v>
      </c>
      <c r="J12" s="57">
        <v>14.31</v>
      </c>
      <c r="L12" s="22" t="s">
        <v>303</v>
      </c>
      <c r="M12" s="35">
        <f>((M5*M6*M4) +(M4*M7))*3.67</f>
        <v>8015.233708967613</v>
      </c>
    </row>
    <row r="13" spans="1:13" x14ac:dyDescent="0.2">
      <c r="A13" s="43" t="s">
        <v>246</v>
      </c>
      <c r="B13" s="59" t="s">
        <v>253</v>
      </c>
      <c r="C13" s="59" t="s">
        <v>257</v>
      </c>
      <c r="D13" s="59" t="s">
        <v>260</v>
      </c>
      <c r="E13" s="59" t="s">
        <v>265</v>
      </c>
      <c r="G13" s="51" t="s">
        <v>242</v>
      </c>
      <c r="H13" s="57">
        <v>0</v>
      </c>
      <c r="I13" s="57">
        <v>177.8</v>
      </c>
      <c r="J13" s="57">
        <v>60.51</v>
      </c>
      <c r="K13" s="37"/>
      <c r="L13" s="22" t="s">
        <v>304</v>
      </c>
      <c r="M13" s="35">
        <f>M4*M8*M9*3.67*100</f>
        <v>2970.0000000000009</v>
      </c>
    </row>
    <row r="14" spans="1:13" x14ac:dyDescent="0.2">
      <c r="A14" s="43" t="s">
        <v>247</v>
      </c>
      <c r="B14" s="59" t="s">
        <v>254</v>
      </c>
      <c r="C14" s="59" t="s">
        <v>263</v>
      </c>
      <c r="D14" s="59" t="s">
        <v>261</v>
      </c>
      <c r="E14" s="59" t="s">
        <v>266</v>
      </c>
      <c r="G14" s="51" t="s">
        <v>276</v>
      </c>
      <c r="H14" s="57">
        <v>0</v>
      </c>
      <c r="I14" s="57">
        <f>I13/2.3597</f>
        <v>75.348561257787011</v>
      </c>
      <c r="J14" s="57">
        <f>J13/2.3597</f>
        <v>25.643090223333473</v>
      </c>
      <c r="K14" s="37"/>
      <c r="L14" s="78" t="s">
        <v>305</v>
      </c>
      <c r="M14" s="38">
        <f>M12-M13</f>
        <v>5045.2337089676121</v>
      </c>
    </row>
    <row r="15" spans="1:13" x14ac:dyDescent="0.2">
      <c r="A15" s="43" t="s">
        <v>248</v>
      </c>
      <c r="B15" s="59" t="s">
        <v>255</v>
      </c>
      <c r="C15" s="59" t="s">
        <v>258</v>
      </c>
      <c r="D15" s="59" t="s">
        <v>262</v>
      </c>
      <c r="E15" s="59" t="s">
        <v>267</v>
      </c>
      <c r="G15" s="51" t="s">
        <v>292</v>
      </c>
      <c r="H15" s="57">
        <v>0</v>
      </c>
      <c r="I15" s="57">
        <v>11.71</v>
      </c>
      <c r="J15" s="57">
        <v>3.22</v>
      </c>
      <c r="K15" s="37"/>
      <c r="L15" s="22" t="s">
        <v>286</v>
      </c>
      <c r="M15" s="56">
        <v>257295</v>
      </c>
    </row>
    <row r="16" spans="1:13" x14ac:dyDescent="0.2">
      <c r="A16" s="64" t="s">
        <v>249</v>
      </c>
      <c r="B16" s="60" t="s">
        <v>277</v>
      </c>
      <c r="C16" s="60" t="s">
        <v>278</v>
      </c>
      <c r="D16" s="60" t="s">
        <v>280</v>
      </c>
      <c r="E16" s="60" t="s">
        <v>281</v>
      </c>
      <c r="G16" s="51" t="s">
        <v>293</v>
      </c>
      <c r="H16" s="57">
        <v>1569.8</v>
      </c>
      <c r="I16" s="57">
        <v>1551.67</v>
      </c>
      <c r="J16" s="57">
        <v>1213.08</v>
      </c>
      <c r="K16" s="37"/>
    </row>
    <row r="17" spans="1:12" x14ac:dyDescent="0.2">
      <c r="A17" s="69" t="s">
        <v>271</v>
      </c>
      <c r="B17" s="70"/>
      <c r="C17" s="70"/>
      <c r="D17" s="70"/>
      <c r="E17" s="70"/>
      <c r="G17" s="51" t="s">
        <v>294</v>
      </c>
      <c r="H17" s="57">
        <v>0</v>
      </c>
      <c r="I17" s="57">
        <v>0</v>
      </c>
      <c r="J17" s="57">
        <v>47.49</v>
      </c>
    </row>
    <row r="18" spans="1:12" x14ac:dyDescent="0.2">
      <c r="A18" s="43" t="s">
        <v>268</v>
      </c>
      <c r="B18" s="44">
        <f>Analysis!B217/1000000</f>
        <v>345.89550384486733</v>
      </c>
      <c r="C18" s="44">
        <f>Analysis!C217/1000000</f>
        <v>213.69807731245032</v>
      </c>
      <c r="D18" s="44">
        <f>Analysis!D217/1000000</f>
        <v>82.752294824822854</v>
      </c>
      <c r="E18" s="44">
        <f>Analysis!E217/1000000</f>
        <v>357.42045022186414</v>
      </c>
      <c r="G18" s="51" t="s">
        <v>295</v>
      </c>
      <c r="H18" s="57">
        <v>977.26</v>
      </c>
      <c r="I18" s="57">
        <v>1149.6099999999999</v>
      </c>
      <c r="J18" s="57">
        <v>853.96</v>
      </c>
      <c r="L18" s="22">
        <f>M4*M5*M6*3.67</f>
        <v>3940.3450450000005</v>
      </c>
    </row>
    <row r="19" spans="1:12" x14ac:dyDescent="0.2">
      <c r="A19" s="43" t="s">
        <v>269</v>
      </c>
      <c r="B19" s="44">
        <f>Analysis!B218/1000000</f>
        <v>233.61413889417739</v>
      </c>
      <c r="C19" s="44">
        <f>Analysis!C218/1000000</f>
        <v>144.32940515202426</v>
      </c>
      <c r="D19" s="44">
        <f>Analysis!D218/1000000</f>
        <v>55.89001846548561</v>
      </c>
      <c r="E19" s="44">
        <f>Analysis!E218/1000000</f>
        <v>241.39796491601319</v>
      </c>
      <c r="G19" s="51" t="s">
        <v>296</v>
      </c>
      <c r="H19" s="57">
        <v>592.54</v>
      </c>
      <c r="I19" s="57">
        <v>402.06</v>
      </c>
      <c r="J19" s="57">
        <v>406.61</v>
      </c>
    </row>
    <row r="20" spans="1:12" x14ac:dyDescent="0.2">
      <c r="G20" s="51" t="s">
        <v>297</v>
      </c>
      <c r="H20" s="45">
        <v>7.3700000000000002E-2</v>
      </c>
      <c r="I20" s="45">
        <v>3.8624533491027568E-2</v>
      </c>
      <c r="J20" s="45">
        <v>4.6800000000000001E-2</v>
      </c>
    </row>
    <row r="25" spans="1:12" x14ac:dyDescent="0.2">
      <c r="A25" s="43" t="s">
        <v>251</v>
      </c>
      <c r="B25" s="58"/>
      <c r="C25" s="58" t="s">
        <v>250</v>
      </c>
      <c r="D25" s="58"/>
      <c r="E25" s="58" t="s">
        <v>250</v>
      </c>
      <c r="F25" s="58"/>
      <c r="G25" s="58" t="s">
        <v>250</v>
      </c>
      <c r="H25" s="58"/>
      <c r="I25" s="58" t="s">
        <v>250</v>
      </c>
    </row>
    <row r="26" spans="1:12" x14ac:dyDescent="0.2">
      <c r="A26" s="53" t="s">
        <v>245</v>
      </c>
      <c r="B26" s="42">
        <v>12.13</v>
      </c>
      <c r="C26" s="42">
        <f>(B26/2.3597)/3.67</f>
        <v>1.4006768282903004</v>
      </c>
      <c r="D26" s="42">
        <v>16.739999999999998</v>
      </c>
      <c r="E26" s="42">
        <f>(D26/2.3597)/3.67</f>
        <v>1.9330033063132417</v>
      </c>
      <c r="F26" s="42">
        <v>9.2899999999999991</v>
      </c>
      <c r="G26" s="42">
        <f>(F26/2.3597)/3.67</f>
        <v>1.0727360045191168</v>
      </c>
      <c r="H26" s="42">
        <v>15.86</v>
      </c>
      <c r="I26" s="42">
        <f>(H26/2.3597)/3.67</f>
        <v>1.8313878397925936</v>
      </c>
    </row>
    <row r="27" spans="1:12" x14ac:dyDescent="0.2">
      <c r="A27" s="54" t="s">
        <v>246</v>
      </c>
      <c r="B27" s="42">
        <v>11.83</v>
      </c>
      <c r="C27" s="42">
        <f t="shared" ref="C27:E29" si="2">(B27/2.3597)/3.67</f>
        <v>1.3660351919764429</v>
      </c>
      <c r="D27" s="42">
        <v>16.13</v>
      </c>
      <c r="E27" s="42">
        <f t="shared" si="2"/>
        <v>1.862565312475065</v>
      </c>
      <c r="F27" s="42">
        <v>8.82</v>
      </c>
      <c r="G27" s="42">
        <f>(F27/2.3597)/3.67</f>
        <v>1.018464107627407</v>
      </c>
      <c r="H27" s="42">
        <v>14.11</v>
      </c>
      <c r="I27" s="42">
        <f t="shared" ref="I27" si="3">(H27/2.3597)/3.67</f>
        <v>1.6293116279617588</v>
      </c>
    </row>
    <row r="28" spans="1:12" x14ac:dyDescent="0.2">
      <c r="A28" s="54" t="s">
        <v>247</v>
      </c>
      <c r="B28" s="42">
        <v>15.04</v>
      </c>
      <c r="C28" s="42">
        <f t="shared" si="2"/>
        <v>1.7367007005347166</v>
      </c>
      <c r="D28" s="42">
        <v>20</v>
      </c>
      <c r="E28" s="42">
        <f t="shared" si="2"/>
        <v>2.3094424209238253</v>
      </c>
      <c r="F28" s="42">
        <v>9.85</v>
      </c>
      <c r="G28" s="42">
        <f>(F28/2.3597)/3.67</f>
        <v>1.137400392304984</v>
      </c>
      <c r="H28" s="42">
        <v>15.97</v>
      </c>
      <c r="I28" s="42">
        <f t="shared" ref="I28" si="4">(H28/2.3597)/3.67</f>
        <v>1.8440897731076746</v>
      </c>
    </row>
    <row r="29" spans="1:12" x14ac:dyDescent="0.2">
      <c r="A29" s="54" t="s">
        <v>248</v>
      </c>
      <c r="B29" s="42">
        <v>9.08</v>
      </c>
      <c r="C29" s="42">
        <f t="shared" si="2"/>
        <v>1.0484868590994167</v>
      </c>
      <c r="D29" s="42">
        <v>11.42</v>
      </c>
      <c r="E29" s="42">
        <f t="shared" si="2"/>
        <v>1.3186916223475043</v>
      </c>
      <c r="F29" s="42">
        <v>7.89</v>
      </c>
      <c r="G29" s="42">
        <f>(F29/2.3597)/3.67</f>
        <v>0.91107503505444909</v>
      </c>
      <c r="H29" s="42">
        <v>11.02</v>
      </c>
      <c r="I29" s="42">
        <f t="shared" ref="I29" si="5">(H29/2.3597)/3.67</f>
        <v>1.2725027739290278</v>
      </c>
    </row>
    <row r="30" spans="1:12" x14ac:dyDescent="0.2">
      <c r="A30" s="54" t="s">
        <v>249</v>
      </c>
      <c r="B30" s="42">
        <v>429.49</v>
      </c>
      <c r="C30" s="42">
        <f>(B30*2.47)/3.67</f>
        <v>289.05730245231609</v>
      </c>
      <c r="D30" s="42">
        <v>429</v>
      </c>
      <c r="E30" s="42">
        <f>(D30*2.47)/3.67</f>
        <v>288.72752043596734</v>
      </c>
      <c r="F30" s="42">
        <v>163</v>
      </c>
      <c r="G30" s="42">
        <f>(F30*2.47)/3.67</f>
        <v>109.70299727520437</v>
      </c>
      <c r="H30" s="42">
        <v>442.5</v>
      </c>
      <c r="I30" s="42">
        <f>(H30*2.47)/3.67</f>
        <v>297.81335149863764</v>
      </c>
    </row>
    <row r="34" spans="2:5" x14ac:dyDescent="0.2">
      <c r="B34" s="35"/>
      <c r="C34" s="35"/>
      <c r="D34" s="35"/>
      <c r="E34" s="35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EVALIDATOR DATA</vt:lpstr>
      <vt:lpstr>EV SUMMARY</vt:lpstr>
      <vt:lpstr>Analysis</vt:lpstr>
      <vt:lpstr>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Talberth</dc:creator>
  <cp:lastModifiedBy>John Talberth</cp:lastModifiedBy>
  <dcterms:created xsi:type="dcterms:W3CDTF">2022-09-30T21:59:38Z</dcterms:created>
  <dcterms:modified xsi:type="dcterms:W3CDTF">2023-12-12T17:01:37Z</dcterms:modified>
</cp:coreProperties>
</file>