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talberth/Library/Mobile Documents/com~apple~CloudDocs/Desktop/Forest Carbon Tax and Reward/EDS manuscript 2023/"/>
    </mc:Choice>
  </mc:AlternateContent>
  <xr:revisionPtr revIDLastSave="0" documentId="13_ncr:1_{4C60D2B3-9C06-6846-849F-EB823604AC2F}" xr6:coauthVersionLast="47" xr6:coauthVersionMax="47" xr10:uidLastSave="{00000000-0000-0000-0000-000000000000}"/>
  <bookViews>
    <workbookView xWindow="0" yWindow="500" windowWidth="28800" windowHeight="16380" xr2:uid="{E88AD645-39AF-6A49-9F12-73DA61D1E0F6}"/>
  </bookViews>
  <sheets>
    <sheet name="Model" sheetId="1" r:id="rId1"/>
    <sheet name="IR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1" i="1" l="1"/>
  <c r="I4" i="2"/>
  <c r="B195" i="1"/>
  <c r="I250" i="1" s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B184" i="1"/>
  <c r="B173" i="1"/>
  <c r="G53" i="1"/>
  <c r="E175" i="1"/>
  <c r="F175" i="1" s="1"/>
  <c r="B162" i="1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B46" i="1"/>
  <c r="B45" i="1"/>
  <c r="F4" i="2"/>
  <c r="I207" i="1" l="1"/>
  <c r="I215" i="1"/>
  <c r="I223" i="1"/>
  <c r="I231" i="1"/>
  <c r="I239" i="1"/>
  <c r="I247" i="1"/>
  <c r="I208" i="1"/>
  <c r="I216" i="1"/>
  <c r="I224" i="1"/>
  <c r="I232" i="1"/>
  <c r="I240" i="1"/>
  <c r="I248" i="1"/>
  <c r="I203" i="1"/>
  <c r="I211" i="1"/>
  <c r="I219" i="1"/>
  <c r="I227" i="1"/>
  <c r="I235" i="1"/>
  <c r="I243" i="1"/>
  <c r="I204" i="1"/>
  <c r="I212" i="1"/>
  <c r="I220" i="1"/>
  <c r="I228" i="1"/>
  <c r="I236" i="1"/>
  <c r="I244" i="1"/>
  <c r="I205" i="1"/>
  <c r="I209" i="1"/>
  <c r="I213" i="1"/>
  <c r="I217" i="1"/>
  <c r="I221" i="1"/>
  <c r="I225" i="1"/>
  <c r="I229" i="1"/>
  <c r="I233" i="1"/>
  <c r="I237" i="1"/>
  <c r="I241" i="1"/>
  <c r="I245" i="1"/>
  <c r="I249" i="1"/>
  <c r="I202" i="1"/>
  <c r="I206" i="1"/>
  <c r="I210" i="1"/>
  <c r="I214" i="1"/>
  <c r="I218" i="1"/>
  <c r="I222" i="1"/>
  <c r="I226" i="1"/>
  <c r="I230" i="1"/>
  <c r="I234" i="1"/>
  <c r="I238" i="1"/>
  <c r="I242" i="1"/>
  <c r="I246" i="1"/>
  <c r="G175" i="1"/>
  <c r="H175" i="1" s="1"/>
  <c r="B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C4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55" i="2" l="1"/>
  <c r="B261" i="1" s="1"/>
  <c r="F55" i="2"/>
  <c r="C55" i="2"/>
  <c r="B39" i="1" s="1"/>
  <c r="C111" i="1" l="1"/>
  <c r="C110" i="1"/>
  <c r="C109" i="1"/>
  <c r="C108" i="1"/>
  <c r="C107" i="1"/>
  <c r="C106" i="1"/>
  <c r="C105" i="1"/>
  <c r="C104" i="1"/>
  <c r="C103" i="1"/>
  <c r="B26" i="1"/>
  <c r="B25" i="1"/>
  <c r="B23" i="1"/>
  <c r="B22" i="1"/>
  <c r="B28" i="1"/>
  <c r="B24" i="1"/>
  <c r="B29" i="1"/>
  <c r="B30" i="1" l="1"/>
  <c r="D26" i="1"/>
  <c r="B57" i="1"/>
  <c r="B47" i="1"/>
  <c r="E48" i="1"/>
  <c r="E21" i="1"/>
  <c r="B37" i="1" s="1"/>
  <c r="D29" i="1"/>
  <c r="D28" i="1"/>
  <c r="D27" i="1"/>
  <c r="C20" i="1"/>
  <c r="C19" i="1"/>
  <c r="B12" i="1"/>
  <c r="B13" i="1"/>
  <c r="I175" i="1" l="1"/>
  <c r="B175" i="1" s="1"/>
  <c r="B14" i="1"/>
  <c r="B192" i="1" s="1"/>
  <c r="G48" i="1"/>
  <c r="H48" i="1" s="1"/>
  <c r="I48" i="1" s="1"/>
  <c r="F48" i="1"/>
  <c r="B33" i="1"/>
  <c r="C192" i="1" l="1"/>
  <c r="K247" i="1"/>
  <c r="K243" i="1"/>
  <c r="K239" i="1"/>
  <c r="K235" i="1"/>
  <c r="K231" i="1"/>
  <c r="K227" i="1"/>
  <c r="K223" i="1"/>
  <c r="K219" i="1"/>
  <c r="K215" i="1"/>
  <c r="K211" i="1"/>
  <c r="K207" i="1"/>
  <c r="K203" i="1"/>
  <c r="K246" i="1"/>
  <c r="K242" i="1"/>
  <c r="K238" i="1"/>
  <c r="K234" i="1"/>
  <c r="K230" i="1"/>
  <c r="K226" i="1"/>
  <c r="K222" i="1"/>
  <c r="K218" i="1"/>
  <c r="K214" i="1"/>
  <c r="K210" i="1"/>
  <c r="K206" i="1"/>
  <c r="K202" i="1"/>
  <c r="K245" i="1"/>
  <c r="K241" i="1"/>
  <c r="K237" i="1"/>
  <c r="K233" i="1"/>
  <c r="K229" i="1"/>
  <c r="K225" i="1"/>
  <c r="K221" i="1"/>
  <c r="K217" i="1"/>
  <c r="K213" i="1"/>
  <c r="K209" i="1"/>
  <c r="K205" i="1"/>
  <c r="K248" i="1"/>
  <c r="K244" i="1"/>
  <c r="K240" i="1"/>
  <c r="K236" i="1"/>
  <c r="K232" i="1"/>
  <c r="K228" i="1"/>
  <c r="K224" i="1"/>
  <c r="K220" i="1"/>
  <c r="K216" i="1"/>
  <c r="K212" i="1"/>
  <c r="K208" i="1"/>
  <c r="K204" i="1"/>
  <c r="K250" i="1"/>
  <c r="K249" i="1"/>
  <c r="B155" i="1"/>
  <c r="B254" i="1"/>
  <c r="B17" i="1"/>
  <c r="B18" i="1" s="1"/>
  <c r="D22" i="1"/>
  <c r="B48" i="1"/>
  <c r="B49" i="1" s="1"/>
  <c r="B51" i="1" s="1"/>
  <c r="B52" i="1" s="1"/>
  <c r="B34" i="1"/>
  <c r="B255" i="1" s="1"/>
  <c r="B172" i="1" l="1"/>
  <c r="B174" i="1" s="1"/>
  <c r="B176" i="1" s="1"/>
  <c r="B178" i="1" s="1"/>
  <c r="B179" i="1" s="1"/>
  <c r="B193" i="1"/>
  <c r="H201" i="1" s="1"/>
  <c r="K201" i="1" s="1"/>
  <c r="D23" i="1"/>
  <c r="D24" i="1"/>
  <c r="B156" i="1"/>
  <c r="L201" i="1"/>
  <c r="L205" i="1"/>
  <c r="L209" i="1"/>
  <c r="L213" i="1"/>
  <c r="L217" i="1"/>
  <c r="L221" i="1"/>
  <c r="L225" i="1"/>
  <c r="L229" i="1"/>
  <c r="L233" i="1"/>
  <c r="L237" i="1"/>
  <c r="L241" i="1"/>
  <c r="L245" i="1"/>
  <c r="L249" i="1"/>
  <c r="L204" i="1"/>
  <c r="L212" i="1"/>
  <c r="L220" i="1"/>
  <c r="L228" i="1"/>
  <c r="L236" i="1"/>
  <c r="L244" i="1"/>
  <c r="L202" i="1"/>
  <c r="L206" i="1"/>
  <c r="L210" i="1"/>
  <c r="L214" i="1"/>
  <c r="L218" i="1"/>
  <c r="L222" i="1"/>
  <c r="L226" i="1"/>
  <c r="L230" i="1"/>
  <c r="L234" i="1"/>
  <c r="L238" i="1"/>
  <c r="L242" i="1"/>
  <c r="L246" i="1"/>
  <c r="L250" i="1"/>
  <c r="L208" i="1"/>
  <c r="L216" i="1"/>
  <c r="L224" i="1"/>
  <c r="L232" i="1"/>
  <c r="L240" i="1"/>
  <c r="L248" i="1"/>
  <c r="L203" i="1"/>
  <c r="L207" i="1"/>
  <c r="L211" i="1"/>
  <c r="L215" i="1"/>
  <c r="L219" i="1"/>
  <c r="L223" i="1"/>
  <c r="L227" i="1"/>
  <c r="L231" i="1"/>
  <c r="L235" i="1"/>
  <c r="L239" i="1"/>
  <c r="L243" i="1"/>
  <c r="L247" i="1"/>
  <c r="D25" i="1"/>
  <c r="C102" i="1"/>
  <c r="C201" i="1"/>
  <c r="B55" i="1"/>
  <c r="B56" i="1" s="1"/>
  <c r="B58" i="1" s="1"/>
  <c r="B59" i="1" s="1"/>
  <c r="D102" i="1" s="1"/>
  <c r="H147" i="1"/>
  <c r="H150" i="1"/>
  <c r="H107" i="1"/>
  <c r="H112" i="1"/>
  <c r="H144" i="1"/>
  <c r="H103" i="1"/>
  <c r="H129" i="1"/>
  <c r="H111" i="1"/>
  <c r="H126" i="1"/>
  <c r="H119" i="1"/>
  <c r="H135" i="1"/>
  <c r="H151" i="1"/>
  <c r="H116" i="1"/>
  <c r="H132" i="1"/>
  <c r="H148" i="1"/>
  <c r="H130" i="1"/>
  <c r="H115" i="1"/>
  <c r="H117" i="1"/>
  <c r="H133" i="1"/>
  <c r="H118" i="1"/>
  <c r="H131" i="1"/>
  <c r="H128" i="1"/>
  <c r="H122" i="1"/>
  <c r="H113" i="1"/>
  <c r="H149" i="1"/>
  <c r="H102" i="1"/>
  <c r="H138" i="1"/>
  <c r="H123" i="1"/>
  <c r="H139" i="1"/>
  <c r="H104" i="1"/>
  <c r="H120" i="1"/>
  <c r="H136" i="1"/>
  <c r="H106" i="1"/>
  <c r="H134" i="1"/>
  <c r="H105" i="1"/>
  <c r="H121" i="1"/>
  <c r="H137" i="1"/>
  <c r="H110" i="1"/>
  <c r="H146" i="1"/>
  <c r="H127" i="1"/>
  <c r="H143" i="1"/>
  <c r="H108" i="1"/>
  <c r="H124" i="1"/>
  <c r="H140" i="1"/>
  <c r="H114" i="1"/>
  <c r="H142" i="1"/>
  <c r="H109" i="1"/>
  <c r="H125" i="1"/>
  <c r="H141" i="1"/>
  <c r="H145" i="1"/>
  <c r="B158" i="1" l="1"/>
  <c r="B182" i="1"/>
  <c r="B183" i="1" s="1"/>
  <c r="B185" i="1" s="1"/>
  <c r="B186" i="1" s="1"/>
  <c r="I201" i="1"/>
  <c r="I251" i="1" s="1"/>
  <c r="B35" i="1"/>
  <c r="B36" i="1" s="1"/>
  <c r="B38" i="1" s="1"/>
  <c r="E102" i="1"/>
  <c r="F102" i="1" s="1"/>
  <c r="B60" i="1"/>
  <c r="B257" i="1" l="1"/>
  <c r="G102" i="1"/>
  <c r="J102" i="1" s="1"/>
  <c r="B187" i="1"/>
  <c r="D201" i="1"/>
  <c r="E201" i="1" s="1"/>
  <c r="F201" i="1" s="1"/>
  <c r="G201" i="1" l="1"/>
  <c r="I102" i="1"/>
  <c r="F114" i="1"/>
  <c r="F124" i="1"/>
  <c r="F126" i="1"/>
  <c r="F110" i="1"/>
  <c r="F117" i="1"/>
  <c r="F106" i="1"/>
  <c r="F108" i="1"/>
  <c r="F129" i="1"/>
  <c r="F125" i="1"/>
  <c r="F103" i="1"/>
  <c r="F109" i="1"/>
  <c r="F104" i="1"/>
  <c r="F128" i="1"/>
  <c r="D114" i="1"/>
  <c r="F107" i="1"/>
  <c r="D124" i="1"/>
  <c r="D136" i="1"/>
  <c r="G136" i="1" s="1"/>
  <c r="F136" i="1"/>
  <c r="D148" i="1"/>
  <c r="F148" i="1"/>
  <c r="D126" i="1"/>
  <c r="D103" i="1"/>
  <c r="G103" i="1" s="1"/>
  <c r="D110" i="1"/>
  <c r="D117" i="1"/>
  <c r="F105" i="1"/>
  <c r="F132" i="1"/>
  <c r="F143" i="1"/>
  <c r="F133" i="1"/>
  <c r="F120" i="1"/>
  <c r="D139" i="1"/>
  <c r="F139" i="1"/>
  <c r="F137" i="1"/>
  <c r="F146" i="1"/>
  <c r="F147" i="1"/>
  <c r="D150" i="1"/>
  <c r="F150" i="1"/>
  <c r="D107" i="1"/>
  <c r="F130" i="1"/>
  <c r="F123" i="1"/>
  <c r="F144" i="1"/>
  <c r="F121" i="1"/>
  <c r="F138" i="1"/>
  <c r="F145" i="1"/>
  <c r="F119" i="1"/>
  <c r="D122" i="1"/>
  <c r="F122" i="1"/>
  <c r="F142" i="1"/>
  <c r="D131" i="1"/>
  <c r="F131" i="1"/>
  <c r="F140" i="1"/>
  <c r="F127" i="1"/>
  <c r="D141" i="1"/>
  <c r="F141" i="1"/>
  <c r="F135" i="1"/>
  <c r="D140" i="1"/>
  <c r="F149" i="1"/>
  <c r="D146" i="1"/>
  <c r="D147" i="1"/>
  <c r="D134" i="1"/>
  <c r="G134" i="1" s="1"/>
  <c r="F134" i="1"/>
  <c r="F112" i="1"/>
  <c r="D113" i="1"/>
  <c r="F113" i="1"/>
  <c r="D130" i="1"/>
  <c r="D123" i="1"/>
  <c r="D144" i="1"/>
  <c r="D116" i="1"/>
  <c r="G116" i="1" s="1"/>
  <c r="F116" i="1"/>
  <c r="D121" i="1"/>
  <c r="D138" i="1"/>
  <c r="F118" i="1"/>
  <c r="D119" i="1"/>
  <c r="F111" i="1"/>
  <c r="F151" i="1"/>
  <c r="F115" i="1"/>
  <c r="D108" i="1"/>
  <c r="D149" i="1"/>
  <c r="D104" i="1"/>
  <c r="D112" i="1"/>
  <c r="G112" i="1" s="1"/>
  <c r="D120" i="1"/>
  <c r="G120" i="1" s="1"/>
  <c r="D128" i="1"/>
  <c r="D132" i="1"/>
  <c r="D105" i="1"/>
  <c r="D109" i="1"/>
  <c r="G109" i="1" s="1"/>
  <c r="D125" i="1"/>
  <c r="D129" i="1"/>
  <c r="D133" i="1"/>
  <c r="G133" i="1" s="1"/>
  <c r="D137" i="1"/>
  <c r="G137" i="1" s="1"/>
  <c r="D145" i="1"/>
  <c r="D106" i="1"/>
  <c r="D118" i="1"/>
  <c r="D142" i="1"/>
  <c r="D111" i="1"/>
  <c r="D115" i="1"/>
  <c r="D127" i="1"/>
  <c r="D135" i="1"/>
  <c r="G135" i="1" s="1"/>
  <c r="D143" i="1"/>
  <c r="D151" i="1"/>
  <c r="G151" i="1" s="1"/>
  <c r="G119" i="1" l="1"/>
  <c r="I119" i="1" s="1"/>
  <c r="G127" i="1"/>
  <c r="J127" i="1" s="1"/>
  <c r="G143" i="1"/>
  <c r="I143" i="1" s="1"/>
  <c r="G111" i="1"/>
  <c r="J111" i="1" s="1"/>
  <c r="G145" i="1"/>
  <c r="I145" i="1" s="1"/>
  <c r="G125" i="1"/>
  <c r="I125" i="1" s="1"/>
  <c r="G128" i="1"/>
  <c r="I128" i="1" s="1"/>
  <c r="G149" i="1"/>
  <c r="J149" i="1" s="1"/>
  <c r="G121" i="1"/>
  <c r="I121" i="1" s="1"/>
  <c r="G123" i="1"/>
  <c r="I123" i="1" s="1"/>
  <c r="G146" i="1"/>
  <c r="I146" i="1" s="1"/>
  <c r="G122" i="1"/>
  <c r="J122" i="1" s="1"/>
  <c r="G107" i="1"/>
  <c r="I107" i="1" s="1"/>
  <c r="G126" i="1"/>
  <c r="I126" i="1" s="1"/>
  <c r="G141" i="1"/>
  <c r="I141" i="1" s="1"/>
  <c r="G131" i="1"/>
  <c r="I131" i="1" s="1"/>
  <c r="G117" i="1"/>
  <c r="I117" i="1" s="1"/>
  <c r="G124" i="1"/>
  <c r="I124" i="1" s="1"/>
  <c r="G130" i="1"/>
  <c r="I130" i="1" s="1"/>
  <c r="G118" i="1"/>
  <c r="I118" i="1" s="1"/>
  <c r="G140" i="1"/>
  <c r="I140" i="1" s="1"/>
  <c r="G150" i="1"/>
  <c r="I150" i="1" s="1"/>
  <c r="G110" i="1"/>
  <c r="I110" i="1" s="1"/>
  <c r="G148" i="1"/>
  <c r="I148" i="1" s="1"/>
  <c r="G142" i="1"/>
  <c r="I142" i="1" s="1"/>
  <c r="G108" i="1"/>
  <c r="I108" i="1" s="1"/>
  <c r="G105" i="1"/>
  <c r="I105" i="1" s="1"/>
  <c r="G115" i="1"/>
  <c r="I115" i="1" s="1"/>
  <c r="G106" i="1"/>
  <c r="I106" i="1" s="1"/>
  <c r="G129" i="1"/>
  <c r="I129" i="1" s="1"/>
  <c r="G132" i="1"/>
  <c r="J132" i="1" s="1"/>
  <c r="G104" i="1"/>
  <c r="G138" i="1"/>
  <c r="I138" i="1" s="1"/>
  <c r="G144" i="1"/>
  <c r="I144" i="1" s="1"/>
  <c r="G113" i="1"/>
  <c r="I113" i="1" s="1"/>
  <c r="G147" i="1"/>
  <c r="I147" i="1" s="1"/>
  <c r="G139" i="1"/>
  <c r="I139" i="1" s="1"/>
  <c r="G114" i="1"/>
  <c r="I114" i="1" s="1"/>
  <c r="M201" i="1"/>
  <c r="N201" i="1" s="1"/>
  <c r="J135" i="1"/>
  <c r="J109" i="1"/>
  <c r="J108" i="1"/>
  <c r="J151" i="1"/>
  <c r="J137" i="1"/>
  <c r="I137" i="1"/>
  <c r="J120" i="1"/>
  <c r="I120" i="1"/>
  <c r="J142" i="1"/>
  <c r="J103" i="1"/>
  <c r="J106" i="1"/>
  <c r="I109" i="1"/>
  <c r="J138" i="1"/>
  <c r="I133" i="1"/>
  <c r="J133" i="1"/>
  <c r="J145" i="1"/>
  <c r="J136" i="1"/>
  <c r="I136" i="1"/>
  <c r="I112" i="1"/>
  <c r="J112" i="1"/>
  <c r="J116" i="1"/>
  <c r="I116" i="1"/>
  <c r="J125" i="1"/>
  <c r="I134" i="1"/>
  <c r="J134" i="1"/>
  <c r="J121" i="1"/>
  <c r="I103" i="1"/>
  <c r="I135" i="1"/>
  <c r="F152" i="1"/>
  <c r="B159" i="1" s="1"/>
  <c r="I151" i="1"/>
  <c r="G153" i="1" l="1"/>
  <c r="J130" i="1"/>
  <c r="J129" i="1"/>
  <c r="I132" i="1"/>
  <c r="J113" i="1"/>
  <c r="J141" i="1"/>
  <c r="J150" i="1"/>
  <c r="J118" i="1"/>
  <c r="J115" i="1"/>
  <c r="J148" i="1"/>
  <c r="J143" i="1"/>
  <c r="J147" i="1"/>
  <c r="J144" i="1"/>
  <c r="I104" i="1"/>
  <c r="J110" i="1"/>
  <c r="J131" i="1"/>
  <c r="J117" i="1"/>
  <c r="J139" i="1"/>
  <c r="J114" i="1"/>
  <c r="J124" i="1"/>
  <c r="J123" i="1"/>
  <c r="J126" i="1"/>
  <c r="J105" i="1"/>
  <c r="J104" i="1"/>
  <c r="I122" i="1"/>
  <c r="I149" i="1"/>
  <c r="I111" i="1"/>
  <c r="I127" i="1"/>
  <c r="J128" i="1"/>
  <c r="J119" i="1"/>
  <c r="J107" i="1"/>
  <c r="J140" i="1"/>
  <c r="J146" i="1"/>
  <c r="F245" i="1"/>
  <c r="F205" i="1"/>
  <c r="F209" i="1"/>
  <c r="F232" i="1"/>
  <c r="F230" i="1"/>
  <c r="F220" i="1"/>
  <c r="F204" i="1"/>
  <c r="F237" i="1"/>
  <c r="F246" i="1"/>
  <c r="F226" i="1"/>
  <c r="F219" i="1"/>
  <c r="F244" i="1"/>
  <c r="F243" i="1"/>
  <c r="F229" i="1"/>
  <c r="F213" i="1"/>
  <c r="F235" i="1"/>
  <c r="F240" i="1"/>
  <c r="F211" i="1"/>
  <c r="F239" i="1"/>
  <c r="F207" i="1"/>
  <c r="D211" i="1"/>
  <c r="G211" i="1" s="1"/>
  <c r="M211" i="1" s="1"/>
  <c r="D215" i="1"/>
  <c r="G215" i="1" s="1"/>
  <c r="M215" i="1" s="1"/>
  <c r="F215" i="1"/>
  <c r="D227" i="1"/>
  <c r="G227" i="1" s="1"/>
  <c r="M227" i="1" s="1"/>
  <c r="F227" i="1"/>
  <c r="D231" i="1"/>
  <c r="G231" i="1" s="1"/>
  <c r="M231" i="1" s="1"/>
  <c r="F231" i="1"/>
  <c r="D235" i="1"/>
  <c r="G235" i="1" s="1"/>
  <c r="M235" i="1" s="1"/>
  <c r="D239" i="1"/>
  <c r="G239" i="1" s="1"/>
  <c r="M239" i="1" s="1"/>
  <c r="D243" i="1"/>
  <c r="G243" i="1" s="1"/>
  <c r="M243" i="1" s="1"/>
  <c r="D247" i="1"/>
  <c r="G247" i="1" s="1"/>
  <c r="M247" i="1" s="1"/>
  <c r="F247" i="1"/>
  <c r="D203" i="1"/>
  <c r="G203" i="1" s="1"/>
  <c r="M203" i="1" s="1"/>
  <c r="F203" i="1"/>
  <c r="D219" i="1"/>
  <c r="G219" i="1" s="1"/>
  <c r="M219" i="1" s="1"/>
  <c r="D208" i="1"/>
  <c r="G208" i="1" s="1"/>
  <c r="M208" i="1" s="1"/>
  <c r="F208" i="1"/>
  <c r="D220" i="1"/>
  <c r="G220" i="1" s="1"/>
  <c r="M220" i="1" s="1"/>
  <c r="D232" i="1"/>
  <c r="G232" i="1" s="1"/>
  <c r="M232" i="1" s="1"/>
  <c r="D236" i="1"/>
  <c r="G236" i="1" s="1"/>
  <c r="M236" i="1" s="1"/>
  <c r="F236" i="1"/>
  <c r="D248" i="1"/>
  <c r="G248" i="1" s="1"/>
  <c r="M248" i="1" s="1"/>
  <c r="F248" i="1"/>
  <c r="D202" i="1"/>
  <c r="G202" i="1" s="1"/>
  <c r="F202" i="1"/>
  <c r="D212" i="1"/>
  <c r="G212" i="1" s="1"/>
  <c r="M212" i="1" s="1"/>
  <c r="F212" i="1"/>
  <c r="D224" i="1"/>
  <c r="G224" i="1" s="1"/>
  <c r="M224" i="1" s="1"/>
  <c r="F224" i="1"/>
  <c r="D244" i="1"/>
  <c r="G244" i="1" s="1"/>
  <c r="M244" i="1" s="1"/>
  <c r="D205" i="1"/>
  <c r="G205" i="1" s="1"/>
  <c r="M205" i="1" s="1"/>
  <c r="D209" i="1"/>
  <c r="G209" i="1" s="1"/>
  <c r="M209" i="1" s="1"/>
  <c r="D213" i="1"/>
  <c r="G213" i="1" s="1"/>
  <c r="M213" i="1" s="1"/>
  <c r="D217" i="1"/>
  <c r="G217" i="1" s="1"/>
  <c r="M217" i="1" s="1"/>
  <c r="F217" i="1"/>
  <c r="D221" i="1"/>
  <c r="G221" i="1" s="1"/>
  <c r="M221" i="1" s="1"/>
  <c r="F221" i="1"/>
  <c r="D225" i="1"/>
  <c r="G225" i="1" s="1"/>
  <c r="M225" i="1" s="1"/>
  <c r="F225" i="1"/>
  <c r="D229" i="1"/>
  <c r="G229" i="1" s="1"/>
  <c r="M229" i="1" s="1"/>
  <c r="D233" i="1"/>
  <c r="G233" i="1" s="1"/>
  <c r="M233" i="1" s="1"/>
  <c r="F233" i="1"/>
  <c r="D237" i="1"/>
  <c r="G237" i="1" s="1"/>
  <c r="M237" i="1" s="1"/>
  <c r="D241" i="1"/>
  <c r="G241" i="1" s="1"/>
  <c r="M241" i="1" s="1"/>
  <c r="F241" i="1"/>
  <c r="D245" i="1"/>
  <c r="G245" i="1" s="1"/>
  <c r="M245" i="1" s="1"/>
  <c r="D249" i="1"/>
  <c r="G249" i="1" s="1"/>
  <c r="M249" i="1" s="1"/>
  <c r="F249" i="1"/>
  <c r="D207" i="1"/>
  <c r="G207" i="1" s="1"/>
  <c r="M207" i="1" s="1"/>
  <c r="D223" i="1"/>
  <c r="G223" i="1" s="1"/>
  <c r="M223" i="1" s="1"/>
  <c r="F223" i="1"/>
  <c r="D204" i="1"/>
  <c r="G204" i="1" s="1"/>
  <c r="M204" i="1" s="1"/>
  <c r="D216" i="1"/>
  <c r="G216" i="1" s="1"/>
  <c r="M216" i="1" s="1"/>
  <c r="F216" i="1"/>
  <c r="D228" i="1"/>
  <c r="G228" i="1" s="1"/>
  <c r="M228" i="1" s="1"/>
  <c r="F228" i="1"/>
  <c r="D240" i="1"/>
  <c r="G240" i="1" s="1"/>
  <c r="M240" i="1" s="1"/>
  <c r="D206" i="1"/>
  <c r="G206" i="1" s="1"/>
  <c r="M206" i="1" s="1"/>
  <c r="F206" i="1"/>
  <c r="D210" i="1"/>
  <c r="G210" i="1" s="1"/>
  <c r="M210" i="1" s="1"/>
  <c r="F210" i="1"/>
  <c r="D214" i="1"/>
  <c r="G214" i="1" s="1"/>
  <c r="M214" i="1" s="1"/>
  <c r="F214" i="1"/>
  <c r="D218" i="1"/>
  <c r="G218" i="1" s="1"/>
  <c r="M218" i="1" s="1"/>
  <c r="F218" i="1"/>
  <c r="D222" i="1"/>
  <c r="G222" i="1" s="1"/>
  <c r="M222" i="1" s="1"/>
  <c r="F222" i="1"/>
  <c r="D226" i="1"/>
  <c r="G226" i="1" s="1"/>
  <c r="M226" i="1" s="1"/>
  <c r="D230" i="1"/>
  <c r="G230" i="1" s="1"/>
  <c r="M230" i="1" s="1"/>
  <c r="D234" i="1"/>
  <c r="G234" i="1" s="1"/>
  <c r="M234" i="1" s="1"/>
  <c r="F234" i="1"/>
  <c r="D238" i="1"/>
  <c r="G238" i="1" s="1"/>
  <c r="M238" i="1" s="1"/>
  <c r="F238" i="1"/>
  <c r="D242" i="1"/>
  <c r="G242" i="1" s="1"/>
  <c r="M242" i="1" s="1"/>
  <c r="F242" i="1"/>
  <c r="D246" i="1"/>
  <c r="G246" i="1" s="1"/>
  <c r="M246" i="1" s="1"/>
  <c r="D250" i="1"/>
  <c r="G250" i="1" s="1"/>
  <c r="M250" i="1" s="1"/>
  <c r="F250" i="1"/>
  <c r="N231" i="1" l="1"/>
  <c r="N215" i="1"/>
  <c r="I152" i="1"/>
  <c r="B160" i="1" s="1"/>
  <c r="N217" i="1"/>
  <c r="J152" i="1"/>
  <c r="B161" i="1" s="1"/>
  <c r="M202" i="1"/>
  <c r="M253" i="1" s="1"/>
  <c r="G252" i="1"/>
  <c r="N221" i="1"/>
  <c r="N250" i="1"/>
  <c r="N242" i="1"/>
  <c r="N228" i="1"/>
  <c r="N206" i="1"/>
  <c r="N214" i="1"/>
  <c r="N247" i="1"/>
  <c r="N224" i="1"/>
  <c r="N236" i="1"/>
  <c r="N227" i="1"/>
  <c r="N222" i="1"/>
  <c r="N234" i="1"/>
  <c r="N212" i="1"/>
  <c r="N203" i="1"/>
  <c r="N238" i="1"/>
  <c r="N218" i="1"/>
  <c r="N210" i="1"/>
  <c r="N216" i="1"/>
  <c r="N223" i="1"/>
  <c r="N249" i="1"/>
  <c r="N241" i="1"/>
  <c r="N233" i="1"/>
  <c r="N248" i="1"/>
  <c r="N211" i="1"/>
  <c r="N229" i="1"/>
  <c r="N226" i="1"/>
  <c r="N220" i="1"/>
  <c r="N205" i="1"/>
  <c r="N208" i="1"/>
  <c r="N246" i="1"/>
  <c r="F251" i="1"/>
  <c r="F253" i="1" s="1"/>
  <c r="N239" i="1"/>
  <c r="N213" i="1"/>
  <c r="N219" i="1"/>
  <c r="N240" i="1"/>
  <c r="N243" i="1"/>
  <c r="N230" i="1"/>
  <c r="N245" i="1"/>
  <c r="N202" i="1"/>
  <c r="N207" i="1"/>
  <c r="N235" i="1"/>
  <c r="N244" i="1"/>
  <c r="N237" i="1"/>
  <c r="N232" i="1"/>
  <c r="N225" i="1"/>
  <c r="N204" i="1"/>
  <c r="N209" i="1"/>
  <c r="M251" i="1" l="1"/>
  <c r="B259" i="1" s="1"/>
  <c r="B258" i="1"/>
  <c r="N251" i="1"/>
  <c r="B260" i="1" s="1"/>
</calcChain>
</file>

<file path=xl/sharedStrings.xml><?xml version="1.0" encoding="utf-8"?>
<sst xmlns="http://schemas.openxmlformats.org/spreadsheetml/2006/main" count="164" uniqueCount="102">
  <si>
    <t>Inputs</t>
  </si>
  <si>
    <t>Acres in ownership</t>
  </si>
  <si>
    <t>Opportunity costs capital</t>
  </si>
  <si>
    <t>Consumption rate of interest</t>
  </si>
  <si>
    <t>Operable acres</t>
  </si>
  <si>
    <t>Percent encumbered - carbon</t>
  </si>
  <si>
    <t>Acres encumbered carbon</t>
  </si>
  <si>
    <t>Rotation</t>
  </si>
  <si>
    <t>Annual acres harvested</t>
  </si>
  <si>
    <t>Observed yield (bf/yr)</t>
  </si>
  <si>
    <t>Land acquisition costs ($/acre)</t>
  </si>
  <si>
    <t>Forest development costs ($/acre)</t>
  </si>
  <si>
    <t>Delivered log price ($/mbf)</t>
  </si>
  <si>
    <t>General administration ($/acre)</t>
  </si>
  <si>
    <t>Site prep ($/acre)</t>
  </si>
  <si>
    <t>Reforestation ($/acre)</t>
  </si>
  <si>
    <t>Brush control @ age 5 ($/acre)</t>
  </si>
  <si>
    <t>Harvest administration ($/mbf)</t>
  </si>
  <si>
    <t>Hauling costs ($/mbf)</t>
  </si>
  <si>
    <t>Road maintenance ($/mbf)</t>
  </si>
  <si>
    <t>Regeneration harvest ($/mbf)</t>
  </si>
  <si>
    <t>Commercial thinning ($/mbf)</t>
  </si>
  <si>
    <t>Initial costs</t>
  </si>
  <si>
    <t>Annual costs</t>
  </si>
  <si>
    <t>Annual revenues</t>
  </si>
  <si>
    <t>Analysis</t>
  </si>
  <si>
    <t>Total investment costs</t>
  </si>
  <si>
    <t>Annualized at OCC</t>
  </si>
  <si>
    <t>PV cost stream</t>
  </si>
  <si>
    <t>PV benefit stream</t>
  </si>
  <si>
    <t>NPV</t>
  </si>
  <si>
    <t>IRR</t>
  </si>
  <si>
    <t>Age</t>
  </si>
  <si>
    <t>Yield by rotation age (bf)</t>
  </si>
  <si>
    <t>Year</t>
  </si>
  <si>
    <t>Yield/ac</t>
  </si>
  <si>
    <t>Ha acres</t>
  </si>
  <si>
    <t>Yield</t>
  </si>
  <si>
    <t>Value</t>
  </si>
  <si>
    <t>Tax effects assumptions</t>
  </si>
  <si>
    <t>Pass on percent</t>
  </si>
  <si>
    <t>Net emissions (tCO2/yr)</t>
  </si>
  <si>
    <t>Initial yield (mbf/yr)</t>
  </si>
  <si>
    <t>Gross emissions (tCO2/yr)</t>
  </si>
  <si>
    <t>Growth credit (tCO2/yr)</t>
  </si>
  <si>
    <t>Social cost of carbon ($/tCO2)</t>
  </si>
  <si>
    <t>Adjusted yield</t>
  </si>
  <si>
    <t>Net growth t/yr</t>
  </si>
  <si>
    <t>Mortality t/yr</t>
  </si>
  <si>
    <t>Growth t/yr</t>
  </si>
  <si>
    <t>CO2-e (t/ac/yr)</t>
  </si>
  <si>
    <t>Net growth t/ac/yr</t>
  </si>
  <si>
    <t>Net growth CO2-e (t/yr)</t>
  </si>
  <si>
    <t>Initial delivered price</t>
  </si>
  <si>
    <t>Adjusted delivered price</t>
  </si>
  <si>
    <t>Rotation equivalent</t>
  </si>
  <si>
    <t xml:space="preserve"> Growth credit CO2-e (t/yr)</t>
  </si>
  <si>
    <t>Delta P</t>
  </si>
  <si>
    <t>Adjusted annual acres harvested</t>
  </si>
  <si>
    <t>Elasticity of log demand</t>
  </si>
  <si>
    <t>Age at ha</t>
  </si>
  <si>
    <t>Total annual costs</t>
  </si>
  <si>
    <t>PV:</t>
  </si>
  <si>
    <t>t</t>
  </si>
  <si>
    <t>amt</t>
  </si>
  <si>
    <t>PV</t>
  </si>
  <si>
    <t>FCTR - IRR Model</t>
  </si>
  <si>
    <t>Baseline</t>
  </si>
  <si>
    <t>Pay and Pass</t>
  </si>
  <si>
    <t>Carbon Market</t>
  </si>
  <si>
    <t>Acres inoperable</t>
  </si>
  <si>
    <t>Inoperabe share</t>
  </si>
  <si>
    <t>Observed yield (bf/acre)</t>
  </si>
  <si>
    <t>Annual costs + tax</t>
  </si>
  <si>
    <t>Net revenues</t>
  </si>
  <si>
    <t>Carbon tax payments/yr</t>
  </si>
  <si>
    <t>PV income stream</t>
  </si>
  <si>
    <t>Revised cash flow analysis</t>
  </si>
  <si>
    <t>PNW yield table</t>
  </si>
  <si>
    <t>Forest carbon tax ($)</t>
  </si>
  <si>
    <t>Forest carbon tax $/mbf</t>
  </si>
  <si>
    <t>Emissions factor (tCO2/mbf) @ 33%</t>
  </si>
  <si>
    <t>Partition 1: BAU acres w/ tax</t>
  </si>
  <si>
    <t>Adjusted yield to 50% of growth</t>
  </si>
  <si>
    <t>Partition yield</t>
  </si>
  <si>
    <t>Partition 2: Enrolled acres with VDT</t>
  </si>
  <si>
    <t>Carbon payments</t>
  </si>
  <si>
    <t>(see cash flow)</t>
  </si>
  <si>
    <t>Log price</t>
  </si>
  <si>
    <t>Partition 1</t>
  </si>
  <si>
    <t>Annual O&amp;M costs</t>
  </si>
  <si>
    <t>Partition 2</t>
  </si>
  <si>
    <t>Combined</t>
  </si>
  <si>
    <t>OCC</t>
  </si>
  <si>
    <t>O&amp;M costs/yr</t>
  </si>
  <si>
    <t>OCC/yr</t>
  </si>
  <si>
    <t>VDT or LR yield</t>
  </si>
  <si>
    <t>LR</t>
  </si>
  <si>
    <t>A. Baseline scenario</t>
  </si>
  <si>
    <t>C. Carbon market participation</t>
  </si>
  <si>
    <t>B. Pay and passs on</t>
  </si>
  <si>
    <t>Online Resource 3 - Representative timberland investor model for Western Oregon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</si>
</sst>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5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10" fontId="0" fillId="0" borderId="0" xfId="0" applyNumberFormat="1"/>
    <xf numFmtId="3" fontId="0" fillId="0" borderId="0" xfId="0" applyNumberFormat="1"/>
    <xf numFmtId="2" fontId="0" fillId="0" borderId="0" xfId="0" applyNumberFormat="1"/>
    <xf numFmtId="8" fontId="0" fillId="0" borderId="0" xfId="0" applyNumberFormat="1"/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  <xf numFmtId="165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3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5" fontId="0" fillId="0" borderId="0" xfId="0" applyNumberFormat="1" applyAlignment="1">
      <alignment horizontal="right"/>
    </xf>
    <xf numFmtId="6" fontId="0" fillId="0" borderId="0" xfId="0" applyNumberFormat="1"/>
    <xf numFmtId="6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715266070330636E-2"/>
          <c:y val="2.2268068446751419E-2"/>
          <c:w val="0.89400713039731461"/>
          <c:h val="0.8485510571021142"/>
        </c:manualLayout>
      </c:layout>
      <c:scatterChart>
        <c:scatterStyle val="lineMarker"/>
        <c:varyColors val="0"/>
        <c:ser>
          <c:idx val="0"/>
          <c:order val="0"/>
          <c:tx>
            <c:strRef>
              <c:f>Model!$B$64</c:f>
              <c:strCache>
                <c:ptCount val="1"/>
                <c:pt idx="0">
                  <c:v>Yield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1"/>
            <c:trendlineLbl>
              <c:layout>
                <c:manualLayout>
                  <c:x val="-0.37598895808330662"/>
                  <c:y val="6.86090180728782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Model!$A$65:$A$79</c:f>
              <c:numCache>
                <c:formatCode>General</c:formatCode>
                <c:ptCount val="15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80</c:v>
                </c:pt>
                <c:pt idx="7">
                  <c:v>90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130</c:v>
                </c:pt>
                <c:pt idx="12">
                  <c:v>140</c:v>
                </c:pt>
                <c:pt idx="13">
                  <c:v>150</c:v>
                </c:pt>
                <c:pt idx="14">
                  <c:v>160</c:v>
                </c:pt>
              </c:numCache>
            </c:numRef>
          </c:xVal>
          <c:yVal>
            <c:numRef>
              <c:f>Model!$B$65:$B$79</c:f>
              <c:numCache>
                <c:formatCode>General</c:formatCode>
                <c:ptCount val="15"/>
                <c:pt idx="0">
                  <c:v>1500</c:v>
                </c:pt>
                <c:pt idx="1">
                  <c:v>13300</c:v>
                </c:pt>
                <c:pt idx="2">
                  <c:v>30500</c:v>
                </c:pt>
                <c:pt idx="3">
                  <c:v>49200</c:v>
                </c:pt>
                <c:pt idx="4">
                  <c:v>66200</c:v>
                </c:pt>
                <c:pt idx="5">
                  <c:v>82000</c:v>
                </c:pt>
                <c:pt idx="6">
                  <c:v>95200</c:v>
                </c:pt>
                <c:pt idx="7">
                  <c:v>106100</c:v>
                </c:pt>
                <c:pt idx="8">
                  <c:v>115100</c:v>
                </c:pt>
                <c:pt idx="9">
                  <c:v>123400</c:v>
                </c:pt>
                <c:pt idx="10">
                  <c:v>130100</c:v>
                </c:pt>
                <c:pt idx="11">
                  <c:v>136200</c:v>
                </c:pt>
                <c:pt idx="12">
                  <c:v>141400</c:v>
                </c:pt>
                <c:pt idx="13">
                  <c:v>146100</c:v>
                </c:pt>
                <c:pt idx="14">
                  <c:v>150400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FB-664C-8A24-C23122BEE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0571887"/>
        <c:axId val="1200591343"/>
      </c:scatterChart>
      <c:valAx>
        <c:axId val="12005718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0591343"/>
        <c:crosses val="autoZero"/>
        <c:crossBetween val="midCat"/>
      </c:valAx>
      <c:valAx>
        <c:axId val="1200591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05718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47037</xdr:colOff>
      <xdr:row>79</xdr:row>
      <xdr:rowOff>150284</xdr:rowOff>
    </xdr:from>
    <xdr:to>
      <xdr:col>4</xdr:col>
      <xdr:colOff>500474</xdr:colOff>
      <xdr:row>96</xdr:row>
      <xdr:rowOff>105834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EFE640-BCB8-E9C6-ADBC-C748BA2D88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B86D-D210-C74C-8C77-52F5B9C36941}">
  <sheetPr>
    <pageSetUpPr fitToPage="1"/>
  </sheetPr>
  <dimension ref="A1:Q261"/>
  <sheetViews>
    <sheetView tabSelected="1" zoomScale="108" zoomScaleNormal="108" workbookViewId="0">
      <selection activeCell="H12" sqref="H12"/>
    </sheetView>
  </sheetViews>
  <sheetFormatPr baseColWidth="10" defaultRowHeight="16" x14ac:dyDescent="0.2"/>
  <cols>
    <col min="1" max="1" width="31.33203125" customWidth="1"/>
    <col min="2" max="2" width="21" customWidth="1"/>
    <col min="3" max="3" width="15.5" customWidth="1"/>
    <col min="4" max="4" width="14.6640625" customWidth="1"/>
    <col min="5" max="5" width="20.1640625" customWidth="1"/>
    <col min="6" max="6" width="22.1640625" customWidth="1"/>
    <col min="7" max="7" width="27.5" customWidth="1"/>
    <col min="8" max="8" width="18.33203125" customWidth="1"/>
    <col min="9" max="9" width="23.83203125" customWidth="1"/>
    <col min="10" max="10" width="16.33203125" customWidth="1"/>
    <col min="11" max="11" width="13.33203125" customWidth="1"/>
    <col min="12" max="12" width="14.1640625" customWidth="1"/>
    <col min="13" max="13" width="18" customWidth="1"/>
    <col min="14" max="14" width="17.33203125" customWidth="1"/>
    <col min="16" max="16" width="14.6640625" customWidth="1"/>
    <col min="17" max="17" width="19.6640625" customWidth="1"/>
    <col min="18" max="18" width="21.33203125" customWidth="1"/>
    <col min="19" max="19" width="22" customWidth="1"/>
    <col min="20" max="20" width="17.6640625" customWidth="1"/>
    <col min="21" max="21" width="17.83203125" customWidth="1"/>
    <col min="22" max="22" width="16.6640625" customWidth="1"/>
    <col min="23" max="23" width="15.5" customWidth="1"/>
    <col min="24" max="24" width="14.6640625" customWidth="1"/>
  </cols>
  <sheetData>
    <row r="1" spans="1:5" x14ac:dyDescent="0.2">
      <c r="A1" s="22" t="s">
        <v>101</v>
      </c>
    </row>
    <row r="3" spans="1:5" x14ac:dyDescent="0.2">
      <c r="A3" s="9" t="s">
        <v>98</v>
      </c>
      <c r="B3" s="10"/>
      <c r="C3" s="10"/>
      <c r="D3" s="10"/>
      <c r="E3" s="10"/>
    </row>
    <row r="5" spans="1:5" x14ac:dyDescent="0.2">
      <c r="A5" s="1" t="s">
        <v>0</v>
      </c>
    </row>
    <row r="6" spans="1:5" x14ac:dyDescent="0.2">
      <c r="C6" s="4" t="s">
        <v>22</v>
      </c>
      <c r="D6" s="4" t="s">
        <v>23</v>
      </c>
      <c r="E6" s="4" t="s">
        <v>24</v>
      </c>
    </row>
    <row r="7" spans="1:5" x14ac:dyDescent="0.2">
      <c r="A7" t="s">
        <v>2</v>
      </c>
      <c r="B7" s="5">
        <v>7.0000000000000007E-2</v>
      </c>
      <c r="C7" s="2"/>
      <c r="D7" s="2"/>
      <c r="E7" s="2"/>
    </row>
    <row r="8" spans="1:5" x14ac:dyDescent="0.2">
      <c r="A8" t="s">
        <v>3</v>
      </c>
      <c r="B8" s="5">
        <v>0.03</v>
      </c>
      <c r="C8" s="2"/>
      <c r="D8" s="2"/>
      <c r="E8" s="2"/>
    </row>
    <row r="9" spans="1:5" x14ac:dyDescent="0.2">
      <c r="A9" t="s">
        <v>1</v>
      </c>
      <c r="B9" s="6">
        <v>102651</v>
      </c>
      <c r="C9" s="2"/>
      <c r="D9" s="2"/>
      <c r="E9" s="2"/>
    </row>
    <row r="10" spans="1:5" x14ac:dyDescent="0.2">
      <c r="A10" t="s">
        <v>71</v>
      </c>
      <c r="B10" s="5">
        <v>0.1105</v>
      </c>
      <c r="C10" s="2"/>
      <c r="D10" s="2"/>
      <c r="E10" s="2"/>
    </row>
    <row r="11" spans="1:5" x14ac:dyDescent="0.2">
      <c r="A11" t="s">
        <v>5</v>
      </c>
      <c r="B11" s="5">
        <v>0</v>
      </c>
      <c r="C11" s="2"/>
      <c r="D11" s="2"/>
      <c r="E11" s="2"/>
    </row>
    <row r="12" spans="1:5" x14ac:dyDescent="0.2">
      <c r="A12" t="s">
        <v>70</v>
      </c>
      <c r="B12" s="6">
        <f>B9*B10</f>
        <v>11342.9355</v>
      </c>
      <c r="C12" s="2"/>
      <c r="D12" s="2"/>
      <c r="E12" s="2"/>
    </row>
    <row r="13" spans="1:5" x14ac:dyDescent="0.2">
      <c r="A13" t="s">
        <v>6</v>
      </c>
      <c r="B13" s="6">
        <f>B9*B11</f>
        <v>0</v>
      </c>
      <c r="C13" s="2"/>
      <c r="D13" s="2"/>
      <c r="E13" s="2"/>
    </row>
    <row r="14" spans="1:5" x14ac:dyDescent="0.2">
      <c r="A14" t="s">
        <v>4</v>
      </c>
      <c r="B14" s="6">
        <f>B9-B12</f>
        <v>91308.064500000008</v>
      </c>
      <c r="C14" s="2"/>
      <c r="D14" s="2"/>
      <c r="E14" s="2"/>
    </row>
    <row r="15" spans="1:5" x14ac:dyDescent="0.2">
      <c r="A15" t="s">
        <v>9</v>
      </c>
      <c r="B15" s="6">
        <v>73774199</v>
      </c>
      <c r="C15" s="2"/>
      <c r="D15" s="2"/>
      <c r="E15" s="2"/>
    </row>
    <row r="16" spans="1:5" x14ac:dyDescent="0.2">
      <c r="A16" t="s">
        <v>7</v>
      </c>
      <c r="B16">
        <v>40</v>
      </c>
      <c r="C16" s="2"/>
      <c r="D16" s="2"/>
      <c r="E16" s="2"/>
    </row>
    <row r="17" spans="1:6" x14ac:dyDescent="0.2">
      <c r="A17" t="s">
        <v>8</v>
      </c>
      <c r="B17" s="7">
        <f>B14/B16</f>
        <v>2282.7016125</v>
      </c>
      <c r="C17" s="2"/>
      <c r="D17" s="2"/>
      <c r="E17" s="2"/>
    </row>
    <row r="18" spans="1:6" x14ac:dyDescent="0.2">
      <c r="A18" t="s">
        <v>72</v>
      </c>
      <c r="B18" s="6">
        <f>B15/B17</f>
        <v>32318.809692872201</v>
      </c>
      <c r="C18" s="2"/>
      <c r="D18" s="2"/>
      <c r="E18" s="2"/>
    </row>
    <row r="19" spans="1:6" x14ac:dyDescent="0.2">
      <c r="A19" t="s">
        <v>10</v>
      </c>
      <c r="B19" s="2">
        <v>2100</v>
      </c>
      <c r="C19" s="2">
        <f>B9*B19</f>
        <v>215567100</v>
      </c>
      <c r="D19" s="2"/>
      <c r="E19" s="2"/>
    </row>
    <row r="20" spans="1:6" x14ac:dyDescent="0.2">
      <c r="A20" t="s">
        <v>11</v>
      </c>
      <c r="B20" s="2">
        <v>5</v>
      </c>
      <c r="C20" s="2">
        <f>B9*B20</f>
        <v>513255</v>
      </c>
      <c r="D20" s="2"/>
      <c r="E20" s="2"/>
    </row>
    <row r="21" spans="1:6" x14ac:dyDescent="0.2">
      <c r="A21" t="s">
        <v>12</v>
      </c>
      <c r="B21" s="2">
        <v>827</v>
      </c>
      <c r="C21" s="2"/>
      <c r="D21" s="2"/>
      <c r="E21" s="2">
        <f>B21*B15/1000</f>
        <v>61011262.572999999</v>
      </c>
    </row>
    <row r="22" spans="1:6" x14ac:dyDescent="0.2">
      <c r="A22" t="s">
        <v>13</v>
      </c>
      <c r="B22" s="2">
        <f>41.32*0.75</f>
        <v>30.990000000000002</v>
      </c>
      <c r="C22" s="2"/>
      <c r="D22" s="2">
        <f>B22*B14</f>
        <v>2829636.9188550003</v>
      </c>
      <c r="E22" s="2"/>
    </row>
    <row r="23" spans="1:6" x14ac:dyDescent="0.2">
      <c r="A23" t="s">
        <v>14</v>
      </c>
      <c r="B23" s="2">
        <f>100.9*0.75</f>
        <v>75.675000000000011</v>
      </c>
      <c r="C23" s="2"/>
      <c r="D23" s="2">
        <f>B17*B23</f>
        <v>172743.44452593752</v>
      </c>
      <c r="E23" s="2"/>
    </row>
    <row r="24" spans="1:6" x14ac:dyDescent="0.2">
      <c r="A24" s="3" t="s">
        <v>15</v>
      </c>
      <c r="B24" s="2">
        <f>207.62</f>
        <v>207.62</v>
      </c>
      <c r="C24" s="2"/>
      <c r="D24" s="2">
        <f>B17*B24</f>
        <v>473934.50878725003</v>
      </c>
      <c r="E24" s="2"/>
    </row>
    <row r="25" spans="1:6" x14ac:dyDescent="0.2">
      <c r="A25" t="s">
        <v>16</v>
      </c>
      <c r="B25" s="2">
        <f>160.48*0.75</f>
        <v>120.35999999999999</v>
      </c>
      <c r="C25" s="2"/>
      <c r="D25" s="2">
        <f>B17*B25</f>
        <v>274745.96608049999</v>
      </c>
      <c r="E25" s="2"/>
    </row>
    <row r="26" spans="1:6" x14ac:dyDescent="0.2">
      <c r="A26" t="s">
        <v>17</v>
      </c>
      <c r="B26" s="2">
        <f>5.93*0.75</f>
        <v>4.4474999999999998</v>
      </c>
      <c r="C26" s="2"/>
      <c r="D26" s="2">
        <f>B26*$B$15/1000</f>
        <v>328110.75005249999</v>
      </c>
      <c r="E26" s="2"/>
    </row>
    <row r="27" spans="1:6" x14ac:dyDescent="0.2">
      <c r="A27" t="s">
        <v>18</v>
      </c>
      <c r="B27" s="2">
        <v>78.88</v>
      </c>
      <c r="C27" s="2"/>
      <c r="D27" s="2">
        <f t="shared" ref="D27:D29" si="0">B27*$B$15/1000</f>
        <v>5819308.8171199998</v>
      </c>
      <c r="E27" s="2"/>
    </row>
    <row r="28" spans="1:6" x14ac:dyDescent="0.2">
      <c r="A28" t="s">
        <v>19</v>
      </c>
      <c r="B28" s="2">
        <f>17.73*0.75</f>
        <v>13.297499999999999</v>
      </c>
      <c r="C28" s="2"/>
      <c r="D28" s="2">
        <f t="shared" si="0"/>
        <v>981012.41120249999</v>
      </c>
      <c r="E28" s="2"/>
    </row>
    <row r="29" spans="1:6" x14ac:dyDescent="0.2">
      <c r="A29" t="s">
        <v>20</v>
      </c>
      <c r="B29" s="2">
        <f>206.85*0.75</f>
        <v>155.13749999999999</v>
      </c>
      <c r="C29" s="2"/>
      <c r="D29" s="2">
        <f t="shared" si="0"/>
        <v>11445144.797362499</v>
      </c>
      <c r="E29" s="2"/>
    </row>
    <row r="30" spans="1:6" x14ac:dyDescent="0.2">
      <c r="A30" s="3" t="s">
        <v>21</v>
      </c>
      <c r="B30" s="2">
        <f>280.72*0.75</f>
        <v>210.54000000000002</v>
      </c>
      <c r="C30" s="2"/>
      <c r="D30" s="2"/>
      <c r="E30" s="2"/>
      <c r="F30" s="2"/>
    </row>
    <row r="32" spans="1:6" x14ac:dyDescent="0.2">
      <c r="A32" s="1" t="s">
        <v>25</v>
      </c>
    </row>
    <row r="33" spans="1:17" x14ac:dyDescent="0.2">
      <c r="A33" t="s">
        <v>26</v>
      </c>
      <c r="B33" s="2">
        <f>C19+C20</f>
        <v>216080355</v>
      </c>
    </row>
    <row r="34" spans="1:17" x14ac:dyDescent="0.2">
      <c r="A34" t="s">
        <v>27</v>
      </c>
      <c r="B34" s="8">
        <f>PMT(B7,50,B33)</f>
        <v>-15657150.011765014</v>
      </c>
    </row>
    <row r="35" spans="1:17" x14ac:dyDescent="0.2">
      <c r="A35" t="s">
        <v>23</v>
      </c>
      <c r="B35" s="2">
        <f>SUM(D22:D29)</f>
        <v>22324637.613986187</v>
      </c>
    </row>
    <row r="36" spans="1:17" x14ac:dyDescent="0.2">
      <c r="A36" t="s">
        <v>28</v>
      </c>
      <c r="B36" s="8">
        <f>PV(B8,50,B35+ABS(B34))</f>
        <v>-977262432.17488265</v>
      </c>
    </row>
    <row r="37" spans="1:17" x14ac:dyDescent="0.2">
      <c r="A37" t="s">
        <v>29</v>
      </c>
      <c r="B37" s="8">
        <f>ABS(PV(B8,50,E21))</f>
        <v>1569805387.772902</v>
      </c>
    </row>
    <row r="38" spans="1:17" x14ac:dyDescent="0.2">
      <c r="A38" t="s">
        <v>30</v>
      </c>
      <c r="B38" s="8">
        <f>ABS(B37)-ABS(B36)</f>
        <v>592542955.59801936</v>
      </c>
    </row>
    <row r="39" spans="1:17" x14ac:dyDescent="0.2">
      <c r="A39" t="s">
        <v>31</v>
      </c>
      <c r="B39" s="5">
        <f>IRR!C55</f>
        <v>7.3673966869417962E-2</v>
      </c>
    </row>
    <row r="41" spans="1:17" x14ac:dyDescent="0.2">
      <c r="A41" s="9" t="s">
        <v>100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3" spans="1:17" x14ac:dyDescent="0.2">
      <c r="A43" s="1" t="s">
        <v>39</v>
      </c>
    </row>
    <row r="44" spans="1:17" x14ac:dyDescent="0.2">
      <c r="A44" s="1"/>
    </row>
    <row r="45" spans="1:17" x14ac:dyDescent="0.2">
      <c r="A45" t="s">
        <v>42</v>
      </c>
      <c r="B45" s="6">
        <f>B15/1000</f>
        <v>73774.198999999993</v>
      </c>
    </row>
    <row r="46" spans="1:17" x14ac:dyDescent="0.2">
      <c r="A46" t="s">
        <v>81</v>
      </c>
      <c r="B46" s="7">
        <f>12.13/3</f>
        <v>4.0433333333333339</v>
      </c>
    </row>
    <row r="47" spans="1:17" x14ac:dyDescent="0.2">
      <c r="A47" t="s">
        <v>43</v>
      </c>
      <c r="B47" s="6">
        <f>B45*B46</f>
        <v>298293.67795666668</v>
      </c>
      <c r="C47" s="4" t="s">
        <v>49</v>
      </c>
      <c r="D47" s="4" t="s">
        <v>48</v>
      </c>
      <c r="E47" s="4" t="s">
        <v>47</v>
      </c>
      <c r="F47" s="4" t="s">
        <v>52</v>
      </c>
      <c r="G47" s="4" t="s">
        <v>51</v>
      </c>
      <c r="H47" s="4" t="s">
        <v>50</v>
      </c>
      <c r="I47" s="4" t="s">
        <v>56</v>
      </c>
    </row>
    <row r="48" spans="1:17" x14ac:dyDescent="0.2">
      <c r="A48" t="s">
        <v>44</v>
      </c>
      <c r="B48" s="6">
        <f>I48</f>
        <v>41099.052078273147</v>
      </c>
      <c r="C48" s="6">
        <v>260603</v>
      </c>
      <c r="D48" s="6">
        <v>37175</v>
      </c>
      <c r="E48" s="6">
        <f>C48-D48</f>
        <v>223428</v>
      </c>
      <c r="F48" s="6">
        <f>0.907185*E48*0.5*3.67</f>
        <v>371937.12288029998</v>
      </c>
      <c r="G48" s="7">
        <f>E48/$B$9</f>
        <v>2.1765788935324548</v>
      </c>
      <c r="H48" s="7">
        <f>0.907185*G48*0.5*3.67</f>
        <v>3.6233170926761553</v>
      </c>
      <c r="I48" s="6">
        <f>H48*$B$12</f>
        <v>41099.052078273147</v>
      </c>
    </row>
    <row r="49" spans="1:7" x14ac:dyDescent="0.2">
      <c r="A49" t="s">
        <v>41</v>
      </c>
      <c r="B49" s="6">
        <f>B47-B48</f>
        <v>257194.62587839353</v>
      </c>
    </row>
    <row r="50" spans="1:7" x14ac:dyDescent="0.2">
      <c r="A50" t="s">
        <v>45</v>
      </c>
      <c r="B50" s="2">
        <v>51</v>
      </c>
    </row>
    <row r="51" spans="1:7" x14ac:dyDescent="0.2">
      <c r="A51" t="s">
        <v>79</v>
      </c>
      <c r="B51" s="12">
        <f>B49*B50</f>
        <v>13116925.919798071</v>
      </c>
    </row>
    <row r="52" spans="1:7" x14ac:dyDescent="0.2">
      <c r="A52" t="s">
        <v>80</v>
      </c>
      <c r="B52" s="2">
        <f>B51/B45</f>
        <v>177.79828310705307</v>
      </c>
      <c r="F52" s="7"/>
    </row>
    <row r="53" spans="1:7" x14ac:dyDescent="0.2">
      <c r="A53" t="s">
        <v>40</v>
      </c>
      <c r="B53">
        <v>0.5</v>
      </c>
      <c r="F53" s="7"/>
      <c r="G53">
        <f>4.04*51</f>
        <v>206.04</v>
      </c>
    </row>
    <row r="54" spans="1:7" x14ac:dyDescent="0.2">
      <c r="A54" t="s">
        <v>53</v>
      </c>
      <c r="B54" s="2">
        <v>827</v>
      </c>
      <c r="C54" s="2"/>
      <c r="D54" s="2"/>
      <c r="F54" s="6"/>
    </row>
    <row r="55" spans="1:7" x14ac:dyDescent="0.2">
      <c r="A55" t="s">
        <v>54</v>
      </c>
      <c r="B55" s="2">
        <f>B54+B52*B53</f>
        <v>915.89914155352653</v>
      </c>
      <c r="F55" s="7"/>
    </row>
    <row r="56" spans="1:7" x14ac:dyDescent="0.2">
      <c r="A56" t="s">
        <v>57</v>
      </c>
      <c r="B56" s="5">
        <f>(B55-B54)/B54</f>
        <v>0.10749593900063668</v>
      </c>
      <c r="F56" s="7"/>
    </row>
    <row r="57" spans="1:7" x14ac:dyDescent="0.2">
      <c r="A57" t="s">
        <v>59</v>
      </c>
      <c r="B57" s="7">
        <f>1</f>
        <v>1</v>
      </c>
      <c r="F57" s="7"/>
    </row>
    <row r="58" spans="1:7" x14ac:dyDescent="0.2">
      <c r="A58" t="s">
        <v>46</v>
      </c>
      <c r="B58" s="6">
        <f>(1-B56)*B57*B45</f>
        <v>65843.772204475157</v>
      </c>
      <c r="F58" s="7"/>
    </row>
    <row r="59" spans="1:7" x14ac:dyDescent="0.2">
      <c r="A59" t="s">
        <v>58</v>
      </c>
      <c r="B59" s="7">
        <f>B58/(B18/1000)</f>
        <v>2037.3204592060447</v>
      </c>
      <c r="D59" s="6"/>
      <c r="F59" s="7"/>
    </row>
    <row r="60" spans="1:7" x14ac:dyDescent="0.2">
      <c r="A60" t="s">
        <v>55</v>
      </c>
      <c r="B60" s="7">
        <f>B14/B59</f>
        <v>44.817723243982577</v>
      </c>
      <c r="D60" s="6"/>
    </row>
    <row r="61" spans="1:7" x14ac:dyDescent="0.2">
      <c r="D61" s="6"/>
    </row>
    <row r="62" spans="1:7" x14ac:dyDescent="0.2">
      <c r="A62" t="s">
        <v>78</v>
      </c>
    </row>
    <row r="63" spans="1:7" x14ac:dyDescent="0.2">
      <c r="A63" s="11" t="s">
        <v>33</v>
      </c>
    </row>
    <row r="64" spans="1:7" x14ac:dyDescent="0.2">
      <c r="A64" s="4" t="s">
        <v>32</v>
      </c>
      <c r="B64" s="4" t="s">
        <v>37</v>
      </c>
      <c r="C64" s="4"/>
    </row>
    <row r="65" spans="1:17" x14ac:dyDescent="0.2">
      <c r="A65">
        <v>20</v>
      </c>
      <c r="B65">
        <v>1500</v>
      </c>
      <c r="N65" s="4"/>
      <c r="O65" s="4"/>
      <c r="P65" s="4"/>
      <c r="Q65" s="4"/>
    </row>
    <row r="66" spans="1:17" x14ac:dyDescent="0.2">
      <c r="A66">
        <v>30</v>
      </c>
      <c r="B66">
        <v>13300</v>
      </c>
    </row>
    <row r="67" spans="1:17" x14ac:dyDescent="0.2">
      <c r="A67">
        <v>40</v>
      </c>
      <c r="B67">
        <v>30500</v>
      </c>
    </row>
    <row r="68" spans="1:17" x14ac:dyDescent="0.2">
      <c r="A68">
        <v>50</v>
      </c>
      <c r="B68">
        <v>49200</v>
      </c>
    </row>
    <row r="69" spans="1:17" x14ac:dyDescent="0.2">
      <c r="A69">
        <v>60</v>
      </c>
      <c r="B69">
        <v>66200</v>
      </c>
    </row>
    <row r="70" spans="1:17" x14ac:dyDescent="0.2">
      <c r="A70">
        <v>70</v>
      </c>
      <c r="B70">
        <v>82000</v>
      </c>
    </row>
    <row r="71" spans="1:17" x14ac:dyDescent="0.2">
      <c r="A71">
        <v>80</v>
      </c>
      <c r="B71">
        <v>95200</v>
      </c>
    </row>
    <row r="72" spans="1:17" x14ac:dyDescent="0.2">
      <c r="A72">
        <v>90</v>
      </c>
      <c r="B72">
        <v>106100</v>
      </c>
    </row>
    <row r="73" spans="1:17" x14ac:dyDescent="0.2">
      <c r="A73">
        <v>100</v>
      </c>
      <c r="B73">
        <v>115100</v>
      </c>
    </row>
    <row r="74" spans="1:17" x14ac:dyDescent="0.2">
      <c r="A74">
        <v>110</v>
      </c>
      <c r="B74">
        <v>123400</v>
      </c>
    </row>
    <row r="75" spans="1:17" x14ac:dyDescent="0.2">
      <c r="A75">
        <v>120</v>
      </c>
      <c r="B75">
        <v>130100</v>
      </c>
    </row>
    <row r="76" spans="1:17" x14ac:dyDescent="0.2">
      <c r="A76">
        <v>130</v>
      </c>
      <c r="B76">
        <v>136200</v>
      </c>
    </row>
    <row r="77" spans="1:17" x14ac:dyDescent="0.2">
      <c r="A77">
        <v>140</v>
      </c>
      <c r="B77">
        <v>141400</v>
      </c>
    </row>
    <row r="78" spans="1:17" x14ac:dyDescent="0.2">
      <c r="A78">
        <v>150</v>
      </c>
      <c r="B78">
        <v>146100</v>
      </c>
    </row>
    <row r="79" spans="1:17" x14ac:dyDescent="0.2">
      <c r="A79">
        <v>160</v>
      </c>
      <c r="B79">
        <v>150400</v>
      </c>
    </row>
    <row r="97" spans="1:10" x14ac:dyDescent="0.2">
      <c r="G97" s="2"/>
    </row>
    <row r="99" spans="1:10" x14ac:dyDescent="0.2">
      <c r="A99" s="1" t="s">
        <v>77</v>
      </c>
      <c r="B99" s="1"/>
    </row>
    <row r="100" spans="1:10" x14ac:dyDescent="0.2">
      <c r="A100" s="1"/>
      <c r="B100" s="1"/>
    </row>
    <row r="101" spans="1:10" x14ac:dyDescent="0.2">
      <c r="A101" s="4" t="s">
        <v>34</v>
      </c>
      <c r="B101" s="4" t="s">
        <v>60</v>
      </c>
      <c r="C101" s="4" t="s">
        <v>35</v>
      </c>
      <c r="D101" s="4" t="s">
        <v>36</v>
      </c>
      <c r="E101" s="4" t="s">
        <v>37</v>
      </c>
      <c r="F101" s="4" t="s">
        <v>38</v>
      </c>
      <c r="G101" s="4" t="s">
        <v>73</v>
      </c>
      <c r="H101" s="4" t="s">
        <v>93</v>
      </c>
      <c r="I101" s="4" t="s">
        <v>61</v>
      </c>
      <c r="J101" s="4" t="s">
        <v>74</v>
      </c>
    </row>
    <row r="102" spans="1:10" x14ac:dyDescent="0.2">
      <c r="A102">
        <v>1</v>
      </c>
      <c r="B102">
        <v>40</v>
      </c>
      <c r="C102" s="6">
        <f>B18</f>
        <v>32318.809692872201</v>
      </c>
      <c r="D102" s="7">
        <f>B59</f>
        <v>2037.3204592060447</v>
      </c>
      <c r="E102" s="6">
        <f>C102*D102/1000</f>
        <v>65843.772204475157</v>
      </c>
      <c r="F102" s="12">
        <f>E102*$B$55</f>
        <v>60306254.438724749</v>
      </c>
      <c r="G102" s="12">
        <f>SUM($B$22:$B$25)*D102+SUM($B$26:$B$29)*E102+$B$52*E102</f>
        <v>29169413.501868375</v>
      </c>
      <c r="H102" s="12">
        <f>ABS($B$34)</f>
        <v>15657150.011765014</v>
      </c>
      <c r="I102" s="12">
        <f t="shared" ref="I102:I133" si="1">G102+H102</f>
        <v>44826563.513633385</v>
      </c>
      <c r="J102" s="12">
        <f t="shared" ref="J102:J133" si="2">F102-G102-H102</f>
        <v>15479690.92509136</v>
      </c>
    </row>
    <row r="103" spans="1:10" x14ac:dyDescent="0.2">
      <c r="A103">
        <v>2</v>
      </c>
      <c r="B103">
        <v>41</v>
      </c>
      <c r="C103" s="6">
        <f>(79355*LN(B103)-252537)*0.8</f>
        <v>33722.809082656306</v>
      </c>
      <c r="D103" s="7">
        <f>E103*1000/C103</f>
        <v>1952.4996284588497</v>
      </c>
      <c r="E103" s="6">
        <v>65843.772204475157</v>
      </c>
      <c r="F103" s="12">
        <f t="shared" ref="F103:F151" si="3">E103*$B$55</f>
        <v>60306254.438724749</v>
      </c>
      <c r="G103" s="12">
        <f t="shared" ref="G103:G151" si="4">SUM($B$22:$B$25)*D103+SUM($B$26:$B$29)*E103+$B$52*E103</f>
        <v>29132546.551888257</v>
      </c>
      <c r="H103" s="12">
        <f t="shared" ref="H103:H151" si="5">ABS($B$34)</f>
        <v>15657150.011765014</v>
      </c>
      <c r="I103" s="12">
        <f t="shared" si="1"/>
        <v>44789696.563653275</v>
      </c>
      <c r="J103" s="12">
        <f t="shared" si="2"/>
        <v>15516557.875071477</v>
      </c>
    </row>
    <row r="104" spans="1:10" x14ac:dyDescent="0.2">
      <c r="A104">
        <v>3</v>
      </c>
      <c r="B104">
        <v>42</v>
      </c>
      <c r="C104" s="6">
        <f t="shared" ref="C104:C151" si="6">(79355*LN(B104)-252537)*0.8</f>
        <v>35252.618047101379</v>
      </c>
      <c r="D104" s="7">
        <f t="shared" ref="D104:D151" si="7">E104*1000/C104</f>
        <v>1867.7697105077593</v>
      </c>
      <c r="E104" s="6">
        <v>65843.772204475157</v>
      </c>
      <c r="F104" s="12">
        <f t="shared" si="3"/>
        <v>60306254.438724749</v>
      </c>
      <c r="G104" s="12">
        <f t="shared" si="4"/>
        <v>29095719.116700403</v>
      </c>
      <c r="H104" s="12">
        <f t="shared" si="5"/>
        <v>15657150.011765014</v>
      </c>
      <c r="I104" s="12">
        <f t="shared" si="1"/>
        <v>44752869.128465414</v>
      </c>
      <c r="J104" s="12">
        <f t="shared" si="2"/>
        <v>15553385.310259331</v>
      </c>
    </row>
    <row r="105" spans="1:10" x14ac:dyDescent="0.2">
      <c r="A105">
        <v>4</v>
      </c>
      <c r="B105">
        <v>43</v>
      </c>
      <c r="C105" s="6">
        <f t="shared" si="6"/>
        <v>36746.428144690115</v>
      </c>
      <c r="D105" s="7">
        <f t="shared" si="7"/>
        <v>1791.841425926172</v>
      </c>
      <c r="E105" s="6">
        <v>65843.772204475157</v>
      </c>
      <c r="F105" s="12">
        <f t="shared" si="3"/>
        <v>60306254.438724749</v>
      </c>
      <c r="G105" s="12">
        <f t="shared" si="4"/>
        <v>29062717.26744844</v>
      </c>
      <c r="H105" s="12">
        <f t="shared" si="5"/>
        <v>15657150.011765014</v>
      </c>
      <c r="I105" s="12">
        <f t="shared" si="1"/>
        <v>44719867.279213458</v>
      </c>
      <c r="J105" s="12">
        <f t="shared" si="2"/>
        <v>15586387.159511294</v>
      </c>
    </row>
    <row r="106" spans="1:10" x14ac:dyDescent="0.2">
      <c r="A106">
        <v>5</v>
      </c>
      <c r="B106">
        <v>44</v>
      </c>
      <c r="C106" s="6">
        <f t="shared" si="6"/>
        <v>38205.894719666896</v>
      </c>
      <c r="D106" s="7">
        <f t="shared" si="7"/>
        <v>1723.3930179517918</v>
      </c>
      <c r="E106" s="6">
        <v>65843.772204475157</v>
      </c>
      <c r="F106" s="12">
        <f t="shared" si="3"/>
        <v>60306254.438724749</v>
      </c>
      <c r="G106" s="12">
        <f t="shared" si="4"/>
        <v>29032966.509164415</v>
      </c>
      <c r="H106" s="12">
        <f t="shared" si="5"/>
        <v>15657150.011765014</v>
      </c>
      <c r="I106" s="12">
        <f t="shared" si="1"/>
        <v>44690116.520929426</v>
      </c>
      <c r="J106" s="12">
        <f t="shared" si="2"/>
        <v>15616137.917795319</v>
      </c>
    </row>
    <row r="107" spans="1:10" x14ac:dyDescent="0.2">
      <c r="A107">
        <v>6</v>
      </c>
      <c r="B107">
        <v>45</v>
      </c>
      <c r="C107" s="6">
        <f t="shared" si="6"/>
        <v>39632.56150057898</v>
      </c>
      <c r="D107" s="7">
        <f t="shared" si="7"/>
        <v>1661.3554539873296</v>
      </c>
      <c r="E107" s="6">
        <v>65843.772204475157</v>
      </c>
      <c r="F107" s="12">
        <f t="shared" si="3"/>
        <v>60306254.438724749</v>
      </c>
      <c r="G107" s="12">
        <f t="shared" si="4"/>
        <v>29006002.192175083</v>
      </c>
      <c r="H107" s="12">
        <f t="shared" si="5"/>
        <v>15657150.011765014</v>
      </c>
      <c r="I107" s="12">
        <f t="shared" si="1"/>
        <v>44663152.203940094</v>
      </c>
      <c r="J107" s="12">
        <f t="shared" si="2"/>
        <v>15643102.234784652</v>
      </c>
    </row>
    <row r="108" spans="1:10" x14ac:dyDescent="0.2">
      <c r="A108">
        <v>7</v>
      </c>
      <c r="B108">
        <v>45</v>
      </c>
      <c r="C108" s="6">
        <f t="shared" si="6"/>
        <v>39632.56150057898</v>
      </c>
      <c r="D108" s="7">
        <f t="shared" si="7"/>
        <v>1661.3554539873296</v>
      </c>
      <c r="E108" s="6">
        <v>65843.772204475157</v>
      </c>
      <c r="F108" s="12">
        <f t="shared" si="3"/>
        <v>60306254.438724749</v>
      </c>
      <c r="G108" s="12">
        <f t="shared" si="4"/>
        <v>29006002.192175083</v>
      </c>
      <c r="H108" s="12">
        <f t="shared" si="5"/>
        <v>15657150.011765014</v>
      </c>
      <c r="I108" s="12">
        <f t="shared" si="1"/>
        <v>44663152.203940094</v>
      </c>
      <c r="J108" s="12">
        <f t="shared" si="2"/>
        <v>15643102.234784652</v>
      </c>
    </row>
    <row r="109" spans="1:10" x14ac:dyDescent="0.2">
      <c r="A109">
        <v>8</v>
      </c>
      <c r="B109">
        <v>45</v>
      </c>
      <c r="C109" s="6">
        <f t="shared" si="6"/>
        <v>39632.56150057898</v>
      </c>
      <c r="D109" s="7">
        <f t="shared" si="7"/>
        <v>1661.3554539873296</v>
      </c>
      <c r="E109" s="6">
        <v>65843.772204475157</v>
      </c>
      <c r="F109" s="12">
        <f t="shared" si="3"/>
        <v>60306254.438724749</v>
      </c>
      <c r="G109" s="12">
        <f t="shared" si="4"/>
        <v>29006002.192175083</v>
      </c>
      <c r="H109" s="12">
        <f t="shared" si="5"/>
        <v>15657150.011765014</v>
      </c>
      <c r="I109" s="12">
        <f t="shared" si="1"/>
        <v>44663152.203940094</v>
      </c>
      <c r="J109" s="12">
        <f t="shared" si="2"/>
        <v>15643102.234784652</v>
      </c>
    </row>
    <row r="110" spans="1:10" x14ac:dyDescent="0.2">
      <c r="A110">
        <v>9</v>
      </c>
      <c r="B110">
        <v>45</v>
      </c>
      <c r="C110" s="6">
        <f t="shared" si="6"/>
        <v>39632.56150057898</v>
      </c>
      <c r="D110" s="7">
        <f t="shared" si="7"/>
        <v>1661.3554539873296</v>
      </c>
      <c r="E110" s="6">
        <v>65843.772204475157</v>
      </c>
      <c r="F110" s="12">
        <f t="shared" si="3"/>
        <v>60306254.438724749</v>
      </c>
      <c r="G110" s="12">
        <f t="shared" si="4"/>
        <v>29006002.192175083</v>
      </c>
      <c r="H110" s="12">
        <f t="shared" si="5"/>
        <v>15657150.011765014</v>
      </c>
      <c r="I110" s="12">
        <f t="shared" si="1"/>
        <v>44663152.203940094</v>
      </c>
      <c r="J110" s="12">
        <f t="shared" si="2"/>
        <v>15643102.234784652</v>
      </c>
    </row>
    <row r="111" spans="1:10" x14ac:dyDescent="0.2">
      <c r="A111">
        <v>10</v>
      </c>
      <c r="B111">
        <v>45</v>
      </c>
      <c r="C111" s="6">
        <f t="shared" si="6"/>
        <v>39632.56150057898</v>
      </c>
      <c r="D111" s="7">
        <f t="shared" si="7"/>
        <v>1661.3554539873296</v>
      </c>
      <c r="E111" s="6">
        <v>65843.772204475157</v>
      </c>
      <c r="F111" s="12">
        <f t="shared" si="3"/>
        <v>60306254.438724749</v>
      </c>
      <c r="G111" s="12">
        <f t="shared" si="4"/>
        <v>29006002.192175083</v>
      </c>
      <c r="H111" s="12">
        <f t="shared" si="5"/>
        <v>15657150.011765014</v>
      </c>
      <c r="I111" s="12">
        <f t="shared" si="1"/>
        <v>44663152.203940094</v>
      </c>
      <c r="J111" s="12">
        <f t="shared" si="2"/>
        <v>15643102.234784652</v>
      </c>
    </row>
    <row r="112" spans="1:10" x14ac:dyDescent="0.2">
      <c r="A112">
        <v>11</v>
      </c>
      <c r="B112">
        <v>45</v>
      </c>
      <c r="C112" s="6">
        <f t="shared" si="6"/>
        <v>39632.56150057898</v>
      </c>
      <c r="D112" s="7">
        <f t="shared" si="7"/>
        <v>1661.3554539873296</v>
      </c>
      <c r="E112" s="6">
        <v>65843.772204475157</v>
      </c>
      <c r="F112" s="12">
        <f t="shared" si="3"/>
        <v>60306254.438724749</v>
      </c>
      <c r="G112" s="12">
        <f t="shared" si="4"/>
        <v>29006002.192175083</v>
      </c>
      <c r="H112" s="12">
        <f t="shared" si="5"/>
        <v>15657150.011765014</v>
      </c>
      <c r="I112" s="12">
        <f t="shared" si="1"/>
        <v>44663152.203940094</v>
      </c>
      <c r="J112" s="12">
        <f t="shared" si="2"/>
        <v>15643102.234784652</v>
      </c>
    </row>
    <row r="113" spans="1:16" x14ac:dyDescent="0.2">
      <c r="A113">
        <v>12</v>
      </c>
      <c r="B113">
        <v>45</v>
      </c>
      <c r="C113" s="6">
        <f t="shared" si="6"/>
        <v>39632.56150057898</v>
      </c>
      <c r="D113" s="7">
        <f t="shared" si="7"/>
        <v>1661.3554539873296</v>
      </c>
      <c r="E113" s="6">
        <v>65843.772204475157</v>
      </c>
      <c r="F113" s="12">
        <f t="shared" si="3"/>
        <v>60306254.438724749</v>
      </c>
      <c r="G113" s="12">
        <f t="shared" si="4"/>
        <v>29006002.192175083</v>
      </c>
      <c r="H113" s="12">
        <f t="shared" si="5"/>
        <v>15657150.011765014</v>
      </c>
      <c r="I113" s="12">
        <f t="shared" si="1"/>
        <v>44663152.203940094</v>
      </c>
      <c r="J113" s="12">
        <f t="shared" si="2"/>
        <v>15643102.234784652</v>
      </c>
    </row>
    <row r="114" spans="1:16" x14ac:dyDescent="0.2">
      <c r="A114">
        <v>13</v>
      </c>
      <c r="B114">
        <v>45</v>
      </c>
      <c r="C114" s="6">
        <f t="shared" si="6"/>
        <v>39632.56150057898</v>
      </c>
      <c r="D114" s="7">
        <f t="shared" si="7"/>
        <v>1661.3554539873296</v>
      </c>
      <c r="E114" s="6">
        <v>65843.772204475157</v>
      </c>
      <c r="F114" s="12">
        <f t="shared" si="3"/>
        <v>60306254.438724749</v>
      </c>
      <c r="G114" s="12">
        <f t="shared" si="4"/>
        <v>29006002.192175083</v>
      </c>
      <c r="H114" s="12">
        <f t="shared" si="5"/>
        <v>15657150.011765014</v>
      </c>
      <c r="I114" s="12">
        <f t="shared" si="1"/>
        <v>44663152.203940094</v>
      </c>
      <c r="J114" s="12">
        <f t="shared" si="2"/>
        <v>15643102.234784652</v>
      </c>
    </row>
    <row r="115" spans="1:16" x14ac:dyDescent="0.2">
      <c r="A115">
        <v>14</v>
      </c>
      <c r="B115">
        <v>45</v>
      </c>
      <c r="C115" s="6">
        <f t="shared" si="6"/>
        <v>39632.56150057898</v>
      </c>
      <c r="D115" s="7">
        <f t="shared" si="7"/>
        <v>1661.3554539873296</v>
      </c>
      <c r="E115" s="6">
        <v>65843.772204475157</v>
      </c>
      <c r="F115" s="12">
        <f t="shared" si="3"/>
        <v>60306254.438724749</v>
      </c>
      <c r="G115" s="12">
        <f t="shared" si="4"/>
        <v>29006002.192175083</v>
      </c>
      <c r="H115" s="12">
        <f t="shared" si="5"/>
        <v>15657150.011765014</v>
      </c>
      <c r="I115" s="12">
        <f t="shared" si="1"/>
        <v>44663152.203940094</v>
      </c>
      <c r="J115" s="12">
        <f t="shared" si="2"/>
        <v>15643102.234784652</v>
      </c>
    </row>
    <row r="116" spans="1:16" x14ac:dyDescent="0.2">
      <c r="A116">
        <v>15</v>
      </c>
      <c r="B116">
        <v>45</v>
      </c>
      <c r="C116" s="6">
        <f t="shared" si="6"/>
        <v>39632.56150057898</v>
      </c>
      <c r="D116" s="7">
        <f t="shared" si="7"/>
        <v>1661.3554539873296</v>
      </c>
      <c r="E116" s="6">
        <v>65843.772204475157</v>
      </c>
      <c r="F116" s="12">
        <f t="shared" si="3"/>
        <v>60306254.438724749</v>
      </c>
      <c r="G116" s="12">
        <f t="shared" si="4"/>
        <v>29006002.192175083</v>
      </c>
      <c r="H116" s="12">
        <f t="shared" si="5"/>
        <v>15657150.011765014</v>
      </c>
      <c r="I116" s="12">
        <f t="shared" si="1"/>
        <v>44663152.203940094</v>
      </c>
      <c r="J116" s="12">
        <f t="shared" si="2"/>
        <v>15643102.234784652</v>
      </c>
      <c r="O116" s="8"/>
    </row>
    <row r="117" spans="1:16" x14ac:dyDescent="0.2">
      <c r="A117">
        <v>16</v>
      </c>
      <c r="B117">
        <v>45</v>
      </c>
      <c r="C117" s="6">
        <f t="shared" si="6"/>
        <v>39632.56150057898</v>
      </c>
      <c r="D117" s="7">
        <f t="shared" si="7"/>
        <v>1661.3554539873296</v>
      </c>
      <c r="E117" s="6">
        <v>65843.772204475157</v>
      </c>
      <c r="F117" s="12">
        <f t="shared" si="3"/>
        <v>60306254.438724749</v>
      </c>
      <c r="G117" s="12">
        <f t="shared" si="4"/>
        <v>29006002.192175083</v>
      </c>
      <c r="H117" s="12">
        <f t="shared" si="5"/>
        <v>15657150.011765014</v>
      </c>
      <c r="I117" s="12">
        <f t="shared" si="1"/>
        <v>44663152.203940094</v>
      </c>
      <c r="J117" s="12">
        <f t="shared" si="2"/>
        <v>15643102.234784652</v>
      </c>
      <c r="L117" s="8"/>
      <c r="M117" s="6"/>
    </row>
    <row r="118" spans="1:16" x14ac:dyDescent="0.2">
      <c r="A118">
        <v>17</v>
      </c>
      <c r="B118">
        <v>45</v>
      </c>
      <c r="C118" s="6">
        <f t="shared" si="6"/>
        <v>39632.56150057898</v>
      </c>
      <c r="D118" s="7">
        <f t="shared" si="7"/>
        <v>1661.3554539873296</v>
      </c>
      <c r="E118" s="6">
        <v>65843.772204475157</v>
      </c>
      <c r="F118" s="12">
        <f t="shared" si="3"/>
        <v>60306254.438724749</v>
      </c>
      <c r="G118" s="12">
        <f t="shared" si="4"/>
        <v>29006002.192175083</v>
      </c>
      <c r="H118" s="12">
        <f t="shared" si="5"/>
        <v>15657150.011765014</v>
      </c>
      <c r="I118" s="12">
        <f t="shared" si="1"/>
        <v>44663152.203940094</v>
      </c>
      <c r="J118" s="12">
        <f t="shared" si="2"/>
        <v>15643102.234784652</v>
      </c>
      <c r="P118" s="8"/>
    </row>
    <row r="119" spans="1:16" x14ac:dyDescent="0.2">
      <c r="A119">
        <v>18</v>
      </c>
      <c r="B119">
        <v>45</v>
      </c>
      <c r="C119" s="6">
        <f t="shared" si="6"/>
        <v>39632.56150057898</v>
      </c>
      <c r="D119" s="7">
        <f t="shared" si="7"/>
        <v>1661.3554539873296</v>
      </c>
      <c r="E119" s="6">
        <v>65843.772204475157</v>
      </c>
      <c r="F119" s="12">
        <f t="shared" si="3"/>
        <v>60306254.438724749</v>
      </c>
      <c r="G119" s="12">
        <f t="shared" si="4"/>
        <v>29006002.192175083</v>
      </c>
      <c r="H119" s="12">
        <f t="shared" si="5"/>
        <v>15657150.011765014</v>
      </c>
      <c r="I119" s="12">
        <f t="shared" si="1"/>
        <v>44663152.203940094</v>
      </c>
      <c r="J119" s="12">
        <f t="shared" si="2"/>
        <v>15643102.234784652</v>
      </c>
    </row>
    <row r="120" spans="1:16" x14ac:dyDescent="0.2">
      <c r="A120">
        <v>19</v>
      </c>
      <c r="B120">
        <v>45</v>
      </c>
      <c r="C120" s="6">
        <f t="shared" si="6"/>
        <v>39632.56150057898</v>
      </c>
      <c r="D120" s="7">
        <f t="shared" si="7"/>
        <v>1661.3554539873296</v>
      </c>
      <c r="E120" s="6">
        <v>65843.772204475157</v>
      </c>
      <c r="F120" s="12">
        <f t="shared" si="3"/>
        <v>60306254.438724749</v>
      </c>
      <c r="G120" s="12">
        <f t="shared" si="4"/>
        <v>29006002.192175083</v>
      </c>
      <c r="H120" s="12">
        <f t="shared" si="5"/>
        <v>15657150.011765014</v>
      </c>
      <c r="I120" s="12">
        <f t="shared" si="1"/>
        <v>44663152.203940094</v>
      </c>
      <c r="J120" s="12">
        <f t="shared" si="2"/>
        <v>15643102.234784652</v>
      </c>
    </row>
    <row r="121" spans="1:16" x14ac:dyDescent="0.2">
      <c r="A121">
        <v>20</v>
      </c>
      <c r="B121">
        <v>45</v>
      </c>
      <c r="C121" s="6">
        <f t="shared" si="6"/>
        <v>39632.56150057898</v>
      </c>
      <c r="D121" s="7">
        <f t="shared" si="7"/>
        <v>1661.3554539873296</v>
      </c>
      <c r="E121" s="6">
        <v>65843.772204475157</v>
      </c>
      <c r="F121" s="12">
        <f t="shared" si="3"/>
        <v>60306254.438724749</v>
      </c>
      <c r="G121" s="12">
        <f t="shared" si="4"/>
        <v>29006002.192175083</v>
      </c>
      <c r="H121" s="12">
        <f t="shared" si="5"/>
        <v>15657150.011765014</v>
      </c>
      <c r="I121" s="12">
        <f t="shared" si="1"/>
        <v>44663152.203940094</v>
      </c>
      <c r="J121" s="12">
        <f t="shared" si="2"/>
        <v>15643102.234784652</v>
      </c>
    </row>
    <row r="122" spans="1:16" x14ac:dyDescent="0.2">
      <c r="A122">
        <v>21</v>
      </c>
      <c r="B122">
        <v>45</v>
      </c>
      <c r="C122" s="6">
        <f t="shared" si="6"/>
        <v>39632.56150057898</v>
      </c>
      <c r="D122" s="7">
        <f t="shared" si="7"/>
        <v>1661.3554539873296</v>
      </c>
      <c r="E122" s="6">
        <v>65843.772204475157</v>
      </c>
      <c r="F122" s="12">
        <f t="shared" si="3"/>
        <v>60306254.438724749</v>
      </c>
      <c r="G122" s="12">
        <f t="shared" si="4"/>
        <v>29006002.192175083</v>
      </c>
      <c r="H122" s="12">
        <f t="shared" si="5"/>
        <v>15657150.011765014</v>
      </c>
      <c r="I122" s="12">
        <f t="shared" si="1"/>
        <v>44663152.203940094</v>
      </c>
      <c r="J122" s="12">
        <f t="shared" si="2"/>
        <v>15643102.234784652</v>
      </c>
    </row>
    <row r="123" spans="1:16" x14ac:dyDescent="0.2">
      <c r="A123">
        <v>22</v>
      </c>
      <c r="B123">
        <v>45</v>
      </c>
      <c r="C123" s="6">
        <f t="shared" si="6"/>
        <v>39632.56150057898</v>
      </c>
      <c r="D123" s="7">
        <f t="shared" si="7"/>
        <v>1661.3554539873296</v>
      </c>
      <c r="E123" s="6">
        <v>65843.772204475157</v>
      </c>
      <c r="F123" s="12">
        <f t="shared" si="3"/>
        <v>60306254.438724749</v>
      </c>
      <c r="G123" s="12">
        <f t="shared" si="4"/>
        <v>29006002.192175083</v>
      </c>
      <c r="H123" s="12">
        <f t="shared" si="5"/>
        <v>15657150.011765014</v>
      </c>
      <c r="I123" s="12">
        <f t="shared" si="1"/>
        <v>44663152.203940094</v>
      </c>
      <c r="J123" s="12">
        <f t="shared" si="2"/>
        <v>15643102.234784652</v>
      </c>
    </row>
    <row r="124" spans="1:16" x14ac:dyDescent="0.2">
      <c r="A124">
        <v>23</v>
      </c>
      <c r="B124">
        <v>45</v>
      </c>
      <c r="C124" s="6">
        <f t="shared" si="6"/>
        <v>39632.56150057898</v>
      </c>
      <c r="D124" s="7">
        <f t="shared" si="7"/>
        <v>1661.3554539873296</v>
      </c>
      <c r="E124" s="6">
        <v>65843.772204475157</v>
      </c>
      <c r="F124" s="12">
        <f t="shared" si="3"/>
        <v>60306254.438724749</v>
      </c>
      <c r="G124" s="12">
        <f t="shared" si="4"/>
        <v>29006002.192175083</v>
      </c>
      <c r="H124" s="12">
        <f t="shared" si="5"/>
        <v>15657150.011765014</v>
      </c>
      <c r="I124" s="12">
        <f t="shared" si="1"/>
        <v>44663152.203940094</v>
      </c>
      <c r="J124" s="12">
        <f t="shared" si="2"/>
        <v>15643102.234784652</v>
      </c>
    </row>
    <row r="125" spans="1:16" x14ac:dyDescent="0.2">
      <c r="A125">
        <v>24</v>
      </c>
      <c r="B125">
        <v>45</v>
      </c>
      <c r="C125" s="6">
        <f t="shared" si="6"/>
        <v>39632.56150057898</v>
      </c>
      <c r="D125" s="7">
        <f t="shared" si="7"/>
        <v>1661.3554539873296</v>
      </c>
      <c r="E125" s="6">
        <v>65843.772204475157</v>
      </c>
      <c r="F125" s="12">
        <f t="shared" si="3"/>
        <v>60306254.438724749</v>
      </c>
      <c r="G125" s="12">
        <f t="shared" si="4"/>
        <v>29006002.192175083</v>
      </c>
      <c r="H125" s="12">
        <f t="shared" si="5"/>
        <v>15657150.011765014</v>
      </c>
      <c r="I125" s="12">
        <f t="shared" si="1"/>
        <v>44663152.203940094</v>
      </c>
      <c r="J125" s="12">
        <f t="shared" si="2"/>
        <v>15643102.234784652</v>
      </c>
    </row>
    <row r="126" spans="1:16" x14ac:dyDescent="0.2">
      <c r="A126">
        <v>25</v>
      </c>
      <c r="B126">
        <v>45</v>
      </c>
      <c r="C126" s="6">
        <f t="shared" si="6"/>
        <v>39632.56150057898</v>
      </c>
      <c r="D126" s="7">
        <f t="shared" si="7"/>
        <v>1661.3554539873296</v>
      </c>
      <c r="E126" s="6">
        <v>65843.772204475157</v>
      </c>
      <c r="F126" s="12">
        <f t="shared" si="3"/>
        <v>60306254.438724749</v>
      </c>
      <c r="G126" s="12">
        <f t="shared" si="4"/>
        <v>29006002.192175083</v>
      </c>
      <c r="H126" s="12">
        <f t="shared" si="5"/>
        <v>15657150.011765014</v>
      </c>
      <c r="I126" s="12">
        <f t="shared" si="1"/>
        <v>44663152.203940094</v>
      </c>
      <c r="J126" s="12">
        <f t="shared" si="2"/>
        <v>15643102.234784652</v>
      </c>
    </row>
    <row r="127" spans="1:16" x14ac:dyDescent="0.2">
      <c r="A127">
        <v>26</v>
      </c>
      <c r="B127">
        <v>45</v>
      </c>
      <c r="C127" s="6">
        <f t="shared" si="6"/>
        <v>39632.56150057898</v>
      </c>
      <c r="D127" s="7">
        <f t="shared" si="7"/>
        <v>1661.3554539873296</v>
      </c>
      <c r="E127" s="6">
        <v>65843.772204475157</v>
      </c>
      <c r="F127" s="12">
        <f t="shared" si="3"/>
        <v>60306254.438724749</v>
      </c>
      <c r="G127" s="12">
        <f t="shared" si="4"/>
        <v>29006002.192175083</v>
      </c>
      <c r="H127" s="12">
        <f t="shared" si="5"/>
        <v>15657150.011765014</v>
      </c>
      <c r="I127" s="12">
        <f t="shared" si="1"/>
        <v>44663152.203940094</v>
      </c>
      <c r="J127" s="12">
        <f t="shared" si="2"/>
        <v>15643102.234784652</v>
      </c>
    </row>
    <row r="128" spans="1:16" x14ac:dyDescent="0.2">
      <c r="A128">
        <v>27</v>
      </c>
      <c r="B128">
        <v>45</v>
      </c>
      <c r="C128" s="6">
        <f t="shared" si="6"/>
        <v>39632.56150057898</v>
      </c>
      <c r="D128" s="7">
        <f t="shared" si="7"/>
        <v>1661.3554539873296</v>
      </c>
      <c r="E128" s="6">
        <v>65843.772204475157</v>
      </c>
      <c r="F128" s="12">
        <f t="shared" si="3"/>
        <v>60306254.438724749</v>
      </c>
      <c r="G128" s="12">
        <f t="shared" si="4"/>
        <v>29006002.192175083</v>
      </c>
      <c r="H128" s="12">
        <f t="shared" si="5"/>
        <v>15657150.011765014</v>
      </c>
      <c r="I128" s="12">
        <f t="shared" si="1"/>
        <v>44663152.203940094</v>
      </c>
      <c r="J128" s="12">
        <f t="shared" si="2"/>
        <v>15643102.234784652</v>
      </c>
    </row>
    <row r="129" spans="1:10" x14ac:dyDescent="0.2">
      <c r="A129">
        <v>28</v>
      </c>
      <c r="B129">
        <v>45</v>
      </c>
      <c r="C129" s="6">
        <f t="shared" si="6"/>
        <v>39632.56150057898</v>
      </c>
      <c r="D129" s="7">
        <f t="shared" si="7"/>
        <v>1661.3554539873296</v>
      </c>
      <c r="E129" s="6">
        <v>65843.772204475157</v>
      </c>
      <c r="F129" s="12">
        <f t="shared" si="3"/>
        <v>60306254.438724749</v>
      </c>
      <c r="G129" s="12">
        <f t="shared" si="4"/>
        <v>29006002.192175083</v>
      </c>
      <c r="H129" s="12">
        <f t="shared" si="5"/>
        <v>15657150.011765014</v>
      </c>
      <c r="I129" s="12">
        <f t="shared" si="1"/>
        <v>44663152.203940094</v>
      </c>
      <c r="J129" s="12">
        <f t="shared" si="2"/>
        <v>15643102.234784652</v>
      </c>
    </row>
    <row r="130" spans="1:10" x14ac:dyDescent="0.2">
      <c r="A130">
        <v>29</v>
      </c>
      <c r="B130">
        <v>45</v>
      </c>
      <c r="C130" s="6">
        <f t="shared" si="6"/>
        <v>39632.56150057898</v>
      </c>
      <c r="D130" s="7">
        <f t="shared" si="7"/>
        <v>1661.3554539873296</v>
      </c>
      <c r="E130" s="6">
        <v>65843.772204475157</v>
      </c>
      <c r="F130" s="12">
        <f t="shared" si="3"/>
        <v>60306254.438724749</v>
      </c>
      <c r="G130" s="12">
        <f t="shared" si="4"/>
        <v>29006002.192175083</v>
      </c>
      <c r="H130" s="12">
        <f t="shared" si="5"/>
        <v>15657150.011765014</v>
      </c>
      <c r="I130" s="12">
        <f t="shared" si="1"/>
        <v>44663152.203940094</v>
      </c>
      <c r="J130" s="12">
        <f t="shared" si="2"/>
        <v>15643102.234784652</v>
      </c>
    </row>
    <row r="131" spans="1:10" x14ac:dyDescent="0.2">
      <c r="A131">
        <v>30</v>
      </c>
      <c r="B131">
        <v>45</v>
      </c>
      <c r="C131" s="6">
        <f t="shared" si="6"/>
        <v>39632.56150057898</v>
      </c>
      <c r="D131" s="7">
        <f t="shared" si="7"/>
        <v>1661.3554539873296</v>
      </c>
      <c r="E131" s="6">
        <v>65843.772204475157</v>
      </c>
      <c r="F131" s="12">
        <f t="shared" si="3"/>
        <v>60306254.438724749</v>
      </c>
      <c r="G131" s="12">
        <f t="shared" si="4"/>
        <v>29006002.192175083</v>
      </c>
      <c r="H131" s="12">
        <f t="shared" si="5"/>
        <v>15657150.011765014</v>
      </c>
      <c r="I131" s="12">
        <f t="shared" si="1"/>
        <v>44663152.203940094</v>
      </c>
      <c r="J131" s="12">
        <f t="shared" si="2"/>
        <v>15643102.234784652</v>
      </c>
    </row>
    <row r="132" spans="1:10" x14ac:dyDescent="0.2">
      <c r="A132">
        <v>31</v>
      </c>
      <c r="B132">
        <v>45</v>
      </c>
      <c r="C132" s="6">
        <f t="shared" si="6"/>
        <v>39632.56150057898</v>
      </c>
      <c r="D132" s="7">
        <f t="shared" si="7"/>
        <v>1661.3554539873296</v>
      </c>
      <c r="E132" s="6">
        <v>65843.772204475157</v>
      </c>
      <c r="F132" s="12">
        <f t="shared" si="3"/>
        <v>60306254.438724749</v>
      </c>
      <c r="G132" s="12">
        <f t="shared" si="4"/>
        <v>29006002.192175083</v>
      </c>
      <c r="H132" s="12">
        <f t="shared" si="5"/>
        <v>15657150.011765014</v>
      </c>
      <c r="I132" s="12">
        <f t="shared" si="1"/>
        <v>44663152.203940094</v>
      </c>
      <c r="J132" s="12">
        <f t="shared" si="2"/>
        <v>15643102.234784652</v>
      </c>
    </row>
    <row r="133" spans="1:10" x14ac:dyDescent="0.2">
      <c r="A133">
        <v>32</v>
      </c>
      <c r="B133">
        <v>45</v>
      </c>
      <c r="C133" s="6">
        <f t="shared" si="6"/>
        <v>39632.56150057898</v>
      </c>
      <c r="D133" s="7">
        <f t="shared" si="7"/>
        <v>1661.3554539873296</v>
      </c>
      <c r="E133" s="6">
        <v>65843.772204475157</v>
      </c>
      <c r="F133" s="12">
        <f t="shared" si="3"/>
        <v>60306254.438724749</v>
      </c>
      <c r="G133" s="12">
        <f t="shared" si="4"/>
        <v>29006002.192175083</v>
      </c>
      <c r="H133" s="12">
        <f t="shared" si="5"/>
        <v>15657150.011765014</v>
      </c>
      <c r="I133" s="12">
        <f t="shared" si="1"/>
        <v>44663152.203940094</v>
      </c>
      <c r="J133" s="12">
        <f t="shared" si="2"/>
        <v>15643102.234784652</v>
      </c>
    </row>
    <row r="134" spans="1:10" x14ac:dyDescent="0.2">
      <c r="A134">
        <v>33</v>
      </c>
      <c r="B134">
        <v>45</v>
      </c>
      <c r="C134" s="6">
        <f t="shared" si="6"/>
        <v>39632.56150057898</v>
      </c>
      <c r="D134" s="7">
        <f t="shared" si="7"/>
        <v>1661.3554539873296</v>
      </c>
      <c r="E134" s="6">
        <v>65843.772204475157</v>
      </c>
      <c r="F134" s="12">
        <f t="shared" si="3"/>
        <v>60306254.438724749</v>
      </c>
      <c r="G134" s="12">
        <f t="shared" si="4"/>
        <v>29006002.192175083</v>
      </c>
      <c r="H134" s="12">
        <f t="shared" si="5"/>
        <v>15657150.011765014</v>
      </c>
      <c r="I134" s="12">
        <f t="shared" ref="I134:I151" si="8">G134+H134</f>
        <v>44663152.203940094</v>
      </c>
      <c r="J134" s="12">
        <f t="shared" ref="J134:J151" si="9">F134-G134-H134</f>
        <v>15643102.234784652</v>
      </c>
    </row>
    <row r="135" spans="1:10" x14ac:dyDescent="0.2">
      <c r="A135">
        <v>34</v>
      </c>
      <c r="B135">
        <v>45</v>
      </c>
      <c r="C135" s="6">
        <f t="shared" si="6"/>
        <v>39632.56150057898</v>
      </c>
      <c r="D135" s="7">
        <f t="shared" si="7"/>
        <v>1661.3554539873296</v>
      </c>
      <c r="E135" s="6">
        <v>65843.772204475157</v>
      </c>
      <c r="F135" s="12">
        <f t="shared" si="3"/>
        <v>60306254.438724749</v>
      </c>
      <c r="G135" s="12">
        <f t="shared" si="4"/>
        <v>29006002.192175083</v>
      </c>
      <c r="H135" s="12">
        <f t="shared" si="5"/>
        <v>15657150.011765014</v>
      </c>
      <c r="I135" s="12">
        <f t="shared" si="8"/>
        <v>44663152.203940094</v>
      </c>
      <c r="J135" s="12">
        <f t="shared" si="9"/>
        <v>15643102.234784652</v>
      </c>
    </row>
    <row r="136" spans="1:10" x14ac:dyDescent="0.2">
      <c r="A136">
        <v>35</v>
      </c>
      <c r="B136">
        <v>45</v>
      </c>
      <c r="C136" s="6">
        <f t="shared" si="6"/>
        <v>39632.56150057898</v>
      </c>
      <c r="D136" s="7">
        <f t="shared" si="7"/>
        <v>1661.3554539873296</v>
      </c>
      <c r="E136" s="6">
        <v>65843.772204475157</v>
      </c>
      <c r="F136" s="12">
        <f t="shared" si="3"/>
        <v>60306254.438724749</v>
      </c>
      <c r="G136" s="12">
        <f t="shared" si="4"/>
        <v>29006002.192175083</v>
      </c>
      <c r="H136" s="12">
        <f t="shared" si="5"/>
        <v>15657150.011765014</v>
      </c>
      <c r="I136" s="12">
        <f t="shared" si="8"/>
        <v>44663152.203940094</v>
      </c>
      <c r="J136" s="12">
        <f t="shared" si="9"/>
        <v>15643102.234784652</v>
      </c>
    </row>
    <row r="137" spans="1:10" x14ac:dyDescent="0.2">
      <c r="A137">
        <v>36</v>
      </c>
      <c r="B137">
        <v>45</v>
      </c>
      <c r="C137" s="6">
        <f t="shared" si="6"/>
        <v>39632.56150057898</v>
      </c>
      <c r="D137" s="7">
        <f t="shared" si="7"/>
        <v>1661.3554539873296</v>
      </c>
      <c r="E137" s="6">
        <v>65843.772204475157</v>
      </c>
      <c r="F137" s="12">
        <f t="shared" si="3"/>
        <v>60306254.438724749</v>
      </c>
      <c r="G137" s="12">
        <f t="shared" si="4"/>
        <v>29006002.192175083</v>
      </c>
      <c r="H137" s="12">
        <f t="shared" si="5"/>
        <v>15657150.011765014</v>
      </c>
      <c r="I137" s="12">
        <f t="shared" si="8"/>
        <v>44663152.203940094</v>
      </c>
      <c r="J137" s="12">
        <f t="shared" si="9"/>
        <v>15643102.234784652</v>
      </c>
    </row>
    <row r="138" spans="1:10" x14ac:dyDescent="0.2">
      <c r="A138">
        <v>37</v>
      </c>
      <c r="B138">
        <v>45</v>
      </c>
      <c r="C138" s="6">
        <f t="shared" si="6"/>
        <v>39632.56150057898</v>
      </c>
      <c r="D138" s="7">
        <f t="shared" si="7"/>
        <v>1661.3554539873296</v>
      </c>
      <c r="E138" s="6">
        <v>65843.772204475157</v>
      </c>
      <c r="F138" s="12">
        <f t="shared" si="3"/>
        <v>60306254.438724749</v>
      </c>
      <c r="G138" s="12">
        <f t="shared" si="4"/>
        <v>29006002.192175083</v>
      </c>
      <c r="H138" s="12">
        <f t="shared" si="5"/>
        <v>15657150.011765014</v>
      </c>
      <c r="I138" s="12">
        <f t="shared" si="8"/>
        <v>44663152.203940094</v>
      </c>
      <c r="J138" s="12">
        <f t="shared" si="9"/>
        <v>15643102.234784652</v>
      </c>
    </row>
    <row r="139" spans="1:10" x14ac:dyDescent="0.2">
      <c r="A139">
        <v>38</v>
      </c>
      <c r="B139">
        <v>45</v>
      </c>
      <c r="C139" s="6">
        <f t="shared" si="6"/>
        <v>39632.56150057898</v>
      </c>
      <c r="D139" s="7">
        <f t="shared" si="7"/>
        <v>1661.3554539873296</v>
      </c>
      <c r="E139" s="6">
        <v>65843.772204475157</v>
      </c>
      <c r="F139" s="12">
        <f t="shared" si="3"/>
        <v>60306254.438724749</v>
      </c>
      <c r="G139" s="12">
        <f t="shared" si="4"/>
        <v>29006002.192175083</v>
      </c>
      <c r="H139" s="12">
        <f t="shared" si="5"/>
        <v>15657150.011765014</v>
      </c>
      <c r="I139" s="12">
        <f t="shared" si="8"/>
        <v>44663152.203940094</v>
      </c>
      <c r="J139" s="12">
        <f t="shared" si="9"/>
        <v>15643102.234784652</v>
      </c>
    </row>
    <row r="140" spans="1:10" x14ac:dyDescent="0.2">
      <c r="A140">
        <v>39</v>
      </c>
      <c r="B140">
        <v>45</v>
      </c>
      <c r="C140" s="6">
        <f t="shared" si="6"/>
        <v>39632.56150057898</v>
      </c>
      <c r="D140" s="7">
        <f t="shared" si="7"/>
        <v>1661.3554539873296</v>
      </c>
      <c r="E140" s="6">
        <v>65843.772204475157</v>
      </c>
      <c r="F140" s="12">
        <f t="shared" si="3"/>
        <v>60306254.438724749</v>
      </c>
      <c r="G140" s="12">
        <f t="shared" si="4"/>
        <v>29006002.192175083</v>
      </c>
      <c r="H140" s="12">
        <f t="shared" si="5"/>
        <v>15657150.011765014</v>
      </c>
      <c r="I140" s="12">
        <f t="shared" si="8"/>
        <v>44663152.203940094</v>
      </c>
      <c r="J140" s="12">
        <f t="shared" si="9"/>
        <v>15643102.234784652</v>
      </c>
    </row>
    <row r="141" spans="1:10" x14ac:dyDescent="0.2">
      <c r="A141">
        <v>40</v>
      </c>
      <c r="B141">
        <v>45</v>
      </c>
      <c r="C141" s="6">
        <f t="shared" si="6"/>
        <v>39632.56150057898</v>
      </c>
      <c r="D141" s="7">
        <f t="shared" si="7"/>
        <v>1661.3554539873296</v>
      </c>
      <c r="E141" s="6">
        <v>65843.772204475157</v>
      </c>
      <c r="F141" s="12">
        <f t="shared" si="3"/>
        <v>60306254.438724749</v>
      </c>
      <c r="G141" s="12">
        <f t="shared" si="4"/>
        <v>29006002.192175083</v>
      </c>
      <c r="H141" s="12">
        <f t="shared" si="5"/>
        <v>15657150.011765014</v>
      </c>
      <c r="I141" s="12">
        <f t="shared" si="8"/>
        <v>44663152.203940094</v>
      </c>
      <c r="J141" s="12">
        <f t="shared" si="9"/>
        <v>15643102.234784652</v>
      </c>
    </row>
    <row r="142" spans="1:10" x14ac:dyDescent="0.2">
      <c r="A142">
        <v>41</v>
      </c>
      <c r="B142">
        <v>45</v>
      </c>
      <c r="C142" s="6">
        <f t="shared" si="6"/>
        <v>39632.56150057898</v>
      </c>
      <c r="D142" s="7">
        <f t="shared" si="7"/>
        <v>1661.3554539873296</v>
      </c>
      <c r="E142" s="6">
        <v>65843.772204475157</v>
      </c>
      <c r="F142" s="12">
        <f t="shared" si="3"/>
        <v>60306254.438724749</v>
      </c>
      <c r="G142" s="12">
        <f t="shared" si="4"/>
        <v>29006002.192175083</v>
      </c>
      <c r="H142" s="12">
        <f t="shared" si="5"/>
        <v>15657150.011765014</v>
      </c>
      <c r="I142" s="12">
        <f t="shared" si="8"/>
        <v>44663152.203940094</v>
      </c>
      <c r="J142" s="12">
        <f t="shared" si="9"/>
        <v>15643102.234784652</v>
      </c>
    </row>
    <row r="143" spans="1:10" x14ac:dyDescent="0.2">
      <c r="A143">
        <v>42</v>
      </c>
      <c r="B143">
        <v>45</v>
      </c>
      <c r="C143" s="6">
        <f t="shared" si="6"/>
        <v>39632.56150057898</v>
      </c>
      <c r="D143" s="7">
        <f t="shared" si="7"/>
        <v>1661.3554539873296</v>
      </c>
      <c r="E143" s="6">
        <v>65843.772204475157</v>
      </c>
      <c r="F143" s="12">
        <f t="shared" si="3"/>
        <v>60306254.438724749</v>
      </c>
      <c r="G143" s="12">
        <f t="shared" si="4"/>
        <v>29006002.192175083</v>
      </c>
      <c r="H143" s="12">
        <f t="shared" si="5"/>
        <v>15657150.011765014</v>
      </c>
      <c r="I143" s="12">
        <f t="shared" si="8"/>
        <v>44663152.203940094</v>
      </c>
      <c r="J143" s="12">
        <f t="shared" si="9"/>
        <v>15643102.234784652</v>
      </c>
    </row>
    <row r="144" spans="1:10" x14ac:dyDescent="0.2">
      <c r="A144">
        <v>43</v>
      </c>
      <c r="B144">
        <v>45</v>
      </c>
      <c r="C144" s="6">
        <f t="shared" si="6"/>
        <v>39632.56150057898</v>
      </c>
      <c r="D144" s="7">
        <f t="shared" si="7"/>
        <v>1661.3554539873296</v>
      </c>
      <c r="E144" s="6">
        <v>65843.772204475157</v>
      </c>
      <c r="F144" s="12">
        <f t="shared" si="3"/>
        <v>60306254.438724749</v>
      </c>
      <c r="G144" s="12">
        <f t="shared" si="4"/>
        <v>29006002.192175083</v>
      </c>
      <c r="H144" s="12">
        <f t="shared" si="5"/>
        <v>15657150.011765014</v>
      </c>
      <c r="I144" s="12">
        <f t="shared" si="8"/>
        <v>44663152.203940094</v>
      </c>
      <c r="J144" s="12">
        <f t="shared" si="9"/>
        <v>15643102.234784652</v>
      </c>
    </row>
    <row r="145" spans="1:10" x14ac:dyDescent="0.2">
      <c r="A145">
        <v>44</v>
      </c>
      <c r="B145">
        <v>45</v>
      </c>
      <c r="C145" s="6">
        <f t="shared" si="6"/>
        <v>39632.56150057898</v>
      </c>
      <c r="D145" s="7">
        <f t="shared" si="7"/>
        <v>1661.3554539873296</v>
      </c>
      <c r="E145" s="6">
        <v>65843.772204475157</v>
      </c>
      <c r="F145" s="12">
        <f t="shared" si="3"/>
        <v>60306254.438724749</v>
      </c>
      <c r="G145" s="12">
        <f t="shared" si="4"/>
        <v>29006002.192175083</v>
      </c>
      <c r="H145" s="12">
        <f t="shared" si="5"/>
        <v>15657150.011765014</v>
      </c>
      <c r="I145" s="12">
        <f t="shared" si="8"/>
        <v>44663152.203940094</v>
      </c>
      <c r="J145" s="12">
        <f t="shared" si="9"/>
        <v>15643102.234784652</v>
      </c>
    </row>
    <row r="146" spans="1:10" x14ac:dyDescent="0.2">
      <c r="A146">
        <v>45</v>
      </c>
      <c r="B146">
        <v>45</v>
      </c>
      <c r="C146" s="6">
        <f t="shared" si="6"/>
        <v>39632.56150057898</v>
      </c>
      <c r="D146" s="7">
        <f t="shared" si="7"/>
        <v>1661.3554539873296</v>
      </c>
      <c r="E146" s="6">
        <v>65843.772204475157</v>
      </c>
      <c r="F146" s="12">
        <f t="shared" si="3"/>
        <v>60306254.438724749</v>
      </c>
      <c r="G146" s="12">
        <f t="shared" si="4"/>
        <v>29006002.192175083</v>
      </c>
      <c r="H146" s="12">
        <f t="shared" si="5"/>
        <v>15657150.011765014</v>
      </c>
      <c r="I146" s="12">
        <f t="shared" si="8"/>
        <v>44663152.203940094</v>
      </c>
      <c r="J146" s="12">
        <f t="shared" si="9"/>
        <v>15643102.234784652</v>
      </c>
    </row>
    <row r="147" spans="1:10" x14ac:dyDescent="0.2">
      <c r="A147">
        <v>46</v>
      </c>
      <c r="B147">
        <v>45</v>
      </c>
      <c r="C147" s="6">
        <f t="shared" si="6"/>
        <v>39632.56150057898</v>
      </c>
      <c r="D147" s="7">
        <f t="shared" si="7"/>
        <v>1661.3554539873296</v>
      </c>
      <c r="E147" s="6">
        <v>65843.772204475157</v>
      </c>
      <c r="F147" s="12">
        <f t="shared" si="3"/>
        <v>60306254.438724749</v>
      </c>
      <c r="G147" s="12">
        <f t="shared" si="4"/>
        <v>29006002.192175083</v>
      </c>
      <c r="H147" s="12">
        <f t="shared" si="5"/>
        <v>15657150.011765014</v>
      </c>
      <c r="I147" s="12">
        <f t="shared" si="8"/>
        <v>44663152.203940094</v>
      </c>
      <c r="J147" s="12">
        <f t="shared" si="9"/>
        <v>15643102.234784652</v>
      </c>
    </row>
    <row r="148" spans="1:10" x14ac:dyDescent="0.2">
      <c r="A148">
        <v>47</v>
      </c>
      <c r="B148">
        <v>45</v>
      </c>
      <c r="C148" s="6">
        <f t="shared" si="6"/>
        <v>39632.56150057898</v>
      </c>
      <c r="D148" s="7">
        <f t="shared" si="7"/>
        <v>1661.3554539873296</v>
      </c>
      <c r="E148" s="6">
        <v>65843.772204475157</v>
      </c>
      <c r="F148" s="12">
        <f t="shared" si="3"/>
        <v>60306254.438724749</v>
      </c>
      <c r="G148" s="12">
        <f t="shared" si="4"/>
        <v>29006002.192175083</v>
      </c>
      <c r="H148" s="12">
        <f t="shared" si="5"/>
        <v>15657150.011765014</v>
      </c>
      <c r="I148" s="12">
        <f t="shared" si="8"/>
        <v>44663152.203940094</v>
      </c>
      <c r="J148" s="12">
        <f t="shared" si="9"/>
        <v>15643102.234784652</v>
      </c>
    </row>
    <row r="149" spans="1:10" x14ac:dyDescent="0.2">
      <c r="A149">
        <v>48</v>
      </c>
      <c r="B149">
        <v>45</v>
      </c>
      <c r="C149" s="6">
        <f t="shared" si="6"/>
        <v>39632.56150057898</v>
      </c>
      <c r="D149" s="7">
        <f t="shared" si="7"/>
        <v>1661.3554539873296</v>
      </c>
      <c r="E149" s="6">
        <v>65843.772204475157</v>
      </c>
      <c r="F149" s="12">
        <f t="shared" si="3"/>
        <v>60306254.438724749</v>
      </c>
      <c r="G149" s="12">
        <f t="shared" si="4"/>
        <v>29006002.192175083</v>
      </c>
      <c r="H149" s="12">
        <f t="shared" si="5"/>
        <v>15657150.011765014</v>
      </c>
      <c r="I149" s="12">
        <f t="shared" si="8"/>
        <v>44663152.203940094</v>
      </c>
      <c r="J149" s="12">
        <f t="shared" si="9"/>
        <v>15643102.234784652</v>
      </c>
    </row>
    <row r="150" spans="1:10" x14ac:dyDescent="0.2">
      <c r="A150">
        <v>49</v>
      </c>
      <c r="B150">
        <v>45</v>
      </c>
      <c r="C150" s="6">
        <f t="shared" si="6"/>
        <v>39632.56150057898</v>
      </c>
      <c r="D150" s="7">
        <f t="shared" si="7"/>
        <v>1661.3554539873296</v>
      </c>
      <c r="E150" s="6">
        <v>65843.772204475157</v>
      </c>
      <c r="F150" s="12">
        <f t="shared" si="3"/>
        <v>60306254.438724749</v>
      </c>
      <c r="G150" s="12">
        <f t="shared" si="4"/>
        <v>29006002.192175083</v>
      </c>
      <c r="H150" s="12">
        <f t="shared" si="5"/>
        <v>15657150.011765014</v>
      </c>
      <c r="I150" s="12">
        <f t="shared" si="8"/>
        <v>44663152.203940094</v>
      </c>
      <c r="J150" s="12">
        <f t="shared" si="9"/>
        <v>15643102.234784652</v>
      </c>
    </row>
    <row r="151" spans="1:10" x14ac:dyDescent="0.2">
      <c r="A151">
        <v>50</v>
      </c>
      <c r="B151">
        <v>45</v>
      </c>
      <c r="C151" s="6">
        <f t="shared" si="6"/>
        <v>39632.56150057898</v>
      </c>
      <c r="D151" s="7">
        <f t="shared" si="7"/>
        <v>1661.3554539873296</v>
      </c>
      <c r="E151" s="6">
        <v>65843.772204475157</v>
      </c>
      <c r="F151" s="12">
        <f t="shared" si="3"/>
        <v>60306254.438724749</v>
      </c>
      <c r="G151" s="12">
        <f t="shared" si="4"/>
        <v>29006002.192175083</v>
      </c>
      <c r="H151" s="12">
        <f t="shared" si="5"/>
        <v>15657150.011765014</v>
      </c>
      <c r="I151" s="12">
        <f t="shared" si="8"/>
        <v>44663152.203940094</v>
      </c>
      <c r="J151" s="12">
        <f t="shared" si="9"/>
        <v>15643102.234784652</v>
      </c>
    </row>
    <row r="152" spans="1:10" x14ac:dyDescent="0.2">
      <c r="E152" s="13" t="s">
        <v>62</v>
      </c>
      <c r="F152" s="8">
        <f>NPV($B$8,F102:F151)</f>
        <v>1551665694.8549781</v>
      </c>
      <c r="G152" s="13"/>
      <c r="H152" s="8"/>
      <c r="I152" s="12">
        <f>NPV($B$8,I102:I151)</f>
        <v>1149606051.9309239</v>
      </c>
      <c r="J152" s="19">
        <f>NPV($B$8,J102:J151)</f>
        <v>402059642.92405427</v>
      </c>
    </row>
    <row r="153" spans="1:10" x14ac:dyDescent="0.2">
      <c r="G153" s="2">
        <f>AVERAGE(G102:G151)</f>
        <v>29015269.231898971</v>
      </c>
    </row>
    <row r="154" spans="1:10" x14ac:dyDescent="0.2">
      <c r="A154" s="1" t="s">
        <v>25</v>
      </c>
    </row>
    <row r="155" spans="1:10" x14ac:dyDescent="0.2">
      <c r="A155" t="s">
        <v>26</v>
      </c>
      <c r="B155" s="12">
        <f>$B$33</f>
        <v>216080355</v>
      </c>
    </row>
    <row r="156" spans="1:10" x14ac:dyDescent="0.2">
      <c r="A156" t="s">
        <v>95</v>
      </c>
      <c r="B156" s="12">
        <f>ABS($B$34)</f>
        <v>15657150.011765014</v>
      </c>
    </row>
    <row r="157" spans="1:10" x14ac:dyDescent="0.2">
      <c r="A157" t="s">
        <v>94</v>
      </c>
      <c r="B157" s="12">
        <v>17308359</v>
      </c>
    </row>
    <row r="158" spans="1:10" x14ac:dyDescent="0.2">
      <c r="A158" t="s">
        <v>75</v>
      </c>
      <c r="B158" s="12">
        <f>$B$52*$B$58</f>
        <v>11706909.651247585</v>
      </c>
    </row>
    <row r="159" spans="1:10" x14ac:dyDescent="0.2">
      <c r="A159" t="s">
        <v>76</v>
      </c>
      <c r="B159" s="12">
        <f>F152</f>
        <v>1551665694.8549781</v>
      </c>
    </row>
    <row r="160" spans="1:10" x14ac:dyDescent="0.2">
      <c r="A160" t="s">
        <v>28</v>
      </c>
      <c r="B160" s="12">
        <f>I152</f>
        <v>1149606051.9309239</v>
      </c>
    </row>
    <row r="161" spans="1:17" x14ac:dyDescent="0.2">
      <c r="A161" t="s">
        <v>30</v>
      </c>
      <c r="B161" s="12">
        <f>J152</f>
        <v>402059642.92405427</v>
      </c>
    </row>
    <row r="162" spans="1:17" x14ac:dyDescent="0.2">
      <c r="A162" t="s">
        <v>31</v>
      </c>
      <c r="B162" s="5">
        <f>IRR!F55</f>
        <v>3.8624533491027568E-2</v>
      </c>
    </row>
    <row r="165" spans="1:17" x14ac:dyDescent="0.2">
      <c r="A165" s="9" t="s">
        <v>99</v>
      </c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8" spans="1:17" x14ac:dyDescent="0.2">
      <c r="A168" t="s">
        <v>82</v>
      </c>
    </row>
    <row r="170" spans="1:17" x14ac:dyDescent="0.2">
      <c r="A170" t="s">
        <v>42</v>
      </c>
      <c r="B170" s="6">
        <v>73774</v>
      </c>
    </row>
    <row r="171" spans="1:17" x14ac:dyDescent="0.2">
      <c r="A171" t="s">
        <v>83</v>
      </c>
      <c r="B171" s="6">
        <v>54184</v>
      </c>
    </row>
    <row r="172" spans="1:17" x14ac:dyDescent="0.2">
      <c r="A172" t="s">
        <v>84</v>
      </c>
      <c r="B172" s="6">
        <f>((B14/2)/40*B18)/1000</f>
        <v>36887.099499999997</v>
      </c>
    </row>
    <row r="173" spans="1:17" x14ac:dyDescent="0.2">
      <c r="A173" t="s">
        <v>81</v>
      </c>
      <c r="B173" s="7">
        <f>12.13/3</f>
        <v>4.0433333333333339</v>
      </c>
    </row>
    <row r="174" spans="1:17" x14ac:dyDescent="0.2">
      <c r="A174" t="s">
        <v>43</v>
      </c>
      <c r="B174" s="6">
        <f>B172*B173</f>
        <v>149146.83897833334</v>
      </c>
      <c r="C174" s="4" t="s">
        <v>49</v>
      </c>
      <c r="D174" s="4" t="s">
        <v>48</v>
      </c>
      <c r="E174" s="4" t="s">
        <v>47</v>
      </c>
      <c r="F174" s="4" t="s">
        <v>52</v>
      </c>
      <c r="G174" s="4" t="s">
        <v>51</v>
      </c>
      <c r="H174" s="4" t="s">
        <v>50</v>
      </c>
      <c r="I174" s="4" t="s">
        <v>56</v>
      </c>
    </row>
    <row r="175" spans="1:17" x14ac:dyDescent="0.2">
      <c r="A175" t="s">
        <v>44</v>
      </c>
      <c r="B175" s="6">
        <f>I175</f>
        <v>82198.104156546295</v>
      </c>
      <c r="C175" s="6">
        <v>260603</v>
      </c>
      <c r="D175" s="6">
        <v>37175</v>
      </c>
      <c r="E175" s="6">
        <f>C175-D175</f>
        <v>223428</v>
      </c>
      <c r="F175" s="6">
        <f>0.907185*E175*0.5*3.67</f>
        <v>371937.12288029998</v>
      </c>
      <c r="G175" s="7">
        <f>E175/$B$9</f>
        <v>2.1765788935324548</v>
      </c>
      <c r="H175" s="7">
        <f>0.907185*G175*0.5*3.67</f>
        <v>3.6233170926761553</v>
      </c>
      <c r="I175" s="6">
        <f>H175*B12*2</f>
        <v>82198.104156546295</v>
      </c>
    </row>
    <row r="176" spans="1:17" x14ac:dyDescent="0.2">
      <c r="A176" t="s">
        <v>41</v>
      </c>
      <c r="B176" s="6">
        <f>B174-B175</f>
        <v>66948.734821787046</v>
      </c>
    </row>
    <row r="177" spans="1:4" x14ac:dyDescent="0.2">
      <c r="A177" t="s">
        <v>45</v>
      </c>
      <c r="B177" s="2">
        <v>51</v>
      </c>
    </row>
    <row r="178" spans="1:4" x14ac:dyDescent="0.2">
      <c r="A178" t="s">
        <v>79</v>
      </c>
      <c r="B178" s="12">
        <f>B176*B177</f>
        <v>3414385.4759111395</v>
      </c>
    </row>
    <row r="179" spans="1:4" x14ac:dyDescent="0.2">
      <c r="A179" t="s">
        <v>80</v>
      </c>
      <c r="B179" s="2">
        <f>B178/B172</f>
        <v>92.563132428212199</v>
      </c>
    </row>
    <row r="180" spans="1:4" x14ac:dyDescent="0.2">
      <c r="A180" t="s">
        <v>40</v>
      </c>
      <c r="B180">
        <v>0.5</v>
      </c>
    </row>
    <row r="181" spans="1:4" x14ac:dyDescent="0.2">
      <c r="A181" t="s">
        <v>53</v>
      </c>
      <c r="B181" s="2">
        <v>827</v>
      </c>
      <c r="C181" s="2"/>
      <c r="D181" s="2"/>
    </row>
    <row r="182" spans="1:4" x14ac:dyDescent="0.2">
      <c r="A182" t="s">
        <v>54</v>
      </c>
      <c r="B182" s="2">
        <f>B181+B179*B180</f>
        <v>873.28156621410608</v>
      </c>
    </row>
    <row r="183" spans="1:4" x14ac:dyDescent="0.2">
      <c r="A183" t="s">
        <v>57</v>
      </c>
      <c r="B183" s="5">
        <f>(B182-B181)/B181</f>
        <v>5.5963199775218957E-2</v>
      </c>
    </row>
    <row r="184" spans="1:4" x14ac:dyDescent="0.2">
      <c r="A184" t="s">
        <v>59</v>
      </c>
      <c r="B184" s="7">
        <f>1</f>
        <v>1</v>
      </c>
    </row>
    <row r="185" spans="1:4" x14ac:dyDescent="0.2">
      <c r="A185" t="s">
        <v>46</v>
      </c>
      <c r="B185" s="6">
        <f>(1-B183)*B184*B172</f>
        <v>34822.779381553119</v>
      </c>
    </row>
    <row r="186" spans="1:4" x14ac:dyDescent="0.2">
      <c r="A186" t="s">
        <v>58</v>
      </c>
      <c r="B186" s="7">
        <f>B185/(B18/1000)</f>
        <v>1077.477163066224</v>
      </c>
      <c r="D186" s="6"/>
    </row>
    <row r="187" spans="1:4" x14ac:dyDescent="0.2">
      <c r="A187" t="s">
        <v>55</v>
      </c>
      <c r="B187" s="7">
        <f>(B14/2)/B186</f>
        <v>42.371229586045537</v>
      </c>
      <c r="D187" s="6"/>
    </row>
    <row r="188" spans="1:4" x14ac:dyDescent="0.2">
      <c r="B188" s="7"/>
      <c r="D188" s="6"/>
    </row>
    <row r="189" spans="1:4" x14ac:dyDescent="0.2">
      <c r="B189" s="7"/>
      <c r="D189" s="6"/>
    </row>
    <row r="190" spans="1:4" x14ac:dyDescent="0.2">
      <c r="A190" t="s">
        <v>85</v>
      </c>
      <c r="B190" s="7"/>
      <c r="D190" s="6"/>
    </row>
    <row r="191" spans="1:4" x14ac:dyDescent="0.2">
      <c r="B191" s="7"/>
      <c r="C191" s="13" t="s">
        <v>97</v>
      </c>
      <c r="D191" s="6"/>
    </row>
    <row r="192" spans="1:4" x14ac:dyDescent="0.2">
      <c r="A192" t="s">
        <v>8</v>
      </c>
      <c r="B192" s="6">
        <f>(B14/2)/40</f>
        <v>1141.35080625</v>
      </c>
      <c r="C192" s="7">
        <f>B192/2</f>
        <v>570.675403125</v>
      </c>
      <c r="D192" s="6"/>
    </row>
    <row r="193" spans="1:16" x14ac:dyDescent="0.2">
      <c r="A193" t="s">
        <v>96</v>
      </c>
      <c r="B193" s="6">
        <f>(B18/2)*B192/1000</f>
        <v>18443.549749999998</v>
      </c>
      <c r="D193" s="6"/>
    </row>
    <row r="194" spans="1:16" x14ac:dyDescent="0.2">
      <c r="A194" t="s">
        <v>86</v>
      </c>
      <c r="B194" s="14" t="s">
        <v>87</v>
      </c>
      <c r="D194" s="6"/>
    </row>
    <row r="195" spans="1:16" x14ac:dyDescent="0.2">
      <c r="A195" t="s">
        <v>88</v>
      </c>
      <c r="B195" s="2">
        <f>B21</f>
        <v>827</v>
      </c>
      <c r="D195" s="6"/>
    </row>
    <row r="196" spans="1:16" x14ac:dyDescent="0.2">
      <c r="A196" t="s">
        <v>90</v>
      </c>
      <c r="B196" s="12">
        <v>5139476.6151169054</v>
      </c>
      <c r="D196" s="6"/>
    </row>
    <row r="198" spans="1:16" x14ac:dyDescent="0.2">
      <c r="B198" s="1"/>
    </row>
    <row r="199" spans="1:16" x14ac:dyDescent="0.2">
      <c r="A199" s="1" t="s">
        <v>77</v>
      </c>
      <c r="B199" s="15" t="s">
        <v>89</v>
      </c>
      <c r="C199" s="16"/>
      <c r="D199" s="16"/>
      <c r="E199" s="16"/>
      <c r="F199" s="16"/>
      <c r="G199" s="16"/>
      <c r="H199" s="18" t="s">
        <v>91</v>
      </c>
      <c r="I199" s="18"/>
      <c r="J199" s="18"/>
      <c r="K199" s="18"/>
      <c r="L199" s="17" t="s">
        <v>92</v>
      </c>
      <c r="M199" s="17"/>
      <c r="N199" s="17"/>
    </row>
    <row r="200" spans="1:16" x14ac:dyDescent="0.2">
      <c r="A200" s="1"/>
      <c r="B200" s="4" t="s">
        <v>60</v>
      </c>
      <c r="C200" s="4" t="s">
        <v>35</v>
      </c>
      <c r="D200" s="4" t="s">
        <v>36</v>
      </c>
      <c r="E200" s="4" t="s">
        <v>37</v>
      </c>
      <c r="F200" s="4" t="s">
        <v>38</v>
      </c>
      <c r="G200" s="4" t="s">
        <v>73</v>
      </c>
      <c r="H200" s="4" t="s">
        <v>37</v>
      </c>
      <c r="I200" s="4" t="s">
        <v>38</v>
      </c>
      <c r="J200" s="4" t="s">
        <v>86</v>
      </c>
      <c r="K200" s="4" t="s">
        <v>23</v>
      </c>
      <c r="L200" s="4" t="s">
        <v>93</v>
      </c>
      <c r="M200" s="4" t="s">
        <v>61</v>
      </c>
      <c r="N200" s="4" t="s">
        <v>74</v>
      </c>
    </row>
    <row r="201" spans="1:16" x14ac:dyDescent="0.2">
      <c r="A201" s="4" t="s">
        <v>34</v>
      </c>
      <c r="B201">
        <v>40</v>
      </c>
      <c r="C201" s="6">
        <f>B18</f>
        <v>32318.809692872201</v>
      </c>
      <c r="D201" s="7">
        <f>B186</f>
        <v>1077.477163066224</v>
      </c>
      <c r="E201" s="6">
        <f>C201*D201/1000</f>
        <v>34822.779381553119</v>
      </c>
      <c r="F201" s="12">
        <f>E201*$B$55</f>
        <v>31894153.742072344</v>
      </c>
      <c r="G201" s="12">
        <f>SUM($B$22:$B$25)*D201+SUM($B$26:$B$29)*E201+$B$179*E201</f>
        <v>12458695.595002303</v>
      </c>
      <c r="H201" s="6">
        <f>B193</f>
        <v>18443.549749999998</v>
      </c>
      <c r="I201" s="12">
        <f>H201*$B$195</f>
        <v>15252815.643249998</v>
      </c>
      <c r="J201" s="12">
        <v>12094156.275567425</v>
      </c>
      <c r="K201" s="12">
        <f>SUM($B$22:$B$25)*$B$192+SUM($B$26:$B$29)*H201</f>
        <v>5139476.6151169054</v>
      </c>
      <c r="L201" s="12">
        <f>ABS($B$34)</f>
        <v>15657150.011765014</v>
      </c>
      <c r="M201" s="12">
        <f>G201+K201+L201</f>
        <v>33255322.221884225</v>
      </c>
      <c r="N201" s="12">
        <f>F201+I201+J201-M201</f>
        <v>25985803.439005543</v>
      </c>
    </row>
    <row r="202" spans="1:16" x14ac:dyDescent="0.2">
      <c r="A202">
        <v>1</v>
      </c>
      <c r="B202">
        <v>41</v>
      </c>
      <c r="C202" s="6">
        <f>(79355*LN(B202)-252537)*0.8</f>
        <v>33722.809082656306</v>
      </c>
      <c r="D202" s="7">
        <f>E202*1000/C202</f>
        <v>1032.6179914668655</v>
      </c>
      <c r="E202" s="6">
        <v>34822.779381553119</v>
      </c>
      <c r="F202" s="12">
        <f t="shared" ref="F202:F250" si="10">E202*$B$55</f>
        <v>31894153.742072344</v>
      </c>
      <c r="G202" s="12">
        <f t="shared" ref="G202:G250" si="11">SUM($B$22:$B$25)*D202+SUM($B$26:$B$29)*E202+$B$179*E202</f>
        <v>12439197.7803625</v>
      </c>
      <c r="H202" s="6">
        <v>18443.549749999998</v>
      </c>
      <c r="I202" s="12">
        <f t="shared" ref="I202:I250" si="12">H202*$B$195</f>
        <v>15252815.643249998</v>
      </c>
      <c r="J202" s="12">
        <v>13077762.323617725</v>
      </c>
      <c r="K202" s="12">
        <f t="shared" ref="K202:K250" si="13">SUM($B$22:$B$25)*$B$192+SUM($B$26:$B$29)*H202</f>
        <v>5139476.6151169054</v>
      </c>
      <c r="L202" s="12">
        <f t="shared" ref="L202:L250" si="14">ABS($B$34)</f>
        <v>15657150.011765014</v>
      </c>
      <c r="M202" s="12">
        <f t="shared" ref="M202:M250" si="15">G202+K202+L202</f>
        <v>33235824.407244418</v>
      </c>
      <c r="N202" s="12">
        <f t="shared" ref="N202:N250" si="16">F202+I202+J202-M202</f>
        <v>26988907.301695649</v>
      </c>
    </row>
    <row r="203" spans="1:16" x14ac:dyDescent="0.2">
      <c r="A203">
        <v>2</v>
      </c>
      <c r="B203">
        <v>42</v>
      </c>
      <c r="C203" s="6">
        <f t="shared" ref="C203:C250" si="17">(79355*LN(B203)-252537)*0.8</f>
        <v>35252.618047101379</v>
      </c>
      <c r="D203" s="7">
        <f t="shared" ref="D203:D250" si="18">E203*1000/C203</f>
        <v>987.80690089530526</v>
      </c>
      <c r="E203" s="6">
        <v>34822.779381553119</v>
      </c>
      <c r="F203" s="12">
        <f t="shared" si="10"/>
        <v>31894153.742072344</v>
      </c>
      <c r="G203" s="12">
        <f t="shared" si="11"/>
        <v>12419720.863901025</v>
      </c>
      <c r="H203" s="6">
        <v>18443.549749999998</v>
      </c>
      <c r="I203" s="12">
        <f t="shared" si="12"/>
        <v>15252815.643249998</v>
      </c>
      <c r="J203" s="12">
        <v>13910729.576036209</v>
      </c>
      <c r="K203" s="12">
        <f t="shared" si="13"/>
        <v>5139476.6151169054</v>
      </c>
      <c r="L203" s="12">
        <f t="shared" si="14"/>
        <v>15657150.011765014</v>
      </c>
      <c r="M203" s="12">
        <f t="shared" si="15"/>
        <v>33216347.490782943</v>
      </c>
      <c r="N203" s="12">
        <f t="shared" si="16"/>
        <v>27841351.470575605</v>
      </c>
      <c r="P203" s="12"/>
    </row>
    <row r="204" spans="1:16" x14ac:dyDescent="0.2">
      <c r="A204">
        <v>3</v>
      </c>
      <c r="B204">
        <v>43</v>
      </c>
      <c r="C204" s="6">
        <f t="shared" si="17"/>
        <v>36746.428144690115</v>
      </c>
      <c r="D204" s="7">
        <f t="shared" si="18"/>
        <v>947.65072796837364</v>
      </c>
      <c r="E204" s="6">
        <v>34822.779381553119</v>
      </c>
      <c r="F204" s="12">
        <f t="shared" si="10"/>
        <v>31894153.742072344</v>
      </c>
      <c r="G204" s="12">
        <f t="shared" si="11"/>
        <v>12402267.184119198</v>
      </c>
      <c r="H204" s="6">
        <v>18443.549749999998</v>
      </c>
      <c r="I204" s="12">
        <f t="shared" si="12"/>
        <v>15252815.643249998</v>
      </c>
      <c r="J204" s="12">
        <v>9165733.145574769</v>
      </c>
      <c r="K204" s="12">
        <f t="shared" si="13"/>
        <v>5139476.6151169054</v>
      </c>
      <c r="L204" s="12">
        <f t="shared" si="14"/>
        <v>15657150.011765014</v>
      </c>
      <c r="M204" s="12">
        <f t="shared" si="15"/>
        <v>33198893.811001118</v>
      </c>
      <c r="N204" s="12">
        <f t="shared" si="16"/>
        <v>23113808.719895992</v>
      </c>
    </row>
    <row r="205" spans="1:16" x14ac:dyDescent="0.2">
      <c r="A205">
        <v>4</v>
      </c>
      <c r="B205">
        <v>44</v>
      </c>
      <c r="C205" s="6">
        <f t="shared" si="17"/>
        <v>38205.894719666896</v>
      </c>
      <c r="D205" s="7">
        <f t="shared" si="18"/>
        <v>911.4504355168973</v>
      </c>
      <c r="E205" s="6">
        <v>34822.779381553119</v>
      </c>
      <c r="F205" s="12">
        <f t="shared" si="10"/>
        <v>31894153.742072344</v>
      </c>
      <c r="G205" s="12">
        <f t="shared" si="11"/>
        <v>12386532.908006627</v>
      </c>
      <c r="H205" s="6">
        <v>18443.549749999998</v>
      </c>
      <c r="I205" s="12">
        <f t="shared" si="12"/>
        <v>15252815.643249998</v>
      </c>
      <c r="J205" s="12">
        <v>0</v>
      </c>
      <c r="K205" s="12">
        <f t="shared" si="13"/>
        <v>5139476.6151169054</v>
      </c>
      <c r="L205" s="12">
        <f t="shared" si="14"/>
        <v>15657150.011765014</v>
      </c>
      <c r="M205" s="12">
        <f t="shared" si="15"/>
        <v>33183159.534888547</v>
      </c>
      <c r="N205" s="12">
        <f t="shared" si="16"/>
        <v>13963809.850433793</v>
      </c>
    </row>
    <row r="206" spans="1:16" x14ac:dyDescent="0.2">
      <c r="A206">
        <v>5</v>
      </c>
      <c r="B206">
        <v>44</v>
      </c>
      <c r="C206" s="6">
        <f t="shared" si="17"/>
        <v>38205.894719666896</v>
      </c>
      <c r="D206" s="7">
        <f t="shared" si="18"/>
        <v>911.4504355168973</v>
      </c>
      <c r="E206" s="6">
        <v>34822.779381553119</v>
      </c>
      <c r="F206" s="12">
        <f t="shared" si="10"/>
        <v>31894153.742072344</v>
      </c>
      <c r="G206" s="12">
        <f t="shared" si="11"/>
        <v>12386532.908006627</v>
      </c>
      <c r="H206" s="6">
        <v>18443.549749999998</v>
      </c>
      <c r="I206" s="12">
        <f t="shared" si="12"/>
        <v>15252815.643249998</v>
      </c>
      <c r="J206" s="12">
        <v>425931.93804670387</v>
      </c>
      <c r="K206" s="12">
        <f t="shared" si="13"/>
        <v>5139476.6151169054</v>
      </c>
      <c r="L206" s="12">
        <f t="shared" si="14"/>
        <v>15657150.011765014</v>
      </c>
      <c r="M206" s="12">
        <f t="shared" si="15"/>
        <v>33183159.534888547</v>
      </c>
      <c r="N206" s="12">
        <f t="shared" si="16"/>
        <v>14389741.788480494</v>
      </c>
    </row>
    <row r="207" spans="1:16" x14ac:dyDescent="0.2">
      <c r="A207">
        <v>6</v>
      </c>
      <c r="B207">
        <v>44</v>
      </c>
      <c r="C207" s="6">
        <f t="shared" si="17"/>
        <v>38205.894719666896</v>
      </c>
      <c r="D207" s="7">
        <f t="shared" si="18"/>
        <v>911.4504355168973</v>
      </c>
      <c r="E207" s="6">
        <v>34822.779381553119</v>
      </c>
      <c r="F207" s="12">
        <f t="shared" si="10"/>
        <v>31894153.742072344</v>
      </c>
      <c r="G207" s="12">
        <f t="shared" si="11"/>
        <v>12386532.908006627</v>
      </c>
      <c r="H207" s="6">
        <v>18443.549749999998</v>
      </c>
      <c r="I207" s="12">
        <f t="shared" si="12"/>
        <v>15252815.643249998</v>
      </c>
      <c r="J207" s="12">
        <v>0</v>
      </c>
      <c r="K207" s="12">
        <f t="shared" si="13"/>
        <v>5139476.6151169054</v>
      </c>
      <c r="L207" s="12">
        <f t="shared" si="14"/>
        <v>15657150.011765014</v>
      </c>
      <c r="M207" s="12">
        <f t="shared" si="15"/>
        <v>33183159.534888547</v>
      </c>
      <c r="N207" s="12">
        <f t="shared" si="16"/>
        <v>13963809.850433793</v>
      </c>
    </row>
    <row r="208" spans="1:16" x14ac:dyDescent="0.2">
      <c r="A208">
        <v>7</v>
      </c>
      <c r="B208">
        <v>44</v>
      </c>
      <c r="C208" s="6">
        <f t="shared" si="17"/>
        <v>38205.894719666896</v>
      </c>
      <c r="D208" s="7">
        <f t="shared" si="18"/>
        <v>911.4504355168973</v>
      </c>
      <c r="E208" s="6">
        <v>34822.779381553119</v>
      </c>
      <c r="F208" s="12">
        <f t="shared" si="10"/>
        <v>31894153.742072344</v>
      </c>
      <c r="G208" s="12">
        <f t="shared" si="11"/>
        <v>12386532.908006627</v>
      </c>
      <c r="H208" s="6">
        <v>18443.549749999998</v>
      </c>
      <c r="I208" s="12">
        <f t="shared" si="12"/>
        <v>15252815.643249998</v>
      </c>
      <c r="J208" s="12">
        <v>507503.42974720476</v>
      </c>
      <c r="K208" s="12">
        <f t="shared" si="13"/>
        <v>5139476.6151169054</v>
      </c>
      <c r="L208" s="12">
        <f t="shared" si="14"/>
        <v>15657150.011765014</v>
      </c>
      <c r="M208" s="12">
        <f t="shared" si="15"/>
        <v>33183159.534888547</v>
      </c>
      <c r="N208" s="12">
        <f t="shared" si="16"/>
        <v>14471313.280180994</v>
      </c>
    </row>
    <row r="209" spans="1:14" x14ac:dyDescent="0.2">
      <c r="A209">
        <v>8</v>
      </c>
      <c r="B209">
        <v>44</v>
      </c>
      <c r="C209" s="6">
        <f t="shared" si="17"/>
        <v>38205.894719666896</v>
      </c>
      <c r="D209" s="7">
        <f t="shared" si="18"/>
        <v>911.4504355168973</v>
      </c>
      <c r="E209" s="6">
        <v>34822.779381553119</v>
      </c>
      <c r="F209" s="12">
        <f t="shared" si="10"/>
        <v>31894153.742072344</v>
      </c>
      <c r="G209" s="12">
        <f t="shared" si="11"/>
        <v>12386532.908006627</v>
      </c>
      <c r="H209" s="6">
        <v>18443.549749999998</v>
      </c>
      <c r="I209" s="12">
        <f t="shared" si="12"/>
        <v>15252815.643249998</v>
      </c>
      <c r="J209" s="12">
        <v>0</v>
      </c>
      <c r="K209" s="12">
        <f t="shared" si="13"/>
        <v>5139476.6151169054</v>
      </c>
      <c r="L209" s="12">
        <f t="shared" si="14"/>
        <v>15657150.011765014</v>
      </c>
      <c r="M209" s="12">
        <f t="shared" si="15"/>
        <v>33183159.534888547</v>
      </c>
      <c r="N209" s="12">
        <f t="shared" si="16"/>
        <v>13963809.850433793</v>
      </c>
    </row>
    <row r="210" spans="1:14" x14ac:dyDescent="0.2">
      <c r="A210">
        <v>9</v>
      </c>
      <c r="B210">
        <v>44</v>
      </c>
      <c r="C210" s="6">
        <f t="shared" si="17"/>
        <v>38205.894719666896</v>
      </c>
      <c r="D210" s="7">
        <f t="shared" si="18"/>
        <v>911.4504355168973</v>
      </c>
      <c r="E210" s="6">
        <v>34822.779381553119</v>
      </c>
      <c r="F210" s="12">
        <f t="shared" si="10"/>
        <v>31894153.742072344</v>
      </c>
      <c r="G210" s="12">
        <f t="shared" si="11"/>
        <v>12386532.908006627</v>
      </c>
      <c r="H210" s="6">
        <v>18443.549749999998</v>
      </c>
      <c r="I210" s="12">
        <f t="shared" si="12"/>
        <v>15252815.643249998</v>
      </c>
      <c r="J210" s="12">
        <v>0</v>
      </c>
      <c r="K210" s="12">
        <f t="shared" si="13"/>
        <v>5139476.6151169054</v>
      </c>
      <c r="L210" s="12">
        <f t="shared" si="14"/>
        <v>15657150.011765014</v>
      </c>
      <c r="M210" s="12">
        <f t="shared" si="15"/>
        <v>33183159.534888547</v>
      </c>
      <c r="N210" s="12">
        <f t="shared" si="16"/>
        <v>13963809.850433793</v>
      </c>
    </row>
    <row r="211" spans="1:14" x14ac:dyDescent="0.2">
      <c r="A211">
        <v>10</v>
      </c>
      <c r="B211">
        <v>44</v>
      </c>
      <c r="C211" s="6">
        <f t="shared" si="17"/>
        <v>38205.894719666896</v>
      </c>
      <c r="D211" s="7">
        <f t="shared" si="18"/>
        <v>911.4504355168973</v>
      </c>
      <c r="E211" s="6">
        <v>34822.779381553119</v>
      </c>
      <c r="F211" s="12">
        <f t="shared" si="10"/>
        <v>31894153.742072344</v>
      </c>
      <c r="G211" s="12">
        <f t="shared" si="11"/>
        <v>12386532.908006627</v>
      </c>
      <c r="H211" s="6">
        <v>18443.549749999998</v>
      </c>
      <c r="I211" s="12">
        <f t="shared" si="12"/>
        <v>15252815.643249998</v>
      </c>
      <c r="J211" s="12">
        <v>766579.54304300668</v>
      </c>
      <c r="K211" s="12">
        <f t="shared" si="13"/>
        <v>5139476.6151169054</v>
      </c>
      <c r="L211" s="12">
        <f t="shared" si="14"/>
        <v>15657150.011765014</v>
      </c>
      <c r="M211" s="12">
        <f t="shared" si="15"/>
        <v>33183159.534888547</v>
      </c>
      <c r="N211" s="12">
        <f t="shared" si="16"/>
        <v>14730389.393476803</v>
      </c>
    </row>
    <row r="212" spans="1:14" x14ac:dyDescent="0.2">
      <c r="A212">
        <v>11</v>
      </c>
      <c r="B212">
        <v>44</v>
      </c>
      <c r="C212" s="6">
        <f t="shared" si="17"/>
        <v>38205.894719666896</v>
      </c>
      <c r="D212" s="7">
        <f t="shared" si="18"/>
        <v>911.4504355168973</v>
      </c>
      <c r="E212" s="6">
        <v>34822.779381553119</v>
      </c>
      <c r="F212" s="12">
        <f t="shared" si="10"/>
        <v>31894153.742072344</v>
      </c>
      <c r="G212" s="12">
        <f t="shared" si="11"/>
        <v>12386532.908006627</v>
      </c>
      <c r="H212" s="6">
        <v>18443.549749999998</v>
      </c>
      <c r="I212" s="12">
        <f t="shared" si="12"/>
        <v>15252815.643249998</v>
      </c>
      <c r="J212" s="12">
        <v>0</v>
      </c>
      <c r="K212" s="12">
        <f t="shared" si="13"/>
        <v>5139476.6151169054</v>
      </c>
      <c r="L212" s="12">
        <f t="shared" si="14"/>
        <v>15657150.011765014</v>
      </c>
      <c r="M212" s="12">
        <f t="shared" si="15"/>
        <v>33183159.534888547</v>
      </c>
      <c r="N212" s="12">
        <f t="shared" si="16"/>
        <v>13963809.850433793</v>
      </c>
    </row>
    <row r="213" spans="1:14" x14ac:dyDescent="0.2">
      <c r="A213">
        <v>12</v>
      </c>
      <c r="B213">
        <v>44</v>
      </c>
      <c r="C213" s="6">
        <f t="shared" si="17"/>
        <v>38205.894719666896</v>
      </c>
      <c r="D213" s="7">
        <f t="shared" si="18"/>
        <v>911.4504355168973</v>
      </c>
      <c r="E213" s="6">
        <v>34822.779381553119</v>
      </c>
      <c r="F213" s="12">
        <f t="shared" si="10"/>
        <v>31894153.742072344</v>
      </c>
      <c r="G213" s="12">
        <f t="shared" si="11"/>
        <v>12386532.908006627</v>
      </c>
      <c r="H213" s="6">
        <v>18443.549749999998</v>
      </c>
      <c r="I213" s="12">
        <f t="shared" si="12"/>
        <v>15252815.643249998</v>
      </c>
      <c r="J213" s="12">
        <v>574779.05593990104</v>
      </c>
      <c r="K213" s="12">
        <f t="shared" si="13"/>
        <v>5139476.6151169054</v>
      </c>
      <c r="L213" s="12">
        <f t="shared" si="14"/>
        <v>15657150.011765014</v>
      </c>
      <c r="M213" s="12">
        <f t="shared" si="15"/>
        <v>33183159.534888547</v>
      </c>
      <c r="N213" s="12">
        <f t="shared" si="16"/>
        <v>14538588.906373691</v>
      </c>
    </row>
    <row r="214" spans="1:14" x14ac:dyDescent="0.2">
      <c r="A214">
        <v>13</v>
      </c>
      <c r="B214">
        <v>44</v>
      </c>
      <c r="C214" s="6">
        <f t="shared" si="17"/>
        <v>38205.894719666896</v>
      </c>
      <c r="D214" s="7">
        <f t="shared" si="18"/>
        <v>911.4504355168973</v>
      </c>
      <c r="E214" s="6">
        <v>34822.779381553119</v>
      </c>
      <c r="F214" s="12">
        <f t="shared" si="10"/>
        <v>31894153.742072344</v>
      </c>
      <c r="G214" s="12">
        <f t="shared" si="11"/>
        <v>12386532.908006627</v>
      </c>
      <c r="H214" s="6">
        <v>18443.549749999998</v>
      </c>
      <c r="I214" s="12">
        <f t="shared" si="12"/>
        <v>15252815.643249998</v>
      </c>
      <c r="J214" s="12">
        <v>0</v>
      </c>
      <c r="K214" s="12">
        <f t="shared" si="13"/>
        <v>5139476.6151169054</v>
      </c>
      <c r="L214" s="12">
        <f t="shared" si="14"/>
        <v>15657150.011765014</v>
      </c>
      <c r="M214" s="12">
        <f t="shared" si="15"/>
        <v>33183159.534888547</v>
      </c>
      <c r="N214" s="12">
        <f t="shared" si="16"/>
        <v>13963809.850433793</v>
      </c>
    </row>
    <row r="215" spans="1:14" x14ac:dyDescent="0.2">
      <c r="A215">
        <v>14</v>
      </c>
      <c r="B215">
        <v>44</v>
      </c>
      <c r="C215" s="6">
        <f t="shared" si="17"/>
        <v>38205.894719666896</v>
      </c>
      <c r="D215" s="7">
        <f t="shared" si="18"/>
        <v>911.4504355168973</v>
      </c>
      <c r="E215" s="6">
        <v>34822.779381553119</v>
      </c>
      <c r="F215" s="12">
        <f t="shared" si="10"/>
        <v>31894153.742072344</v>
      </c>
      <c r="G215" s="12">
        <f t="shared" si="11"/>
        <v>12386532.908006627</v>
      </c>
      <c r="H215" s="6">
        <v>18443.549749999998</v>
      </c>
      <c r="I215" s="12">
        <f t="shared" si="12"/>
        <v>15252815.643249998</v>
      </c>
      <c r="J215" s="12">
        <v>0</v>
      </c>
      <c r="K215" s="12">
        <f t="shared" si="13"/>
        <v>5139476.6151169054</v>
      </c>
      <c r="L215" s="12">
        <f t="shared" si="14"/>
        <v>15657150.011765014</v>
      </c>
      <c r="M215" s="12">
        <f t="shared" si="15"/>
        <v>33183159.534888547</v>
      </c>
      <c r="N215" s="12">
        <f t="shared" si="16"/>
        <v>13963809.850433793</v>
      </c>
    </row>
    <row r="216" spans="1:14" x14ac:dyDescent="0.2">
      <c r="A216">
        <v>15</v>
      </c>
      <c r="B216">
        <v>44</v>
      </c>
      <c r="C216" s="6">
        <f t="shared" si="17"/>
        <v>38205.894719666896</v>
      </c>
      <c r="D216" s="7">
        <f t="shared" si="18"/>
        <v>911.4504355168973</v>
      </c>
      <c r="E216" s="6">
        <v>34822.779381553119</v>
      </c>
      <c r="F216" s="12">
        <f t="shared" si="10"/>
        <v>31894153.742072344</v>
      </c>
      <c r="G216" s="12">
        <f t="shared" si="11"/>
        <v>12386532.908006627</v>
      </c>
      <c r="H216" s="6">
        <v>18443.549749999998</v>
      </c>
      <c r="I216" s="12">
        <f t="shared" si="12"/>
        <v>15252815.643249998</v>
      </c>
      <c r="J216" s="12">
        <v>872575.15272934176</v>
      </c>
      <c r="K216" s="12">
        <f t="shared" si="13"/>
        <v>5139476.6151169054</v>
      </c>
      <c r="L216" s="12">
        <f t="shared" si="14"/>
        <v>15657150.011765014</v>
      </c>
      <c r="M216" s="12">
        <f t="shared" si="15"/>
        <v>33183159.534888547</v>
      </c>
      <c r="N216" s="12">
        <f t="shared" si="16"/>
        <v>14836385.003163133</v>
      </c>
    </row>
    <row r="217" spans="1:14" x14ac:dyDescent="0.2">
      <c r="A217">
        <v>16</v>
      </c>
      <c r="B217">
        <v>44</v>
      </c>
      <c r="C217" s="6">
        <f t="shared" si="17"/>
        <v>38205.894719666896</v>
      </c>
      <c r="D217" s="7">
        <f t="shared" si="18"/>
        <v>911.4504355168973</v>
      </c>
      <c r="E217" s="6">
        <v>34822.779381553119</v>
      </c>
      <c r="F217" s="12">
        <f t="shared" si="10"/>
        <v>31894153.742072344</v>
      </c>
      <c r="G217" s="12">
        <f t="shared" si="11"/>
        <v>12386532.908006627</v>
      </c>
      <c r="H217" s="6">
        <v>18443.549749999998</v>
      </c>
      <c r="I217" s="12">
        <f t="shared" si="12"/>
        <v>15252815.643249998</v>
      </c>
      <c r="J217" s="12">
        <v>0</v>
      </c>
      <c r="K217" s="12">
        <f t="shared" si="13"/>
        <v>5139476.6151169054</v>
      </c>
      <c r="L217" s="12">
        <f t="shared" si="14"/>
        <v>15657150.011765014</v>
      </c>
      <c r="M217" s="12">
        <f t="shared" si="15"/>
        <v>33183159.534888547</v>
      </c>
      <c r="N217" s="12">
        <f t="shared" si="16"/>
        <v>13963809.850433793</v>
      </c>
    </row>
    <row r="218" spans="1:14" x14ac:dyDescent="0.2">
      <c r="A218">
        <v>17</v>
      </c>
      <c r="B218">
        <v>44</v>
      </c>
      <c r="C218" s="6">
        <f t="shared" si="17"/>
        <v>38205.894719666896</v>
      </c>
      <c r="D218" s="7">
        <f t="shared" si="18"/>
        <v>911.4504355168973</v>
      </c>
      <c r="E218" s="6">
        <v>34822.779381553119</v>
      </c>
      <c r="F218" s="12">
        <f t="shared" si="10"/>
        <v>31894153.742072344</v>
      </c>
      <c r="G218" s="12">
        <f t="shared" si="11"/>
        <v>12386532.908006627</v>
      </c>
      <c r="H218" s="6">
        <v>18443.549749999998</v>
      </c>
      <c r="I218" s="12">
        <f t="shared" si="12"/>
        <v>15252815.643249998</v>
      </c>
      <c r="J218" s="12">
        <v>641003.66527434625</v>
      </c>
      <c r="K218" s="12">
        <f t="shared" si="13"/>
        <v>5139476.6151169054</v>
      </c>
      <c r="L218" s="12">
        <f t="shared" si="14"/>
        <v>15657150.011765014</v>
      </c>
      <c r="M218" s="12">
        <f t="shared" si="15"/>
        <v>33183159.534888547</v>
      </c>
      <c r="N218" s="12">
        <f t="shared" si="16"/>
        <v>14604813.515708137</v>
      </c>
    </row>
    <row r="219" spans="1:14" x14ac:dyDescent="0.2">
      <c r="A219">
        <v>18</v>
      </c>
      <c r="B219">
        <v>44</v>
      </c>
      <c r="C219" s="6">
        <f t="shared" si="17"/>
        <v>38205.894719666896</v>
      </c>
      <c r="D219" s="7">
        <f t="shared" si="18"/>
        <v>911.4504355168973</v>
      </c>
      <c r="E219" s="6">
        <v>34822.779381553119</v>
      </c>
      <c r="F219" s="12">
        <f t="shared" si="10"/>
        <v>31894153.742072344</v>
      </c>
      <c r="G219" s="12">
        <f t="shared" si="11"/>
        <v>12386532.908006627</v>
      </c>
      <c r="H219" s="6">
        <v>18443.549749999998</v>
      </c>
      <c r="I219" s="12">
        <f t="shared" si="12"/>
        <v>15252815.643249998</v>
      </c>
      <c r="J219" s="12">
        <v>0</v>
      </c>
      <c r="K219" s="12">
        <f t="shared" si="13"/>
        <v>5139476.6151169054</v>
      </c>
      <c r="L219" s="12">
        <f t="shared" si="14"/>
        <v>15657150.011765014</v>
      </c>
      <c r="M219" s="12">
        <f t="shared" si="15"/>
        <v>33183159.534888547</v>
      </c>
      <c r="N219" s="12">
        <f t="shared" si="16"/>
        <v>13963809.850433793</v>
      </c>
    </row>
    <row r="220" spans="1:14" x14ac:dyDescent="0.2">
      <c r="A220">
        <v>19</v>
      </c>
      <c r="B220">
        <v>44</v>
      </c>
      <c r="C220" s="6">
        <f t="shared" si="17"/>
        <v>38205.894719666896</v>
      </c>
      <c r="D220" s="7">
        <f t="shared" si="18"/>
        <v>911.4504355168973</v>
      </c>
      <c r="E220" s="6">
        <v>34822.779381553119</v>
      </c>
      <c r="F220" s="12">
        <f t="shared" si="10"/>
        <v>31894153.742072344</v>
      </c>
      <c r="G220" s="12">
        <f t="shared" si="11"/>
        <v>12386532.908006627</v>
      </c>
      <c r="H220" s="6">
        <v>18443.549749999998</v>
      </c>
      <c r="I220" s="12">
        <f t="shared" si="12"/>
        <v>15252815.643249998</v>
      </c>
      <c r="J220" s="12">
        <v>0</v>
      </c>
      <c r="K220" s="12">
        <f t="shared" si="13"/>
        <v>5139476.6151169054</v>
      </c>
      <c r="L220" s="12">
        <f t="shared" si="14"/>
        <v>15657150.011765014</v>
      </c>
      <c r="M220" s="12">
        <f t="shared" si="15"/>
        <v>33183159.534888547</v>
      </c>
      <c r="N220" s="12">
        <f t="shared" si="16"/>
        <v>13963809.850433793</v>
      </c>
    </row>
    <row r="221" spans="1:14" x14ac:dyDescent="0.2">
      <c r="A221">
        <v>20</v>
      </c>
      <c r="B221">
        <v>44</v>
      </c>
      <c r="C221" s="6">
        <f t="shared" si="17"/>
        <v>38205.894719666896</v>
      </c>
      <c r="D221" s="7">
        <f t="shared" si="18"/>
        <v>911.4504355168973</v>
      </c>
      <c r="E221" s="6">
        <v>34822.779381553119</v>
      </c>
      <c r="F221" s="12">
        <f t="shared" si="10"/>
        <v>31894153.742072344</v>
      </c>
      <c r="G221" s="12">
        <f t="shared" si="11"/>
        <v>12386532.908006627</v>
      </c>
      <c r="H221" s="6">
        <v>18443.549749999998</v>
      </c>
      <c r="I221" s="12">
        <f t="shared" si="12"/>
        <v>15252815.643249998</v>
      </c>
      <c r="J221" s="12">
        <v>-60000</v>
      </c>
      <c r="K221" s="12">
        <f t="shared" si="13"/>
        <v>5139476.6151169054</v>
      </c>
      <c r="L221" s="12">
        <f t="shared" si="14"/>
        <v>15657150.011765014</v>
      </c>
      <c r="M221" s="12">
        <f t="shared" si="15"/>
        <v>33183159.534888547</v>
      </c>
      <c r="N221" s="12">
        <f t="shared" si="16"/>
        <v>13903809.850433793</v>
      </c>
    </row>
    <row r="222" spans="1:14" x14ac:dyDescent="0.2">
      <c r="A222">
        <v>21</v>
      </c>
      <c r="B222">
        <v>44</v>
      </c>
      <c r="C222" s="6">
        <f t="shared" si="17"/>
        <v>38205.894719666896</v>
      </c>
      <c r="D222" s="7">
        <f t="shared" si="18"/>
        <v>911.4504355168973</v>
      </c>
      <c r="E222" s="6">
        <v>34822.779381553119</v>
      </c>
      <c r="F222" s="12">
        <f t="shared" si="10"/>
        <v>31894153.742072344</v>
      </c>
      <c r="G222" s="12">
        <f t="shared" si="11"/>
        <v>12386532.908006627</v>
      </c>
      <c r="H222" s="6">
        <v>18443.549749999998</v>
      </c>
      <c r="I222" s="12">
        <f t="shared" si="12"/>
        <v>15252815.643249998</v>
      </c>
      <c r="J222" s="12">
        <v>-500</v>
      </c>
      <c r="K222" s="12">
        <f t="shared" si="13"/>
        <v>5139476.6151169054</v>
      </c>
      <c r="L222" s="12">
        <f t="shared" si="14"/>
        <v>15657150.011765014</v>
      </c>
      <c r="M222" s="12">
        <f t="shared" si="15"/>
        <v>33183159.534888547</v>
      </c>
      <c r="N222" s="12">
        <f t="shared" si="16"/>
        <v>13963309.850433793</v>
      </c>
    </row>
    <row r="223" spans="1:14" x14ac:dyDescent="0.2">
      <c r="A223">
        <v>22</v>
      </c>
      <c r="B223">
        <v>44</v>
      </c>
      <c r="C223" s="6">
        <f t="shared" si="17"/>
        <v>38205.894719666896</v>
      </c>
      <c r="D223" s="7">
        <f t="shared" si="18"/>
        <v>911.4504355168973</v>
      </c>
      <c r="E223" s="6">
        <v>34822.779381553119</v>
      </c>
      <c r="F223" s="12">
        <f t="shared" si="10"/>
        <v>31894153.742072344</v>
      </c>
      <c r="G223" s="12">
        <f t="shared" si="11"/>
        <v>12386532.908006627</v>
      </c>
      <c r="H223" s="6">
        <v>18443.549749999998</v>
      </c>
      <c r="I223" s="12">
        <f t="shared" si="12"/>
        <v>15252815.643249998</v>
      </c>
      <c r="J223" s="12">
        <v>-500</v>
      </c>
      <c r="K223" s="12">
        <f t="shared" si="13"/>
        <v>5139476.6151169054</v>
      </c>
      <c r="L223" s="12">
        <f t="shared" si="14"/>
        <v>15657150.011765014</v>
      </c>
      <c r="M223" s="12">
        <f t="shared" si="15"/>
        <v>33183159.534888547</v>
      </c>
      <c r="N223" s="12">
        <f t="shared" si="16"/>
        <v>13963309.850433793</v>
      </c>
    </row>
    <row r="224" spans="1:14" x14ac:dyDescent="0.2">
      <c r="A224">
        <v>23</v>
      </c>
      <c r="B224">
        <v>44</v>
      </c>
      <c r="C224" s="6">
        <f t="shared" si="17"/>
        <v>38205.894719666896</v>
      </c>
      <c r="D224" s="7">
        <f t="shared" si="18"/>
        <v>911.4504355168973</v>
      </c>
      <c r="E224" s="6">
        <v>34822.779381553119</v>
      </c>
      <c r="F224" s="12">
        <f t="shared" si="10"/>
        <v>31894153.742072344</v>
      </c>
      <c r="G224" s="12">
        <f t="shared" si="11"/>
        <v>12386532.908006627</v>
      </c>
      <c r="H224" s="6">
        <v>18443.549749999998</v>
      </c>
      <c r="I224" s="12">
        <f t="shared" si="12"/>
        <v>15252815.643249998</v>
      </c>
      <c r="J224" s="12">
        <v>-500</v>
      </c>
      <c r="K224" s="12">
        <f t="shared" si="13"/>
        <v>5139476.6151169054</v>
      </c>
      <c r="L224" s="12">
        <f t="shared" si="14"/>
        <v>15657150.011765014</v>
      </c>
      <c r="M224" s="12">
        <f t="shared" si="15"/>
        <v>33183159.534888547</v>
      </c>
      <c r="N224" s="12">
        <f t="shared" si="16"/>
        <v>13963309.850433793</v>
      </c>
    </row>
    <row r="225" spans="1:14" x14ac:dyDescent="0.2">
      <c r="A225">
        <v>24</v>
      </c>
      <c r="B225">
        <v>44</v>
      </c>
      <c r="C225" s="6">
        <f t="shared" si="17"/>
        <v>38205.894719666896</v>
      </c>
      <c r="D225" s="7">
        <f t="shared" si="18"/>
        <v>911.4504355168973</v>
      </c>
      <c r="E225" s="6">
        <v>34822.779381553119</v>
      </c>
      <c r="F225" s="12">
        <f t="shared" si="10"/>
        <v>31894153.742072344</v>
      </c>
      <c r="G225" s="12">
        <f t="shared" si="11"/>
        <v>12386532.908006627</v>
      </c>
      <c r="H225" s="6">
        <v>18443.549749999998</v>
      </c>
      <c r="I225" s="12">
        <f t="shared" si="12"/>
        <v>15252815.643249998</v>
      </c>
      <c r="J225" s="12">
        <v>-500</v>
      </c>
      <c r="K225" s="12">
        <f t="shared" si="13"/>
        <v>5139476.6151169054</v>
      </c>
      <c r="L225" s="12">
        <f t="shared" si="14"/>
        <v>15657150.011765014</v>
      </c>
      <c r="M225" s="12">
        <f t="shared" si="15"/>
        <v>33183159.534888547</v>
      </c>
      <c r="N225" s="12">
        <f t="shared" si="16"/>
        <v>13963309.850433793</v>
      </c>
    </row>
    <row r="226" spans="1:14" x14ac:dyDescent="0.2">
      <c r="A226">
        <v>25</v>
      </c>
      <c r="B226">
        <v>44</v>
      </c>
      <c r="C226" s="6">
        <f t="shared" si="17"/>
        <v>38205.894719666896</v>
      </c>
      <c r="D226" s="7">
        <f t="shared" si="18"/>
        <v>911.4504355168973</v>
      </c>
      <c r="E226" s="6">
        <v>34822.779381553119</v>
      </c>
      <c r="F226" s="12">
        <f t="shared" si="10"/>
        <v>31894153.742072344</v>
      </c>
      <c r="G226" s="12">
        <f t="shared" si="11"/>
        <v>12386532.908006627</v>
      </c>
      <c r="H226" s="6">
        <v>18443.549749999998</v>
      </c>
      <c r="I226" s="12">
        <f t="shared" si="12"/>
        <v>15252815.643249998</v>
      </c>
      <c r="J226" s="12">
        <v>-25500</v>
      </c>
      <c r="K226" s="12">
        <f t="shared" si="13"/>
        <v>5139476.6151169054</v>
      </c>
      <c r="L226" s="12">
        <f t="shared" si="14"/>
        <v>15657150.011765014</v>
      </c>
      <c r="M226" s="12">
        <f t="shared" si="15"/>
        <v>33183159.534888547</v>
      </c>
      <c r="N226" s="12">
        <f t="shared" si="16"/>
        <v>13938309.850433793</v>
      </c>
    </row>
    <row r="227" spans="1:14" x14ac:dyDescent="0.2">
      <c r="A227">
        <v>26</v>
      </c>
      <c r="B227">
        <v>44</v>
      </c>
      <c r="C227" s="6">
        <f t="shared" si="17"/>
        <v>38205.894719666896</v>
      </c>
      <c r="D227" s="7">
        <f t="shared" si="18"/>
        <v>911.4504355168973</v>
      </c>
      <c r="E227" s="6">
        <v>34822.779381553119</v>
      </c>
      <c r="F227" s="12">
        <f t="shared" si="10"/>
        <v>31894153.742072344</v>
      </c>
      <c r="G227" s="12">
        <f t="shared" si="11"/>
        <v>12386532.908006627</v>
      </c>
      <c r="H227" s="6">
        <v>18443.549749999998</v>
      </c>
      <c r="I227" s="12">
        <f t="shared" si="12"/>
        <v>15252815.643249998</v>
      </c>
      <c r="J227" s="12">
        <v>-500</v>
      </c>
      <c r="K227" s="12">
        <f t="shared" si="13"/>
        <v>5139476.6151169054</v>
      </c>
      <c r="L227" s="12">
        <f t="shared" si="14"/>
        <v>15657150.011765014</v>
      </c>
      <c r="M227" s="12">
        <f t="shared" si="15"/>
        <v>33183159.534888547</v>
      </c>
      <c r="N227" s="12">
        <f t="shared" si="16"/>
        <v>13963309.850433793</v>
      </c>
    </row>
    <row r="228" spans="1:14" x14ac:dyDescent="0.2">
      <c r="A228">
        <v>27</v>
      </c>
      <c r="B228">
        <v>44</v>
      </c>
      <c r="C228" s="6">
        <f t="shared" si="17"/>
        <v>38205.894719666896</v>
      </c>
      <c r="D228" s="7">
        <f t="shared" si="18"/>
        <v>911.4504355168973</v>
      </c>
      <c r="E228" s="6">
        <v>34822.779381553119</v>
      </c>
      <c r="F228" s="12">
        <f t="shared" si="10"/>
        <v>31894153.742072344</v>
      </c>
      <c r="G228" s="12">
        <f t="shared" si="11"/>
        <v>12386532.908006627</v>
      </c>
      <c r="H228" s="6">
        <v>18443.549749999998</v>
      </c>
      <c r="I228" s="12">
        <f t="shared" si="12"/>
        <v>15252815.643249998</v>
      </c>
      <c r="J228" s="12">
        <v>-500</v>
      </c>
      <c r="K228" s="12">
        <f t="shared" si="13"/>
        <v>5139476.6151169054</v>
      </c>
      <c r="L228" s="12">
        <f t="shared" si="14"/>
        <v>15657150.011765014</v>
      </c>
      <c r="M228" s="12">
        <f t="shared" si="15"/>
        <v>33183159.534888547</v>
      </c>
      <c r="N228" s="12">
        <f t="shared" si="16"/>
        <v>13963309.850433793</v>
      </c>
    </row>
    <row r="229" spans="1:14" x14ac:dyDescent="0.2">
      <c r="A229">
        <v>28</v>
      </c>
      <c r="B229">
        <v>44</v>
      </c>
      <c r="C229" s="6">
        <f t="shared" si="17"/>
        <v>38205.894719666896</v>
      </c>
      <c r="D229" s="7">
        <f t="shared" si="18"/>
        <v>911.4504355168973</v>
      </c>
      <c r="E229" s="6">
        <v>34822.779381553119</v>
      </c>
      <c r="F229" s="12">
        <f t="shared" si="10"/>
        <v>31894153.742072344</v>
      </c>
      <c r="G229" s="12">
        <f t="shared" si="11"/>
        <v>12386532.908006627</v>
      </c>
      <c r="H229" s="6">
        <v>18443.549749999998</v>
      </c>
      <c r="I229" s="12">
        <f t="shared" si="12"/>
        <v>15252815.643249998</v>
      </c>
      <c r="J229" s="12">
        <v>-500</v>
      </c>
      <c r="K229" s="12">
        <f t="shared" si="13"/>
        <v>5139476.6151169054</v>
      </c>
      <c r="L229" s="12">
        <f t="shared" si="14"/>
        <v>15657150.011765014</v>
      </c>
      <c r="M229" s="12">
        <f t="shared" si="15"/>
        <v>33183159.534888547</v>
      </c>
      <c r="N229" s="12">
        <f t="shared" si="16"/>
        <v>13963309.850433793</v>
      </c>
    </row>
    <row r="230" spans="1:14" x14ac:dyDescent="0.2">
      <c r="A230">
        <v>29</v>
      </c>
      <c r="B230">
        <v>44</v>
      </c>
      <c r="C230" s="6">
        <f t="shared" si="17"/>
        <v>38205.894719666896</v>
      </c>
      <c r="D230" s="7">
        <f t="shared" si="18"/>
        <v>911.4504355168973</v>
      </c>
      <c r="E230" s="6">
        <v>34822.779381553119</v>
      </c>
      <c r="F230" s="12">
        <f t="shared" si="10"/>
        <v>31894153.742072344</v>
      </c>
      <c r="G230" s="12">
        <f t="shared" si="11"/>
        <v>12386532.908006627</v>
      </c>
      <c r="H230" s="6">
        <v>18443.549749999998</v>
      </c>
      <c r="I230" s="12">
        <f t="shared" si="12"/>
        <v>15252815.643249998</v>
      </c>
      <c r="J230" s="12">
        <v>-500</v>
      </c>
      <c r="K230" s="12">
        <f t="shared" si="13"/>
        <v>5139476.6151169054</v>
      </c>
      <c r="L230" s="12">
        <f t="shared" si="14"/>
        <v>15657150.011765014</v>
      </c>
      <c r="M230" s="12">
        <f t="shared" si="15"/>
        <v>33183159.534888547</v>
      </c>
      <c r="N230" s="12">
        <f t="shared" si="16"/>
        <v>13963309.850433793</v>
      </c>
    </row>
    <row r="231" spans="1:14" x14ac:dyDescent="0.2">
      <c r="A231">
        <v>30</v>
      </c>
      <c r="B231">
        <v>44</v>
      </c>
      <c r="C231" s="6">
        <f t="shared" si="17"/>
        <v>38205.894719666896</v>
      </c>
      <c r="D231" s="7">
        <f t="shared" si="18"/>
        <v>911.4504355168973</v>
      </c>
      <c r="E231" s="6">
        <v>34822.779381553119</v>
      </c>
      <c r="F231" s="12">
        <f t="shared" si="10"/>
        <v>31894153.742072344</v>
      </c>
      <c r="G231" s="12">
        <f t="shared" si="11"/>
        <v>12386532.908006627</v>
      </c>
      <c r="H231" s="6">
        <v>18443.549749999998</v>
      </c>
      <c r="I231" s="12">
        <f t="shared" si="12"/>
        <v>15252815.643249998</v>
      </c>
      <c r="J231" s="12">
        <v>-58000</v>
      </c>
      <c r="K231" s="12">
        <f t="shared" si="13"/>
        <v>5139476.6151169054</v>
      </c>
      <c r="L231" s="12">
        <f t="shared" si="14"/>
        <v>15657150.011765014</v>
      </c>
      <c r="M231" s="12">
        <f t="shared" si="15"/>
        <v>33183159.534888547</v>
      </c>
      <c r="N231" s="12">
        <f t="shared" si="16"/>
        <v>13905809.850433793</v>
      </c>
    </row>
    <row r="232" spans="1:14" x14ac:dyDescent="0.2">
      <c r="A232">
        <v>31</v>
      </c>
      <c r="B232">
        <v>44</v>
      </c>
      <c r="C232" s="6">
        <f t="shared" si="17"/>
        <v>38205.894719666896</v>
      </c>
      <c r="D232" s="7">
        <f t="shared" si="18"/>
        <v>911.4504355168973</v>
      </c>
      <c r="E232" s="6">
        <v>34822.779381553119</v>
      </c>
      <c r="F232" s="12">
        <f t="shared" si="10"/>
        <v>31894153.742072344</v>
      </c>
      <c r="G232" s="12">
        <f t="shared" si="11"/>
        <v>12386532.908006627</v>
      </c>
      <c r="H232" s="6">
        <v>18443.549749999998</v>
      </c>
      <c r="I232" s="12">
        <f t="shared" si="12"/>
        <v>15252815.643249998</v>
      </c>
      <c r="J232" s="12">
        <v>-500</v>
      </c>
      <c r="K232" s="12">
        <f t="shared" si="13"/>
        <v>5139476.6151169054</v>
      </c>
      <c r="L232" s="12">
        <f t="shared" si="14"/>
        <v>15657150.011765014</v>
      </c>
      <c r="M232" s="12">
        <f t="shared" si="15"/>
        <v>33183159.534888547</v>
      </c>
      <c r="N232" s="12">
        <f t="shared" si="16"/>
        <v>13963309.850433793</v>
      </c>
    </row>
    <row r="233" spans="1:14" x14ac:dyDescent="0.2">
      <c r="A233">
        <v>32</v>
      </c>
      <c r="B233">
        <v>44</v>
      </c>
      <c r="C233" s="6">
        <f t="shared" si="17"/>
        <v>38205.894719666896</v>
      </c>
      <c r="D233" s="7">
        <f t="shared" si="18"/>
        <v>911.4504355168973</v>
      </c>
      <c r="E233" s="6">
        <v>34822.779381553119</v>
      </c>
      <c r="F233" s="12">
        <f t="shared" si="10"/>
        <v>31894153.742072344</v>
      </c>
      <c r="G233" s="12">
        <f t="shared" si="11"/>
        <v>12386532.908006627</v>
      </c>
      <c r="H233" s="6">
        <v>18443.549749999998</v>
      </c>
      <c r="I233" s="12">
        <f t="shared" si="12"/>
        <v>15252815.643249998</v>
      </c>
      <c r="J233" s="12">
        <v>-500</v>
      </c>
      <c r="K233" s="12">
        <f t="shared" si="13"/>
        <v>5139476.6151169054</v>
      </c>
      <c r="L233" s="12">
        <f t="shared" si="14"/>
        <v>15657150.011765014</v>
      </c>
      <c r="M233" s="12">
        <f t="shared" si="15"/>
        <v>33183159.534888547</v>
      </c>
      <c r="N233" s="12">
        <f t="shared" si="16"/>
        <v>13963309.850433793</v>
      </c>
    </row>
    <row r="234" spans="1:14" x14ac:dyDescent="0.2">
      <c r="A234">
        <v>33</v>
      </c>
      <c r="B234">
        <v>44</v>
      </c>
      <c r="C234" s="6">
        <f t="shared" si="17"/>
        <v>38205.894719666896</v>
      </c>
      <c r="D234" s="7">
        <f t="shared" si="18"/>
        <v>911.4504355168973</v>
      </c>
      <c r="E234" s="6">
        <v>34822.779381553119</v>
      </c>
      <c r="F234" s="12">
        <f t="shared" si="10"/>
        <v>31894153.742072344</v>
      </c>
      <c r="G234" s="12">
        <f t="shared" si="11"/>
        <v>12386532.908006627</v>
      </c>
      <c r="H234" s="6">
        <v>18443.549749999998</v>
      </c>
      <c r="I234" s="12">
        <f t="shared" si="12"/>
        <v>15252815.643249998</v>
      </c>
      <c r="J234" s="12">
        <v>-500</v>
      </c>
      <c r="K234" s="12">
        <f t="shared" si="13"/>
        <v>5139476.6151169054</v>
      </c>
      <c r="L234" s="12">
        <f t="shared" si="14"/>
        <v>15657150.011765014</v>
      </c>
      <c r="M234" s="12">
        <f t="shared" si="15"/>
        <v>33183159.534888547</v>
      </c>
      <c r="N234" s="12">
        <f t="shared" si="16"/>
        <v>13963309.850433793</v>
      </c>
    </row>
    <row r="235" spans="1:14" x14ac:dyDescent="0.2">
      <c r="A235">
        <v>34</v>
      </c>
      <c r="B235">
        <v>44</v>
      </c>
      <c r="C235" s="6">
        <f t="shared" si="17"/>
        <v>38205.894719666896</v>
      </c>
      <c r="D235" s="7">
        <f t="shared" si="18"/>
        <v>911.4504355168973</v>
      </c>
      <c r="E235" s="6">
        <v>34822.779381553119</v>
      </c>
      <c r="F235" s="12">
        <f t="shared" si="10"/>
        <v>31894153.742072344</v>
      </c>
      <c r="G235" s="12">
        <f t="shared" si="11"/>
        <v>12386532.908006627</v>
      </c>
      <c r="H235" s="6">
        <v>18443.549749999998</v>
      </c>
      <c r="I235" s="12">
        <f t="shared" si="12"/>
        <v>15252815.643249998</v>
      </c>
      <c r="J235" s="12">
        <v>-500</v>
      </c>
      <c r="K235" s="12">
        <f t="shared" si="13"/>
        <v>5139476.6151169054</v>
      </c>
      <c r="L235" s="12">
        <f t="shared" si="14"/>
        <v>15657150.011765014</v>
      </c>
      <c r="M235" s="12">
        <f t="shared" si="15"/>
        <v>33183159.534888547</v>
      </c>
      <c r="N235" s="12">
        <f t="shared" si="16"/>
        <v>13963309.850433793</v>
      </c>
    </row>
    <row r="236" spans="1:14" x14ac:dyDescent="0.2">
      <c r="A236">
        <v>35</v>
      </c>
      <c r="B236">
        <v>44</v>
      </c>
      <c r="C236" s="6">
        <f t="shared" si="17"/>
        <v>38205.894719666896</v>
      </c>
      <c r="D236" s="7">
        <f t="shared" si="18"/>
        <v>911.4504355168973</v>
      </c>
      <c r="E236" s="6">
        <v>34822.779381553119</v>
      </c>
      <c r="F236" s="12">
        <f t="shared" si="10"/>
        <v>31894153.742072344</v>
      </c>
      <c r="G236" s="12">
        <f t="shared" si="11"/>
        <v>12386532.908006627</v>
      </c>
      <c r="H236" s="6">
        <v>18443.549749999998</v>
      </c>
      <c r="I236" s="12">
        <f t="shared" si="12"/>
        <v>15252815.643249998</v>
      </c>
      <c r="J236" s="12">
        <v>-25500</v>
      </c>
      <c r="K236" s="12">
        <f t="shared" si="13"/>
        <v>5139476.6151169054</v>
      </c>
      <c r="L236" s="12">
        <f t="shared" si="14"/>
        <v>15657150.011765014</v>
      </c>
      <c r="M236" s="12">
        <f t="shared" si="15"/>
        <v>33183159.534888547</v>
      </c>
      <c r="N236" s="12">
        <f t="shared" si="16"/>
        <v>13938309.850433793</v>
      </c>
    </row>
    <row r="237" spans="1:14" x14ac:dyDescent="0.2">
      <c r="A237">
        <v>36</v>
      </c>
      <c r="B237">
        <v>44</v>
      </c>
      <c r="C237" s="6">
        <f t="shared" si="17"/>
        <v>38205.894719666896</v>
      </c>
      <c r="D237" s="7">
        <f t="shared" si="18"/>
        <v>911.4504355168973</v>
      </c>
      <c r="E237" s="6">
        <v>34822.779381553119</v>
      </c>
      <c r="F237" s="12">
        <f t="shared" si="10"/>
        <v>31894153.742072344</v>
      </c>
      <c r="G237" s="12">
        <f t="shared" si="11"/>
        <v>12386532.908006627</v>
      </c>
      <c r="H237" s="6">
        <v>18443.549749999998</v>
      </c>
      <c r="I237" s="12">
        <f t="shared" si="12"/>
        <v>15252815.643249998</v>
      </c>
      <c r="J237" s="12">
        <v>-500</v>
      </c>
      <c r="K237" s="12">
        <f t="shared" si="13"/>
        <v>5139476.6151169054</v>
      </c>
      <c r="L237" s="12">
        <f t="shared" si="14"/>
        <v>15657150.011765014</v>
      </c>
      <c r="M237" s="12">
        <f t="shared" si="15"/>
        <v>33183159.534888547</v>
      </c>
      <c r="N237" s="12">
        <f t="shared" si="16"/>
        <v>13963309.850433793</v>
      </c>
    </row>
    <row r="238" spans="1:14" x14ac:dyDescent="0.2">
      <c r="A238">
        <v>37</v>
      </c>
      <c r="B238">
        <v>44</v>
      </c>
      <c r="C238" s="6">
        <f t="shared" si="17"/>
        <v>38205.894719666896</v>
      </c>
      <c r="D238" s="7">
        <f t="shared" si="18"/>
        <v>911.4504355168973</v>
      </c>
      <c r="E238" s="6">
        <v>34822.779381553119</v>
      </c>
      <c r="F238" s="12">
        <f t="shared" si="10"/>
        <v>31894153.742072344</v>
      </c>
      <c r="G238" s="12">
        <f t="shared" si="11"/>
        <v>12386532.908006627</v>
      </c>
      <c r="H238" s="6">
        <v>18443.549749999998</v>
      </c>
      <c r="I238" s="12">
        <f t="shared" si="12"/>
        <v>15252815.643249998</v>
      </c>
      <c r="J238" s="12">
        <v>-500</v>
      </c>
      <c r="K238" s="12">
        <f t="shared" si="13"/>
        <v>5139476.6151169054</v>
      </c>
      <c r="L238" s="12">
        <f t="shared" si="14"/>
        <v>15657150.011765014</v>
      </c>
      <c r="M238" s="12">
        <f t="shared" si="15"/>
        <v>33183159.534888547</v>
      </c>
      <c r="N238" s="12">
        <f t="shared" si="16"/>
        <v>13963309.850433793</v>
      </c>
    </row>
    <row r="239" spans="1:14" x14ac:dyDescent="0.2">
      <c r="A239">
        <v>38</v>
      </c>
      <c r="B239">
        <v>44</v>
      </c>
      <c r="C239" s="6">
        <f t="shared" si="17"/>
        <v>38205.894719666896</v>
      </c>
      <c r="D239" s="7">
        <f t="shared" si="18"/>
        <v>911.4504355168973</v>
      </c>
      <c r="E239" s="6">
        <v>34822.779381553119</v>
      </c>
      <c r="F239" s="12">
        <f t="shared" si="10"/>
        <v>31894153.742072344</v>
      </c>
      <c r="G239" s="12">
        <f t="shared" si="11"/>
        <v>12386532.908006627</v>
      </c>
      <c r="H239" s="6">
        <v>18443.549749999998</v>
      </c>
      <c r="I239" s="12">
        <f t="shared" si="12"/>
        <v>15252815.643249998</v>
      </c>
      <c r="J239" s="12">
        <v>-500</v>
      </c>
      <c r="K239" s="12">
        <f t="shared" si="13"/>
        <v>5139476.6151169054</v>
      </c>
      <c r="L239" s="12">
        <f t="shared" si="14"/>
        <v>15657150.011765014</v>
      </c>
      <c r="M239" s="12">
        <f t="shared" si="15"/>
        <v>33183159.534888547</v>
      </c>
      <c r="N239" s="12">
        <f t="shared" si="16"/>
        <v>13963309.850433793</v>
      </c>
    </row>
    <row r="240" spans="1:14" x14ac:dyDescent="0.2">
      <c r="A240">
        <v>39</v>
      </c>
      <c r="B240">
        <v>44</v>
      </c>
      <c r="C240" s="6">
        <f t="shared" si="17"/>
        <v>38205.894719666896</v>
      </c>
      <c r="D240" s="7">
        <f t="shared" si="18"/>
        <v>911.4504355168973</v>
      </c>
      <c r="E240" s="6">
        <v>34822.779381553119</v>
      </c>
      <c r="F240" s="12">
        <f t="shared" si="10"/>
        <v>31894153.742072344</v>
      </c>
      <c r="G240" s="12">
        <f t="shared" si="11"/>
        <v>12386532.908006627</v>
      </c>
      <c r="H240" s="6">
        <v>18443.549749999998</v>
      </c>
      <c r="I240" s="12">
        <f t="shared" si="12"/>
        <v>15252815.643249998</v>
      </c>
      <c r="J240" s="12">
        <v>-500</v>
      </c>
      <c r="K240" s="12">
        <f t="shared" si="13"/>
        <v>5139476.6151169054</v>
      </c>
      <c r="L240" s="12">
        <f t="shared" si="14"/>
        <v>15657150.011765014</v>
      </c>
      <c r="M240" s="12">
        <f t="shared" si="15"/>
        <v>33183159.534888547</v>
      </c>
      <c r="N240" s="12">
        <f t="shared" si="16"/>
        <v>13963309.850433793</v>
      </c>
    </row>
    <row r="241" spans="1:14" x14ac:dyDescent="0.2">
      <c r="A241">
        <v>40</v>
      </c>
      <c r="B241">
        <v>44</v>
      </c>
      <c r="C241" s="6">
        <f t="shared" si="17"/>
        <v>38205.894719666896</v>
      </c>
      <c r="D241" s="7">
        <f t="shared" si="18"/>
        <v>911.4504355168973</v>
      </c>
      <c r="E241" s="6">
        <v>34822.779381553119</v>
      </c>
      <c r="F241" s="12">
        <f t="shared" si="10"/>
        <v>31894153.742072344</v>
      </c>
      <c r="G241" s="12">
        <f t="shared" si="11"/>
        <v>12386532.908006627</v>
      </c>
      <c r="H241" s="6">
        <v>18443.549749999998</v>
      </c>
      <c r="I241" s="12">
        <f t="shared" si="12"/>
        <v>15252815.643249998</v>
      </c>
      <c r="J241" s="12">
        <v>-500</v>
      </c>
      <c r="K241" s="12">
        <f t="shared" si="13"/>
        <v>5139476.6151169054</v>
      </c>
      <c r="L241" s="12">
        <f t="shared" si="14"/>
        <v>15657150.011765014</v>
      </c>
      <c r="M241" s="12">
        <f t="shared" si="15"/>
        <v>33183159.534888547</v>
      </c>
      <c r="N241" s="12">
        <f t="shared" si="16"/>
        <v>13963309.850433793</v>
      </c>
    </row>
    <row r="242" spans="1:14" x14ac:dyDescent="0.2">
      <c r="A242">
        <v>41</v>
      </c>
      <c r="B242">
        <v>44</v>
      </c>
      <c r="C242" s="6">
        <f t="shared" si="17"/>
        <v>38205.894719666896</v>
      </c>
      <c r="D242" s="7">
        <f t="shared" si="18"/>
        <v>911.4504355168973</v>
      </c>
      <c r="E242" s="6">
        <v>34822.779381553119</v>
      </c>
      <c r="F242" s="12">
        <f t="shared" si="10"/>
        <v>31894153.742072344</v>
      </c>
      <c r="G242" s="12">
        <f t="shared" si="11"/>
        <v>12386532.908006627</v>
      </c>
      <c r="H242" s="6">
        <v>18443.549749999998</v>
      </c>
      <c r="I242" s="12">
        <f t="shared" si="12"/>
        <v>15252815.643249998</v>
      </c>
      <c r="J242" s="12">
        <v>-500</v>
      </c>
      <c r="K242" s="12">
        <f t="shared" si="13"/>
        <v>5139476.6151169054</v>
      </c>
      <c r="L242" s="12">
        <f t="shared" si="14"/>
        <v>15657150.011765014</v>
      </c>
      <c r="M242" s="12">
        <f t="shared" si="15"/>
        <v>33183159.534888547</v>
      </c>
      <c r="N242" s="12">
        <f t="shared" si="16"/>
        <v>13963309.850433793</v>
      </c>
    </row>
    <row r="243" spans="1:14" x14ac:dyDescent="0.2">
      <c r="A243">
        <v>42</v>
      </c>
      <c r="B243">
        <v>44</v>
      </c>
      <c r="C243" s="6">
        <f t="shared" si="17"/>
        <v>38205.894719666896</v>
      </c>
      <c r="D243" s="7">
        <f t="shared" si="18"/>
        <v>911.4504355168973</v>
      </c>
      <c r="E243" s="6">
        <v>34822.779381553119</v>
      </c>
      <c r="F243" s="12">
        <f t="shared" si="10"/>
        <v>31894153.742072344</v>
      </c>
      <c r="G243" s="12">
        <f t="shared" si="11"/>
        <v>12386532.908006627</v>
      </c>
      <c r="H243" s="6">
        <v>18443.549749999998</v>
      </c>
      <c r="I243" s="12">
        <f t="shared" si="12"/>
        <v>15252815.643249998</v>
      </c>
      <c r="J243" s="12">
        <v>-500</v>
      </c>
      <c r="K243" s="12">
        <f t="shared" si="13"/>
        <v>5139476.6151169054</v>
      </c>
      <c r="L243" s="12">
        <f t="shared" si="14"/>
        <v>15657150.011765014</v>
      </c>
      <c r="M243" s="12">
        <f t="shared" si="15"/>
        <v>33183159.534888547</v>
      </c>
      <c r="N243" s="12">
        <f t="shared" si="16"/>
        <v>13963309.850433793</v>
      </c>
    </row>
    <row r="244" spans="1:14" x14ac:dyDescent="0.2">
      <c r="A244">
        <v>43</v>
      </c>
      <c r="B244">
        <v>44</v>
      </c>
      <c r="C244" s="6">
        <f t="shared" si="17"/>
        <v>38205.894719666896</v>
      </c>
      <c r="D244" s="7">
        <f t="shared" si="18"/>
        <v>911.4504355168973</v>
      </c>
      <c r="E244" s="6">
        <v>34822.779381553119</v>
      </c>
      <c r="F244" s="12">
        <f t="shared" si="10"/>
        <v>31894153.742072344</v>
      </c>
      <c r="G244" s="12">
        <f t="shared" si="11"/>
        <v>12386532.908006627</v>
      </c>
      <c r="H244" s="6">
        <v>18443.549749999998</v>
      </c>
      <c r="I244" s="12">
        <f t="shared" si="12"/>
        <v>15252815.643249998</v>
      </c>
      <c r="J244" s="12">
        <v>-500</v>
      </c>
      <c r="K244" s="12">
        <f t="shared" si="13"/>
        <v>5139476.6151169054</v>
      </c>
      <c r="L244" s="12">
        <f t="shared" si="14"/>
        <v>15657150.011765014</v>
      </c>
      <c r="M244" s="12">
        <f t="shared" si="15"/>
        <v>33183159.534888547</v>
      </c>
      <c r="N244" s="12">
        <f t="shared" si="16"/>
        <v>13963309.850433793</v>
      </c>
    </row>
    <row r="245" spans="1:14" x14ac:dyDescent="0.2">
      <c r="A245">
        <v>44</v>
      </c>
      <c r="B245">
        <v>44</v>
      </c>
      <c r="C245" s="6">
        <f t="shared" si="17"/>
        <v>38205.894719666896</v>
      </c>
      <c r="D245" s="7">
        <f t="shared" si="18"/>
        <v>911.4504355168973</v>
      </c>
      <c r="E245" s="6">
        <v>34822.779381553119</v>
      </c>
      <c r="F245" s="12">
        <f t="shared" si="10"/>
        <v>31894153.742072344</v>
      </c>
      <c r="G245" s="12">
        <f t="shared" si="11"/>
        <v>12386532.908006627</v>
      </c>
      <c r="H245" s="6">
        <v>18443.549749999998</v>
      </c>
      <c r="I245" s="12">
        <f t="shared" si="12"/>
        <v>15252815.643249998</v>
      </c>
      <c r="J245" s="12">
        <v>-500</v>
      </c>
      <c r="K245" s="12">
        <f t="shared" si="13"/>
        <v>5139476.6151169054</v>
      </c>
      <c r="L245" s="12">
        <f t="shared" si="14"/>
        <v>15657150.011765014</v>
      </c>
      <c r="M245" s="12">
        <f t="shared" si="15"/>
        <v>33183159.534888547</v>
      </c>
      <c r="N245" s="12">
        <f t="shared" si="16"/>
        <v>13963309.850433793</v>
      </c>
    </row>
    <row r="246" spans="1:14" x14ac:dyDescent="0.2">
      <c r="A246">
        <v>45</v>
      </c>
      <c r="B246">
        <v>44</v>
      </c>
      <c r="C246" s="6">
        <f t="shared" si="17"/>
        <v>38205.894719666896</v>
      </c>
      <c r="D246" s="7">
        <f t="shared" si="18"/>
        <v>911.4504355168973</v>
      </c>
      <c r="E246" s="6">
        <v>34822.779381553119</v>
      </c>
      <c r="F246" s="12">
        <f t="shared" si="10"/>
        <v>31894153.742072344</v>
      </c>
      <c r="G246" s="12">
        <f t="shared" si="11"/>
        <v>12386532.908006627</v>
      </c>
      <c r="H246" s="6">
        <v>18443.549749999998</v>
      </c>
      <c r="I246" s="12">
        <f t="shared" si="12"/>
        <v>15252815.643249998</v>
      </c>
      <c r="J246" s="12">
        <v>-500</v>
      </c>
      <c r="K246" s="12">
        <f t="shared" si="13"/>
        <v>5139476.6151169054</v>
      </c>
      <c r="L246" s="12">
        <f t="shared" si="14"/>
        <v>15657150.011765014</v>
      </c>
      <c r="M246" s="12">
        <f t="shared" si="15"/>
        <v>33183159.534888547</v>
      </c>
      <c r="N246" s="12">
        <f t="shared" si="16"/>
        <v>13963309.850433793</v>
      </c>
    </row>
    <row r="247" spans="1:14" x14ac:dyDescent="0.2">
      <c r="A247">
        <v>46</v>
      </c>
      <c r="B247">
        <v>44</v>
      </c>
      <c r="C247" s="6">
        <f t="shared" si="17"/>
        <v>38205.894719666896</v>
      </c>
      <c r="D247" s="7">
        <f t="shared" si="18"/>
        <v>911.4504355168973</v>
      </c>
      <c r="E247" s="6">
        <v>34822.779381553119</v>
      </c>
      <c r="F247" s="12">
        <f t="shared" si="10"/>
        <v>31894153.742072344</v>
      </c>
      <c r="G247" s="12">
        <f t="shared" si="11"/>
        <v>12386532.908006627</v>
      </c>
      <c r="H247" s="6">
        <v>18443.549749999998</v>
      </c>
      <c r="I247" s="12">
        <f t="shared" si="12"/>
        <v>15252815.643249998</v>
      </c>
      <c r="J247" s="12">
        <v>-500</v>
      </c>
      <c r="K247" s="12">
        <f t="shared" si="13"/>
        <v>5139476.6151169054</v>
      </c>
      <c r="L247" s="12">
        <f t="shared" si="14"/>
        <v>15657150.011765014</v>
      </c>
      <c r="M247" s="12">
        <f t="shared" si="15"/>
        <v>33183159.534888547</v>
      </c>
      <c r="N247" s="12">
        <f t="shared" si="16"/>
        <v>13963309.850433793</v>
      </c>
    </row>
    <row r="248" spans="1:14" x14ac:dyDescent="0.2">
      <c r="A248">
        <v>47</v>
      </c>
      <c r="B248">
        <v>44</v>
      </c>
      <c r="C248" s="6">
        <f t="shared" si="17"/>
        <v>38205.894719666896</v>
      </c>
      <c r="D248" s="7">
        <f t="shared" si="18"/>
        <v>911.4504355168973</v>
      </c>
      <c r="E248" s="6">
        <v>34822.779381553119</v>
      </c>
      <c r="F248" s="12">
        <f t="shared" si="10"/>
        <v>31894153.742072344</v>
      </c>
      <c r="G248" s="12">
        <f t="shared" si="11"/>
        <v>12386532.908006627</v>
      </c>
      <c r="H248" s="6">
        <v>18443.549749999998</v>
      </c>
      <c r="I248" s="12">
        <f t="shared" si="12"/>
        <v>15252815.643249998</v>
      </c>
      <c r="J248" s="12">
        <v>-500</v>
      </c>
      <c r="K248" s="12">
        <f t="shared" si="13"/>
        <v>5139476.6151169054</v>
      </c>
      <c r="L248" s="12">
        <f t="shared" si="14"/>
        <v>15657150.011765014</v>
      </c>
      <c r="M248" s="12">
        <f t="shared" si="15"/>
        <v>33183159.534888547</v>
      </c>
      <c r="N248" s="12">
        <f t="shared" si="16"/>
        <v>13963309.850433793</v>
      </c>
    </row>
    <row r="249" spans="1:14" x14ac:dyDescent="0.2">
      <c r="A249">
        <v>48</v>
      </c>
      <c r="B249">
        <v>44</v>
      </c>
      <c r="C249" s="6">
        <f t="shared" si="17"/>
        <v>38205.894719666896</v>
      </c>
      <c r="D249" s="7">
        <f t="shared" si="18"/>
        <v>911.4504355168973</v>
      </c>
      <c r="E249" s="6">
        <v>34822.779381553119</v>
      </c>
      <c r="F249" s="12">
        <f t="shared" si="10"/>
        <v>31894153.742072344</v>
      </c>
      <c r="G249" s="12">
        <f t="shared" si="11"/>
        <v>12386532.908006627</v>
      </c>
      <c r="H249" s="6">
        <v>18443.549749999998</v>
      </c>
      <c r="I249" s="12">
        <f t="shared" si="12"/>
        <v>15252815.643249998</v>
      </c>
      <c r="J249" s="12">
        <v>-500</v>
      </c>
      <c r="K249" s="12">
        <f t="shared" si="13"/>
        <v>5139476.6151169054</v>
      </c>
      <c r="L249" s="12">
        <f t="shared" si="14"/>
        <v>15657150.011765014</v>
      </c>
      <c r="M249" s="12">
        <f t="shared" si="15"/>
        <v>33183159.534888547</v>
      </c>
      <c r="N249" s="12">
        <f t="shared" si="16"/>
        <v>13963309.850433793</v>
      </c>
    </row>
    <row r="250" spans="1:14" x14ac:dyDescent="0.2">
      <c r="A250">
        <v>49</v>
      </c>
      <c r="B250">
        <v>44</v>
      </c>
      <c r="C250" s="6">
        <f t="shared" si="17"/>
        <v>38205.894719666896</v>
      </c>
      <c r="D250" s="7">
        <f t="shared" si="18"/>
        <v>911.4504355168973</v>
      </c>
      <c r="E250" s="6">
        <v>34822.779381553119</v>
      </c>
      <c r="F250" s="12">
        <f t="shared" si="10"/>
        <v>31894153.742072344</v>
      </c>
      <c r="G250" s="12">
        <f t="shared" si="11"/>
        <v>12386532.908006627</v>
      </c>
      <c r="H250" s="6">
        <v>18443.549749999998</v>
      </c>
      <c r="I250" s="12">
        <f t="shared" si="12"/>
        <v>15252815.643249998</v>
      </c>
      <c r="J250" s="12">
        <v>-500</v>
      </c>
      <c r="K250" s="12">
        <f t="shared" si="13"/>
        <v>5139476.6151169054</v>
      </c>
      <c r="L250" s="12">
        <f t="shared" si="14"/>
        <v>15657150.011765014</v>
      </c>
      <c r="M250" s="12">
        <f t="shared" si="15"/>
        <v>33183159.534888547</v>
      </c>
      <c r="N250" s="12">
        <f t="shared" si="16"/>
        <v>13963309.850433793</v>
      </c>
    </row>
    <row r="251" spans="1:14" x14ac:dyDescent="0.2">
      <c r="A251">
        <v>50</v>
      </c>
      <c r="E251" s="13" t="s">
        <v>62</v>
      </c>
      <c r="F251" s="20">
        <f>NPV($B$8,F201:F250)</f>
        <v>820629048.98675823</v>
      </c>
      <c r="G251" s="20"/>
      <c r="H251" s="13"/>
      <c r="I251" s="20">
        <f>NPV($B$8,I201:I250)</f>
        <v>392451346.9432255</v>
      </c>
      <c r="J251" s="20">
        <f>NPV($B$8,J201:J250)</f>
        <v>47485051.339379065</v>
      </c>
      <c r="K251" s="12"/>
      <c r="L251" s="21"/>
      <c r="M251" s="20">
        <f>NPV($B$8,M201:M250)</f>
        <v>853958917.77554667</v>
      </c>
      <c r="N251" s="20">
        <f>NPV($B$8,N201:N250)</f>
        <v>406606529.49381626</v>
      </c>
    </row>
    <row r="252" spans="1:14" x14ac:dyDescent="0.2">
      <c r="G252" s="2">
        <f>AVERAGE(G201:G250)+AVERAGE(K201:K250)-B257</f>
        <v>14306178.979537582</v>
      </c>
      <c r="H252" s="2"/>
    </row>
    <row r="253" spans="1:14" x14ac:dyDescent="0.2">
      <c r="A253" s="1" t="s">
        <v>25</v>
      </c>
      <c r="F253" s="20">
        <f>F251+I251</f>
        <v>1213080395.9299836</v>
      </c>
      <c r="M253" s="12">
        <f>AVERAGE(M201:M250)</f>
        <v>33186634.530715693</v>
      </c>
    </row>
    <row r="254" spans="1:14" x14ac:dyDescent="0.2">
      <c r="A254" t="s">
        <v>26</v>
      </c>
      <c r="B254" s="12">
        <f>$B$33</f>
        <v>216080355</v>
      </c>
      <c r="G254" s="12"/>
    </row>
    <row r="255" spans="1:14" x14ac:dyDescent="0.2">
      <c r="A255" t="s">
        <v>95</v>
      </c>
      <c r="B255" s="12">
        <f>ABS($B$34)</f>
        <v>15657150.011765014</v>
      </c>
    </row>
    <row r="256" spans="1:14" x14ac:dyDescent="0.2">
      <c r="A256" t="s">
        <v>94</v>
      </c>
      <c r="B256" s="12">
        <v>24592719.154266495</v>
      </c>
    </row>
    <row r="257" spans="1:2" x14ac:dyDescent="0.2">
      <c r="A257" t="s">
        <v>75</v>
      </c>
      <c r="B257" s="12">
        <f>B179*B185</f>
        <v>3223305.5394131187</v>
      </c>
    </row>
    <row r="258" spans="1:2" x14ac:dyDescent="0.2">
      <c r="A258" t="s">
        <v>76</v>
      </c>
      <c r="B258" s="12">
        <f>F251+I251+J251</f>
        <v>1260565447.2693627</v>
      </c>
    </row>
    <row r="259" spans="1:2" x14ac:dyDescent="0.2">
      <c r="A259" t="s">
        <v>28</v>
      </c>
      <c r="B259" s="12">
        <f>M251</f>
        <v>853958917.77554667</v>
      </c>
    </row>
    <row r="260" spans="1:2" x14ac:dyDescent="0.2">
      <c r="A260" t="s">
        <v>30</v>
      </c>
      <c r="B260" s="12">
        <f>N251</f>
        <v>406606529.49381626</v>
      </c>
    </row>
    <row r="261" spans="1:2" x14ac:dyDescent="0.2">
      <c r="A261" t="s">
        <v>31</v>
      </c>
      <c r="B261" s="5">
        <f>IRR!I55</f>
        <v>4.6816788719186597E-2</v>
      </c>
    </row>
  </sheetData>
  <pageMargins left="0.7" right="0.7" top="0.75" bottom="0.75" header="0.3" footer="0.3"/>
  <pageSetup scale="33" fitToHeight="5" orientation="landscape" horizontalDpi="0" verticalDpi="0"/>
  <ignoredErrors>
    <ignoredError sqref="G48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B6C2-EC14-2F49-9D01-EE39BF3FB51E}">
  <dimension ref="A1:I55"/>
  <sheetViews>
    <sheetView workbookViewId="0">
      <selection activeCell="L15" sqref="L15"/>
    </sheetView>
  </sheetViews>
  <sheetFormatPr baseColWidth="10" defaultRowHeight="16" x14ac:dyDescent="0.2"/>
  <cols>
    <col min="2" max="3" width="15.33203125" bestFit="1" customWidth="1"/>
    <col min="4" max="4" width="13" customWidth="1"/>
    <col min="5" max="5" width="14.5" customWidth="1"/>
    <col min="6" max="6" width="13.6640625" customWidth="1"/>
    <col min="8" max="8" width="12.5" customWidth="1"/>
    <col min="9" max="9" width="14" customWidth="1"/>
    <col min="12" max="12" width="10.83203125" customWidth="1"/>
  </cols>
  <sheetData>
    <row r="1" spans="1:9" x14ac:dyDescent="0.2">
      <c r="A1" t="s">
        <v>66</v>
      </c>
    </row>
    <row r="2" spans="1:9" x14ac:dyDescent="0.2">
      <c r="B2" t="s">
        <v>67</v>
      </c>
      <c r="D2" t="s">
        <v>68</v>
      </c>
      <c r="G2" t="s">
        <v>69</v>
      </c>
    </row>
    <row r="3" spans="1:9" x14ac:dyDescent="0.2">
      <c r="A3" s="13" t="s">
        <v>63</v>
      </c>
      <c r="B3" s="13" t="s">
        <v>64</v>
      </c>
      <c r="C3" s="13" t="s">
        <v>65</v>
      </c>
      <c r="D3" s="13" t="s">
        <v>63</v>
      </c>
      <c r="E3" s="13" t="s">
        <v>64</v>
      </c>
      <c r="F3" s="13" t="s">
        <v>65</v>
      </c>
      <c r="G3" s="13" t="s">
        <v>63</v>
      </c>
      <c r="H3" s="13" t="s">
        <v>64</v>
      </c>
      <c r="I3" s="13" t="s">
        <v>65</v>
      </c>
    </row>
    <row r="4" spans="1:9" x14ac:dyDescent="0.2">
      <c r="A4">
        <v>0</v>
      </c>
      <c r="B4" s="12">
        <v>-216080355</v>
      </c>
      <c r="C4" s="12">
        <f>B4</f>
        <v>-216080355</v>
      </c>
      <c r="D4">
        <v>0</v>
      </c>
      <c r="E4" s="12">
        <v>-216080355</v>
      </c>
      <c r="F4" s="12">
        <f>E4</f>
        <v>-216080355</v>
      </c>
      <c r="G4">
        <v>0</v>
      </c>
      <c r="H4" s="12">
        <v>-216080355</v>
      </c>
      <c r="I4" s="12">
        <f>H4</f>
        <v>-216080355</v>
      </c>
    </row>
    <row r="5" spans="1:9" x14ac:dyDescent="0.2">
      <c r="A5">
        <v>1</v>
      </c>
      <c r="B5" s="12">
        <f>61011262-22324637-15657150</f>
        <v>23029475</v>
      </c>
      <c r="C5" s="12">
        <f>B5*1/(1+0.03)^A5</f>
        <v>22358713.59223301</v>
      </c>
      <c r="D5">
        <v>1</v>
      </c>
      <c r="E5" s="6">
        <v>15479690.92509136</v>
      </c>
      <c r="F5" s="12">
        <f>E5*1/(1+0.03)^D5</f>
        <v>15028826.140865397</v>
      </c>
      <c r="G5">
        <v>1</v>
      </c>
      <c r="H5" s="6">
        <v>25985803.439005543</v>
      </c>
      <c r="I5" s="12">
        <f>H5*1/(1+0.03)^G5</f>
        <v>25228935.377675284</v>
      </c>
    </row>
    <row r="6" spans="1:9" x14ac:dyDescent="0.2">
      <c r="A6">
        <v>2</v>
      </c>
      <c r="B6" s="12">
        <f t="shared" ref="B6:B54" si="0">61011555-22324637-15657150</f>
        <v>23029768</v>
      </c>
      <c r="C6" s="12">
        <f t="shared" ref="C6:C54" si="1">B6*1/(1+0.03)^A6</f>
        <v>21707765.105099443</v>
      </c>
      <c r="D6">
        <v>2</v>
      </c>
      <c r="E6" s="6">
        <v>15516557.875071477</v>
      </c>
      <c r="F6" s="12">
        <f t="shared" ref="F6:F54" si="2">E6*1/(1+0.03)^D6</f>
        <v>14625843.976879515</v>
      </c>
      <c r="G6">
        <v>2</v>
      </c>
      <c r="H6" s="6">
        <v>26988907.301695649</v>
      </c>
      <c r="I6" s="12">
        <f t="shared" ref="I6:I54" si="3">H6*1/(1+0.03)^G6</f>
        <v>25439633.614568431</v>
      </c>
    </row>
    <row r="7" spans="1:9" x14ac:dyDescent="0.2">
      <c r="A7">
        <v>3</v>
      </c>
      <c r="B7" s="12">
        <f t="shared" si="0"/>
        <v>23029768</v>
      </c>
      <c r="C7" s="12">
        <f t="shared" si="1"/>
        <v>21075500.102038294</v>
      </c>
      <c r="D7">
        <v>3</v>
      </c>
      <c r="E7" s="6">
        <v>15553385.310259331</v>
      </c>
      <c r="F7" s="12">
        <f t="shared" si="2"/>
        <v>14233550.841389781</v>
      </c>
      <c r="G7">
        <v>3</v>
      </c>
      <c r="H7" s="6">
        <v>27841351.470575605</v>
      </c>
      <c r="I7" s="12">
        <f t="shared" si="3"/>
        <v>25478780.583417088</v>
      </c>
    </row>
    <row r="8" spans="1:9" x14ac:dyDescent="0.2">
      <c r="A8">
        <v>4</v>
      </c>
      <c r="B8" s="12">
        <f t="shared" si="0"/>
        <v>23029768</v>
      </c>
      <c r="C8" s="12">
        <f t="shared" si="1"/>
        <v>20461650.5845032</v>
      </c>
      <c r="D8">
        <v>4</v>
      </c>
      <c r="E8" s="6">
        <v>15586387.159511294</v>
      </c>
      <c r="F8" s="12">
        <f t="shared" si="2"/>
        <v>13848303.115025191</v>
      </c>
      <c r="G8">
        <v>4</v>
      </c>
      <c r="H8" s="6">
        <v>23113808.719895992</v>
      </c>
      <c r="I8" s="12">
        <f t="shared" si="3"/>
        <v>20536319.675628301</v>
      </c>
    </row>
    <row r="9" spans="1:9" x14ac:dyDescent="0.2">
      <c r="A9">
        <v>5</v>
      </c>
      <c r="B9" s="12">
        <f t="shared" si="0"/>
        <v>23029768</v>
      </c>
      <c r="C9" s="12">
        <f t="shared" si="1"/>
        <v>19865680.179129321</v>
      </c>
      <c r="D9">
        <v>5</v>
      </c>
      <c r="E9" s="6">
        <v>15616137.917795319</v>
      </c>
      <c r="F9" s="12">
        <f t="shared" si="2"/>
        <v>13470617.746044872</v>
      </c>
      <c r="G9">
        <v>5</v>
      </c>
      <c r="H9" s="6">
        <v>13963809.850433793</v>
      </c>
      <c r="I9" s="12">
        <f t="shared" si="3"/>
        <v>12045305.040454311</v>
      </c>
    </row>
    <row r="10" spans="1:9" x14ac:dyDescent="0.2">
      <c r="A10">
        <v>6</v>
      </c>
      <c r="B10" s="12">
        <f t="shared" si="0"/>
        <v>23029768</v>
      </c>
      <c r="C10" s="12">
        <f t="shared" si="1"/>
        <v>19287068.135077011</v>
      </c>
      <c r="D10">
        <v>6</v>
      </c>
      <c r="E10" s="6">
        <v>15643102.234784652</v>
      </c>
      <c r="F10" s="12">
        <f t="shared" si="2"/>
        <v>13100851.847325036</v>
      </c>
      <c r="G10">
        <v>6</v>
      </c>
      <c r="H10" s="6">
        <v>14389741.788480494</v>
      </c>
      <c r="I10" s="12">
        <f t="shared" si="3"/>
        <v>12051182.205595307</v>
      </c>
    </row>
    <row r="11" spans="1:9" x14ac:dyDescent="0.2">
      <c r="A11">
        <v>7</v>
      </c>
      <c r="B11" s="12">
        <f t="shared" si="0"/>
        <v>23029768</v>
      </c>
      <c r="C11" s="12">
        <f t="shared" si="1"/>
        <v>18725308.869006805</v>
      </c>
      <c r="D11">
        <v>7</v>
      </c>
      <c r="E11" s="6">
        <v>15643102.234784652</v>
      </c>
      <c r="F11" s="12">
        <f t="shared" si="2"/>
        <v>12719273.638179647</v>
      </c>
      <c r="G11">
        <v>7</v>
      </c>
      <c r="H11" s="6">
        <v>13963809.850433793</v>
      </c>
      <c r="I11" s="12">
        <f t="shared" si="3"/>
        <v>11353855.255400423</v>
      </c>
    </row>
    <row r="12" spans="1:9" x14ac:dyDescent="0.2">
      <c r="A12">
        <v>8</v>
      </c>
      <c r="B12" s="12">
        <f t="shared" si="0"/>
        <v>23029768</v>
      </c>
      <c r="C12" s="12">
        <f t="shared" si="1"/>
        <v>18179911.523307581</v>
      </c>
      <c r="D12">
        <v>8</v>
      </c>
      <c r="E12" s="6">
        <v>15643102.234784652</v>
      </c>
      <c r="F12" s="12">
        <f t="shared" si="2"/>
        <v>12348809.357455969</v>
      </c>
      <c r="G12">
        <v>8</v>
      </c>
      <c r="H12" s="6">
        <v>14471313.280180994</v>
      </c>
      <c r="I12" s="12">
        <f t="shared" si="3"/>
        <v>11423788.336024769</v>
      </c>
    </row>
    <row r="13" spans="1:9" x14ac:dyDescent="0.2">
      <c r="A13">
        <v>9</v>
      </c>
      <c r="B13" s="12">
        <f t="shared" si="0"/>
        <v>23029768</v>
      </c>
      <c r="C13" s="12">
        <f t="shared" si="1"/>
        <v>17650399.537191823</v>
      </c>
      <c r="D13">
        <v>9</v>
      </c>
      <c r="E13" s="6">
        <v>15643102.234784652</v>
      </c>
      <c r="F13" s="12">
        <f t="shared" si="2"/>
        <v>11989135.29850094</v>
      </c>
      <c r="G13">
        <v>9</v>
      </c>
      <c r="H13" s="6">
        <v>13963809.850433793</v>
      </c>
      <c r="I13" s="12">
        <f t="shared" si="3"/>
        <v>10702097.516637217</v>
      </c>
    </row>
    <row r="14" spans="1:9" x14ac:dyDescent="0.2">
      <c r="A14">
        <v>10</v>
      </c>
      <c r="B14" s="12">
        <f t="shared" si="0"/>
        <v>23029768</v>
      </c>
      <c r="C14" s="12">
        <f t="shared" si="1"/>
        <v>17136310.230283324</v>
      </c>
      <c r="D14">
        <v>10</v>
      </c>
      <c r="E14" s="6">
        <v>15643102.234784652</v>
      </c>
      <c r="F14" s="12">
        <f t="shared" si="2"/>
        <v>11639937.183010623</v>
      </c>
      <c r="G14">
        <v>10</v>
      </c>
      <c r="H14" s="6">
        <v>13963809.850433793</v>
      </c>
      <c r="I14" s="12">
        <f t="shared" si="3"/>
        <v>10390385.938482735</v>
      </c>
    </row>
    <row r="15" spans="1:9" x14ac:dyDescent="0.2">
      <c r="A15">
        <v>11</v>
      </c>
      <c r="B15" s="12">
        <f t="shared" si="0"/>
        <v>23029768</v>
      </c>
      <c r="C15" s="12">
        <f t="shared" si="1"/>
        <v>16637194.398333324</v>
      </c>
      <c r="D15">
        <v>11</v>
      </c>
      <c r="E15" s="6">
        <v>15643102.234784652</v>
      </c>
      <c r="F15" s="12">
        <f t="shared" si="2"/>
        <v>11300909.88641808</v>
      </c>
      <c r="G15">
        <v>11</v>
      </c>
      <c r="H15" s="6">
        <v>14730389.393476803</v>
      </c>
      <c r="I15" s="12">
        <f t="shared" si="3"/>
        <v>10641546.71043238</v>
      </c>
    </row>
    <row r="16" spans="1:9" x14ac:dyDescent="0.2">
      <c r="A16">
        <v>12</v>
      </c>
      <c r="B16" s="12">
        <f t="shared" si="0"/>
        <v>23029768</v>
      </c>
      <c r="C16" s="12">
        <f t="shared" si="1"/>
        <v>16152615.920711968</v>
      </c>
      <c r="D16">
        <v>12</v>
      </c>
      <c r="E16" s="6">
        <v>15643102.234784652</v>
      </c>
      <c r="F16" s="12">
        <f t="shared" si="2"/>
        <v>10971757.171279691</v>
      </c>
      <c r="G16">
        <v>12</v>
      </c>
      <c r="H16" s="6">
        <v>13963809.850433793</v>
      </c>
      <c r="I16" s="12">
        <f t="shared" si="3"/>
        <v>9793935.2799347136</v>
      </c>
    </row>
    <row r="17" spans="1:9" x14ac:dyDescent="0.2">
      <c r="A17">
        <v>13</v>
      </c>
      <c r="B17" s="12">
        <f t="shared" si="0"/>
        <v>23029768</v>
      </c>
      <c r="C17" s="12">
        <f t="shared" si="1"/>
        <v>15682151.37933201</v>
      </c>
      <c r="D17">
        <v>13</v>
      </c>
      <c r="E17" s="6">
        <v>15643102.234784652</v>
      </c>
      <c r="F17" s="12">
        <f t="shared" si="2"/>
        <v>10652191.428426884</v>
      </c>
      <c r="G17">
        <v>13</v>
      </c>
      <c r="H17" s="6">
        <v>14538588.906373691</v>
      </c>
      <c r="I17" s="12">
        <f t="shared" si="3"/>
        <v>9900071.5974051151</v>
      </c>
    </row>
    <row r="18" spans="1:9" x14ac:dyDescent="0.2">
      <c r="A18">
        <v>14</v>
      </c>
      <c r="B18" s="12">
        <f t="shared" si="0"/>
        <v>23029768</v>
      </c>
      <c r="C18" s="12">
        <f t="shared" si="1"/>
        <v>15225389.688671852</v>
      </c>
      <c r="D18">
        <v>14</v>
      </c>
      <c r="E18" s="6">
        <v>15643102.234784652</v>
      </c>
      <c r="F18" s="12">
        <f t="shared" si="2"/>
        <v>10341933.425657168</v>
      </c>
      <c r="G18">
        <v>14</v>
      </c>
      <c r="H18" s="6">
        <v>13963809.850433793</v>
      </c>
      <c r="I18" s="12">
        <f t="shared" si="3"/>
        <v>9231723.3291872106</v>
      </c>
    </row>
    <row r="19" spans="1:9" x14ac:dyDescent="0.2">
      <c r="A19">
        <v>15</v>
      </c>
      <c r="B19" s="12">
        <f t="shared" si="0"/>
        <v>23029768</v>
      </c>
      <c r="C19" s="12">
        <f t="shared" si="1"/>
        <v>14781931.736574613</v>
      </c>
      <c r="D19">
        <v>15</v>
      </c>
      <c r="E19" s="6">
        <v>15643102.234784652</v>
      </c>
      <c r="F19" s="12">
        <f t="shared" si="2"/>
        <v>10040712.063744823</v>
      </c>
      <c r="G19">
        <v>15</v>
      </c>
      <c r="H19" s="6">
        <v>13963809.850433793</v>
      </c>
      <c r="I19" s="12">
        <f t="shared" si="3"/>
        <v>8962838.1836769041</v>
      </c>
    </row>
    <row r="20" spans="1:9" x14ac:dyDescent="0.2">
      <c r="A20">
        <v>16</v>
      </c>
      <c r="B20" s="12">
        <f t="shared" si="0"/>
        <v>23029768</v>
      </c>
      <c r="C20" s="12">
        <f t="shared" si="1"/>
        <v>14351390.035509335</v>
      </c>
      <c r="D20">
        <v>16</v>
      </c>
      <c r="E20" s="6">
        <v>15643102.234784652</v>
      </c>
      <c r="F20" s="12">
        <f t="shared" si="2"/>
        <v>9748264.1395580824</v>
      </c>
      <c r="G20">
        <v>16</v>
      </c>
      <c r="H20" s="6">
        <v>14836385.003163133</v>
      </c>
      <c r="I20" s="12">
        <f t="shared" si="3"/>
        <v>9245544.6315123755</v>
      </c>
    </row>
    <row r="21" spans="1:9" x14ac:dyDescent="0.2">
      <c r="A21">
        <v>17</v>
      </c>
      <c r="B21" s="12">
        <f t="shared" si="0"/>
        <v>23029768</v>
      </c>
      <c r="C21" s="12">
        <f t="shared" si="1"/>
        <v>13933388.383989645</v>
      </c>
      <c r="D21">
        <v>17</v>
      </c>
      <c r="E21" s="6">
        <v>15643102.234784652</v>
      </c>
      <c r="F21" s="12">
        <f t="shared" si="2"/>
        <v>9464334.1160758082</v>
      </c>
      <c r="G21">
        <v>17</v>
      </c>
      <c r="H21" s="6">
        <v>13963809.850433793</v>
      </c>
      <c r="I21" s="12">
        <f t="shared" si="3"/>
        <v>8448334.6061616596</v>
      </c>
    </row>
    <row r="22" spans="1:9" x14ac:dyDescent="0.2">
      <c r="A22">
        <v>18</v>
      </c>
      <c r="B22" s="12">
        <f t="shared" si="0"/>
        <v>23029768</v>
      </c>
      <c r="C22" s="12">
        <f t="shared" si="1"/>
        <v>13527561.537854025</v>
      </c>
      <c r="D22">
        <v>18</v>
      </c>
      <c r="E22" s="6">
        <v>15643102.234784652</v>
      </c>
      <c r="F22" s="12">
        <f t="shared" si="2"/>
        <v>9188673.8991027251</v>
      </c>
      <c r="G22">
        <v>18</v>
      </c>
      <c r="H22" s="6">
        <v>14604813.515708137</v>
      </c>
      <c r="I22" s="12">
        <f t="shared" si="3"/>
        <v>8578788.7043683641</v>
      </c>
    </row>
    <row r="23" spans="1:9" x14ac:dyDescent="0.2">
      <c r="A23">
        <v>19</v>
      </c>
      <c r="B23" s="12">
        <f t="shared" si="0"/>
        <v>23029768</v>
      </c>
      <c r="C23" s="12">
        <f t="shared" si="1"/>
        <v>13133554.891120413</v>
      </c>
      <c r="D23">
        <v>19</v>
      </c>
      <c r="E23" s="6">
        <v>15643102.234784652</v>
      </c>
      <c r="F23" s="12">
        <f t="shared" si="2"/>
        <v>8921042.620488083</v>
      </c>
      <c r="G23">
        <v>19</v>
      </c>
      <c r="H23" s="6">
        <v>13963809.850433793</v>
      </c>
      <c r="I23" s="12">
        <f t="shared" si="3"/>
        <v>7963365.6387611087</v>
      </c>
    </row>
    <row r="24" spans="1:9" x14ac:dyDescent="0.2">
      <c r="A24">
        <v>20</v>
      </c>
      <c r="B24" s="12">
        <f t="shared" si="0"/>
        <v>23029768</v>
      </c>
      <c r="C24" s="12">
        <f t="shared" si="1"/>
        <v>12751024.166136323</v>
      </c>
      <c r="D24">
        <v>20</v>
      </c>
      <c r="E24" s="6">
        <v>15643102.234784652</v>
      </c>
      <c r="F24" s="12">
        <f t="shared" si="2"/>
        <v>8661206.4276583344</v>
      </c>
      <c r="G24">
        <v>20</v>
      </c>
      <c r="H24" s="6">
        <v>13963809.850433793</v>
      </c>
      <c r="I24" s="12">
        <f t="shared" si="3"/>
        <v>7731422.9502535034</v>
      </c>
    </row>
    <row r="25" spans="1:9" x14ac:dyDescent="0.2">
      <c r="A25">
        <v>21</v>
      </c>
      <c r="B25" s="12">
        <f t="shared" si="0"/>
        <v>23029768</v>
      </c>
      <c r="C25" s="12">
        <f t="shared" si="1"/>
        <v>12379635.112753714</v>
      </c>
      <c r="D25">
        <v>21</v>
      </c>
      <c r="E25" s="6">
        <v>15643102.234784652</v>
      </c>
      <c r="F25" s="12">
        <f t="shared" si="2"/>
        <v>8408938.2792799361</v>
      </c>
      <c r="G25">
        <v>21</v>
      </c>
      <c r="H25" s="6">
        <v>13903809.850433793</v>
      </c>
      <c r="I25" s="12">
        <f t="shared" si="3"/>
        <v>7473982.9174779849</v>
      </c>
    </row>
    <row r="26" spans="1:9" x14ac:dyDescent="0.2">
      <c r="A26">
        <v>22</v>
      </c>
      <c r="B26" s="12">
        <f t="shared" si="0"/>
        <v>23029768</v>
      </c>
      <c r="C26" s="12">
        <f t="shared" si="1"/>
        <v>12019063.21626574</v>
      </c>
      <c r="D26">
        <v>22</v>
      </c>
      <c r="E26" s="6">
        <v>15643102.234784652</v>
      </c>
      <c r="F26" s="12">
        <f t="shared" si="2"/>
        <v>8164017.7468737243</v>
      </c>
      <c r="G26">
        <v>22</v>
      </c>
      <c r="H26" s="6">
        <v>13963309.850433793</v>
      </c>
      <c r="I26" s="12">
        <f t="shared" si="3"/>
        <v>7287346.6984413331</v>
      </c>
    </row>
    <row r="27" spans="1:9" x14ac:dyDescent="0.2">
      <c r="A27">
        <v>23</v>
      </c>
      <c r="B27" s="12">
        <f t="shared" si="0"/>
        <v>23029768</v>
      </c>
      <c r="C27" s="12">
        <f t="shared" si="1"/>
        <v>11668993.413850233</v>
      </c>
      <c r="D27">
        <v>23</v>
      </c>
      <c r="E27" s="6">
        <v>15643102.234784652</v>
      </c>
      <c r="F27" s="12">
        <f t="shared" si="2"/>
        <v>7926230.8222074993</v>
      </c>
      <c r="G27">
        <v>23</v>
      </c>
      <c r="H27" s="6">
        <v>13963309.850433793</v>
      </c>
      <c r="I27" s="12">
        <f t="shared" si="3"/>
        <v>7075093.8819818767</v>
      </c>
    </row>
    <row r="28" spans="1:9" x14ac:dyDescent="0.2">
      <c r="A28">
        <v>24</v>
      </c>
      <c r="B28" s="12">
        <f t="shared" si="0"/>
        <v>23029768</v>
      </c>
      <c r="C28" s="12">
        <f t="shared" si="1"/>
        <v>11329119.819272071</v>
      </c>
      <c r="D28">
        <v>24</v>
      </c>
      <c r="E28" s="6">
        <v>15643102.234784652</v>
      </c>
      <c r="F28" s="12">
        <f t="shared" si="2"/>
        <v>7695369.7302985433</v>
      </c>
      <c r="G28">
        <v>24</v>
      </c>
      <c r="H28" s="6">
        <v>13963309.850433793</v>
      </c>
      <c r="I28" s="12">
        <f t="shared" si="3"/>
        <v>6869023.1863901727</v>
      </c>
    </row>
    <row r="29" spans="1:9" x14ac:dyDescent="0.2">
      <c r="A29">
        <v>25</v>
      </c>
      <c r="B29" s="12">
        <f t="shared" si="0"/>
        <v>23029768</v>
      </c>
      <c r="C29" s="12">
        <f t="shared" si="1"/>
        <v>10999145.455603953</v>
      </c>
      <c r="D29">
        <v>25</v>
      </c>
      <c r="E29" s="6">
        <v>15643102.234784652</v>
      </c>
      <c r="F29" s="12">
        <f t="shared" si="2"/>
        <v>7471232.7478626641</v>
      </c>
      <c r="G29">
        <v>25</v>
      </c>
      <c r="H29" s="6">
        <v>13963309.850433793</v>
      </c>
      <c r="I29" s="12">
        <f t="shared" si="3"/>
        <v>6668954.5498933718</v>
      </c>
    </row>
    <row r="30" spans="1:9" x14ac:dyDescent="0.2">
      <c r="A30">
        <v>26</v>
      </c>
      <c r="B30" s="12">
        <f t="shared" si="0"/>
        <v>23029768</v>
      </c>
      <c r="C30" s="12">
        <f t="shared" si="1"/>
        <v>10678781.995731993</v>
      </c>
      <c r="D30">
        <v>26</v>
      </c>
      <c r="E30" s="6">
        <v>15643102.234784652</v>
      </c>
      <c r="F30" s="12">
        <f t="shared" si="2"/>
        <v>7253624.0270511294</v>
      </c>
      <c r="G30">
        <v>26</v>
      </c>
      <c r="H30" s="6">
        <v>13938309.850433793</v>
      </c>
      <c r="I30" s="12">
        <f t="shared" si="3"/>
        <v>6463120.7870503198</v>
      </c>
    </row>
    <row r="31" spans="1:9" x14ac:dyDescent="0.2">
      <c r="A31">
        <v>27</v>
      </c>
      <c r="B31" s="12">
        <f t="shared" si="0"/>
        <v>23029768</v>
      </c>
      <c r="C31" s="12">
        <f t="shared" si="1"/>
        <v>10367749.510419412</v>
      </c>
      <c r="D31">
        <v>27</v>
      </c>
      <c r="E31" s="6">
        <v>15643102.234784652</v>
      </c>
      <c r="F31" s="12">
        <f t="shared" si="2"/>
        <v>7042353.4243214857</v>
      </c>
      <c r="G31">
        <v>27</v>
      </c>
      <c r="H31" s="6">
        <v>13963309.850433793</v>
      </c>
      <c r="I31" s="12">
        <f t="shared" si="3"/>
        <v>6286129.2769284295</v>
      </c>
    </row>
    <row r="32" spans="1:9" x14ac:dyDescent="0.2">
      <c r="A32">
        <v>28</v>
      </c>
      <c r="B32" s="12">
        <f t="shared" si="0"/>
        <v>23029768</v>
      </c>
      <c r="C32" s="12">
        <f t="shared" si="1"/>
        <v>10065776.223708166</v>
      </c>
      <c r="D32">
        <v>28</v>
      </c>
      <c r="E32" s="6">
        <v>15643102.234784652</v>
      </c>
      <c r="F32" s="12">
        <f t="shared" si="2"/>
        <v>6837236.3342927042</v>
      </c>
      <c r="G32">
        <v>28</v>
      </c>
      <c r="H32" s="6">
        <v>13963309.850433793</v>
      </c>
      <c r="I32" s="12">
        <f t="shared" si="3"/>
        <v>6103038.1329402234</v>
      </c>
    </row>
    <row r="33" spans="1:9" x14ac:dyDescent="0.2">
      <c r="A33">
        <v>29</v>
      </c>
      <c r="B33" s="12">
        <f t="shared" si="0"/>
        <v>23029768</v>
      </c>
      <c r="C33" s="12">
        <f t="shared" si="1"/>
        <v>9772598.2754448224</v>
      </c>
      <c r="D33">
        <v>29</v>
      </c>
      <c r="E33" s="6">
        <v>15643102.234784652</v>
      </c>
      <c r="F33" s="12">
        <f t="shared" si="2"/>
        <v>6638093.528439519</v>
      </c>
      <c r="G33">
        <v>29</v>
      </c>
      <c r="H33" s="6">
        <v>13963309.850433793</v>
      </c>
      <c r="I33" s="12">
        <f t="shared" si="3"/>
        <v>5925279.7407186637</v>
      </c>
    </row>
    <row r="34" spans="1:9" x14ac:dyDescent="0.2">
      <c r="A34">
        <v>30</v>
      </c>
      <c r="B34" s="12">
        <f t="shared" si="0"/>
        <v>23029768</v>
      </c>
      <c r="C34" s="12">
        <f t="shared" si="1"/>
        <v>9487959.4907231275</v>
      </c>
      <c r="D34">
        <v>30</v>
      </c>
      <c r="E34" s="6">
        <v>15643102.234784652</v>
      </c>
      <c r="F34" s="12">
        <f t="shared" si="2"/>
        <v>6444750.9984849701</v>
      </c>
      <c r="G34">
        <v>30</v>
      </c>
      <c r="H34" s="6">
        <v>13963309.850433793</v>
      </c>
      <c r="I34" s="12">
        <f t="shared" si="3"/>
        <v>5752698.7773967609</v>
      </c>
    </row>
    <row r="35" spans="1:9" x14ac:dyDescent="0.2">
      <c r="A35">
        <v>31</v>
      </c>
      <c r="B35" s="12">
        <f t="shared" si="0"/>
        <v>23029768</v>
      </c>
      <c r="C35" s="12">
        <f t="shared" si="1"/>
        <v>9211611.1560418699</v>
      </c>
      <c r="D35">
        <v>31</v>
      </c>
      <c r="E35" s="6">
        <v>15643102.234784652</v>
      </c>
      <c r="F35" s="12">
        <f t="shared" si="2"/>
        <v>6257039.8043543389</v>
      </c>
      <c r="G35">
        <v>31</v>
      </c>
      <c r="H35" s="6">
        <v>13905809.850433793</v>
      </c>
      <c r="I35" s="12">
        <f t="shared" si="3"/>
        <v>5562145.1832277626</v>
      </c>
    </row>
    <row r="36" spans="1:9" x14ac:dyDescent="0.2">
      <c r="A36">
        <v>32</v>
      </c>
      <c r="B36" s="12">
        <f t="shared" si="0"/>
        <v>23029768</v>
      </c>
      <c r="C36" s="12">
        <f t="shared" si="1"/>
        <v>8943311.8019824009</v>
      </c>
      <c r="D36">
        <v>32</v>
      </c>
      <c r="E36" s="6">
        <v>15643102.234784652</v>
      </c>
      <c r="F36" s="12">
        <f t="shared" si="2"/>
        <v>6074795.9265576117</v>
      </c>
      <c r="G36">
        <v>32</v>
      </c>
      <c r="H36" s="6">
        <v>13963309.850433793</v>
      </c>
      <c r="I36" s="12">
        <f t="shared" si="3"/>
        <v>5422470.3340529371</v>
      </c>
    </row>
    <row r="37" spans="1:9" x14ac:dyDescent="0.2">
      <c r="A37">
        <v>33</v>
      </c>
      <c r="B37" s="12">
        <f t="shared" si="0"/>
        <v>23029768</v>
      </c>
      <c r="C37" s="12">
        <f t="shared" si="1"/>
        <v>8682826.9922159221</v>
      </c>
      <c r="D37">
        <v>33</v>
      </c>
      <c r="E37" s="6">
        <v>15643102.234784652</v>
      </c>
      <c r="F37" s="12">
        <f t="shared" si="2"/>
        <v>5897860.1228714678</v>
      </c>
      <c r="G37">
        <v>33</v>
      </c>
      <c r="H37" s="6">
        <v>13963309.850433793</v>
      </c>
      <c r="I37" s="12">
        <f t="shared" si="3"/>
        <v>5264534.3049057638</v>
      </c>
    </row>
    <row r="38" spans="1:9" x14ac:dyDescent="0.2">
      <c r="A38">
        <v>34</v>
      </c>
      <c r="B38" s="12">
        <f t="shared" si="0"/>
        <v>23029768</v>
      </c>
      <c r="C38" s="12">
        <f t="shared" si="1"/>
        <v>8429929.1186562367</v>
      </c>
      <c r="D38">
        <v>34</v>
      </c>
      <c r="E38" s="6">
        <v>15643102.234784652</v>
      </c>
      <c r="F38" s="12">
        <f t="shared" si="2"/>
        <v>5726077.7891956</v>
      </c>
      <c r="G38">
        <v>34</v>
      </c>
      <c r="H38" s="6">
        <v>13963309.850433793</v>
      </c>
      <c r="I38" s="12">
        <f t="shared" si="3"/>
        <v>5111198.3542774422</v>
      </c>
    </row>
    <row r="39" spans="1:9" x14ac:dyDescent="0.2">
      <c r="A39">
        <v>35</v>
      </c>
      <c r="B39" s="12">
        <f t="shared" si="0"/>
        <v>23029768</v>
      </c>
      <c r="C39" s="12">
        <f t="shared" si="1"/>
        <v>8184397.2025788696</v>
      </c>
      <c r="D39">
        <v>35</v>
      </c>
      <c r="E39" s="6">
        <v>15643102.234784652</v>
      </c>
      <c r="F39" s="12">
        <f t="shared" si="2"/>
        <v>5559298.824461747</v>
      </c>
      <c r="G39">
        <v>35</v>
      </c>
      <c r="H39" s="6">
        <v>13963309.850433793</v>
      </c>
      <c r="I39" s="12">
        <f t="shared" si="3"/>
        <v>4962328.4992984869</v>
      </c>
    </row>
    <row r="40" spans="1:9" x14ac:dyDescent="0.2">
      <c r="A40">
        <v>36</v>
      </c>
      <c r="B40" s="12">
        <f t="shared" si="0"/>
        <v>23029768</v>
      </c>
      <c r="C40" s="12">
        <f t="shared" si="1"/>
        <v>7946016.7015328836</v>
      </c>
      <c r="D40">
        <v>36</v>
      </c>
      <c r="E40" s="6">
        <v>15643102.234784652</v>
      </c>
      <c r="F40" s="12">
        <f t="shared" si="2"/>
        <v>5397377.4994774247</v>
      </c>
      <c r="G40">
        <v>36</v>
      </c>
      <c r="H40" s="6">
        <v>13938309.850433793</v>
      </c>
      <c r="I40" s="12">
        <f t="shared" si="3"/>
        <v>4809168.8488866771</v>
      </c>
    </row>
    <row r="41" spans="1:9" x14ac:dyDescent="0.2">
      <c r="A41">
        <v>37</v>
      </c>
      <c r="B41" s="12">
        <f t="shared" si="0"/>
        <v>23029768</v>
      </c>
      <c r="C41" s="12">
        <f t="shared" si="1"/>
        <v>7714579.3218765864</v>
      </c>
      <c r="D41">
        <v>37</v>
      </c>
      <c r="E41" s="6">
        <v>15643102.234784652</v>
      </c>
      <c r="F41" s="12">
        <f t="shared" si="2"/>
        <v>5240172.3295897339</v>
      </c>
      <c r="G41">
        <v>37</v>
      </c>
      <c r="H41" s="6">
        <v>13963309.850433793</v>
      </c>
      <c r="I41" s="12">
        <f t="shared" si="3"/>
        <v>4677470.5432165964</v>
      </c>
    </row>
    <row r="42" spans="1:9" x14ac:dyDescent="0.2">
      <c r="A42">
        <v>38</v>
      </c>
      <c r="B42" s="12">
        <f t="shared" si="0"/>
        <v>23029768</v>
      </c>
      <c r="C42" s="12">
        <f t="shared" si="1"/>
        <v>7489882.8367733853</v>
      </c>
      <c r="D42">
        <v>38</v>
      </c>
      <c r="E42" s="6">
        <v>15643102.234784652</v>
      </c>
      <c r="F42" s="12">
        <f t="shared" si="2"/>
        <v>5087545.9510579938</v>
      </c>
      <c r="G42">
        <v>38</v>
      </c>
      <c r="H42" s="6">
        <v>13963309.850433793</v>
      </c>
      <c r="I42" s="12">
        <f t="shared" si="3"/>
        <v>4541233.5371034918</v>
      </c>
    </row>
    <row r="43" spans="1:9" x14ac:dyDescent="0.2">
      <c r="A43">
        <v>39</v>
      </c>
      <c r="B43" s="12">
        <f t="shared" si="0"/>
        <v>23029768</v>
      </c>
      <c r="C43" s="12">
        <f t="shared" si="1"/>
        <v>7271730.9094887227</v>
      </c>
      <c r="D43">
        <v>39</v>
      </c>
      <c r="E43" s="6">
        <v>15643102.234784652</v>
      </c>
      <c r="F43" s="12">
        <f t="shared" si="2"/>
        <v>4939365.0010271771</v>
      </c>
      <c r="G43">
        <v>39</v>
      </c>
      <c r="H43" s="6">
        <v>13963309.850433793</v>
      </c>
      <c r="I43" s="12">
        <f t="shared" si="3"/>
        <v>4408964.5991296032</v>
      </c>
    </row>
    <row r="44" spans="1:9" x14ac:dyDescent="0.2">
      <c r="A44">
        <v>40</v>
      </c>
      <c r="B44" s="12">
        <f t="shared" si="0"/>
        <v>23029768</v>
      </c>
      <c r="C44" s="12">
        <f t="shared" si="1"/>
        <v>7059932.9218337126</v>
      </c>
      <c r="D44">
        <v>40</v>
      </c>
      <c r="E44" s="6">
        <v>15643102.234784652</v>
      </c>
      <c r="F44" s="12">
        <f t="shared" si="2"/>
        <v>4795500.0009972602</v>
      </c>
      <c r="G44">
        <v>40</v>
      </c>
      <c r="H44" s="6">
        <v>13963309.850433793</v>
      </c>
      <c r="I44" s="12">
        <f t="shared" si="3"/>
        <v>4280548.1544947615</v>
      </c>
    </row>
    <row r="45" spans="1:9" x14ac:dyDescent="0.2">
      <c r="A45">
        <v>41</v>
      </c>
      <c r="B45" s="12">
        <f t="shared" si="0"/>
        <v>23029768</v>
      </c>
      <c r="C45" s="12">
        <f t="shared" si="1"/>
        <v>6854303.807605546</v>
      </c>
      <c r="D45">
        <v>41</v>
      </c>
      <c r="E45" s="6">
        <v>15643102.234784652</v>
      </c>
      <c r="F45" s="12">
        <f t="shared" si="2"/>
        <v>4655825.2436866602</v>
      </c>
      <c r="G45">
        <v>41</v>
      </c>
      <c r="H45" s="6">
        <v>13963309.850433793</v>
      </c>
      <c r="I45" s="12">
        <f t="shared" si="3"/>
        <v>4155871.9946551076</v>
      </c>
    </row>
    <row r="46" spans="1:9" x14ac:dyDescent="0.2">
      <c r="A46">
        <v>42</v>
      </c>
      <c r="B46" s="12">
        <f t="shared" si="0"/>
        <v>23029768</v>
      </c>
      <c r="C46" s="12">
        <f t="shared" si="1"/>
        <v>6654663.89087917</v>
      </c>
      <c r="D46">
        <v>42</v>
      </c>
      <c r="E46" s="6">
        <v>15643102.234784652</v>
      </c>
      <c r="F46" s="12">
        <f t="shared" si="2"/>
        <v>4520218.6831909325</v>
      </c>
      <c r="G46">
        <v>42</v>
      </c>
      <c r="H46" s="6">
        <v>13963309.850433793</v>
      </c>
      <c r="I46" s="12">
        <f t="shared" si="3"/>
        <v>4034827.179276803</v>
      </c>
    </row>
    <row r="47" spans="1:9" x14ac:dyDescent="0.2">
      <c r="A47">
        <v>43</v>
      </c>
      <c r="B47" s="12">
        <f t="shared" si="0"/>
        <v>23029768</v>
      </c>
      <c r="C47" s="12">
        <f t="shared" si="1"/>
        <v>6460838.7290089028</v>
      </c>
      <c r="D47">
        <v>43</v>
      </c>
      <c r="E47" s="6">
        <v>15643102.234784652</v>
      </c>
      <c r="F47" s="12">
        <f t="shared" si="2"/>
        <v>4388561.8283407111</v>
      </c>
      <c r="G47">
        <v>43</v>
      </c>
      <c r="H47" s="6">
        <v>13963309.850433793</v>
      </c>
      <c r="I47" s="12">
        <f t="shared" si="3"/>
        <v>3917307.9410454403</v>
      </c>
    </row>
    <row r="48" spans="1:9" x14ac:dyDescent="0.2">
      <c r="A48">
        <v>44</v>
      </c>
      <c r="B48" s="12">
        <f t="shared" si="0"/>
        <v>23029768</v>
      </c>
      <c r="C48" s="12">
        <f t="shared" si="1"/>
        <v>6272658.9602028197</v>
      </c>
      <c r="D48">
        <v>44</v>
      </c>
      <c r="E48" s="6">
        <v>15643102.234784652</v>
      </c>
      <c r="F48" s="12">
        <f t="shared" si="2"/>
        <v>4260739.6391657395</v>
      </c>
      <c r="G48">
        <v>44</v>
      </c>
      <c r="H48" s="6">
        <v>13963309.850433793</v>
      </c>
      <c r="I48" s="12">
        <f t="shared" si="3"/>
        <v>3803211.5932480008</v>
      </c>
    </row>
    <row r="49" spans="1:9" x14ac:dyDescent="0.2">
      <c r="A49">
        <v>45</v>
      </c>
      <c r="B49" s="12">
        <f t="shared" si="0"/>
        <v>23029768</v>
      </c>
      <c r="C49" s="12">
        <f t="shared" si="1"/>
        <v>6089960.1555367177</v>
      </c>
      <c r="D49">
        <v>45</v>
      </c>
      <c r="E49" s="6">
        <v>15643102.234784652</v>
      </c>
      <c r="F49" s="12">
        <f t="shared" si="2"/>
        <v>4136640.4263745043</v>
      </c>
      <c r="G49">
        <v>45</v>
      </c>
      <c r="H49" s="6">
        <v>13963309.850433793</v>
      </c>
      <c r="I49" s="12">
        <f t="shared" si="3"/>
        <v>3692438.4400466024</v>
      </c>
    </row>
    <row r="50" spans="1:9" x14ac:dyDescent="0.2">
      <c r="A50">
        <v>46</v>
      </c>
      <c r="B50" s="12">
        <f t="shared" si="0"/>
        <v>23029768</v>
      </c>
      <c r="C50" s="12">
        <f t="shared" si="1"/>
        <v>5912582.6752783665</v>
      </c>
      <c r="D50">
        <v>46</v>
      </c>
      <c r="E50" s="6">
        <v>15643102.234784652</v>
      </c>
      <c r="F50" s="12">
        <f t="shared" si="2"/>
        <v>4016155.7537616547</v>
      </c>
      <c r="G50">
        <v>46</v>
      </c>
      <c r="H50" s="6">
        <v>13963309.850433793</v>
      </c>
      <c r="I50" s="12">
        <f t="shared" si="3"/>
        <v>3584891.6893656333</v>
      </c>
    </row>
    <row r="51" spans="1:9" x14ac:dyDescent="0.2">
      <c r="A51">
        <v>47</v>
      </c>
      <c r="B51" s="12">
        <f t="shared" si="0"/>
        <v>23029768</v>
      </c>
      <c r="C51" s="12">
        <f t="shared" si="1"/>
        <v>5740371.5293964716</v>
      </c>
      <c r="D51">
        <v>47</v>
      </c>
      <c r="E51" s="6">
        <v>15643102.234784652</v>
      </c>
      <c r="F51" s="12">
        <f t="shared" si="2"/>
        <v>3899180.3434579168</v>
      </c>
      <c r="G51">
        <v>47</v>
      </c>
      <c r="H51" s="6">
        <v>13963309.850433793</v>
      </c>
      <c r="I51" s="12">
        <f t="shared" si="3"/>
        <v>3480477.3683161484</v>
      </c>
    </row>
    <row r="52" spans="1:9" x14ac:dyDescent="0.2">
      <c r="A52">
        <v>48</v>
      </c>
      <c r="B52" s="12">
        <f t="shared" si="0"/>
        <v>23029768</v>
      </c>
      <c r="C52" s="12">
        <f t="shared" si="1"/>
        <v>5573176.242132498</v>
      </c>
      <c r="D52">
        <v>48</v>
      </c>
      <c r="E52" s="6">
        <v>15643102.234784652</v>
      </c>
      <c r="F52" s="12">
        <f t="shared" si="2"/>
        <v>3785611.9839397254</v>
      </c>
      <c r="G52">
        <v>48</v>
      </c>
      <c r="H52" s="6">
        <v>13963309.850433793</v>
      </c>
      <c r="I52" s="12">
        <f t="shared" si="3"/>
        <v>3379104.2410836397</v>
      </c>
    </row>
    <row r="53" spans="1:9" x14ac:dyDescent="0.2">
      <c r="A53">
        <v>49</v>
      </c>
      <c r="B53" s="12">
        <f t="shared" si="0"/>
        <v>23029768</v>
      </c>
      <c r="C53" s="12">
        <f t="shared" si="1"/>
        <v>5410850.720516989</v>
      </c>
      <c r="D53">
        <v>49</v>
      </c>
      <c r="E53" s="6">
        <v>15643102.234784652</v>
      </c>
      <c r="F53" s="12">
        <f t="shared" si="2"/>
        <v>3675351.4407181805</v>
      </c>
      <c r="G53">
        <v>49</v>
      </c>
      <c r="H53" s="6">
        <v>13963309.850433793</v>
      </c>
      <c r="I53" s="12">
        <f t="shared" si="3"/>
        <v>3280683.7292074175</v>
      </c>
    </row>
    <row r="54" spans="1:9" x14ac:dyDescent="0.2">
      <c r="A54">
        <v>50</v>
      </c>
      <c r="B54" s="12">
        <f t="shared" si="0"/>
        <v>23029768</v>
      </c>
      <c r="C54" s="12">
        <f t="shared" si="1"/>
        <v>5253253.1267155232</v>
      </c>
      <c r="D54">
        <v>50</v>
      </c>
      <c r="E54" s="6">
        <v>15643102.234784652</v>
      </c>
      <c r="F54" s="12">
        <f t="shared" si="2"/>
        <v>3568302.3696293011</v>
      </c>
      <c r="G54">
        <v>50</v>
      </c>
      <c r="H54" s="6">
        <v>13963309.850433793</v>
      </c>
      <c r="I54" s="12">
        <f t="shared" si="3"/>
        <v>3185129.8341819588</v>
      </c>
    </row>
    <row r="55" spans="1:9" x14ac:dyDescent="0.2">
      <c r="C55" s="5">
        <f>IRR(C4:C54,0.05)</f>
        <v>7.3673966869417962E-2</v>
      </c>
      <c r="F55" s="5">
        <f>IRR(F4:F54,0.05)</f>
        <v>3.8624533491027568E-2</v>
      </c>
      <c r="I55" s="5">
        <f>IRR(I4:I54,0.05)</f>
        <v>4.6816788719186597E-2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IRR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Talberth</dc:creator>
  <cp:lastModifiedBy>John Talberth</cp:lastModifiedBy>
  <dcterms:created xsi:type="dcterms:W3CDTF">2022-11-03T22:20:41Z</dcterms:created>
  <dcterms:modified xsi:type="dcterms:W3CDTF">2023-12-12T17:01:56Z</dcterms:modified>
</cp:coreProperties>
</file>