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torage-al.slu.se\home$\aoeo0001\Desktop\Alnarp\Postdoc\CpomOR22 2023\Submission\Journal of Pest Science\Submission\"/>
    </mc:Choice>
  </mc:AlternateContent>
  <xr:revisionPtr revIDLastSave="0" documentId="13_ncr:1_{A6FB14D8-CF17-4980-9502-936CEC14CD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itle sheet" sheetId="3" r:id="rId1"/>
    <sheet name="SSR" sheetId="1" r:id="rId2"/>
    <sheet name="GC-SSR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CQcFbUxIfrrUcuvFqtxqDusNMZmucrFwSOPtnnzRT2Y="/>
    </ext>
  </extLst>
</workbook>
</file>

<file path=xl/calcChain.xml><?xml version="1.0" encoding="utf-8"?>
<calcChain xmlns="http://schemas.openxmlformats.org/spreadsheetml/2006/main">
  <c r="M20" i="2" l="1"/>
  <c r="L20" i="2"/>
  <c r="K20" i="2"/>
  <c r="H20" i="2"/>
  <c r="G20" i="2"/>
  <c r="E20" i="2"/>
  <c r="D20" i="2"/>
  <c r="C20" i="2"/>
  <c r="B20" i="2"/>
  <c r="M19" i="2"/>
  <c r="L19" i="2"/>
  <c r="K19" i="2"/>
  <c r="H19" i="2"/>
  <c r="G19" i="2"/>
  <c r="E19" i="2"/>
  <c r="D19" i="2"/>
  <c r="C19" i="2"/>
  <c r="B19" i="2"/>
  <c r="M18" i="2"/>
  <c r="L18" i="2"/>
  <c r="K18" i="2"/>
  <c r="H18" i="2"/>
  <c r="G18" i="2"/>
  <c r="E18" i="2"/>
  <c r="D18" i="2"/>
  <c r="C18" i="2"/>
  <c r="B18" i="2"/>
  <c r="M17" i="2"/>
  <c r="L17" i="2"/>
  <c r="K17" i="2"/>
  <c r="H17" i="2"/>
  <c r="G17" i="2"/>
  <c r="F17" i="2"/>
  <c r="M16" i="2"/>
  <c r="L16" i="2"/>
  <c r="K16" i="2"/>
  <c r="H16" i="2"/>
  <c r="G16" i="2"/>
  <c r="F16" i="2"/>
  <c r="E16" i="2"/>
  <c r="D16" i="2"/>
  <c r="C16" i="2"/>
  <c r="B16" i="2"/>
  <c r="M15" i="2"/>
  <c r="L15" i="2"/>
  <c r="K15" i="2"/>
  <c r="H15" i="2"/>
  <c r="G15" i="2"/>
  <c r="F15" i="2"/>
  <c r="E15" i="2"/>
  <c r="D15" i="2"/>
  <c r="C15" i="2"/>
  <c r="B15" i="2"/>
  <c r="J9" i="2"/>
  <c r="O9" i="2" s="1"/>
  <c r="I9" i="2"/>
  <c r="I20" i="2" s="1"/>
  <c r="F9" i="2"/>
  <c r="F20" i="2" s="1"/>
  <c r="J8" i="2"/>
  <c r="J19" i="2" s="1"/>
  <c r="I8" i="2"/>
  <c r="I19" i="2" s="1"/>
  <c r="F8" i="2"/>
  <c r="N8" i="2" s="1"/>
  <c r="J7" i="2"/>
  <c r="J18" i="2" s="1"/>
  <c r="I7" i="2"/>
  <c r="I18" i="2" s="1"/>
  <c r="F7" i="2"/>
  <c r="O6" i="2"/>
  <c r="J6" i="2"/>
  <c r="J17" i="2" s="1"/>
  <c r="I6" i="2"/>
  <c r="I17" i="2" s="1"/>
  <c r="J5" i="2"/>
  <c r="J16" i="2" s="1"/>
  <c r="I5" i="2"/>
  <c r="I16" i="2" s="1"/>
  <c r="J4" i="2"/>
  <c r="J15" i="2" s="1"/>
  <c r="I4" i="2"/>
  <c r="I15" i="2" s="1"/>
  <c r="Y8" i="1"/>
  <c r="Q8" i="1"/>
  <c r="I8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AC6" i="1"/>
  <c r="AB6" i="1"/>
  <c r="AA6" i="1"/>
  <c r="Z6" i="1"/>
  <c r="Y6" i="1"/>
  <c r="Y15" i="1" s="1"/>
  <c r="X6" i="1"/>
  <c r="W6" i="1"/>
  <c r="V6" i="1"/>
  <c r="U6" i="1"/>
  <c r="T6" i="1"/>
  <c r="S6" i="1"/>
  <c r="R6" i="1"/>
  <c r="Q6" i="1"/>
  <c r="Q15" i="1" s="1"/>
  <c r="P6" i="1"/>
  <c r="O6" i="1"/>
  <c r="N6" i="1"/>
  <c r="M6" i="1"/>
  <c r="L6" i="1"/>
  <c r="K6" i="1"/>
  <c r="J6" i="1"/>
  <c r="I6" i="1"/>
  <c r="I15" i="1" s="1"/>
  <c r="H6" i="1"/>
  <c r="G6" i="1"/>
  <c r="F6" i="1"/>
  <c r="E6" i="1"/>
  <c r="D6" i="1"/>
  <c r="C6" i="1"/>
  <c r="B6" i="1"/>
  <c r="AD6" i="1" s="1"/>
  <c r="AC5" i="1"/>
  <c r="AC14" i="1" s="1"/>
  <c r="AB5" i="1"/>
  <c r="AA5" i="1"/>
  <c r="Z5" i="1"/>
  <c r="Y5" i="1"/>
  <c r="X5" i="1"/>
  <c r="W5" i="1"/>
  <c r="W14" i="1" s="1"/>
  <c r="V5" i="1"/>
  <c r="U5" i="1"/>
  <c r="U14" i="1" s="1"/>
  <c r="T5" i="1"/>
  <c r="S5" i="1"/>
  <c r="R5" i="1"/>
  <c r="Q5" i="1"/>
  <c r="P5" i="1"/>
  <c r="O5" i="1"/>
  <c r="O14" i="1" s="1"/>
  <c r="N5" i="1"/>
  <c r="M5" i="1"/>
  <c r="M14" i="1" s="1"/>
  <c r="L5" i="1"/>
  <c r="K5" i="1"/>
  <c r="J5" i="1"/>
  <c r="I5" i="1"/>
  <c r="H5" i="1"/>
  <c r="G5" i="1"/>
  <c r="G14" i="1" s="1"/>
  <c r="F5" i="1"/>
  <c r="E5" i="1"/>
  <c r="E14" i="1" s="1"/>
  <c r="D5" i="1"/>
  <c r="C5" i="1"/>
  <c r="B5" i="1"/>
  <c r="AD5" i="1" s="1"/>
  <c r="AC4" i="1"/>
  <c r="AB4" i="1"/>
  <c r="AA4" i="1"/>
  <c r="Z4" i="1"/>
  <c r="Y4" i="1"/>
  <c r="X4" i="1"/>
  <c r="W4" i="1"/>
  <c r="V4" i="1"/>
  <c r="U4" i="1"/>
  <c r="U9" i="1" s="1"/>
  <c r="T4" i="1"/>
  <c r="S4" i="1"/>
  <c r="R4" i="1"/>
  <c r="Q4" i="1"/>
  <c r="P4" i="1"/>
  <c r="O4" i="1"/>
  <c r="N4" i="1"/>
  <c r="M4" i="1"/>
  <c r="M9" i="1" s="1"/>
  <c r="L4" i="1"/>
  <c r="K4" i="1"/>
  <c r="J4" i="1"/>
  <c r="I4" i="1"/>
  <c r="H4" i="1"/>
  <c r="G4" i="1"/>
  <c r="F4" i="1"/>
  <c r="E4" i="1"/>
  <c r="E9" i="1" s="1"/>
  <c r="D4" i="1"/>
  <c r="C4" i="1"/>
  <c r="B4" i="1"/>
  <c r="AC3" i="1"/>
  <c r="AB3" i="1"/>
  <c r="AB9" i="1" s="1"/>
  <c r="AA3" i="1"/>
  <c r="AA9" i="1" s="1"/>
  <c r="Z3" i="1"/>
  <c r="Z9" i="1" s="1"/>
  <c r="Y3" i="1"/>
  <c r="Y9" i="1" s="1"/>
  <c r="X3" i="1"/>
  <c r="W3" i="1"/>
  <c r="V3" i="1"/>
  <c r="V9" i="1" s="1"/>
  <c r="U3" i="1"/>
  <c r="T3" i="1"/>
  <c r="T9" i="1" s="1"/>
  <c r="S3" i="1"/>
  <c r="S9" i="1" s="1"/>
  <c r="R3" i="1"/>
  <c r="R9" i="1" s="1"/>
  <c r="Q3" i="1"/>
  <c r="Q9" i="1" s="1"/>
  <c r="P3" i="1"/>
  <c r="O3" i="1"/>
  <c r="N3" i="1"/>
  <c r="N9" i="1" s="1"/>
  <c r="M3" i="1"/>
  <c r="L3" i="1"/>
  <c r="L9" i="1" s="1"/>
  <c r="K3" i="1"/>
  <c r="K9" i="1" s="1"/>
  <c r="J3" i="1"/>
  <c r="J9" i="1" s="1"/>
  <c r="I3" i="1"/>
  <c r="I9" i="1" s="1"/>
  <c r="H3" i="1"/>
  <c r="G3" i="1"/>
  <c r="F3" i="1"/>
  <c r="F9" i="1" s="1"/>
  <c r="E3" i="1"/>
  <c r="D3" i="1"/>
  <c r="D9" i="1" s="1"/>
  <c r="C3" i="1"/>
  <c r="C9" i="1" s="1"/>
  <c r="B3" i="1"/>
  <c r="B9" i="1" s="1"/>
  <c r="F19" i="2" l="1"/>
  <c r="N19" i="2" s="1"/>
  <c r="N7" i="2"/>
  <c r="O4" i="2"/>
  <c r="N5" i="2"/>
  <c r="O7" i="2"/>
  <c r="F18" i="2"/>
  <c r="O18" i="2" s="1"/>
  <c r="R15" i="1"/>
  <c r="J15" i="1"/>
  <c r="B15" i="1"/>
  <c r="Z15" i="1"/>
  <c r="O15" i="1"/>
  <c r="W15" i="1"/>
  <c r="G15" i="1"/>
  <c r="AC15" i="1"/>
  <c r="U15" i="1"/>
  <c r="M15" i="1"/>
  <c r="E15" i="1"/>
  <c r="O16" i="2"/>
  <c r="G12" i="1"/>
  <c r="C15" i="1"/>
  <c r="K15" i="1"/>
  <c r="S15" i="1"/>
  <c r="AA15" i="1"/>
  <c r="O16" i="1"/>
  <c r="H14" i="1"/>
  <c r="P14" i="1"/>
  <c r="X14" i="1"/>
  <c r="D15" i="1"/>
  <c r="L15" i="1"/>
  <c r="T15" i="1"/>
  <c r="AB15" i="1"/>
  <c r="N16" i="2"/>
  <c r="N17" i="2"/>
  <c r="V14" i="1"/>
  <c r="N14" i="1"/>
  <c r="F14" i="1"/>
  <c r="AA14" i="1"/>
  <c r="S14" i="1"/>
  <c r="C14" i="1"/>
  <c r="K14" i="1"/>
  <c r="I14" i="1"/>
  <c r="Y14" i="1"/>
  <c r="Q14" i="1"/>
  <c r="J14" i="1"/>
  <c r="R14" i="1"/>
  <c r="Z14" i="1"/>
  <c r="F15" i="1"/>
  <c r="N15" i="1"/>
  <c r="V15" i="1"/>
  <c r="Z16" i="1"/>
  <c r="O17" i="2"/>
  <c r="K16" i="1"/>
  <c r="S16" i="1"/>
  <c r="O15" i="2"/>
  <c r="D14" i="1"/>
  <c r="L14" i="1"/>
  <c r="T14" i="1"/>
  <c r="AB14" i="1"/>
  <c r="H15" i="1"/>
  <c r="P15" i="1"/>
  <c r="X15" i="1"/>
  <c r="D16" i="1"/>
  <c r="L16" i="1"/>
  <c r="AC9" i="1"/>
  <c r="AD4" i="1"/>
  <c r="C13" i="1" s="1"/>
  <c r="B8" i="1"/>
  <c r="J8" i="1"/>
  <c r="R8" i="1"/>
  <c r="Z8" i="1"/>
  <c r="Z12" i="1"/>
  <c r="B14" i="1"/>
  <c r="AD7" i="1"/>
  <c r="N16" i="1" s="1"/>
  <c r="C8" i="1"/>
  <c r="S8" i="1"/>
  <c r="G9" i="1"/>
  <c r="W9" i="1"/>
  <c r="O8" i="2"/>
  <c r="J20" i="2"/>
  <c r="N20" i="2" s="1"/>
  <c r="D8" i="1"/>
  <c r="L8" i="1"/>
  <c r="T8" i="1"/>
  <c r="AB8" i="1"/>
  <c r="H9" i="1"/>
  <c r="P9" i="1"/>
  <c r="X9" i="1"/>
  <c r="D12" i="1"/>
  <c r="K8" i="1"/>
  <c r="AA8" i="1"/>
  <c r="O9" i="1"/>
  <c r="AD3" i="1"/>
  <c r="X12" i="1" s="1"/>
  <c r="E8" i="1"/>
  <c r="M8" i="1"/>
  <c r="U8" i="1"/>
  <c r="AC8" i="1"/>
  <c r="O5" i="2"/>
  <c r="N15" i="2"/>
  <c r="V8" i="1"/>
  <c r="N8" i="1"/>
  <c r="G8" i="1"/>
  <c r="O8" i="1"/>
  <c r="W8" i="1"/>
  <c r="N9" i="2"/>
  <c r="F8" i="1"/>
  <c r="H8" i="1"/>
  <c r="P8" i="1"/>
  <c r="X8" i="1"/>
  <c r="N4" i="2"/>
  <c r="N6" i="2"/>
  <c r="N18" i="2" l="1"/>
  <c r="O19" i="2"/>
  <c r="N13" i="1"/>
  <c r="R12" i="1"/>
  <c r="E16" i="1"/>
  <c r="G16" i="1"/>
  <c r="G19" i="1" s="1"/>
  <c r="M16" i="1"/>
  <c r="V12" i="1"/>
  <c r="N12" i="1"/>
  <c r="F12" i="1"/>
  <c r="AA12" i="1"/>
  <c r="K12" i="1"/>
  <c r="S12" i="1"/>
  <c r="C12" i="1"/>
  <c r="I12" i="1"/>
  <c r="Y12" i="1"/>
  <c r="Q12" i="1"/>
  <c r="J12" i="1"/>
  <c r="M13" i="1"/>
  <c r="P13" i="1"/>
  <c r="C16" i="1"/>
  <c r="AC12" i="1"/>
  <c r="P12" i="1"/>
  <c r="M12" i="1"/>
  <c r="Z18" i="1"/>
  <c r="Q13" i="1"/>
  <c r="B12" i="1"/>
  <c r="E13" i="1"/>
  <c r="H13" i="1"/>
  <c r="W13" i="1"/>
  <c r="X16" i="1"/>
  <c r="H12" i="1"/>
  <c r="Z13" i="1"/>
  <c r="Z19" i="1" s="1"/>
  <c r="U13" i="1"/>
  <c r="AC16" i="1"/>
  <c r="O13" i="1"/>
  <c r="R16" i="1"/>
  <c r="AC13" i="1"/>
  <c r="P16" i="1"/>
  <c r="K13" i="1"/>
  <c r="R13" i="1"/>
  <c r="AB12" i="1"/>
  <c r="O20" i="2"/>
  <c r="Y13" i="1"/>
  <c r="G13" i="1"/>
  <c r="J16" i="1"/>
  <c r="S13" i="1"/>
  <c r="H16" i="1"/>
  <c r="AB13" i="1"/>
  <c r="O12" i="1"/>
  <c r="V16" i="1"/>
  <c r="J13" i="1"/>
  <c r="F13" i="1"/>
  <c r="B16" i="1"/>
  <c r="W12" i="1"/>
  <c r="T13" i="1"/>
  <c r="E12" i="1"/>
  <c r="AA13" i="1"/>
  <c r="B13" i="1"/>
  <c r="D13" i="1"/>
  <c r="D18" i="1" s="1"/>
  <c r="X13" i="1"/>
  <c r="X19" i="1" s="1"/>
  <c r="T12" i="1"/>
  <c r="Y16" i="1"/>
  <c r="Q16" i="1"/>
  <c r="I16" i="1"/>
  <c r="AB16" i="1"/>
  <c r="L12" i="1"/>
  <c r="T16" i="1"/>
  <c r="AA16" i="1"/>
  <c r="I13" i="1"/>
  <c r="V13" i="1"/>
  <c r="U16" i="1"/>
  <c r="L13" i="1"/>
  <c r="W16" i="1"/>
  <c r="F16" i="1"/>
  <c r="U12" i="1"/>
  <c r="S18" i="1" l="1"/>
  <c r="S19" i="1"/>
  <c r="E19" i="1"/>
  <c r="E18" i="1"/>
  <c r="G18" i="1"/>
  <c r="B18" i="1"/>
  <c r="B19" i="1"/>
  <c r="K18" i="1"/>
  <c r="K19" i="1"/>
  <c r="R18" i="1"/>
  <c r="R19" i="1"/>
  <c r="L18" i="1"/>
  <c r="L19" i="1"/>
  <c r="AA18" i="1"/>
  <c r="AA19" i="1"/>
  <c r="C18" i="1"/>
  <c r="C19" i="1"/>
  <c r="O19" i="1"/>
  <c r="O18" i="1"/>
  <c r="W19" i="1"/>
  <c r="W18" i="1"/>
  <c r="J18" i="1"/>
  <c r="J19" i="1"/>
  <c r="F19" i="1"/>
  <c r="F18" i="1"/>
  <c r="D19" i="1"/>
  <c r="AC19" i="1"/>
  <c r="AC18" i="1"/>
  <c r="AB18" i="1"/>
  <c r="AB19" i="1"/>
  <c r="H19" i="1"/>
  <c r="H18" i="1"/>
  <c r="Q18" i="1"/>
  <c r="Q19" i="1"/>
  <c r="N19" i="1"/>
  <c r="N18" i="1"/>
  <c r="T18" i="1"/>
  <c r="T19" i="1"/>
  <c r="M19" i="1"/>
  <c r="M18" i="1"/>
  <c r="Y18" i="1"/>
  <c r="Y19" i="1"/>
  <c r="V19" i="1"/>
  <c r="V18" i="1"/>
  <c r="X18" i="1"/>
  <c r="U19" i="1"/>
  <c r="U18" i="1"/>
  <c r="P19" i="1"/>
  <c r="P18" i="1"/>
  <c r="I18" i="1"/>
  <c r="I19" i="1"/>
</calcChain>
</file>

<file path=xl/sharedStrings.xml><?xml version="1.0" encoding="utf-8"?>
<sst xmlns="http://schemas.openxmlformats.org/spreadsheetml/2006/main" count="236" uniqueCount="91">
  <si>
    <t>Hexane</t>
  </si>
  <si>
    <t>R-linalool</t>
  </si>
  <si>
    <t>S-linalool</t>
  </si>
  <si>
    <t>2-phenylethanol</t>
  </si>
  <si>
    <t>3-octanol</t>
  </si>
  <si>
    <t>(E,E)-alpha-farnesol</t>
  </si>
  <si>
    <t>(Z)-3-hexenol</t>
  </si>
  <si>
    <t>(E,E)-8,10-dodecadien-1-ol</t>
  </si>
  <si>
    <t>Nonanal</t>
  </si>
  <si>
    <t>(Z)-4-undecenal</t>
  </si>
  <si>
    <t>(Z)-6-Undecenal 10</t>
  </si>
  <si>
    <t>(E,E)-2,4-decadienal</t>
  </si>
  <si>
    <t xml:space="preserve">Citral </t>
  </si>
  <si>
    <t>Beta-cyclocitral</t>
  </si>
  <si>
    <t>2-heptanone</t>
  </si>
  <si>
    <t>Ethyl acetate</t>
  </si>
  <si>
    <t>Ethyl hexanoate</t>
  </si>
  <si>
    <t>Ethyl-(E,Z)-2,4-decadienoate</t>
  </si>
  <si>
    <t>Methyl-(E,Z)-2,4-decadienoate</t>
  </si>
  <si>
    <t>Hexyl 2-methyl-butanoate</t>
  </si>
  <si>
    <t>Methyl salicylate</t>
  </si>
  <si>
    <t>(E,E)-8,10-dodecadien-1-yl acetate</t>
  </si>
  <si>
    <t>(Z,Z)-3,13-Octadecadien-1-yl acetate</t>
  </si>
  <si>
    <t>(E)-beta-farnesene</t>
  </si>
  <si>
    <t>(E,E)-alpha-farnesene</t>
  </si>
  <si>
    <t>(E)-beta-caryophyllene</t>
  </si>
  <si>
    <t>2-Phenylacetonitrile</t>
  </si>
  <si>
    <t>DMNT</t>
  </si>
  <si>
    <t>Average spiking</t>
  </si>
  <si>
    <t>Replicate</t>
  </si>
  <si>
    <t>Raw spike counting</t>
  </si>
  <si>
    <t>Average</t>
  </si>
  <si>
    <t>Std.Err.</t>
  </si>
  <si>
    <t>Normalized spike counting</t>
  </si>
  <si>
    <r>
      <rPr>
        <b/>
        <i/>
        <sz val="11"/>
        <color theme="1"/>
        <rFont val="Calibri"/>
        <family val="2"/>
      </rPr>
      <t>Wilcoxon Signed Rank Test (</t>
    </r>
    <r>
      <rPr>
        <b/>
        <i/>
        <sz val="11"/>
        <color theme="1"/>
        <rFont val="Calibri"/>
        <family val="2"/>
      </rPr>
      <t>α = 0.05)</t>
    </r>
  </si>
  <si>
    <t>Test of Normality</t>
  </si>
  <si>
    <t>Kolmogorov-Smirnova</t>
  </si>
  <si>
    <t>Shapiro-Wilk</t>
  </si>
  <si>
    <t>Statistic</t>
  </si>
  <si>
    <t>df</t>
  </si>
  <si>
    <t>Sig.</t>
  </si>
  <si>
    <t>,200*</t>
  </si>
  <si>
    <t>Citral</t>
  </si>
  <si>
    <t>*. This is a lower bound of the true significance.</t>
  </si>
  <si>
    <t>a. Lilliefors Significance Correction</t>
  </si>
  <si>
    <t>Raw spike counting (Spikes/5.0 sec)</t>
  </si>
  <si>
    <t>Headspace</t>
  </si>
  <si>
    <t>Haplomalus 583</t>
  </si>
  <si>
    <t>Malus 590</t>
  </si>
  <si>
    <t>Haplomalus 566</t>
  </si>
  <si>
    <t>Haplomalus 560</t>
  </si>
  <si>
    <t>Haplomalus 500</t>
  </si>
  <si>
    <t>Malus 561</t>
  </si>
  <si>
    <t>Malus 559</t>
  </si>
  <si>
    <t>Malus 603</t>
  </si>
  <si>
    <t>GC-MS</t>
  </si>
  <si>
    <t>Rep1</t>
  </si>
  <si>
    <t>Rep2</t>
  </si>
  <si>
    <t>Rep3</t>
  </si>
  <si>
    <t>Rep4</t>
  </si>
  <si>
    <t>Rep5</t>
  </si>
  <si>
    <t>Rep 6</t>
  </si>
  <si>
    <t>Rep7</t>
  </si>
  <si>
    <t>Rep8</t>
  </si>
  <si>
    <t>Rep9</t>
  </si>
  <si>
    <t>Rep10</t>
  </si>
  <si>
    <t>Rep11</t>
  </si>
  <si>
    <t>Rep12</t>
  </si>
  <si>
    <t>Unknown</t>
  </si>
  <si>
    <t>-</t>
  </si>
  <si>
    <t>Decanal</t>
  </si>
  <si>
    <t>Undecanal</t>
  </si>
  <si>
    <t>Dodecanal</t>
  </si>
  <si>
    <t>Column</t>
  </si>
  <si>
    <t>DB-wax</t>
  </si>
  <si>
    <t>HP-5</t>
  </si>
  <si>
    <t>Spike counting (Spikes/sec)</t>
  </si>
  <si>
    <t>Wilcoxon Signed Rank Test (α = 0.05)</t>
  </si>
  <si>
    <t>p-value</t>
  </si>
  <si>
    <t>Test of normality</t>
  </si>
  <si>
    <t>Parameters</t>
  </si>
  <si>
    <t>Hoplomalus 583</t>
  </si>
  <si>
    <t>Hoplomalus 566</t>
  </si>
  <si>
    <t>Hoplomalus 560</t>
  </si>
  <si>
    <t>Hoplomalus 500</t>
  </si>
  <si>
    <t>RT</t>
  </si>
  <si>
    <t>Kovats</t>
  </si>
  <si>
    <t>Journal of Pest Science</t>
  </si>
  <si>
    <r>
      <t>Alberto Maria Cattaneo</t>
    </r>
    <r>
      <rPr>
        <vertAlign val="superscript"/>
        <sz val="11"/>
        <color theme="1"/>
        <rFont val="Calibri"/>
        <family val="2"/>
        <scheme val="minor"/>
      </rPr>
      <t>1*#</t>
    </r>
    <r>
      <rPr>
        <sz val="11"/>
        <color theme="1"/>
        <rFont val="Calibri"/>
        <family val="2"/>
        <scheme val="minor"/>
      </rPr>
      <t>, Charles A. Kwadha</t>
    </r>
    <r>
      <rPr>
        <vertAlign val="superscript"/>
        <sz val="11"/>
        <color theme="1"/>
        <rFont val="Calibri"/>
        <family val="2"/>
        <scheme val="minor"/>
      </rPr>
      <t>1,2#</t>
    </r>
    <r>
      <rPr>
        <sz val="11"/>
        <color theme="1"/>
        <rFont val="Calibri"/>
        <family val="2"/>
        <scheme val="minor"/>
      </rPr>
      <t>, Heidi Pullmann-Lindsley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Anna L. Erdei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R. Jason Pitts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and William B. Walker III</t>
    </r>
    <r>
      <rPr>
        <vertAlign val="superscript"/>
        <sz val="11"/>
        <color theme="1"/>
        <rFont val="Calibri"/>
        <family val="2"/>
        <scheme val="minor"/>
      </rPr>
      <t>1,4*</t>
    </r>
  </si>
  <si>
    <r>
      <t xml:space="preserve">1Swedish University of Agricultural Sciences, Department of Plant Protection Biology, Chemical Ecology. Lomma - Campus Alnarp, SE-234 56 Sweden
2North Carolina State University, Department of Entomology and Plant Pathology, 1575 Varsity Drive, NC 27695-7616, USA
3Baylor University, Department of Biology, 101 Bagby Avenue, Waco, TX 76706, USA
4USDA-ARS, Temperate Tree Fruit and Vegetable Research Unit, 5230 Konnowac Pass Road Wapato, WA, 98951, USA
*Corresponding Authors: </t>
    </r>
    <r>
      <rPr>
        <b/>
        <sz val="11"/>
        <color theme="1"/>
        <rFont val="Calibri"/>
        <family val="2"/>
        <scheme val="minor"/>
      </rPr>
      <t>albertomaria.cattaneo@gmail.com</t>
    </r>
    <r>
      <rPr>
        <sz val="11"/>
        <color theme="1"/>
        <rFont val="Calibri"/>
        <family val="2"/>
        <scheme val="minor"/>
      </rPr>
      <t xml:space="preserve"> , </t>
    </r>
    <r>
      <rPr>
        <b/>
        <sz val="11"/>
        <color theme="1"/>
        <rFont val="Calibri"/>
        <family val="2"/>
        <scheme val="minor"/>
      </rPr>
      <t>william.walker@usda.gov</t>
    </r>
    <r>
      <rPr>
        <sz val="11"/>
        <color theme="1"/>
        <rFont val="Calibri"/>
        <family val="2"/>
        <scheme val="minor"/>
      </rPr>
      <t xml:space="preserve">
#Authors contributed equally</t>
    </r>
  </si>
  <si>
    <t>Functional characterization of a female-biased chemoreceptor of the codling moth (Cydia pomonella) responding to aldehydes and other volatile compounds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</si>
</sst>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theme="1"/>
      <name val="Arial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1"/>
      <name val="Calibri"/>
      <family val="2"/>
    </font>
    <font>
      <i/>
      <sz val="9"/>
      <color theme="1"/>
      <name val="Calibri"/>
      <family val="2"/>
    </font>
    <font>
      <b/>
      <i/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996633"/>
        <bgColor rgb="FF996633"/>
      </patternFill>
    </fill>
    <fill>
      <patternFill patternType="solid">
        <fgColor rgb="FFFFC000"/>
        <bgColor rgb="FFFFC000"/>
      </patternFill>
    </fill>
    <fill>
      <patternFill patternType="solid">
        <fgColor rgb="FF7030A0"/>
        <bgColor rgb="FF7030A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5" borderId="1" xfId="0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0" fontId="14" fillId="0" borderId="2" xfId="0" applyFont="1" applyBorder="1"/>
    <xf numFmtId="0" fontId="14" fillId="0" borderId="0" xfId="0" applyFont="1" applyAlignment="1">
      <alignment horizontal="center"/>
    </xf>
    <xf numFmtId="2" fontId="12" fillId="0" borderId="2" xfId="0" applyNumberFormat="1" applyFont="1" applyBorder="1"/>
    <xf numFmtId="0" fontId="12" fillId="0" borderId="0" xfId="0" applyFont="1" applyAlignment="1">
      <alignment horizontal="center"/>
    </xf>
    <xf numFmtId="0" fontId="15" fillId="0" borderId="2" xfId="0" applyFont="1" applyBorder="1" applyAlignment="1">
      <alignment horizontal="center"/>
    </xf>
    <xf numFmtId="0" fontId="11" fillId="0" borderId="2" xfId="0" applyFont="1" applyBorder="1"/>
    <xf numFmtId="0" fontId="11" fillId="9" borderId="1" xfId="0" applyFont="1" applyFill="1" applyBorder="1"/>
    <xf numFmtId="0" fontId="11" fillId="5" borderId="1" xfId="0" applyFont="1" applyFill="1" applyBorder="1"/>
    <xf numFmtId="0" fontId="7" fillId="9" borderId="0" xfId="0" applyFont="1" applyFill="1"/>
    <xf numFmtId="0" fontId="11" fillId="0" borderId="0" xfId="0" applyFont="1" applyAlignment="1">
      <alignment horizontal="right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164" fontId="12" fillId="0" borderId="2" xfId="0" applyNumberFormat="1" applyFont="1" applyBorder="1" applyAlignment="1">
      <alignment horizontal="center"/>
    </xf>
    <xf numFmtId="164" fontId="12" fillId="0" borderId="2" xfId="0" applyNumberFormat="1" applyFont="1" applyBorder="1"/>
    <xf numFmtId="165" fontId="12" fillId="0" borderId="2" xfId="0" applyNumberFormat="1" applyFont="1" applyBorder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/>
    <xf numFmtId="0" fontId="12" fillId="0" borderId="3" xfId="0" applyFont="1" applyBorder="1" applyAlignment="1">
      <alignment horizontal="center"/>
    </xf>
    <xf numFmtId="0" fontId="13" fillId="0" borderId="5" xfId="0" applyFont="1" applyBorder="1"/>
    <xf numFmtId="0" fontId="13" fillId="0" borderId="4" xfId="0" applyFont="1" applyBorder="1"/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D2E90-75A0-47D8-A333-2DD11AB76F1C}">
  <dimension ref="A1:W9"/>
  <sheetViews>
    <sheetView tabSelected="1" workbookViewId="0">
      <selection activeCell="P13" sqref="P13"/>
    </sheetView>
  </sheetViews>
  <sheetFormatPr defaultRowHeight="14.4" x14ac:dyDescent="0.3"/>
  <sheetData>
    <row r="1" spans="1:23" x14ac:dyDescent="0.3">
      <c r="A1" s="40" t="s">
        <v>90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x14ac:dyDescent="0.3">
      <c r="A2" s="41" t="s">
        <v>87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23" ht="16.2" x14ac:dyDescent="0.3">
      <c r="A3" s="42" t="s">
        <v>88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</row>
    <row r="4" spans="1:23" x14ac:dyDescent="0.3">
      <c r="A4" s="44" t="s">
        <v>89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</row>
    <row r="5" spans="1:23" x14ac:dyDescent="0.3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1:23" x14ac:dyDescent="0.3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</row>
    <row r="7" spans="1:23" x14ac:dyDescent="0.3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</row>
    <row r="8" spans="1:23" x14ac:dyDescent="0.3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</row>
    <row r="9" spans="1:23" x14ac:dyDescent="0.3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</row>
  </sheetData>
  <mergeCells count="4">
    <mergeCell ref="A1:W1"/>
    <mergeCell ref="A2:W2"/>
    <mergeCell ref="A3:W3"/>
    <mergeCell ref="A4:W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00"/>
  <sheetViews>
    <sheetView topLeftCell="A4" workbookViewId="0"/>
  </sheetViews>
  <sheetFormatPr defaultColWidth="14.44140625" defaultRowHeight="15" customHeight="1" x14ac:dyDescent="0.3"/>
  <cols>
    <col min="1" max="1" width="33.6640625" customWidth="1"/>
    <col min="2" max="30" width="16.6640625" customWidth="1"/>
  </cols>
  <sheetData>
    <row r="1" spans="1:30" ht="14.25" customHeight="1" x14ac:dyDescent="0.3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5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7" t="s">
        <v>21</v>
      </c>
      <c r="X1" s="7" t="s">
        <v>22</v>
      </c>
      <c r="Y1" s="8" t="s">
        <v>23</v>
      </c>
      <c r="Z1" s="8" t="s">
        <v>24</v>
      </c>
      <c r="AA1" s="8" t="s">
        <v>25</v>
      </c>
      <c r="AB1" s="9" t="s">
        <v>26</v>
      </c>
      <c r="AC1" s="9" t="s">
        <v>27</v>
      </c>
      <c r="AD1" s="10" t="s">
        <v>28</v>
      </c>
    </row>
    <row r="2" spans="1:30" ht="14.25" customHeight="1" x14ac:dyDescent="0.3">
      <c r="A2" s="11" t="s">
        <v>29</v>
      </c>
      <c r="B2" s="11" t="s">
        <v>30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14.25" customHeight="1" x14ac:dyDescent="0.3">
      <c r="A3" s="13">
        <v>1</v>
      </c>
      <c r="B3" s="12">
        <f>10-15</f>
        <v>-5</v>
      </c>
      <c r="C3" s="12">
        <f>4-9</f>
        <v>-5</v>
      </c>
      <c r="D3" s="12">
        <f>7-7</f>
        <v>0</v>
      </c>
      <c r="E3" s="12">
        <f>6-15</f>
        <v>-9</v>
      </c>
      <c r="F3" s="12">
        <f>3-20</f>
        <v>-17</v>
      </c>
      <c r="G3" s="12">
        <f>2-0</f>
        <v>2</v>
      </c>
      <c r="H3" s="12">
        <f>12-6</f>
        <v>6</v>
      </c>
      <c r="I3" s="12">
        <f>15-14</f>
        <v>1</v>
      </c>
      <c r="J3" s="13">
        <f>117-17</f>
        <v>100</v>
      </c>
      <c r="K3" s="13">
        <f>72-13</f>
        <v>59</v>
      </c>
      <c r="L3" s="13">
        <f>142-27</f>
        <v>115</v>
      </c>
      <c r="M3" s="13">
        <f>18-13</f>
        <v>5</v>
      </c>
      <c r="N3" s="13">
        <f>17-10</f>
        <v>7</v>
      </c>
      <c r="O3" s="13">
        <f>16-11</f>
        <v>5</v>
      </c>
      <c r="P3" s="13">
        <f>2-9</f>
        <v>-7</v>
      </c>
      <c r="Q3" s="13">
        <f>2-20</f>
        <v>-18</v>
      </c>
      <c r="R3" s="13">
        <f>11-15</f>
        <v>-4</v>
      </c>
      <c r="S3" s="13">
        <f>11-8</f>
        <v>3</v>
      </c>
      <c r="T3" s="13">
        <f>26-12</f>
        <v>14</v>
      </c>
      <c r="U3" s="13">
        <f>12-9</f>
        <v>3</v>
      </c>
      <c r="V3" s="13">
        <f>1-14</f>
        <v>-13</v>
      </c>
      <c r="W3" s="13">
        <f>21-8</f>
        <v>13</v>
      </c>
      <c r="X3" s="13">
        <f>23-5</f>
        <v>18</v>
      </c>
      <c r="Y3" s="13">
        <f>0-2</f>
        <v>-2</v>
      </c>
      <c r="Z3" s="13">
        <f>1-4</f>
        <v>-3</v>
      </c>
      <c r="AA3" s="13">
        <f>15-17</f>
        <v>-2</v>
      </c>
      <c r="AB3" s="13">
        <f>9-18</f>
        <v>-9</v>
      </c>
      <c r="AC3" s="13">
        <f>9-7</f>
        <v>2</v>
      </c>
      <c r="AD3" s="14">
        <f t="shared" ref="AD3:AD7" si="0">AVERAGE(B3:AC3)</f>
        <v>9.25</v>
      </c>
    </row>
    <row r="4" spans="1:30" ht="14.25" customHeight="1" x14ac:dyDescent="0.3">
      <c r="A4" s="13">
        <v>2</v>
      </c>
      <c r="B4" s="12">
        <f>23-22</f>
        <v>1</v>
      </c>
      <c r="C4" s="12">
        <f>13-22</f>
        <v>-9</v>
      </c>
      <c r="D4" s="12">
        <f>29-22</f>
        <v>7</v>
      </c>
      <c r="E4" s="12">
        <f>22-21</f>
        <v>1</v>
      </c>
      <c r="F4" s="12">
        <f>18-23</f>
        <v>-5</v>
      </c>
      <c r="G4" s="12">
        <f>21-20</f>
        <v>1</v>
      </c>
      <c r="H4" s="12">
        <f>25-17</f>
        <v>8</v>
      </c>
      <c r="I4" s="12">
        <f>26-20</f>
        <v>6</v>
      </c>
      <c r="J4" s="13">
        <f>132-24</f>
        <v>108</v>
      </c>
      <c r="K4" s="13">
        <f>120-23</f>
        <v>97</v>
      </c>
      <c r="L4" s="13">
        <f>123-17</f>
        <v>106</v>
      </c>
      <c r="M4" s="13">
        <f>31-21</f>
        <v>10</v>
      </c>
      <c r="N4" s="13">
        <f>25-19</f>
        <v>6</v>
      </c>
      <c r="O4" s="13">
        <f>15-20</f>
        <v>-5</v>
      </c>
      <c r="P4" s="13">
        <f>4-22</f>
        <v>-18</v>
      </c>
      <c r="Q4" s="13">
        <f>7-17</f>
        <v>-10</v>
      </c>
      <c r="R4" s="13">
        <f>34+15-24</f>
        <v>25</v>
      </c>
      <c r="S4" s="13">
        <f>30-22</f>
        <v>8</v>
      </c>
      <c r="T4" s="13">
        <f>26-23</f>
        <v>3</v>
      </c>
      <c r="U4" s="13">
        <f>32-21</f>
        <v>11</v>
      </c>
      <c r="V4" s="13">
        <f>17-24</f>
        <v>-7</v>
      </c>
      <c r="W4" s="13">
        <f>22-20</f>
        <v>2</v>
      </c>
      <c r="X4" s="13">
        <f>24-23</f>
        <v>1</v>
      </c>
      <c r="Y4" s="13">
        <f>22-20</f>
        <v>2</v>
      </c>
      <c r="Z4" s="13">
        <f>19-17</f>
        <v>2</v>
      </c>
      <c r="AA4" s="13">
        <f>16-22</f>
        <v>-6</v>
      </c>
      <c r="AB4" s="13">
        <f>37-18</f>
        <v>19</v>
      </c>
      <c r="AC4" s="13">
        <f>18-17</f>
        <v>1</v>
      </c>
      <c r="AD4" s="14">
        <f t="shared" si="0"/>
        <v>13.035714285714286</v>
      </c>
    </row>
    <row r="5" spans="1:30" ht="14.25" customHeight="1" x14ac:dyDescent="0.3">
      <c r="A5" s="13">
        <v>3</v>
      </c>
      <c r="B5" s="12">
        <f>13-18</f>
        <v>-5</v>
      </c>
      <c r="C5" s="12">
        <f>23-10</f>
        <v>13</v>
      </c>
      <c r="D5" s="12">
        <f>25-11</f>
        <v>14</v>
      </c>
      <c r="E5" s="12">
        <f>29-9</f>
        <v>20</v>
      </c>
      <c r="F5" s="12">
        <f>22-12</f>
        <v>10</v>
      </c>
      <c r="G5" s="12">
        <f>23-16</f>
        <v>7</v>
      </c>
      <c r="H5" s="12">
        <f>23-15</f>
        <v>8</v>
      </c>
      <c r="I5" s="12">
        <f>19-9</f>
        <v>10</v>
      </c>
      <c r="J5" s="13">
        <f>127-17</f>
        <v>110</v>
      </c>
      <c r="K5" s="13">
        <f>99-15</f>
        <v>84</v>
      </c>
      <c r="L5" s="13">
        <f>138-12</f>
        <v>126</v>
      </c>
      <c r="M5" s="13">
        <f>37-14</f>
        <v>23</v>
      </c>
      <c r="N5" s="13">
        <f>29-9</f>
        <v>20</v>
      </c>
      <c r="O5" s="13">
        <f>6-8</f>
        <v>-2</v>
      </c>
      <c r="P5" s="13">
        <f>25-14</f>
        <v>11</v>
      </c>
      <c r="Q5" s="13">
        <f>15-13</f>
        <v>2</v>
      </c>
      <c r="R5" s="13">
        <f>29-15</f>
        <v>14</v>
      </c>
      <c r="S5" s="13">
        <f>19-4</f>
        <v>15</v>
      </c>
      <c r="T5" s="13">
        <f>18-8</f>
        <v>10</v>
      </c>
      <c r="U5" s="13">
        <f>32-11</f>
        <v>21</v>
      </c>
      <c r="V5" s="13">
        <f>12-9</f>
        <v>3</v>
      </c>
      <c r="W5" s="13">
        <f>15-9</f>
        <v>6</v>
      </c>
      <c r="X5" s="13">
        <f>26-14</f>
        <v>12</v>
      </c>
      <c r="Y5" s="13">
        <f>16-11</f>
        <v>5</v>
      </c>
      <c r="Z5" s="13">
        <f>17-12</f>
        <v>5</v>
      </c>
      <c r="AA5" s="13">
        <f>20-13</f>
        <v>7</v>
      </c>
      <c r="AB5" s="13">
        <f>31-10</f>
        <v>21</v>
      </c>
      <c r="AC5" s="13">
        <f>18-11</f>
        <v>7</v>
      </c>
      <c r="AD5" s="14">
        <f t="shared" si="0"/>
        <v>20.607142857142858</v>
      </c>
    </row>
    <row r="6" spans="1:30" ht="14.25" customHeight="1" x14ac:dyDescent="0.3">
      <c r="A6" s="13">
        <v>4</v>
      </c>
      <c r="B6" s="12">
        <f>15-5</f>
        <v>10</v>
      </c>
      <c r="C6" s="12">
        <f>11-4</f>
        <v>7</v>
      </c>
      <c r="D6" s="12">
        <f>19-3</f>
        <v>16</v>
      </c>
      <c r="E6" s="12">
        <f>22-4</f>
        <v>18</v>
      </c>
      <c r="F6" s="12">
        <f>23-4</f>
        <v>19</v>
      </c>
      <c r="G6" s="12">
        <f>22-3</f>
        <v>19</v>
      </c>
      <c r="H6" s="12">
        <f>23-6</f>
        <v>17</v>
      </c>
      <c r="I6" s="12">
        <f>21-3</f>
        <v>18</v>
      </c>
      <c r="J6" s="13">
        <f>81-5</f>
        <v>76</v>
      </c>
      <c r="K6" s="13">
        <f>45-5</f>
        <v>40</v>
      </c>
      <c r="L6" s="13">
        <f>65-4</f>
        <v>61</v>
      </c>
      <c r="M6" s="13">
        <f>27-3</f>
        <v>24</v>
      </c>
      <c r="N6" s="13">
        <f>26-6</f>
        <v>20</v>
      </c>
      <c r="O6" s="13">
        <f>6-6</f>
        <v>0</v>
      </c>
      <c r="P6" s="13">
        <f>2-7</f>
        <v>-5</v>
      </c>
      <c r="Q6" s="13">
        <f>15-6</f>
        <v>9</v>
      </c>
      <c r="R6" s="13">
        <f>25-6</f>
        <v>19</v>
      </c>
      <c r="S6" s="13">
        <f>20-2</f>
        <v>18</v>
      </c>
      <c r="T6" s="13">
        <f>15-5</f>
        <v>10</v>
      </c>
      <c r="U6" s="13">
        <f>31-2</f>
        <v>29</v>
      </c>
      <c r="V6" s="13">
        <f>15-7</f>
        <v>8</v>
      </c>
      <c r="W6" s="13">
        <f>20-6</f>
        <v>14</v>
      </c>
      <c r="X6" s="13">
        <f>21-4</f>
        <v>17</v>
      </c>
      <c r="Y6" s="13">
        <f>21-3</f>
        <v>18</v>
      </c>
      <c r="Z6" s="13">
        <f>22-2</f>
        <v>20</v>
      </c>
      <c r="AA6" s="13">
        <f>19-3</f>
        <v>16</v>
      </c>
      <c r="AB6" s="13">
        <f>25-6</f>
        <v>19</v>
      </c>
      <c r="AC6" s="13">
        <f>20-4</f>
        <v>16</v>
      </c>
      <c r="AD6" s="14">
        <f t="shared" si="0"/>
        <v>19.75</v>
      </c>
    </row>
    <row r="7" spans="1:30" ht="14.25" customHeight="1" x14ac:dyDescent="0.3">
      <c r="A7" s="13">
        <v>5</v>
      </c>
      <c r="B7" s="12">
        <f>9-18</f>
        <v>-9</v>
      </c>
      <c r="C7" s="12">
        <f>1-15</f>
        <v>-14</v>
      </c>
      <c r="D7" s="12">
        <f>2-14</f>
        <v>-12</v>
      </c>
      <c r="E7" s="12">
        <f>1-15</f>
        <v>-14</v>
      </c>
      <c r="F7" s="12">
        <f>13-13</f>
        <v>0</v>
      </c>
      <c r="G7" s="12">
        <f>1-9</f>
        <v>-8</v>
      </c>
      <c r="H7" s="12">
        <f>1-13</f>
        <v>-12</v>
      </c>
      <c r="I7" s="12">
        <f>4-17</f>
        <v>-13</v>
      </c>
      <c r="J7" s="13">
        <f>89-20</f>
        <v>69</v>
      </c>
      <c r="K7" s="13">
        <f>53-19</f>
        <v>34</v>
      </c>
      <c r="L7" s="13">
        <f>71-14</f>
        <v>57</v>
      </c>
      <c r="M7" s="13">
        <f>25-14</f>
        <v>11</v>
      </c>
      <c r="N7" s="13">
        <f>0-19</f>
        <v>-19</v>
      </c>
      <c r="O7" s="13">
        <f>5-12</f>
        <v>-7</v>
      </c>
      <c r="P7" s="13">
        <f>3-14</f>
        <v>-11</v>
      </c>
      <c r="Q7" s="13">
        <f>3-13</f>
        <v>-10</v>
      </c>
      <c r="R7" s="13">
        <f>2-13</f>
        <v>-11</v>
      </c>
      <c r="S7" s="13">
        <f>5-12</f>
        <v>-7</v>
      </c>
      <c r="T7" s="13">
        <f>3-22</f>
        <v>-19</v>
      </c>
      <c r="U7" s="13">
        <f>3-16</f>
        <v>-13</v>
      </c>
      <c r="V7" s="13">
        <f>7-16</f>
        <v>-9</v>
      </c>
      <c r="W7" s="13">
        <f>1-17</f>
        <v>-16</v>
      </c>
      <c r="X7" s="13">
        <f>1-18</f>
        <v>-17</v>
      </c>
      <c r="Y7" s="13">
        <f>4-13</f>
        <v>-9</v>
      </c>
      <c r="Z7" s="13">
        <f>3-9</f>
        <v>-6</v>
      </c>
      <c r="AA7" s="13">
        <f>3-14</f>
        <v>-11</v>
      </c>
      <c r="AB7" s="13">
        <f>1-19</f>
        <v>-18</v>
      </c>
      <c r="AC7" s="13">
        <f>0-12</f>
        <v>-12</v>
      </c>
      <c r="AD7" s="14">
        <f t="shared" si="0"/>
        <v>-3.7857142857142856</v>
      </c>
    </row>
    <row r="8" spans="1:30" ht="14.25" customHeight="1" x14ac:dyDescent="0.3">
      <c r="A8" s="14" t="s">
        <v>31</v>
      </c>
      <c r="B8" s="14">
        <f t="shared" ref="B8:AC8" si="1">AVERAGE(B3:B7)</f>
        <v>-1.6</v>
      </c>
      <c r="C8" s="14">
        <f t="shared" si="1"/>
        <v>-1.6</v>
      </c>
      <c r="D8" s="14">
        <f t="shared" si="1"/>
        <v>5</v>
      </c>
      <c r="E8" s="14">
        <f t="shared" si="1"/>
        <v>3.2</v>
      </c>
      <c r="F8" s="14">
        <f t="shared" si="1"/>
        <v>1.4</v>
      </c>
      <c r="G8" s="14">
        <f t="shared" si="1"/>
        <v>4.2</v>
      </c>
      <c r="H8" s="14">
        <f t="shared" si="1"/>
        <v>5.4</v>
      </c>
      <c r="I8" s="14">
        <f t="shared" si="1"/>
        <v>4.4000000000000004</v>
      </c>
      <c r="J8" s="14">
        <f t="shared" si="1"/>
        <v>92.6</v>
      </c>
      <c r="K8" s="14">
        <f t="shared" si="1"/>
        <v>62.8</v>
      </c>
      <c r="L8" s="14">
        <f t="shared" si="1"/>
        <v>93</v>
      </c>
      <c r="M8" s="14">
        <f t="shared" si="1"/>
        <v>14.6</v>
      </c>
      <c r="N8" s="14">
        <f t="shared" si="1"/>
        <v>6.8</v>
      </c>
      <c r="O8" s="14">
        <f t="shared" si="1"/>
        <v>-1.8</v>
      </c>
      <c r="P8" s="14">
        <f t="shared" si="1"/>
        <v>-6</v>
      </c>
      <c r="Q8" s="14">
        <f t="shared" si="1"/>
        <v>-5.4</v>
      </c>
      <c r="R8" s="14">
        <f t="shared" si="1"/>
        <v>8.6</v>
      </c>
      <c r="S8" s="14">
        <f t="shared" si="1"/>
        <v>7.4</v>
      </c>
      <c r="T8" s="14">
        <f t="shared" si="1"/>
        <v>3.6</v>
      </c>
      <c r="U8" s="14">
        <f t="shared" si="1"/>
        <v>10.199999999999999</v>
      </c>
      <c r="V8" s="14">
        <f t="shared" si="1"/>
        <v>-3.6</v>
      </c>
      <c r="W8" s="14">
        <f t="shared" si="1"/>
        <v>3.8</v>
      </c>
      <c r="X8" s="14">
        <f t="shared" si="1"/>
        <v>6.2</v>
      </c>
      <c r="Y8" s="14">
        <f t="shared" si="1"/>
        <v>2.8</v>
      </c>
      <c r="Z8" s="14">
        <f t="shared" si="1"/>
        <v>3.6</v>
      </c>
      <c r="AA8" s="14">
        <f t="shared" si="1"/>
        <v>0.8</v>
      </c>
      <c r="AB8" s="14">
        <f t="shared" si="1"/>
        <v>6.4</v>
      </c>
      <c r="AC8" s="14">
        <f t="shared" si="1"/>
        <v>2.8</v>
      </c>
      <c r="AD8" s="14"/>
    </row>
    <row r="9" spans="1:30" ht="14.25" customHeight="1" x14ac:dyDescent="0.3">
      <c r="A9" s="14" t="s">
        <v>32</v>
      </c>
      <c r="B9" s="14">
        <f t="shared" ref="B9:AC9" si="2">STDEV(B3:B7)/SQRT(5)</f>
        <v>3.3105890714493698</v>
      </c>
      <c r="C9" s="14">
        <f t="shared" si="2"/>
        <v>5.0358713248056679</v>
      </c>
      <c r="D9" s="14">
        <f t="shared" si="2"/>
        <v>5.0990195135927845</v>
      </c>
      <c r="E9" s="14">
        <f t="shared" si="2"/>
        <v>6.8949256703752795</v>
      </c>
      <c r="F9" s="14">
        <f t="shared" si="2"/>
        <v>6.185466837676846</v>
      </c>
      <c r="G9" s="14">
        <f t="shared" si="2"/>
        <v>4.4204072210600689</v>
      </c>
      <c r="H9" s="14">
        <f t="shared" si="2"/>
        <v>4.7497368348151667</v>
      </c>
      <c r="I9" s="14">
        <f t="shared" si="2"/>
        <v>5.1633322573702349</v>
      </c>
      <c r="J9" s="14">
        <f t="shared" si="2"/>
        <v>8.4474848327771408</v>
      </c>
      <c r="K9" s="14">
        <f t="shared" si="2"/>
        <v>12.212288892750612</v>
      </c>
      <c r="L9" s="14">
        <f t="shared" si="2"/>
        <v>14.251315728731855</v>
      </c>
      <c r="M9" s="14">
        <f t="shared" si="2"/>
        <v>3.776241517699841</v>
      </c>
      <c r="N9" s="14">
        <f t="shared" si="2"/>
        <v>7.1232015274032499</v>
      </c>
      <c r="O9" s="14">
        <f t="shared" si="2"/>
        <v>2.0832666655999654</v>
      </c>
      <c r="P9" s="14">
        <f t="shared" si="2"/>
        <v>4.7958315233127191</v>
      </c>
      <c r="Q9" s="14">
        <f t="shared" si="2"/>
        <v>4.8124837662063857</v>
      </c>
      <c r="R9" s="14">
        <f t="shared" si="2"/>
        <v>6.8891218598599337</v>
      </c>
      <c r="S9" s="14">
        <f t="shared" si="2"/>
        <v>4.4564559910314374</v>
      </c>
      <c r="T9" s="14">
        <f t="shared" si="2"/>
        <v>5.921148537234985</v>
      </c>
      <c r="U9" s="14">
        <f t="shared" si="2"/>
        <v>7.282856582413249</v>
      </c>
      <c r="V9" s="14">
        <f t="shared" si="2"/>
        <v>3.9191835884530843</v>
      </c>
      <c r="W9" s="14">
        <f t="shared" si="2"/>
        <v>5.4258639865002136</v>
      </c>
      <c r="X9" s="14">
        <f t="shared" si="2"/>
        <v>6.5375836514724606</v>
      </c>
      <c r="Y9" s="14">
        <f t="shared" si="2"/>
        <v>4.4654227123532211</v>
      </c>
      <c r="Z9" s="14">
        <f t="shared" si="2"/>
        <v>4.5232731511594562</v>
      </c>
      <c r="AA9" s="14">
        <f t="shared" si="2"/>
        <v>4.8104053883222768</v>
      </c>
      <c r="AB9" s="14">
        <f t="shared" si="2"/>
        <v>8.2559069762201158</v>
      </c>
      <c r="AC9" s="14">
        <f t="shared" si="2"/>
        <v>4.5541190146942796</v>
      </c>
      <c r="AD9" s="14"/>
    </row>
    <row r="10" spans="1:30" ht="14.25" customHeight="1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</row>
    <row r="11" spans="1:30" ht="14.25" customHeight="1" x14ac:dyDescent="0.3">
      <c r="A11" s="11" t="s">
        <v>29</v>
      </c>
      <c r="B11" s="11" t="s">
        <v>33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</row>
    <row r="12" spans="1:30" ht="14.25" customHeight="1" x14ac:dyDescent="0.3">
      <c r="A12" s="13">
        <v>1</v>
      </c>
      <c r="B12" s="13">
        <f t="shared" ref="B12:AC12" si="3">B3/$AD3</f>
        <v>-0.54054054054054057</v>
      </c>
      <c r="C12" s="13">
        <f t="shared" si="3"/>
        <v>-0.54054054054054057</v>
      </c>
      <c r="D12" s="13">
        <f t="shared" si="3"/>
        <v>0</v>
      </c>
      <c r="E12" s="13">
        <f t="shared" si="3"/>
        <v>-0.97297297297297303</v>
      </c>
      <c r="F12" s="13">
        <f t="shared" si="3"/>
        <v>-1.8378378378378379</v>
      </c>
      <c r="G12" s="13">
        <f t="shared" si="3"/>
        <v>0.21621621621621623</v>
      </c>
      <c r="H12" s="13">
        <f t="shared" si="3"/>
        <v>0.64864864864864868</v>
      </c>
      <c r="I12" s="13">
        <f t="shared" si="3"/>
        <v>0.10810810810810811</v>
      </c>
      <c r="J12" s="13">
        <f t="shared" si="3"/>
        <v>10.810810810810811</v>
      </c>
      <c r="K12" s="13">
        <f t="shared" si="3"/>
        <v>6.3783783783783781</v>
      </c>
      <c r="L12" s="13">
        <f t="shared" si="3"/>
        <v>12.432432432432432</v>
      </c>
      <c r="M12" s="13">
        <f t="shared" si="3"/>
        <v>0.54054054054054057</v>
      </c>
      <c r="N12" s="13">
        <f t="shared" si="3"/>
        <v>0.7567567567567568</v>
      </c>
      <c r="O12" s="13">
        <f t="shared" si="3"/>
        <v>0.54054054054054057</v>
      </c>
      <c r="P12" s="13">
        <f t="shared" si="3"/>
        <v>-0.7567567567567568</v>
      </c>
      <c r="Q12" s="13">
        <f t="shared" si="3"/>
        <v>-1.9459459459459461</v>
      </c>
      <c r="R12" s="13">
        <f t="shared" si="3"/>
        <v>-0.43243243243243246</v>
      </c>
      <c r="S12" s="13">
        <f t="shared" si="3"/>
        <v>0.32432432432432434</v>
      </c>
      <c r="T12" s="13">
        <f t="shared" si="3"/>
        <v>1.5135135135135136</v>
      </c>
      <c r="U12" s="13">
        <f t="shared" si="3"/>
        <v>0.32432432432432434</v>
      </c>
      <c r="V12" s="13">
        <f t="shared" si="3"/>
        <v>-1.4054054054054055</v>
      </c>
      <c r="W12" s="13">
        <f t="shared" si="3"/>
        <v>1.4054054054054055</v>
      </c>
      <c r="X12" s="13">
        <f t="shared" si="3"/>
        <v>1.9459459459459461</v>
      </c>
      <c r="Y12" s="13">
        <f t="shared" si="3"/>
        <v>-0.21621621621621623</v>
      </c>
      <c r="Z12" s="13">
        <f t="shared" si="3"/>
        <v>-0.32432432432432434</v>
      </c>
      <c r="AA12" s="13">
        <f t="shared" si="3"/>
        <v>-0.21621621621621623</v>
      </c>
      <c r="AB12" s="13">
        <f t="shared" si="3"/>
        <v>-0.97297297297297303</v>
      </c>
      <c r="AC12" s="13">
        <f t="shared" si="3"/>
        <v>0.21621621621621623</v>
      </c>
    </row>
    <row r="13" spans="1:30" ht="14.25" customHeight="1" x14ac:dyDescent="0.3">
      <c r="A13" s="13">
        <v>2</v>
      </c>
      <c r="B13" s="13">
        <f t="shared" ref="B13:AC13" si="4">B4/$AD4</f>
        <v>7.6712328767123278E-2</v>
      </c>
      <c r="C13" s="13">
        <f t="shared" si="4"/>
        <v>-0.69041095890410953</v>
      </c>
      <c r="D13" s="13">
        <f t="shared" si="4"/>
        <v>0.53698630136986303</v>
      </c>
      <c r="E13" s="13">
        <f t="shared" si="4"/>
        <v>7.6712328767123278E-2</v>
      </c>
      <c r="F13" s="13">
        <f t="shared" si="4"/>
        <v>-0.38356164383561642</v>
      </c>
      <c r="G13" s="13">
        <f t="shared" si="4"/>
        <v>7.6712328767123278E-2</v>
      </c>
      <c r="H13" s="13">
        <f t="shared" si="4"/>
        <v>0.61369863013698622</v>
      </c>
      <c r="I13" s="13">
        <f t="shared" si="4"/>
        <v>0.46027397260273972</v>
      </c>
      <c r="J13" s="13">
        <f t="shared" si="4"/>
        <v>8.2849315068493148</v>
      </c>
      <c r="K13" s="13">
        <f t="shared" si="4"/>
        <v>7.4410958904109581</v>
      </c>
      <c r="L13" s="13">
        <f t="shared" si="4"/>
        <v>8.131506849315068</v>
      </c>
      <c r="M13" s="13">
        <f t="shared" si="4"/>
        <v>0.76712328767123283</v>
      </c>
      <c r="N13" s="13">
        <f t="shared" si="4"/>
        <v>0.46027397260273972</v>
      </c>
      <c r="O13" s="13">
        <f t="shared" si="4"/>
        <v>-0.38356164383561642</v>
      </c>
      <c r="P13" s="13">
        <f t="shared" si="4"/>
        <v>-1.3808219178082191</v>
      </c>
      <c r="Q13" s="13">
        <f t="shared" si="4"/>
        <v>-0.76712328767123283</v>
      </c>
      <c r="R13" s="13">
        <f t="shared" si="4"/>
        <v>1.9178082191780821</v>
      </c>
      <c r="S13" s="13">
        <f t="shared" si="4"/>
        <v>0.61369863013698622</v>
      </c>
      <c r="T13" s="13">
        <f t="shared" si="4"/>
        <v>0.23013698630136986</v>
      </c>
      <c r="U13" s="13">
        <f t="shared" si="4"/>
        <v>0.84383561643835614</v>
      </c>
      <c r="V13" s="13">
        <f t="shared" si="4"/>
        <v>-0.53698630136986303</v>
      </c>
      <c r="W13" s="13">
        <f t="shared" si="4"/>
        <v>0.15342465753424656</v>
      </c>
      <c r="X13" s="13">
        <f t="shared" si="4"/>
        <v>7.6712328767123278E-2</v>
      </c>
      <c r="Y13" s="13">
        <f t="shared" si="4"/>
        <v>0.15342465753424656</v>
      </c>
      <c r="Z13" s="13">
        <f t="shared" si="4"/>
        <v>0.15342465753424656</v>
      </c>
      <c r="AA13" s="13">
        <f t="shared" si="4"/>
        <v>-0.46027397260273972</v>
      </c>
      <c r="AB13" s="13">
        <f t="shared" si="4"/>
        <v>1.4575342465753425</v>
      </c>
      <c r="AC13" s="13">
        <f t="shared" si="4"/>
        <v>7.6712328767123278E-2</v>
      </c>
    </row>
    <row r="14" spans="1:30" ht="14.25" customHeight="1" x14ac:dyDescent="0.3">
      <c r="A14" s="13">
        <v>3</v>
      </c>
      <c r="B14" s="13">
        <f t="shared" ref="B14:AC14" si="5">B5/$AD5</f>
        <v>-0.24263431542461006</v>
      </c>
      <c r="C14" s="13">
        <f t="shared" si="5"/>
        <v>0.63084922010398614</v>
      </c>
      <c r="D14" s="13">
        <f t="shared" si="5"/>
        <v>0.67937608318890808</v>
      </c>
      <c r="E14" s="13">
        <f t="shared" si="5"/>
        <v>0.97053726169844023</v>
      </c>
      <c r="F14" s="13">
        <f t="shared" si="5"/>
        <v>0.48526863084922012</v>
      </c>
      <c r="G14" s="13">
        <f t="shared" si="5"/>
        <v>0.33968804159445404</v>
      </c>
      <c r="H14" s="13">
        <f t="shared" si="5"/>
        <v>0.38821490467937608</v>
      </c>
      <c r="I14" s="13">
        <f t="shared" si="5"/>
        <v>0.48526863084922012</v>
      </c>
      <c r="J14" s="13">
        <f t="shared" si="5"/>
        <v>5.3379549393414214</v>
      </c>
      <c r="K14" s="13">
        <f t="shared" si="5"/>
        <v>4.0762564991334491</v>
      </c>
      <c r="L14" s="13">
        <f t="shared" si="5"/>
        <v>6.1143847487001732</v>
      </c>
      <c r="M14" s="13">
        <f t="shared" si="5"/>
        <v>1.1161178509532061</v>
      </c>
      <c r="N14" s="13">
        <f t="shared" si="5"/>
        <v>0.97053726169844023</v>
      </c>
      <c r="O14" s="13">
        <f t="shared" si="5"/>
        <v>-9.7053726169844021E-2</v>
      </c>
      <c r="P14" s="13">
        <f t="shared" si="5"/>
        <v>0.53379549393414205</v>
      </c>
      <c r="Q14" s="13">
        <f t="shared" si="5"/>
        <v>9.7053726169844021E-2</v>
      </c>
      <c r="R14" s="13">
        <f t="shared" si="5"/>
        <v>0.67937608318890808</v>
      </c>
      <c r="S14" s="13">
        <f t="shared" si="5"/>
        <v>0.72790294627383012</v>
      </c>
      <c r="T14" s="13">
        <f t="shared" si="5"/>
        <v>0.48526863084922012</v>
      </c>
      <c r="U14" s="13">
        <f t="shared" si="5"/>
        <v>1.0190641247833623</v>
      </c>
      <c r="V14" s="13">
        <f t="shared" si="5"/>
        <v>0.14558058925476602</v>
      </c>
      <c r="W14" s="13">
        <f t="shared" si="5"/>
        <v>0.29116117850953205</v>
      </c>
      <c r="X14" s="13">
        <f t="shared" si="5"/>
        <v>0.5823223570190641</v>
      </c>
      <c r="Y14" s="13">
        <f t="shared" si="5"/>
        <v>0.24263431542461006</v>
      </c>
      <c r="Z14" s="13">
        <f t="shared" si="5"/>
        <v>0.24263431542461006</v>
      </c>
      <c r="AA14" s="13">
        <f t="shared" si="5"/>
        <v>0.33968804159445404</v>
      </c>
      <c r="AB14" s="13">
        <f t="shared" si="5"/>
        <v>1.0190641247833623</v>
      </c>
      <c r="AC14" s="13">
        <f t="shared" si="5"/>
        <v>0.33968804159445404</v>
      </c>
    </row>
    <row r="15" spans="1:30" ht="14.25" customHeight="1" x14ac:dyDescent="0.3">
      <c r="A15" s="13">
        <v>4</v>
      </c>
      <c r="B15" s="13">
        <f t="shared" ref="B15:AC15" si="6">B6/$AD6</f>
        <v>0.50632911392405067</v>
      </c>
      <c r="C15" s="13">
        <f t="shared" si="6"/>
        <v>0.35443037974683544</v>
      </c>
      <c r="D15" s="13">
        <f t="shared" si="6"/>
        <v>0.810126582278481</v>
      </c>
      <c r="E15" s="13">
        <f t="shared" si="6"/>
        <v>0.91139240506329111</v>
      </c>
      <c r="F15" s="13">
        <f t="shared" si="6"/>
        <v>0.96202531645569622</v>
      </c>
      <c r="G15" s="13">
        <f t="shared" si="6"/>
        <v>0.96202531645569622</v>
      </c>
      <c r="H15" s="13">
        <f t="shared" si="6"/>
        <v>0.86075949367088611</v>
      </c>
      <c r="I15" s="13">
        <f t="shared" si="6"/>
        <v>0.91139240506329111</v>
      </c>
      <c r="J15" s="13">
        <f t="shared" si="6"/>
        <v>3.8481012658227849</v>
      </c>
      <c r="K15" s="13">
        <f t="shared" si="6"/>
        <v>2.0253164556962027</v>
      </c>
      <c r="L15" s="13">
        <f t="shared" si="6"/>
        <v>3.0886075949367089</v>
      </c>
      <c r="M15" s="13">
        <f t="shared" si="6"/>
        <v>1.2151898734177216</v>
      </c>
      <c r="N15" s="13">
        <f t="shared" si="6"/>
        <v>1.0126582278481013</v>
      </c>
      <c r="O15" s="13">
        <f t="shared" si="6"/>
        <v>0</v>
      </c>
      <c r="P15" s="13">
        <f t="shared" si="6"/>
        <v>-0.25316455696202533</v>
      </c>
      <c r="Q15" s="13">
        <f t="shared" si="6"/>
        <v>0.45569620253164556</v>
      </c>
      <c r="R15" s="13">
        <f t="shared" si="6"/>
        <v>0.96202531645569622</v>
      </c>
      <c r="S15" s="13">
        <f t="shared" si="6"/>
        <v>0.91139240506329111</v>
      </c>
      <c r="T15" s="13">
        <f t="shared" si="6"/>
        <v>0.50632911392405067</v>
      </c>
      <c r="U15" s="13">
        <f t="shared" si="6"/>
        <v>1.4683544303797469</v>
      </c>
      <c r="V15" s="13">
        <f t="shared" si="6"/>
        <v>0.4050632911392405</v>
      </c>
      <c r="W15" s="13">
        <f t="shared" si="6"/>
        <v>0.70886075949367089</v>
      </c>
      <c r="X15" s="13">
        <f t="shared" si="6"/>
        <v>0.86075949367088611</v>
      </c>
      <c r="Y15" s="13">
        <f t="shared" si="6"/>
        <v>0.91139240506329111</v>
      </c>
      <c r="Z15" s="13">
        <f t="shared" si="6"/>
        <v>1.0126582278481013</v>
      </c>
      <c r="AA15" s="13">
        <f t="shared" si="6"/>
        <v>0.810126582278481</v>
      </c>
      <c r="AB15" s="13">
        <f t="shared" si="6"/>
        <v>0.96202531645569622</v>
      </c>
      <c r="AC15" s="13">
        <f t="shared" si="6"/>
        <v>0.810126582278481</v>
      </c>
    </row>
    <row r="16" spans="1:30" ht="14.25" customHeight="1" x14ac:dyDescent="0.3">
      <c r="A16" s="13">
        <v>5</v>
      </c>
      <c r="B16" s="13">
        <f t="shared" ref="B16:AC16" si="7">-(B7/$AD7)</f>
        <v>-2.3773584905660377</v>
      </c>
      <c r="C16" s="13">
        <f t="shared" si="7"/>
        <v>-3.6981132075471699</v>
      </c>
      <c r="D16" s="13">
        <f t="shared" si="7"/>
        <v>-3.1698113207547172</v>
      </c>
      <c r="E16" s="13">
        <f t="shared" si="7"/>
        <v>-3.6981132075471699</v>
      </c>
      <c r="F16" s="13">
        <f t="shared" si="7"/>
        <v>0</v>
      </c>
      <c r="G16" s="13">
        <f t="shared" si="7"/>
        <v>-2.1132075471698113</v>
      </c>
      <c r="H16" s="13">
        <f t="shared" si="7"/>
        <v>-3.1698113207547172</v>
      </c>
      <c r="I16" s="13">
        <f t="shared" si="7"/>
        <v>-3.4339622641509435</v>
      </c>
      <c r="J16" s="13">
        <f t="shared" si="7"/>
        <v>18.226415094339622</v>
      </c>
      <c r="K16" s="13">
        <f t="shared" si="7"/>
        <v>8.9811320754716988</v>
      </c>
      <c r="L16" s="13">
        <f t="shared" si="7"/>
        <v>15.056603773584905</v>
      </c>
      <c r="M16" s="13">
        <f t="shared" si="7"/>
        <v>2.9056603773584908</v>
      </c>
      <c r="N16" s="13">
        <f t="shared" si="7"/>
        <v>-5.0188679245283021</v>
      </c>
      <c r="O16" s="13">
        <f t="shared" si="7"/>
        <v>-1.8490566037735849</v>
      </c>
      <c r="P16" s="13">
        <f t="shared" si="7"/>
        <v>-2.9056603773584908</v>
      </c>
      <c r="Q16" s="13">
        <f t="shared" si="7"/>
        <v>-2.6415094339622645</v>
      </c>
      <c r="R16" s="13">
        <f t="shared" si="7"/>
        <v>-2.9056603773584908</v>
      </c>
      <c r="S16" s="13">
        <f t="shared" si="7"/>
        <v>-1.8490566037735849</v>
      </c>
      <c r="T16" s="13">
        <f t="shared" si="7"/>
        <v>-5.0188679245283021</v>
      </c>
      <c r="U16" s="13">
        <f t="shared" si="7"/>
        <v>-3.4339622641509435</v>
      </c>
      <c r="V16" s="13">
        <f t="shared" si="7"/>
        <v>-2.3773584905660377</v>
      </c>
      <c r="W16" s="13">
        <f t="shared" si="7"/>
        <v>-4.2264150943396226</v>
      </c>
      <c r="X16" s="13">
        <f t="shared" si="7"/>
        <v>-4.4905660377358494</v>
      </c>
      <c r="Y16" s="13">
        <f t="shared" si="7"/>
        <v>-2.3773584905660377</v>
      </c>
      <c r="Z16" s="13">
        <f t="shared" si="7"/>
        <v>-1.5849056603773586</v>
      </c>
      <c r="AA16" s="13">
        <f t="shared" si="7"/>
        <v>-2.9056603773584908</v>
      </c>
      <c r="AB16" s="13">
        <f t="shared" si="7"/>
        <v>-4.7547169811320753</v>
      </c>
      <c r="AC16" s="13">
        <f t="shared" si="7"/>
        <v>-3.1698113207547172</v>
      </c>
    </row>
    <row r="17" spans="1:30" ht="14.25" customHeight="1" x14ac:dyDescent="0.3"/>
    <row r="18" spans="1:30" ht="14.25" customHeight="1" x14ac:dyDescent="0.3">
      <c r="A18" s="14" t="s">
        <v>31</v>
      </c>
      <c r="B18" s="14">
        <f t="shared" ref="B18:AC18" si="8">AVERAGE(B12:B16)</f>
        <v>-0.51549838076800292</v>
      </c>
      <c r="C18" s="14">
        <f t="shared" si="8"/>
        <v>-0.7887570214281997</v>
      </c>
      <c r="D18" s="14">
        <f t="shared" si="8"/>
        <v>-0.228664470783493</v>
      </c>
      <c r="E18" s="14">
        <f t="shared" si="8"/>
        <v>-0.54248883699825767</v>
      </c>
      <c r="F18" s="14">
        <f t="shared" si="8"/>
        <v>-0.15482110687370762</v>
      </c>
      <c r="G18" s="14">
        <f t="shared" si="8"/>
        <v>-0.10371312882726431</v>
      </c>
      <c r="H18" s="14">
        <f t="shared" si="8"/>
        <v>-0.13169792872376399</v>
      </c>
      <c r="I18" s="14">
        <f t="shared" si="8"/>
        <v>-0.2937838295055169</v>
      </c>
      <c r="J18" s="14">
        <f t="shared" si="8"/>
        <v>9.3016427234327903</v>
      </c>
      <c r="K18" s="14">
        <f t="shared" si="8"/>
        <v>5.7804358598181373</v>
      </c>
      <c r="L18" s="14">
        <f t="shared" si="8"/>
        <v>8.9647070797938575</v>
      </c>
      <c r="M18" s="14">
        <f t="shared" si="8"/>
        <v>1.3089263859882383</v>
      </c>
      <c r="N18" s="14">
        <f t="shared" si="8"/>
        <v>-0.36372834112445285</v>
      </c>
      <c r="O18" s="14">
        <f t="shared" si="8"/>
        <v>-0.357826286647701</v>
      </c>
      <c r="P18" s="14">
        <f t="shared" si="8"/>
        <v>-0.95252162299026999</v>
      </c>
      <c r="Q18" s="14">
        <f t="shared" si="8"/>
        <v>-0.96036574777559081</v>
      </c>
      <c r="R18" s="14">
        <f t="shared" si="8"/>
        <v>4.4223361806352647E-2</v>
      </c>
      <c r="S18" s="14">
        <f t="shared" si="8"/>
        <v>0.14565234040496938</v>
      </c>
      <c r="T18" s="14">
        <f t="shared" si="8"/>
        <v>-0.45672393598802963</v>
      </c>
      <c r="U18" s="14">
        <f t="shared" si="8"/>
        <v>4.4323246354969204E-2</v>
      </c>
      <c r="V18" s="14">
        <f t="shared" si="8"/>
        <v>-0.75382126338945998</v>
      </c>
      <c r="W18" s="14">
        <f t="shared" si="8"/>
        <v>-0.3335126186793535</v>
      </c>
      <c r="X18" s="14">
        <f t="shared" si="8"/>
        <v>-0.20496518246656592</v>
      </c>
      <c r="Y18" s="14">
        <f t="shared" si="8"/>
        <v>-0.25722466575202124</v>
      </c>
      <c r="Z18" s="14">
        <f t="shared" si="8"/>
        <v>-0.100102556778945</v>
      </c>
      <c r="AA18" s="14">
        <f t="shared" si="8"/>
        <v>-0.48646718846090237</v>
      </c>
      <c r="AB18" s="14">
        <f t="shared" si="8"/>
        <v>-0.45781325325812949</v>
      </c>
      <c r="AC18" s="14">
        <f t="shared" si="8"/>
        <v>-0.34541363037968853</v>
      </c>
      <c r="AD18" s="14"/>
    </row>
    <row r="19" spans="1:30" ht="14.25" customHeight="1" x14ac:dyDescent="0.3">
      <c r="A19" s="14" t="s">
        <v>32</v>
      </c>
      <c r="B19" s="14">
        <f t="shared" ref="B19:AC19" si="9">STDEV(B12:B16)/SQRT(5)</f>
        <v>0.49681233528243246</v>
      </c>
      <c r="C19" s="14">
        <f t="shared" si="9"/>
        <v>0.7699933799166534</v>
      </c>
      <c r="D19" s="14">
        <f t="shared" si="9"/>
        <v>0.74808013734403778</v>
      </c>
      <c r="E19" s="14">
        <f t="shared" si="9"/>
        <v>0.86399393760515186</v>
      </c>
      <c r="F19" s="14">
        <f t="shared" si="9"/>
        <v>0.47780215208443216</v>
      </c>
      <c r="G19" s="14">
        <f t="shared" si="9"/>
        <v>0.52466079425679579</v>
      </c>
      <c r="H19" s="14">
        <f t="shared" si="9"/>
        <v>0.76321592237123914</v>
      </c>
      <c r="I19" s="14">
        <f t="shared" si="9"/>
        <v>0.79530539392756516</v>
      </c>
      <c r="J19" s="14">
        <f t="shared" si="9"/>
        <v>2.5339177883863457</v>
      </c>
      <c r="K19" s="14">
        <f t="shared" si="9"/>
        <v>1.2321715036918865</v>
      </c>
      <c r="L19" s="14">
        <f t="shared" si="9"/>
        <v>2.1503886813817426</v>
      </c>
      <c r="M19" s="14">
        <f t="shared" si="9"/>
        <v>0.41710241602025616</v>
      </c>
      <c r="N19" s="14">
        <f t="shared" si="9"/>
        <v>1.1678933147916246</v>
      </c>
      <c r="O19" s="14">
        <f t="shared" si="9"/>
        <v>0.40171725773431005</v>
      </c>
      <c r="P19" s="14">
        <f t="shared" si="9"/>
        <v>0.5802910863124533</v>
      </c>
      <c r="Q19" s="14">
        <f t="shared" si="9"/>
        <v>0.58984415145040603</v>
      </c>
      <c r="R19" s="14">
        <f t="shared" si="9"/>
        <v>0.82719751105709427</v>
      </c>
      <c r="S19" s="14">
        <f t="shared" si="9"/>
        <v>0.50770209738650351</v>
      </c>
      <c r="T19" s="14">
        <f t="shared" si="9"/>
        <v>1.1614988695449153</v>
      </c>
      <c r="U19" s="14">
        <f t="shared" si="9"/>
        <v>0.88865278144307003</v>
      </c>
      <c r="V19" s="14">
        <f t="shared" si="9"/>
        <v>0.51280549559135757</v>
      </c>
      <c r="W19" s="14">
        <f t="shared" si="9"/>
        <v>0.99730619929070019</v>
      </c>
      <c r="X19" s="14">
        <f t="shared" si="9"/>
        <v>1.1141751735814709</v>
      </c>
      <c r="Y19" s="14">
        <f t="shared" si="9"/>
        <v>0.56039302520789869</v>
      </c>
      <c r="Z19" s="14">
        <f t="shared" si="9"/>
        <v>0.42865468813870083</v>
      </c>
      <c r="AA19" s="14">
        <f t="shared" si="9"/>
        <v>0.64381306402684402</v>
      </c>
      <c r="AB19" s="14">
        <f t="shared" si="9"/>
        <v>1.1531356291080797</v>
      </c>
      <c r="AC19" s="14">
        <f t="shared" si="9"/>
        <v>0.71678023854528106</v>
      </c>
      <c r="AD19" s="14"/>
    </row>
    <row r="20" spans="1:30" ht="14.25" customHeight="1" x14ac:dyDescent="0.3">
      <c r="A20" s="15" t="s">
        <v>34</v>
      </c>
      <c r="C20" s="13">
        <v>0.46500000000000002</v>
      </c>
      <c r="D20" s="13">
        <v>0.34499999999999997</v>
      </c>
      <c r="E20" s="13">
        <v>0.71499999999999997</v>
      </c>
      <c r="F20" s="13">
        <v>0.58799999999999997</v>
      </c>
      <c r="G20" s="16">
        <v>4.2999999999999997E-2</v>
      </c>
      <c r="H20" s="13">
        <v>0.34499999999999997</v>
      </c>
      <c r="I20" s="13">
        <v>0.5</v>
      </c>
      <c r="J20" s="16">
        <v>4.2999999999999997E-2</v>
      </c>
      <c r="K20" s="16">
        <v>4.2999999999999997E-2</v>
      </c>
      <c r="L20" s="16">
        <v>4.2999999999999997E-2</v>
      </c>
      <c r="M20" s="16">
        <v>4.2999999999999997E-2</v>
      </c>
      <c r="N20" s="12">
        <v>0.5</v>
      </c>
      <c r="O20" s="12">
        <v>0.5</v>
      </c>
      <c r="P20" s="12">
        <v>0.34499999999999997</v>
      </c>
      <c r="Q20" s="12">
        <v>0.22500000000000001</v>
      </c>
      <c r="R20" s="12">
        <v>0.22500000000000001</v>
      </c>
      <c r="S20" s="16">
        <v>4.2999999999999997E-2</v>
      </c>
      <c r="T20" s="12">
        <v>0.5</v>
      </c>
      <c r="U20" s="12">
        <v>0.34499999999999997</v>
      </c>
      <c r="V20" s="12">
        <v>0.27300000000000002</v>
      </c>
      <c r="W20" s="12">
        <v>0.34499999999999997</v>
      </c>
      <c r="X20" s="12">
        <v>0.34499999999999997</v>
      </c>
      <c r="Y20" s="12">
        <v>6.8000000000000005E-2</v>
      </c>
      <c r="Z20" s="16">
        <v>4.2999999999999997E-2</v>
      </c>
      <c r="AA20" s="12">
        <v>0.89300000000000002</v>
      </c>
      <c r="AB20" s="12">
        <v>0.68600000000000005</v>
      </c>
      <c r="AC20" s="12">
        <v>0.5</v>
      </c>
    </row>
    <row r="21" spans="1:30" ht="14.25" customHeight="1" x14ac:dyDescent="0.3"/>
    <row r="22" spans="1:30" ht="14.25" customHeight="1" x14ac:dyDescent="0.3">
      <c r="A22" s="11" t="s">
        <v>35</v>
      </c>
    </row>
    <row r="23" spans="1:30" ht="14.25" customHeight="1" x14ac:dyDescent="0.3">
      <c r="B23" s="45" t="s">
        <v>36</v>
      </c>
      <c r="C23" s="46"/>
      <c r="D23" s="46"/>
      <c r="E23" s="45" t="s">
        <v>37</v>
      </c>
      <c r="F23" s="46"/>
      <c r="G23" s="46"/>
    </row>
    <row r="24" spans="1:30" ht="14.25" customHeight="1" x14ac:dyDescent="0.3">
      <c r="B24" s="17" t="s">
        <v>38</v>
      </c>
      <c r="C24" s="17" t="s">
        <v>39</v>
      </c>
      <c r="D24" s="17" t="s">
        <v>40</v>
      </c>
      <c r="E24" s="17" t="s">
        <v>38</v>
      </c>
      <c r="F24" s="17" t="s">
        <v>39</v>
      </c>
      <c r="G24" s="17" t="s">
        <v>40</v>
      </c>
    </row>
    <row r="25" spans="1:30" ht="14.25" customHeight="1" x14ac:dyDescent="0.3">
      <c r="A25" s="11" t="s">
        <v>0</v>
      </c>
      <c r="B25" s="13">
        <v>0.28999999999999998</v>
      </c>
      <c r="C25" s="13">
        <v>5</v>
      </c>
      <c r="D25" s="11">
        <v>0.19500000000000001</v>
      </c>
      <c r="E25" s="13">
        <v>0.86499999999999999</v>
      </c>
      <c r="F25" s="13">
        <v>5</v>
      </c>
      <c r="G25" s="11">
        <v>0.245</v>
      </c>
    </row>
    <row r="26" spans="1:30" ht="14.25" customHeight="1" x14ac:dyDescent="0.3">
      <c r="A26" s="11" t="s">
        <v>1</v>
      </c>
      <c r="B26" s="13">
        <v>0.32300000000000001</v>
      </c>
      <c r="C26" s="13">
        <v>5</v>
      </c>
      <c r="D26" s="11">
        <v>9.7000000000000003E-2</v>
      </c>
      <c r="E26" s="13">
        <v>0.82599999999999996</v>
      </c>
      <c r="F26" s="13">
        <v>5</v>
      </c>
      <c r="G26" s="11">
        <v>0.13</v>
      </c>
    </row>
    <row r="27" spans="1:30" ht="14.25" customHeight="1" x14ac:dyDescent="0.3">
      <c r="A27" s="11" t="s">
        <v>2</v>
      </c>
      <c r="B27" s="13">
        <v>0.35399999999999998</v>
      </c>
      <c r="C27" s="13">
        <v>5</v>
      </c>
      <c r="D27" s="16">
        <v>3.9E-2</v>
      </c>
      <c r="E27" s="13">
        <v>0.70499999999999996</v>
      </c>
      <c r="F27" s="13">
        <v>5</v>
      </c>
      <c r="G27" s="16">
        <v>1.0999999999999999E-2</v>
      </c>
    </row>
    <row r="28" spans="1:30" ht="14.25" customHeight="1" x14ac:dyDescent="0.3">
      <c r="A28" s="11" t="s">
        <v>3</v>
      </c>
      <c r="B28" s="13">
        <v>0.22500000000000001</v>
      </c>
      <c r="C28" s="13">
        <v>5</v>
      </c>
      <c r="D28" s="18" t="s">
        <v>41</v>
      </c>
      <c r="E28" s="13">
        <v>0.84799999999999998</v>
      </c>
      <c r="F28" s="13">
        <v>5</v>
      </c>
      <c r="G28" s="11">
        <v>0.188</v>
      </c>
    </row>
    <row r="29" spans="1:30" ht="14.25" customHeight="1" x14ac:dyDescent="0.3">
      <c r="A29" s="11" t="s">
        <v>4</v>
      </c>
      <c r="B29" s="13">
        <v>0.215</v>
      </c>
      <c r="C29" s="13">
        <v>5</v>
      </c>
      <c r="D29" s="18" t="s">
        <v>41</v>
      </c>
      <c r="E29" s="13">
        <v>0.93899999999999995</v>
      </c>
      <c r="F29" s="13">
        <v>5</v>
      </c>
      <c r="G29" s="11">
        <v>0.66100000000000003</v>
      </c>
    </row>
    <row r="30" spans="1:30" ht="14.25" customHeight="1" x14ac:dyDescent="0.3">
      <c r="A30" s="11" t="s">
        <v>5</v>
      </c>
      <c r="B30" s="13">
        <v>0.36099999999999999</v>
      </c>
      <c r="C30" s="13">
        <v>5</v>
      </c>
      <c r="D30" s="16">
        <v>3.2000000000000001E-2</v>
      </c>
      <c r="E30" s="13">
        <v>0.80700000000000005</v>
      </c>
      <c r="F30" s="13">
        <v>5</v>
      </c>
      <c r="G30" s="11">
        <v>9.1999999999999998E-2</v>
      </c>
    </row>
    <row r="31" spans="1:30" ht="14.25" customHeight="1" x14ac:dyDescent="0.3">
      <c r="A31" s="11" t="s">
        <v>6</v>
      </c>
      <c r="B31" s="13">
        <v>0.42</v>
      </c>
      <c r="C31" s="13">
        <v>5</v>
      </c>
      <c r="D31" s="16">
        <v>4.0000000000000001E-3</v>
      </c>
      <c r="E31" s="13">
        <v>0.64500000000000002</v>
      </c>
      <c r="F31" s="13">
        <v>5</v>
      </c>
      <c r="G31" s="16">
        <v>2E-3</v>
      </c>
    </row>
    <row r="32" spans="1:30" ht="14.25" customHeight="1" x14ac:dyDescent="0.3">
      <c r="A32" s="11" t="s">
        <v>7</v>
      </c>
      <c r="B32" s="13">
        <v>0.38900000000000001</v>
      </c>
      <c r="C32" s="13">
        <v>5</v>
      </c>
      <c r="D32" s="16">
        <v>1.2999999999999999E-2</v>
      </c>
      <c r="E32" s="13">
        <v>0.70199999999999996</v>
      </c>
      <c r="F32" s="13">
        <v>5</v>
      </c>
      <c r="G32" s="16">
        <v>0.01</v>
      </c>
    </row>
    <row r="33" spans="1:7" ht="14.25" customHeight="1" x14ac:dyDescent="0.3">
      <c r="A33" s="11" t="s">
        <v>8</v>
      </c>
      <c r="B33" s="13">
        <v>0.19500000000000001</v>
      </c>
      <c r="C33" s="13">
        <v>5</v>
      </c>
      <c r="D33" s="18" t="s">
        <v>41</v>
      </c>
      <c r="E33" s="13">
        <v>0.92100000000000004</v>
      </c>
      <c r="F33" s="13">
        <v>5</v>
      </c>
      <c r="G33" s="11">
        <v>0.53900000000000003</v>
      </c>
    </row>
    <row r="34" spans="1:7" ht="14.25" customHeight="1" x14ac:dyDescent="0.3">
      <c r="A34" s="11" t="s">
        <v>9</v>
      </c>
      <c r="B34" s="13">
        <v>0.186</v>
      </c>
      <c r="C34" s="13">
        <v>5</v>
      </c>
      <c r="D34" s="18" t="s">
        <v>41</v>
      </c>
      <c r="E34" s="13">
        <v>0.97299999999999998</v>
      </c>
      <c r="F34" s="13">
        <v>5</v>
      </c>
      <c r="G34" s="11">
        <v>0.89300000000000002</v>
      </c>
    </row>
    <row r="35" spans="1:7" ht="14.25" customHeight="1" x14ac:dyDescent="0.3">
      <c r="A35" s="11" t="s">
        <v>10</v>
      </c>
      <c r="B35" s="13">
        <v>0.16900000000000001</v>
      </c>
      <c r="C35" s="13">
        <v>5</v>
      </c>
      <c r="D35" s="18" t="s">
        <v>41</v>
      </c>
      <c r="E35" s="13">
        <v>0.97199999999999998</v>
      </c>
      <c r="F35" s="13">
        <v>5</v>
      </c>
      <c r="G35" s="11">
        <v>0.88500000000000001</v>
      </c>
    </row>
    <row r="36" spans="1:7" ht="14.25" customHeight="1" x14ac:dyDescent="0.3">
      <c r="A36" s="11" t="s">
        <v>11</v>
      </c>
      <c r="B36" s="13">
        <v>0.34</v>
      </c>
      <c r="C36" s="13">
        <v>5</v>
      </c>
      <c r="D36" s="11">
        <v>0.06</v>
      </c>
      <c r="E36" s="13">
        <v>0.81100000000000005</v>
      </c>
      <c r="F36" s="13">
        <v>5</v>
      </c>
      <c r="G36" s="11">
        <v>0.1</v>
      </c>
    </row>
    <row r="37" spans="1:7" ht="14.25" customHeight="1" x14ac:dyDescent="0.3">
      <c r="A37" s="11" t="s">
        <v>42</v>
      </c>
      <c r="B37" s="13">
        <v>0.42399999999999999</v>
      </c>
      <c r="C37" s="13">
        <v>5</v>
      </c>
      <c r="D37" s="16">
        <v>4.0000000000000001E-3</v>
      </c>
      <c r="E37" s="13">
        <v>0.626</v>
      </c>
      <c r="F37" s="13">
        <v>5</v>
      </c>
      <c r="G37" s="16">
        <v>1E-3</v>
      </c>
    </row>
    <row r="38" spans="1:7" ht="14.25" customHeight="1" x14ac:dyDescent="0.3">
      <c r="A38" s="11" t="s">
        <v>13</v>
      </c>
      <c r="B38" s="13">
        <v>0.28899999999999998</v>
      </c>
      <c r="C38" s="13">
        <v>5</v>
      </c>
      <c r="D38" s="18" t="s">
        <v>41</v>
      </c>
      <c r="E38" s="13">
        <v>0.875</v>
      </c>
      <c r="F38" s="13">
        <v>5</v>
      </c>
      <c r="G38" s="11">
        <v>0.28899999999999998</v>
      </c>
    </row>
    <row r="39" spans="1:7" ht="14.25" customHeight="1" x14ac:dyDescent="0.3">
      <c r="A39" s="11" t="s">
        <v>14</v>
      </c>
      <c r="B39" s="13">
        <v>0.17</v>
      </c>
      <c r="C39" s="13">
        <v>5</v>
      </c>
      <c r="D39" s="18" t="s">
        <v>41</v>
      </c>
      <c r="E39" s="13">
        <v>0.97099999999999997</v>
      </c>
      <c r="F39" s="13">
        <v>5</v>
      </c>
      <c r="G39" s="11">
        <v>0.88500000000000001</v>
      </c>
    </row>
    <row r="40" spans="1:7" ht="14.25" customHeight="1" x14ac:dyDescent="0.3">
      <c r="A40" s="11" t="s">
        <v>15</v>
      </c>
      <c r="B40" s="13">
        <v>0.188</v>
      </c>
      <c r="C40" s="13">
        <v>5</v>
      </c>
      <c r="D40" s="18" t="s">
        <v>41</v>
      </c>
      <c r="E40" s="13">
        <v>0.93600000000000005</v>
      </c>
      <c r="F40" s="13">
        <v>5</v>
      </c>
      <c r="G40" s="11">
        <v>0.63600000000000001</v>
      </c>
    </row>
    <row r="41" spans="1:7" ht="14.25" customHeight="1" x14ac:dyDescent="0.3">
      <c r="A41" s="11" t="s">
        <v>16</v>
      </c>
      <c r="B41" s="13">
        <v>0.23400000000000001</v>
      </c>
      <c r="C41" s="13">
        <v>5</v>
      </c>
      <c r="D41" s="18" t="s">
        <v>41</v>
      </c>
      <c r="E41" s="13">
        <v>0.91700000000000004</v>
      </c>
      <c r="F41" s="13">
        <v>5</v>
      </c>
      <c r="G41" s="11">
        <v>0.51100000000000001</v>
      </c>
    </row>
    <row r="42" spans="1:7" ht="14.25" customHeight="1" x14ac:dyDescent="0.3">
      <c r="A42" s="11" t="s">
        <v>17</v>
      </c>
      <c r="B42" s="13">
        <v>0.36299999999999999</v>
      </c>
      <c r="C42" s="13">
        <v>5</v>
      </c>
      <c r="D42" s="16">
        <v>0.03</v>
      </c>
      <c r="E42" s="13">
        <v>0.72399999999999998</v>
      </c>
      <c r="F42" s="13">
        <v>5</v>
      </c>
      <c r="G42" s="16">
        <v>1.7000000000000001E-2</v>
      </c>
    </row>
    <row r="43" spans="1:7" ht="14.25" customHeight="1" x14ac:dyDescent="0.3">
      <c r="A43" s="11" t="s">
        <v>18</v>
      </c>
      <c r="B43" s="13">
        <v>0.40400000000000003</v>
      </c>
      <c r="C43" s="13">
        <v>5</v>
      </c>
      <c r="D43" s="16">
        <v>8.0000000000000002E-3</v>
      </c>
      <c r="E43" s="13">
        <v>0.72</v>
      </c>
      <c r="F43" s="13">
        <v>5</v>
      </c>
      <c r="G43" s="16">
        <v>1.4999999999999999E-2</v>
      </c>
    </row>
    <row r="44" spans="1:7" ht="14.25" customHeight="1" x14ac:dyDescent="0.3">
      <c r="A44" s="11" t="s">
        <v>19</v>
      </c>
      <c r="B44" s="13">
        <v>0.35599999999999998</v>
      </c>
      <c r="C44" s="13">
        <v>5</v>
      </c>
      <c r="D44" s="16">
        <v>3.6999999999999998E-2</v>
      </c>
      <c r="E44" s="13">
        <v>0.74299999999999999</v>
      </c>
      <c r="F44" s="13">
        <v>5</v>
      </c>
      <c r="G44" s="16">
        <v>2.5999999999999999E-2</v>
      </c>
    </row>
    <row r="45" spans="1:7" ht="14.25" customHeight="1" x14ac:dyDescent="0.3">
      <c r="A45" s="11" t="s">
        <v>20</v>
      </c>
      <c r="B45" s="13">
        <v>0.183</v>
      </c>
      <c r="C45" s="13">
        <v>5</v>
      </c>
      <c r="D45" s="18" t="s">
        <v>41</v>
      </c>
      <c r="E45" s="13">
        <v>0.94</v>
      </c>
      <c r="F45" s="13">
        <v>5</v>
      </c>
      <c r="G45" s="11">
        <v>0.66600000000000004</v>
      </c>
    </row>
    <row r="46" spans="1:7" ht="14.25" customHeight="1" x14ac:dyDescent="0.3">
      <c r="A46" s="11" t="s">
        <v>21</v>
      </c>
      <c r="B46" s="13">
        <v>0.38600000000000001</v>
      </c>
      <c r="C46" s="13">
        <v>5</v>
      </c>
      <c r="D46" s="16">
        <v>1.4E-2</v>
      </c>
      <c r="E46" s="13">
        <v>0.75600000000000001</v>
      </c>
      <c r="F46" s="13">
        <v>5</v>
      </c>
      <c r="G46" s="16">
        <v>3.4000000000000002E-2</v>
      </c>
    </row>
    <row r="47" spans="1:7" ht="14.25" customHeight="1" x14ac:dyDescent="0.3">
      <c r="A47" s="11" t="s">
        <v>22</v>
      </c>
      <c r="B47" s="13">
        <v>0.34499999999999997</v>
      </c>
      <c r="C47" s="13">
        <v>5</v>
      </c>
      <c r="D47" s="11">
        <v>5.1999999999999998E-2</v>
      </c>
      <c r="E47" s="13">
        <v>0.80400000000000005</v>
      </c>
      <c r="F47" s="13">
        <v>5</v>
      </c>
      <c r="G47" s="11">
        <v>8.6999999999999994E-2</v>
      </c>
    </row>
    <row r="48" spans="1:7" ht="14.25" customHeight="1" x14ac:dyDescent="0.3">
      <c r="A48" s="11" t="s">
        <v>23</v>
      </c>
      <c r="B48" s="13">
        <v>0.314</v>
      </c>
      <c r="C48" s="13">
        <v>5</v>
      </c>
      <c r="D48" s="11">
        <v>0.11899999999999999</v>
      </c>
      <c r="E48" s="13">
        <v>0.83899999999999997</v>
      </c>
      <c r="F48" s="13">
        <v>5</v>
      </c>
      <c r="G48" s="11">
        <v>0.16300000000000001</v>
      </c>
    </row>
    <row r="49" spans="1:7" ht="14.25" customHeight="1" x14ac:dyDescent="0.3">
      <c r="A49" s="11" t="s">
        <v>24</v>
      </c>
      <c r="B49" s="13">
        <v>0.20799999999999999</v>
      </c>
      <c r="C49" s="13">
        <v>5</v>
      </c>
      <c r="D49" s="18" t="s">
        <v>41</v>
      </c>
      <c r="E49" s="13">
        <v>0.94499999999999995</v>
      </c>
      <c r="F49" s="13">
        <v>5</v>
      </c>
      <c r="G49" s="11">
        <v>0.69799999999999995</v>
      </c>
    </row>
    <row r="50" spans="1:7" ht="14.25" customHeight="1" x14ac:dyDescent="0.3">
      <c r="A50" s="11" t="s">
        <v>25</v>
      </c>
      <c r="B50" s="13">
        <v>0.307</v>
      </c>
      <c r="C50" s="13">
        <v>5</v>
      </c>
      <c r="D50" s="18">
        <v>0.14000000000000001</v>
      </c>
      <c r="E50" s="13">
        <v>0.85499999999999998</v>
      </c>
      <c r="F50" s="13">
        <v>5</v>
      </c>
      <c r="G50" s="11">
        <v>0.21199999999999999</v>
      </c>
    </row>
    <row r="51" spans="1:7" ht="14.25" customHeight="1" x14ac:dyDescent="0.3">
      <c r="A51" s="11" t="s">
        <v>26</v>
      </c>
      <c r="B51" s="13">
        <v>0.309</v>
      </c>
      <c r="C51" s="13">
        <v>5</v>
      </c>
      <c r="D51" s="11">
        <v>0.13400000000000001</v>
      </c>
      <c r="E51" s="13">
        <v>0.79900000000000004</v>
      </c>
      <c r="F51" s="13">
        <v>5</v>
      </c>
      <c r="G51" s="11">
        <v>7.9000000000000001E-2</v>
      </c>
    </row>
    <row r="52" spans="1:7" ht="14.25" customHeight="1" x14ac:dyDescent="0.3">
      <c r="A52" s="11" t="s">
        <v>27</v>
      </c>
      <c r="B52" s="13">
        <v>0.40400000000000003</v>
      </c>
      <c r="C52" s="13">
        <v>5</v>
      </c>
      <c r="D52" s="16">
        <v>8.0000000000000002E-3</v>
      </c>
      <c r="E52" s="13">
        <v>0.71399999999999997</v>
      </c>
      <c r="F52" s="13">
        <v>5</v>
      </c>
      <c r="G52" s="16">
        <v>1.2999999999999999E-2</v>
      </c>
    </row>
    <row r="53" spans="1:7" ht="14.25" customHeight="1" x14ac:dyDescent="0.3">
      <c r="A53" s="19" t="s">
        <v>43</v>
      </c>
    </row>
    <row r="54" spans="1:7" ht="14.25" customHeight="1" x14ac:dyDescent="0.3">
      <c r="A54" s="19" t="s">
        <v>44</v>
      </c>
    </row>
    <row r="55" spans="1:7" ht="14.25" customHeight="1" x14ac:dyDescent="0.3"/>
    <row r="56" spans="1:7" ht="14.25" customHeight="1" x14ac:dyDescent="0.3"/>
    <row r="57" spans="1:7" ht="14.25" customHeight="1" x14ac:dyDescent="0.3"/>
    <row r="58" spans="1:7" ht="14.25" customHeight="1" x14ac:dyDescent="0.3"/>
    <row r="59" spans="1:7" ht="14.25" customHeight="1" x14ac:dyDescent="0.3"/>
    <row r="60" spans="1:7" ht="14.25" customHeight="1" x14ac:dyDescent="0.3"/>
    <row r="61" spans="1:7" ht="14.25" customHeight="1" x14ac:dyDescent="0.3"/>
    <row r="62" spans="1:7" ht="14.25" customHeight="1" x14ac:dyDescent="0.3"/>
    <row r="63" spans="1:7" ht="14.25" customHeight="1" x14ac:dyDescent="0.3"/>
    <row r="64" spans="1:7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">
    <mergeCell ref="B23:D23"/>
    <mergeCell ref="E23:G23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0"/>
  <sheetViews>
    <sheetView topLeftCell="A7" workbookViewId="0">
      <selection activeCell="Q10" sqref="Q10"/>
    </sheetView>
  </sheetViews>
  <sheetFormatPr defaultColWidth="14.44140625" defaultRowHeight="15" customHeight="1" x14ac:dyDescent="0.3"/>
  <cols>
    <col min="1" max="15" width="8.6640625" customWidth="1"/>
    <col min="16" max="16" width="13.33203125" customWidth="1"/>
    <col min="17" max="26" width="8.6640625" customWidth="1"/>
  </cols>
  <sheetData>
    <row r="1" spans="1:16" ht="14.25" customHeight="1" x14ac:dyDescent="0.3">
      <c r="A1" s="20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14.25" customHeight="1" x14ac:dyDescent="0.3">
      <c r="A2" s="22" t="s">
        <v>46</v>
      </c>
      <c r="B2" s="47" t="s">
        <v>47</v>
      </c>
      <c r="C2" s="49"/>
      <c r="D2" s="48"/>
      <c r="E2" s="23" t="s">
        <v>48</v>
      </c>
      <c r="F2" s="23" t="s">
        <v>49</v>
      </c>
      <c r="G2" s="23" t="s">
        <v>50</v>
      </c>
      <c r="H2" s="23" t="s">
        <v>47</v>
      </c>
      <c r="I2" s="23" t="s">
        <v>51</v>
      </c>
      <c r="J2" s="23" t="s">
        <v>52</v>
      </c>
      <c r="K2" s="23" t="s">
        <v>52</v>
      </c>
      <c r="L2" s="23" t="s">
        <v>53</v>
      </c>
      <c r="M2" s="23" t="s">
        <v>54</v>
      </c>
      <c r="N2" s="21"/>
      <c r="O2" s="21"/>
      <c r="P2" s="21"/>
    </row>
    <row r="3" spans="1:16" ht="14.25" customHeight="1" x14ac:dyDescent="0.3">
      <c r="A3" s="24" t="s">
        <v>55</v>
      </c>
      <c r="B3" s="22" t="s">
        <v>56</v>
      </c>
      <c r="C3" s="22" t="s">
        <v>57</v>
      </c>
      <c r="D3" s="22" t="s">
        <v>58</v>
      </c>
      <c r="E3" s="22" t="s">
        <v>59</v>
      </c>
      <c r="F3" s="22" t="s">
        <v>60</v>
      </c>
      <c r="G3" s="22" t="s">
        <v>61</v>
      </c>
      <c r="H3" s="22" t="s">
        <v>62</v>
      </c>
      <c r="I3" s="22" t="s">
        <v>63</v>
      </c>
      <c r="J3" s="22" t="s">
        <v>64</v>
      </c>
      <c r="K3" s="22" t="s">
        <v>65</v>
      </c>
      <c r="L3" s="22" t="s">
        <v>66</v>
      </c>
      <c r="M3" s="22" t="s">
        <v>67</v>
      </c>
      <c r="N3" s="23" t="s">
        <v>31</v>
      </c>
      <c r="O3" s="23" t="s">
        <v>32</v>
      </c>
      <c r="P3" s="25"/>
    </row>
    <row r="4" spans="1:16" ht="14.25" customHeight="1" x14ac:dyDescent="0.3">
      <c r="A4" s="22" t="s">
        <v>0</v>
      </c>
      <c r="B4" s="22">
        <v>15</v>
      </c>
      <c r="C4" s="22">
        <v>30</v>
      </c>
      <c r="D4" s="22">
        <v>15</v>
      </c>
      <c r="E4" s="22">
        <v>65</v>
      </c>
      <c r="F4" s="22">
        <v>5</v>
      </c>
      <c r="G4" s="22">
        <v>1</v>
      </c>
      <c r="H4" s="22">
        <v>1</v>
      </c>
      <c r="I4" s="22">
        <f>220-221</f>
        <v>-1</v>
      </c>
      <c r="J4" s="22">
        <f>155-141</f>
        <v>14</v>
      </c>
      <c r="K4" s="22">
        <v>-8</v>
      </c>
      <c r="L4" s="22">
        <v>-4</v>
      </c>
      <c r="M4" s="22">
        <v>13</v>
      </c>
      <c r="N4" s="26">
        <f t="shared" ref="N4:N9" si="0">AVERAGE(B4:M4)</f>
        <v>12.166666666666666</v>
      </c>
      <c r="O4" s="22">
        <f t="shared" ref="O4:O5" si="1">STDEV(B4:M4)/SQRT(12)</f>
        <v>5.6886827219586706</v>
      </c>
      <c r="P4" s="21"/>
    </row>
    <row r="5" spans="1:16" ht="14.25" customHeight="1" x14ac:dyDescent="0.3">
      <c r="A5" s="24" t="s">
        <v>8</v>
      </c>
      <c r="B5" s="22">
        <v>84</v>
      </c>
      <c r="C5" s="22">
        <v>14</v>
      </c>
      <c r="D5" s="22">
        <v>95</v>
      </c>
      <c r="E5" s="22">
        <v>137</v>
      </c>
      <c r="F5" s="22">
        <v>180</v>
      </c>
      <c r="G5" s="22">
        <v>42</v>
      </c>
      <c r="H5" s="22">
        <v>88</v>
      </c>
      <c r="I5" s="22">
        <f>207-191</f>
        <v>16</v>
      </c>
      <c r="J5" s="22">
        <f>232-168</f>
        <v>64</v>
      </c>
      <c r="K5" s="22">
        <v>65</v>
      </c>
      <c r="L5" s="22">
        <v>18</v>
      </c>
      <c r="M5" s="22">
        <v>54</v>
      </c>
      <c r="N5" s="26">
        <f t="shared" si="0"/>
        <v>71.416666666666671</v>
      </c>
      <c r="O5" s="22">
        <f t="shared" si="1"/>
        <v>14.451307130421725</v>
      </c>
      <c r="P5" s="21"/>
    </row>
    <row r="6" spans="1:16" ht="14.25" customHeight="1" x14ac:dyDescent="0.3">
      <c r="A6" s="24" t="s">
        <v>68</v>
      </c>
      <c r="B6" s="22" t="s">
        <v>69</v>
      </c>
      <c r="C6" s="22" t="s">
        <v>69</v>
      </c>
      <c r="D6" s="22" t="s">
        <v>69</v>
      </c>
      <c r="E6" s="22" t="s">
        <v>69</v>
      </c>
      <c r="F6" s="22">
        <v>64</v>
      </c>
      <c r="G6" s="22">
        <v>26</v>
      </c>
      <c r="H6" s="22">
        <v>40</v>
      </c>
      <c r="I6" s="22">
        <f>198-185</f>
        <v>13</v>
      </c>
      <c r="J6" s="22">
        <f>194-153</f>
        <v>41</v>
      </c>
      <c r="K6" s="22">
        <v>29</v>
      </c>
      <c r="L6" s="22">
        <v>19</v>
      </c>
      <c r="M6" s="22">
        <v>14</v>
      </c>
      <c r="N6" s="26">
        <f t="shared" si="0"/>
        <v>30.75</v>
      </c>
      <c r="O6" s="22">
        <f>STDEV(B6:M6)/SQRT(8)</f>
        <v>6.058494626791143</v>
      </c>
      <c r="P6" s="21"/>
    </row>
    <row r="7" spans="1:16" ht="14.25" customHeight="1" x14ac:dyDescent="0.3">
      <c r="A7" s="24" t="s">
        <v>70</v>
      </c>
      <c r="B7" s="22">
        <v>96</v>
      </c>
      <c r="C7" s="22">
        <v>114</v>
      </c>
      <c r="D7" s="22">
        <v>110</v>
      </c>
      <c r="E7" s="22">
        <v>212</v>
      </c>
      <c r="F7" s="22">
        <f>700-431</f>
        <v>269</v>
      </c>
      <c r="G7" s="22">
        <v>84</v>
      </c>
      <c r="H7" s="22">
        <v>255</v>
      </c>
      <c r="I7" s="22">
        <f>196-209</f>
        <v>-13</v>
      </c>
      <c r="J7" s="22">
        <f>249-176</f>
        <v>73</v>
      </c>
      <c r="K7" s="22">
        <v>120</v>
      </c>
      <c r="L7" s="22">
        <v>86</v>
      </c>
      <c r="M7" s="22">
        <v>146</v>
      </c>
      <c r="N7" s="26">
        <f t="shared" si="0"/>
        <v>129.33333333333334</v>
      </c>
      <c r="O7" s="22">
        <f t="shared" ref="O7:O9" si="2">STDEV(B7:M7)/SQRT(12)</f>
        <v>23.287183799097075</v>
      </c>
      <c r="P7" s="21"/>
    </row>
    <row r="8" spans="1:16" ht="14.25" customHeight="1" x14ac:dyDescent="0.3">
      <c r="A8" s="24" t="s">
        <v>71</v>
      </c>
      <c r="B8" s="22">
        <v>165</v>
      </c>
      <c r="C8" s="22">
        <v>49</v>
      </c>
      <c r="D8" s="22">
        <v>44</v>
      </c>
      <c r="E8" s="22">
        <v>105</v>
      </c>
      <c r="F8" s="22">
        <f>677-459</f>
        <v>218</v>
      </c>
      <c r="G8" s="22">
        <v>55</v>
      </c>
      <c r="H8" s="22">
        <v>113</v>
      </c>
      <c r="I8" s="22">
        <f>198-204</f>
        <v>-6</v>
      </c>
      <c r="J8" s="22">
        <f>211-163</f>
        <v>48</v>
      </c>
      <c r="K8" s="22">
        <v>53</v>
      </c>
      <c r="L8" s="22">
        <v>40</v>
      </c>
      <c r="M8" s="22">
        <v>82</v>
      </c>
      <c r="N8" s="26">
        <f t="shared" si="0"/>
        <v>80.5</v>
      </c>
      <c r="O8" s="22">
        <f t="shared" si="2"/>
        <v>17.755707575738892</v>
      </c>
      <c r="P8" s="21"/>
    </row>
    <row r="9" spans="1:16" ht="14.25" customHeight="1" x14ac:dyDescent="0.3">
      <c r="A9" s="24" t="s">
        <v>72</v>
      </c>
      <c r="B9" s="22">
        <v>143</v>
      </c>
      <c r="C9" s="22">
        <v>56</v>
      </c>
      <c r="D9" s="22">
        <v>83</v>
      </c>
      <c r="E9" s="22">
        <v>127</v>
      </c>
      <c r="F9" s="22">
        <f>712-482</f>
        <v>230</v>
      </c>
      <c r="G9" s="22">
        <v>47</v>
      </c>
      <c r="H9" s="22">
        <v>137</v>
      </c>
      <c r="I9" s="22">
        <f>196-181</f>
        <v>15</v>
      </c>
      <c r="J9" s="22">
        <f>202-164</f>
        <v>38</v>
      </c>
      <c r="K9" s="22">
        <v>26</v>
      </c>
      <c r="L9" s="22">
        <v>22</v>
      </c>
      <c r="M9" s="22">
        <v>47</v>
      </c>
      <c r="N9" s="26">
        <f t="shared" si="0"/>
        <v>80.916666666666671</v>
      </c>
      <c r="O9" s="22">
        <f t="shared" si="2"/>
        <v>18.859310992480907</v>
      </c>
      <c r="P9" s="21"/>
    </row>
    <row r="10" spans="1:16" ht="14.25" customHeight="1" x14ac:dyDescent="0.3">
      <c r="A10" s="22" t="s">
        <v>73</v>
      </c>
      <c r="B10" s="47" t="s">
        <v>74</v>
      </c>
      <c r="C10" s="49"/>
      <c r="D10" s="49"/>
      <c r="E10" s="48"/>
      <c r="F10" s="47" t="s">
        <v>75</v>
      </c>
      <c r="G10" s="49"/>
      <c r="H10" s="49"/>
      <c r="I10" s="49"/>
      <c r="J10" s="49"/>
      <c r="K10" s="49"/>
      <c r="L10" s="49"/>
      <c r="M10" s="48"/>
      <c r="N10" s="21"/>
      <c r="O10" s="21"/>
      <c r="P10" s="21"/>
    </row>
    <row r="11" spans="1:16" ht="14.25" customHeight="1" x14ac:dyDescent="0.3">
      <c r="A11" s="21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1"/>
      <c r="O11" s="21"/>
      <c r="P11" s="21"/>
    </row>
    <row r="12" spans="1:16" ht="14.25" customHeight="1" x14ac:dyDescent="0.3">
      <c r="A12" s="20" t="s">
        <v>76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1"/>
      <c r="O12" s="21"/>
      <c r="P12" s="21"/>
    </row>
    <row r="13" spans="1:16" ht="14.25" customHeight="1" x14ac:dyDescent="0.3">
      <c r="A13" s="22" t="s">
        <v>46</v>
      </c>
      <c r="B13" s="47" t="s">
        <v>47</v>
      </c>
      <c r="C13" s="49"/>
      <c r="D13" s="48"/>
      <c r="E13" s="23" t="s">
        <v>48</v>
      </c>
      <c r="F13" s="23" t="s">
        <v>49</v>
      </c>
      <c r="G13" s="23" t="s">
        <v>50</v>
      </c>
      <c r="H13" s="23" t="s">
        <v>47</v>
      </c>
      <c r="I13" s="23" t="s">
        <v>51</v>
      </c>
      <c r="J13" s="23" t="s">
        <v>52</v>
      </c>
      <c r="K13" s="23" t="s">
        <v>52</v>
      </c>
      <c r="L13" s="23" t="s">
        <v>53</v>
      </c>
      <c r="M13" s="23" t="s">
        <v>54</v>
      </c>
      <c r="N13" s="13" t="s">
        <v>77</v>
      </c>
      <c r="O13" s="21"/>
    </row>
    <row r="14" spans="1:16" ht="14.25" customHeight="1" x14ac:dyDescent="0.3">
      <c r="A14" s="24" t="s">
        <v>55</v>
      </c>
      <c r="B14" s="22" t="s">
        <v>56</v>
      </c>
      <c r="C14" s="22" t="s">
        <v>57</v>
      </c>
      <c r="D14" s="22" t="s">
        <v>58</v>
      </c>
      <c r="E14" s="22" t="s">
        <v>59</v>
      </c>
      <c r="F14" s="22" t="s">
        <v>60</v>
      </c>
      <c r="G14" s="22" t="s">
        <v>61</v>
      </c>
      <c r="H14" s="22" t="s">
        <v>62</v>
      </c>
      <c r="I14" s="22" t="s">
        <v>63</v>
      </c>
      <c r="J14" s="22" t="s">
        <v>64</v>
      </c>
      <c r="K14" s="22" t="s">
        <v>65</v>
      </c>
      <c r="L14" s="22" t="s">
        <v>66</v>
      </c>
      <c r="M14" s="22" t="s">
        <v>67</v>
      </c>
      <c r="N14" s="23" t="s">
        <v>31</v>
      </c>
      <c r="O14" s="23" t="s">
        <v>32</v>
      </c>
      <c r="P14" s="28" t="s">
        <v>78</v>
      </c>
    </row>
    <row r="15" spans="1:16" ht="14.25" customHeight="1" x14ac:dyDescent="0.3">
      <c r="A15" s="22" t="s">
        <v>0</v>
      </c>
      <c r="B15" s="22">
        <f t="shared" ref="B15:M15" si="3">B4/5</f>
        <v>3</v>
      </c>
      <c r="C15" s="22">
        <f t="shared" si="3"/>
        <v>6</v>
      </c>
      <c r="D15" s="22">
        <f t="shared" si="3"/>
        <v>3</v>
      </c>
      <c r="E15" s="22">
        <f t="shared" si="3"/>
        <v>13</v>
      </c>
      <c r="F15" s="22">
        <f t="shared" si="3"/>
        <v>1</v>
      </c>
      <c r="G15" s="22">
        <f t="shared" si="3"/>
        <v>0.2</v>
      </c>
      <c r="H15" s="22">
        <f t="shared" si="3"/>
        <v>0.2</v>
      </c>
      <c r="I15" s="22">
        <f t="shared" si="3"/>
        <v>-0.2</v>
      </c>
      <c r="J15" s="22">
        <f t="shared" si="3"/>
        <v>2.8</v>
      </c>
      <c r="K15" s="22">
        <f t="shared" si="3"/>
        <v>-1.6</v>
      </c>
      <c r="L15" s="22">
        <f t="shared" si="3"/>
        <v>-0.8</v>
      </c>
      <c r="M15" s="22">
        <f t="shared" si="3"/>
        <v>2.6</v>
      </c>
      <c r="N15" s="26">
        <f t="shared" ref="N15:N16" si="4">AVERAGE(B15:M15)</f>
        <v>2.4333333333333331</v>
      </c>
      <c r="O15" s="22">
        <f t="shared" ref="O15:O16" si="5">STDEV(B15:M15)/SQRT(12)</f>
        <v>1.137736544391734</v>
      </c>
      <c r="P15" s="22" t="s">
        <v>69</v>
      </c>
    </row>
    <row r="16" spans="1:16" ht="14.25" customHeight="1" x14ac:dyDescent="0.3">
      <c r="A16" s="24" t="s">
        <v>8</v>
      </c>
      <c r="B16" s="22">
        <f t="shared" ref="B16:M16" si="6">B5/5</f>
        <v>16.8</v>
      </c>
      <c r="C16" s="22">
        <f t="shared" si="6"/>
        <v>2.8</v>
      </c>
      <c r="D16" s="22">
        <f t="shared" si="6"/>
        <v>19</v>
      </c>
      <c r="E16" s="22">
        <f t="shared" si="6"/>
        <v>27.4</v>
      </c>
      <c r="F16" s="22">
        <f t="shared" si="6"/>
        <v>36</v>
      </c>
      <c r="G16" s="22">
        <f t="shared" si="6"/>
        <v>8.4</v>
      </c>
      <c r="H16" s="22">
        <f t="shared" si="6"/>
        <v>17.600000000000001</v>
      </c>
      <c r="I16" s="22">
        <f t="shared" si="6"/>
        <v>3.2</v>
      </c>
      <c r="J16" s="22">
        <f t="shared" si="6"/>
        <v>12.8</v>
      </c>
      <c r="K16" s="22">
        <f t="shared" si="6"/>
        <v>13</v>
      </c>
      <c r="L16" s="22">
        <f t="shared" si="6"/>
        <v>3.6</v>
      </c>
      <c r="M16" s="22">
        <f t="shared" si="6"/>
        <v>10.8</v>
      </c>
      <c r="N16" s="26">
        <f t="shared" si="4"/>
        <v>14.283333333333333</v>
      </c>
      <c r="O16" s="22">
        <f t="shared" si="5"/>
        <v>2.8902614260843444</v>
      </c>
      <c r="P16" s="29">
        <v>3.0000000000000001E-3</v>
      </c>
    </row>
    <row r="17" spans="1:26" ht="14.25" customHeight="1" x14ac:dyDescent="0.3">
      <c r="A17" s="24" t="s">
        <v>68</v>
      </c>
      <c r="B17" s="22" t="s">
        <v>69</v>
      </c>
      <c r="C17" s="22" t="s">
        <v>69</v>
      </c>
      <c r="D17" s="22" t="s">
        <v>69</v>
      </c>
      <c r="E17" s="22" t="s">
        <v>69</v>
      </c>
      <c r="F17" s="22">
        <f t="shared" ref="F17:M17" si="7">F6/5</f>
        <v>12.8</v>
      </c>
      <c r="G17" s="22">
        <f t="shared" si="7"/>
        <v>5.2</v>
      </c>
      <c r="H17" s="22">
        <f t="shared" si="7"/>
        <v>8</v>
      </c>
      <c r="I17" s="22">
        <f t="shared" si="7"/>
        <v>2.6</v>
      </c>
      <c r="J17" s="22">
        <f t="shared" si="7"/>
        <v>8.1999999999999993</v>
      </c>
      <c r="K17" s="22">
        <f t="shared" si="7"/>
        <v>5.8</v>
      </c>
      <c r="L17" s="22">
        <f t="shared" si="7"/>
        <v>3.8</v>
      </c>
      <c r="M17" s="22">
        <f t="shared" si="7"/>
        <v>2.8</v>
      </c>
      <c r="N17" s="26">
        <f>AVERAGE(F17:M17)</f>
        <v>6.1499999999999986</v>
      </c>
      <c r="O17" s="22">
        <f>STDEV(F17:M17)/SQRT(8)</f>
        <v>1.2116989253582295</v>
      </c>
      <c r="P17" s="29">
        <v>1.2E-2</v>
      </c>
    </row>
    <row r="18" spans="1:26" ht="14.25" customHeight="1" x14ac:dyDescent="0.3">
      <c r="A18" s="24" t="s">
        <v>70</v>
      </c>
      <c r="B18" s="22">
        <f t="shared" ref="B18:M18" si="8">B7/5</f>
        <v>19.2</v>
      </c>
      <c r="C18" s="22">
        <f t="shared" si="8"/>
        <v>22.8</v>
      </c>
      <c r="D18" s="22">
        <f t="shared" si="8"/>
        <v>22</v>
      </c>
      <c r="E18" s="22">
        <f t="shared" si="8"/>
        <v>42.4</v>
      </c>
      <c r="F18" s="22">
        <f t="shared" si="8"/>
        <v>53.8</v>
      </c>
      <c r="G18" s="22">
        <f t="shared" si="8"/>
        <v>16.8</v>
      </c>
      <c r="H18" s="22">
        <f t="shared" si="8"/>
        <v>51</v>
      </c>
      <c r="I18" s="22">
        <f t="shared" si="8"/>
        <v>-2.6</v>
      </c>
      <c r="J18" s="22">
        <f t="shared" si="8"/>
        <v>14.6</v>
      </c>
      <c r="K18" s="22">
        <f t="shared" si="8"/>
        <v>24</v>
      </c>
      <c r="L18" s="22">
        <f t="shared" si="8"/>
        <v>17.2</v>
      </c>
      <c r="M18" s="22">
        <f t="shared" si="8"/>
        <v>29.2</v>
      </c>
      <c r="N18" s="26">
        <f t="shared" ref="N18:N20" si="9">AVERAGE(B18:M18)</f>
        <v>25.866666666666664</v>
      </c>
      <c r="O18" s="22">
        <f t="shared" ref="O18:O20" si="10">STDEV(B18:M18)/SQRT(12)</f>
        <v>4.6574367598194151</v>
      </c>
      <c r="P18" s="29">
        <v>3.0000000000000001E-3</v>
      </c>
    </row>
    <row r="19" spans="1:26" ht="14.25" customHeight="1" x14ac:dyDescent="0.3">
      <c r="A19" s="24" t="s">
        <v>71</v>
      </c>
      <c r="B19" s="22">
        <f t="shared" ref="B19:M19" si="11">B8/5</f>
        <v>33</v>
      </c>
      <c r="C19" s="22">
        <f t="shared" si="11"/>
        <v>9.8000000000000007</v>
      </c>
      <c r="D19" s="22">
        <f t="shared" si="11"/>
        <v>8.8000000000000007</v>
      </c>
      <c r="E19" s="22">
        <f t="shared" si="11"/>
        <v>21</v>
      </c>
      <c r="F19" s="22">
        <f t="shared" si="11"/>
        <v>43.6</v>
      </c>
      <c r="G19" s="22">
        <f t="shared" si="11"/>
        <v>11</v>
      </c>
      <c r="H19" s="22">
        <f t="shared" si="11"/>
        <v>22.6</v>
      </c>
      <c r="I19" s="22">
        <f t="shared" si="11"/>
        <v>-1.2</v>
      </c>
      <c r="J19" s="22">
        <f t="shared" si="11"/>
        <v>9.6</v>
      </c>
      <c r="K19" s="22">
        <f t="shared" si="11"/>
        <v>10.6</v>
      </c>
      <c r="L19" s="22">
        <f t="shared" si="11"/>
        <v>8</v>
      </c>
      <c r="M19" s="22">
        <f t="shared" si="11"/>
        <v>16.399999999999999</v>
      </c>
      <c r="N19" s="26">
        <f t="shared" si="9"/>
        <v>16.099999999999998</v>
      </c>
      <c r="O19" s="22">
        <f t="shared" si="10"/>
        <v>3.5511415151477776</v>
      </c>
      <c r="P19" s="29">
        <v>3.0000000000000001E-3</v>
      </c>
    </row>
    <row r="20" spans="1:26" ht="14.25" customHeight="1" x14ac:dyDescent="0.3">
      <c r="A20" s="24" t="s">
        <v>72</v>
      </c>
      <c r="B20" s="22">
        <f t="shared" ref="B20:M20" si="12">B9/5</f>
        <v>28.6</v>
      </c>
      <c r="C20" s="22">
        <f t="shared" si="12"/>
        <v>11.2</v>
      </c>
      <c r="D20" s="22">
        <f t="shared" si="12"/>
        <v>16.600000000000001</v>
      </c>
      <c r="E20" s="22">
        <f t="shared" si="12"/>
        <v>25.4</v>
      </c>
      <c r="F20" s="22">
        <f t="shared" si="12"/>
        <v>46</v>
      </c>
      <c r="G20" s="22">
        <f t="shared" si="12"/>
        <v>9.4</v>
      </c>
      <c r="H20" s="22">
        <f t="shared" si="12"/>
        <v>27.4</v>
      </c>
      <c r="I20" s="22">
        <f t="shared" si="12"/>
        <v>3</v>
      </c>
      <c r="J20" s="22">
        <f t="shared" si="12"/>
        <v>7.6</v>
      </c>
      <c r="K20" s="22">
        <f t="shared" si="12"/>
        <v>5.2</v>
      </c>
      <c r="L20" s="22">
        <f t="shared" si="12"/>
        <v>4.4000000000000004</v>
      </c>
      <c r="M20" s="22">
        <f t="shared" si="12"/>
        <v>9.4</v>
      </c>
      <c r="N20" s="26">
        <f t="shared" si="9"/>
        <v>16.183333333333334</v>
      </c>
      <c r="O20" s="22">
        <f t="shared" si="10"/>
        <v>3.7718621984961809</v>
      </c>
      <c r="P20" s="29">
        <v>2E-3</v>
      </c>
    </row>
    <row r="21" spans="1:26" ht="14.25" customHeight="1" x14ac:dyDescent="0.3">
      <c r="A21" s="22" t="s">
        <v>73</v>
      </c>
      <c r="B21" s="47" t="s">
        <v>74</v>
      </c>
      <c r="C21" s="49"/>
      <c r="D21" s="49"/>
      <c r="E21" s="48"/>
      <c r="F21" s="47" t="s">
        <v>75</v>
      </c>
      <c r="G21" s="49"/>
      <c r="H21" s="49"/>
      <c r="I21" s="49"/>
      <c r="J21" s="49"/>
      <c r="K21" s="49"/>
      <c r="L21" s="49"/>
      <c r="M21" s="48"/>
    </row>
    <row r="22" spans="1:26" ht="14.25" customHeight="1" x14ac:dyDescent="0.3">
      <c r="A22" s="34"/>
      <c r="B22" s="35"/>
      <c r="C22" s="36"/>
      <c r="D22" s="36"/>
      <c r="E22" s="36"/>
      <c r="F22" s="35"/>
      <c r="G22" s="36"/>
      <c r="H22" s="36"/>
      <c r="I22" s="36"/>
      <c r="J22" s="36"/>
      <c r="K22" s="36"/>
      <c r="L22" s="36"/>
      <c r="M22" s="36"/>
    </row>
    <row r="23" spans="1:26" ht="12" customHeight="1" x14ac:dyDescent="0.3">
      <c r="A23" s="20" t="s">
        <v>80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 x14ac:dyDescent="0.3">
      <c r="A24" s="22"/>
      <c r="B24" s="47" t="s">
        <v>81</v>
      </c>
      <c r="C24" s="48"/>
      <c r="D24" s="47" t="s">
        <v>48</v>
      </c>
      <c r="E24" s="48"/>
      <c r="F24" s="47" t="s">
        <v>82</v>
      </c>
      <c r="G24" s="48"/>
      <c r="H24" s="47" t="s">
        <v>83</v>
      </c>
      <c r="I24" s="48"/>
      <c r="J24" s="47" t="s">
        <v>81</v>
      </c>
      <c r="K24" s="48"/>
      <c r="L24" s="47" t="s">
        <v>84</v>
      </c>
      <c r="M24" s="48"/>
      <c r="N24" s="47" t="s">
        <v>52</v>
      </c>
      <c r="O24" s="48"/>
      <c r="P24" s="47" t="s">
        <v>53</v>
      </c>
      <c r="Q24" s="48"/>
      <c r="R24" s="47" t="s">
        <v>54</v>
      </c>
      <c r="S24" s="48"/>
      <c r="T24" s="21"/>
      <c r="U24" s="21"/>
      <c r="V24" s="21"/>
      <c r="W24" s="21"/>
      <c r="X24" s="21"/>
      <c r="Y24" s="21"/>
      <c r="Z24" s="21"/>
    </row>
    <row r="25" spans="1:26" ht="12" customHeight="1" x14ac:dyDescent="0.3">
      <c r="A25" s="24" t="s">
        <v>55</v>
      </c>
      <c r="B25" s="22" t="s">
        <v>85</v>
      </c>
      <c r="C25" s="22" t="s">
        <v>86</v>
      </c>
      <c r="D25" s="22" t="s">
        <v>85</v>
      </c>
      <c r="E25" s="22" t="s">
        <v>86</v>
      </c>
      <c r="F25" s="22" t="s">
        <v>85</v>
      </c>
      <c r="G25" s="22" t="s">
        <v>86</v>
      </c>
      <c r="H25" s="22" t="s">
        <v>85</v>
      </c>
      <c r="I25" s="22" t="s">
        <v>86</v>
      </c>
      <c r="J25" s="22" t="s">
        <v>85</v>
      </c>
      <c r="K25" s="22" t="s">
        <v>86</v>
      </c>
      <c r="L25" s="22" t="s">
        <v>85</v>
      </c>
      <c r="M25" s="22" t="s">
        <v>86</v>
      </c>
      <c r="N25" s="22" t="s">
        <v>85</v>
      </c>
      <c r="O25" s="22" t="s">
        <v>86</v>
      </c>
      <c r="P25" s="22" t="s">
        <v>85</v>
      </c>
      <c r="Q25" s="22" t="s">
        <v>86</v>
      </c>
      <c r="R25" s="22" t="s">
        <v>85</v>
      </c>
      <c r="S25" s="22" t="s">
        <v>86</v>
      </c>
      <c r="T25" s="21"/>
      <c r="U25" s="21"/>
      <c r="V25" s="21"/>
      <c r="W25" s="21"/>
      <c r="X25" s="21"/>
      <c r="Y25" s="21"/>
      <c r="Z25" s="21"/>
    </row>
    <row r="26" spans="1:26" ht="12" customHeight="1" x14ac:dyDescent="0.3">
      <c r="A26" s="24" t="s">
        <v>8</v>
      </c>
      <c r="B26" s="22">
        <v>11.532999999999999</v>
      </c>
      <c r="C26" s="22">
        <v>1395.9134615384614</v>
      </c>
      <c r="D26" s="22">
        <v>11.467000000000001</v>
      </c>
      <c r="E26" s="22">
        <v>1391.4765906362545</v>
      </c>
      <c r="F26" s="23">
        <v>11.488</v>
      </c>
      <c r="G26" s="22">
        <v>1105.5441478439425</v>
      </c>
      <c r="H26" s="23">
        <v>11.468999999999999</v>
      </c>
      <c r="I26" s="22">
        <v>1104.5687885010266</v>
      </c>
      <c r="J26" s="22">
        <v>11.484</v>
      </c>
      <c r="K26" s="22">
        <v>1105.3388090349076</v>
      </c>
      <c r="L26" s="22">
        <v>11.497999999999999</v>
      </c>
      <c r="M26" s="22">
        <v>1106.0574948665296</v>
      </c>
      <c r="N26" s="22">
        <v>11.483000000000001</v>
      </c>
      <c r="O26" s="22">
        <v>1105.287474332649</v>
      </c>
      <c r="P26" s="22">
        <v>11.492000000000001</v>
      </c>
      <c r="Q26" s="22">
        <v>1105.7494866529773</v>
      </c>
      <c r="R26" s="22">
        <v>11.481</v>
      </c>
      <c r="S26" s="22">
        <v>1105.1848049281314</v>
      </c>
      <c r="T26" s="21"/>
      <c r="U26" s="21"/>
      <c r="V26" s="21"/>
      <c r="W26" s="21"/>
      <c r="X26" s="21"/>
      <c r="Y26" s="21"/>
      <c r="Z26" s="21"/>
    </row>
    <row r="27" spans="1:26" ht="12" customHeight="1" x14ac:dyDescent="0.3">
      <c r="A27" s="24" t="s">
        <v>68</v>
      </c>
      <c r="B27" s="22" t="s">
        <v>69</v>
      </c>
      <c r="C27" s="22" t="s">
        <v>69</v>
      </c>
      <c r="D27" s="22" t="s">
        <v>69</v>
      </c>
      <c r="E27" s="22" t="s">
        <v>69</v>
      </c>
      <c r="F27" s="37">
        <v>11.66</v>
      </c>
      <c r="G27" s="22">
        <v>1114.3737166324436</v>
      </c>
      <c r="H27" s="23">
        <v>11.643000000000001</v>
      </c>
      <c r="I27" s="22">
        <v>1113.5010266940501</v>
      </c>
      <c r="J27" s="22">
        <v>11.654999999999999</v>
      </c>
      <c r="K27" s="22">
        <v>1114.1170431211499</v>
      </c>
      <c r="L27" s="38">
        <v>11.66</v>
      </c>
      <c r="M27" s="22">
        <v>1114.3737166324436</v>
      </c>
      <c r="N27" s="22">
        <v>11.635999999999999</v>
      </c>
      <c r="O27" s="22">
        <v>1113.141683778234</v>
      </c>
      <c r="P27" s="22">
        <v>11.641999999999999</v>
      </c>
      <c r="Q27" s="22">
        <v>1113.4496919917863</v>
      </c>
      <c r="R27" s="22">
        <v>11.645</v>
      </c>
      <c r="S27" s="22">
        <v>1113.6036960985625</v>
      </c>
      <c r="T27" s="21"/>
      <c r="U27" s="21"/>
      <c r="V27" s="21"/>
      <c r="W27" s="21"/>
      <c r="X27" s="21"/>
      <c r="Y27" s="21"/>
      <c r="Z27" s="21"/>
    </row>
    <row r="28" spans="1:26" ht="12" customHeight="1" x14ac:dyDescent="0.3">
      <c r="A28" s="24" t="s">
        <v>70</v>
      </c>
      <c r="B28" s="38">
        <v>13.15</v>
      </c>
      <c r="C28" s="22">
        <v>1498.6624203821657</v>
      </c>
      <c r="D28" s="22">
        <v>13.117000000000001</v>
      </c>
      <c r="E28" s="22">
        <v>1496.5605095541403</v>
      </c>
      <c r="F28" s="37">
        <v>13.32</v>
      </c>
      <c r="G28" s="22">
        <v>1206.7694001100715</v>
      </c>
      <c r="H28" s="23">
        <v>13.305</v>
      </c>
      <c r="I28" s="22">
        <v>1205.9438635112822</v>
      </c>
      <c r="J28" s="22">
        <v>13.317</v>
      </c>
      <c r="K28" s="22">
        <v>1206.6042927903136</v>
      </c>
      <c r="L28" s="22">
        <v>13.324</v>
      </c>
      <c r="M28" s="22">
        <v>1206.9895432030821</v>
      </c>
      <c r="N28" s="22">
        <v>13.313000000000001</v>
      </c>
      <c r="O28" s="39">
        <v>1206.3841496973034</v>
      </c>
      <c r="P28" s="22">
        <v>13.304</v>
      </c>
      <c r="Q28" s="22">
        <v>1205.8888277380297</v>
      </c>
      <c r="R28" s="22">
        <v>13.314</v>
      </c>
      <c r="S28" s="22">
        <v>1206.4391854705559</v>
      </c>
      <c r="T28" s="21"/>
      <c r="U28" s="21"/>
      <c r="V28" s="21"/>
      <c r="W28" s="21"/>
      <c r="X28" s="21"/>
      <c r="Y28" s="21"/>
      <c r="Z28" s="21"/>
    </row>
    <row r="29" spans="1:26" ht="12" customHeight="1" x14ac:dyDescent="0.3">
      <c r="A29" s="24" t="s">
        <v>71</v>
      </c>
      <c r="B29" s="22">
        <v>14.782999999999999</v>
      </c>
      <c r="C29" s="22">
        <v>1607.8928823114868</v>
      </c>
      <c r="D29" s="22">
        <v>14.717000000000001</v>
      </c>
      <c r="E29" s="22">
        <v>1603.2417195207895</v>
      </c>
      <c r="F29" s="23">
        <v>15.029</v>
      </c>
      <c r="G29" s="22">
        <v>1307.5748678802115</v>
      </c>
      <c r="H29" s="23">
        <v>15.007999999999999</v>
      </c>
      <c r="I29" s="22">
        <v>1306.3417498532001</v>
      </c>
      <c r="J29" s="22">
        <v>15.038</v>
      </c>
      <c r="K29" s="22">
        <v>1308.1033470346447</v>
      </c>
      <c r="L29" s="22">
        <v>15.083</v>
      </c>
      <c r="M29" s="22">
        <v>1310.7457428068114</v>
      </c>
      <c r="N29" s="22">
        <v>15.065</v>
      </c>
      <c r="O29" s="22">
        <v>1309.6887844979447</v>
      </c>
      <c r="P29" s="22">
        <v>15.051</v>
      </c>
      <c r="Q29" s="22">
        <v>1308.8667058132708</v>
      </c>
      <c r="R29" s="22">
        <v>15.034000000000001</v>
      </c>
      <c r="S29" s="22">
        <v>1307.8684674104522</v>
      </c>
      <c r="T29" s="21"/>
      <c r="U29" s="21"/>
      <c r="V29" s="21"/>
      <c r="W29" s="21"/>
      <c r="X29" s="21"/>
      <c r="Y29" s="21"/>
      <c r="Z29" s="21"/>
    </row>
    <row r="30" spans="1:26" ht="12" customHeight="1" x14ac:dyDescent="0.3">
      <c r="A30" s="24" t="s">
        <v>72</v>
      </c>
      <c r="B30" s="38">
        <v>16.3</v>
      </c>
      <c r="C30" s="22">
        <v>1715.509601181684</v>
      </c>
      <c r="D30" s="22">
        <v>16.212</v>
      </c>
      <c r="E30" s="22">
        <v>1709.0103397341209</v>
      </c>
      <c r="F30" s="23">
        <v>16.651</v>
      </c>
      <c r="G30" s="22">
        <v>1409.3008739076156</v>
      </c>
      <c r="H30" s="23">
        <v>16.689</v>
      </c>
      <c r="I30" s="22">
        <v>1411.6729088639202</v>
      </c>
      <c r="J30" s="22">
        <v>16.658000000000001</v>
      </c>
      <c r="K30" s="22">
        <v>1409.7378277153559</v>
      </c>
      <c r="L30" s="22">
        <v>16.437000000000001</v>
      </c>
      <c r="M30" s="22">
        <v>1395.9425717852685</v>
      </c>
      <c r="N30" s="22">
        <v>16.655999999999999</v>
      </c>
      <c r="O30" s="22">
        <v>1409.6129837702872</v>
      </c>
      <c r="P30" s="22">
        <v>16.702000000000002</v>
      </c>
      <c r="Q30" s="22">
        <v>1412.4843945068665</v>
      </c>
      <c r="R30" s="22">
        <v>16.654</v>
      </c>
      <c r="S30" s="22">
        <v>1409.4881398252187</v>
      </c>
      <c r="T30" s="21"/>
      <c r="U30" s="21"/>
      <c r="V30" s="21"/>
      <c r="W30" s="21"/>
      <c r="X30" s="21"/>
      <c r="Y30" s="21"/>
      <c r="Z30" s="21"/>
    </row>
    <row r="31" spans="1:26" ht="12" customHeight="1" x14ac:dyDescent="0.3">
      <c r="A31" s="22" t="s">
        <v>73</v>
      </c>
      <c r="B31" s="47" t="s">
        <v>74</v>
      </c>
      <c r="C31" s="49"/>
      <c r="D31" s="49"/>
      <c r="E31" s="48"/>
      <c r="F31" s="47" t="s">
        <v>75</v>
      </c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8"/>
      <c r="T31" s="21"/>
      <c r="U31" s="21"/>
      <c r="V31" s="21"/>
      <c r="W31" s="21"/>
      <c r="X31" s="21"/>
      <c r="Y31" s="21"/>
      <c r="Z31" s="21"/>
    </row>
    <row r="32" spans="1:26" ht="14.25" customHeight="1" x14ac:dyDescent="0.3">
      <c r="A32" s="21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1:13" ht="14.25" customHeight="1" x14ac:dyDescent="0.3">
      <c r="A33" s="20" t="s">
        <v>79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ht="14.25" customHeight="1" x14ac:dyDescent="0.3">
      <c r="A34" s="21"/>
      <c r="B34" s="50" t="s">
        <v>36</v>
      </c>
      <c r="C34" s="46"/>
      <c r="D34" s="46"/>
      <c r="E34" s="50" t="s">
        <v>37</v>
      </c>
      <c r="F34" s="46"/>
      <c r="G34" s="46"/>
    </row>
    <row r="35" spans="1:13" ht="14.25" customHeight="1" x14ac:dyDescent="0.3">
      <c r="A35" s="21"/>
      <c r="B35" s="20" t="s">
        <v>38</v>
      </c>
      <c r="C35" s="20" t="s">
        <v>39</v>
      </c>
      <c r="D35" s="20" t="s">
        <v>40</v>
      </c>
      <c r="E35" s="20" t="s">
        <v>38</v>
      </c>
      <c r="F35" s="20" t="s">
        <v>39</v>
      </c>
      <c r="G35" s="20" t="s">
        <v>40</v>
      </c>
    </row>
    <row r="36" spans="1:13" ht="14.25" customHeight="1" x14ac:dyDescent="0.3">
      <c r="A36" s="20" t="s">
        <v>0</v>
      </c>
      <c r="B36" s="21">
        <v>0.27500000000000002</v>
      </c>
      <c r="C36" s="21">
        <v>8</v>
      </c>
      <c r="D36" s="30">
        <v>7.6999999999999999E-2</v>
      </c>
      <c r="E36" s="21">
        <v>0.78600000000000003</v>
      </c>
      <c r="F36" s="21">
        <v>8</v>
      </c>
      <c r="G36" s="31">
        <v>0.02</v>
      </c>
      <c r="I36" s="32"/>
    </row>
    <row r="37" spans="1:13" ht="14.25" customHeight="1" x14ac:dyDescent="0.3">
      <c r="A37" s="20" t="s">
        <v>8</v>
      </c>
      <c r="B37" s="21">
        <v>0.161</v>
      </c>
      <c r="C37" s="21">
        <v>8</v>
      </c>
      <c r="D37" s="33" t="s">
        <v>41</v>
      </c>
      <c r="E37" s="21">
        <v>0.93799999999999994</v>
      </c>
      <c r="F37" s="21">
        <v>8</v>
      </c>
      <c r="G37" s="20">
        <v>0.59299999999999997</v>
      </c>
    </row>
    <row r="38" spans="1:13" ht="14.25" customHeight="1" x14ac:dyDescent="0.3">
      <c r="A38" s="20" t="s">
        <v>68</v>
      </c>
      <c r="B38" s="21">
        <v>0.16600000000000001</v>
      </c>
      <c r="C38" s="21">
        <v>8</v>
      </c>
      <c r="D38" s="33" t="s">
        <v>41</v>
      </c>
      <c r="E38" s="21">
        <v>0.91</v>
      </c>
      <c r="F38" s="21">
        <v>8</v>
      </c>
      <c r="G38" s="20">
        <v>0.35299999999999998</v>
      </c>
    </row>
    <row r="39" spans="1:13" ht="14.25" customHeight="1" x14ac:dyDescent="0.3">
      <c r="A39" s="20" t="s">
        <v>70</v>
      </c>
      <c r="B39" s="21">
        <v>0.23499999999999999</v>
      </c>
      <c r="C39" s="21">
        <v>8</v>
      </c>
      <c r="D39" s="33" t="s">
        <v>41</v>
      </c>
      <c r="E39" s="21">
        <v>0.92400000000000004</v>
      </c>
      <c r="F39" s="21">
        <v>8</v>
      </c>
      <c r="G39" s="20">
        <v>0.46300000000000002</v>
      </c>
    </row>
    <row r="40" spans="1:13" ht="14.25" customHeight="1" x14ac:dyDescent="0.3">
      <c r="A40" s="20" t="s">
        <v>71</v>
      </c>
      <c r="B40" s="21">
        <v>0.19900000000000001</v>
      </c>
      <c r="C40" s="21">
        <v>8</v>
      </c>
      <c r="D40" s="33" t="s">
        <v>41</v>
      </c>
      <c r="E40" s="21">
        <v>0.95499999999999996</v>
      </c>
      <c r="F40" s="21">
        <v>8</v>
      </c>
      <c r="G40" s="20">
        <v>0.76400000000000001</v>
      </c>
    </row>
    <row r="41" spans="1:13" ht="14.25" customHeight="1" x14ac:dyDescent="0.3">
      <c r="A41" s="20" t="s">
        <v>72</v>
      </c>
      <c r="B41" s="21">
        <v>0.16400000000000001</v>
      </c>
      <c r="C41" s="21">
        <v>8</v>
      </c>
      <c r="D41" s="33" t="s">
        <v>41</v>
      </c>
      <c r="E41" s="21">
        <v>0.95299999999999996</v>
      </c>
      <c r="F41" s="21">
        <v>8</v>
      </c>
      <c r="G41" s="20">
        <v>0.74</v>
      </c>
    </row>
    <row r="42" spans="1:13" ht="14.25" customHeight="1" x14ac:dyDescent="0.3"/>
    <row r="43" spans="1:13" ht="14.25" customHeight="1" x14ac:dyDescent="0.3"/>
    <row r="44" spans="1:13" ht="14.25" customHeight="1" x14ac:dyDescent="0.3"/>
    <row r="45" spans="1:13" ht="14.25" customHeight="1" x14ac:dyDescent="0.3"/>
    <row r="46" spans="1:13" ht="14.25" customHeight="1" x14ac:dyDescent="0.3"/>
    <row r="47" spans="1:13" ht="14.25" customHeight="1" x14ac:dyDescent="0.3"/>
    <row r="48" spans="1:13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  <row r="1003" ht="14.25" customHeight="1" x14ac:dyDescent="0.3"/>
    <row r="1004" ht="14.25" customHeight="1" x14ac:dyDescent="0.3"/>
    <row r="1005" ht="14.25" customHeight="1" x14ac:dyDescent="0.3"/>
    <row r="1006" ht="14.25" customHeight="1" x14ac:dyDescent="0.3"/>
    <row r="1007" ht="14.25" customHeight="1" x14ac:dyDescent="0.3"/>
    <row r="1008" ht="14.25" customHeight="1" x14ac:dyDescent="0.3"/>
    <row r="1009" ht="14.25" customHeight="1" x14ac:dyDescent="0.3"/>
    <row r="1010" ht="14.25" customHeight="1" x14ac:dyDescent="0.3"/>
  </sheetData>
  <mergeCells count="19">
    <mergeCell ref="B2:D2"/>
    <mergeCell ref="B10:E10"/>
    <mergeCell ref="F10:M10"/>
    <mergeCell ref="B13:D13"/>
    <mergeCell ref="B21:E21"/>
    <mergeCell ref="F21:M21"/>
    <mergeCell ref="B34:D34"/>
    <mergeCell ref="E34:G34"/>
    <mergeCell ref="B24:C24"/>
    <mergeCell ref="D24:E24"/>
    <mergeCell ref="F24:G24"/>
    <mergeCell ref="R24:S24"/>
    <mergeCell ref="B31:E31"/>
    <mergeCell ref="F31:S31"/>
    <mergeCell ref="H24:I24"/>
    <mergeCell ref="J24:K24"/>
    <mergeCell ref="L24:M24"/>
    <mergeCell ref="N24:O24"/>
    <mergeCell ref="P24:Q24"/>
  </mergeCells>
  <pageMargins left="0.7" right="0.7" top="0.75" bottom="0.75" header="0" footer="0"/>
  <pageSetup orientation="landscape"/>
  <ignoredErrors>
    <ignoredError sqref="N17:O17 O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Title sheet</vt:lpstr>
      <vt:lpstr>SSR</vt:lpstr>
      <vt:lpstr>GC-SSR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Maria Cattaneo</dc:creator>
  <cp:lastModifiedBy>Alberto Maria Cattaneo</cp:lastModifiedBy>
  <dcterms:created xsi:type="dcterms:W3CDTF">2022-10-20T13:30:50Z</dcterms:created>
  <dcterms:modified xsi:type="dcterms:W3CDTF">2024-10-04T13:11:17Z</dcterms:modified>
</cp:coreProperties>
</file>