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1874123/Library/CloudStorage/OneDrive-UniversityofEdinburgh/PhD/Macrauchenido Bahia fosil/FIRST_complete_version_to_Steve/Second_version_after_Sarah_comments/JME_FIRST_revisions/JME_SECOND_revisions/JME_third_revisions_references_problems/"/>
    </mc:Choice>
  </mc:AlternateContent>
  <xr:revisionPtr revIDLastSave="0" documentId="13_ncr:1_{32DE4DBC-008A-634B-9FFB-9BC4F73DAA84}" xr6:coauthVersionLast="47" xr6:coauthVersionMax="47" xr10:uidLastSave="{00000000-0000-0000-0000-000000000000}"/>
  <bookViews>
    <workbookView xWindow="36860" yWindow="1300" windowWidth="37380" windowHeight="20360" activeTab="2" xr2:uid="{EC16F890-8ADC-4444-A33A-23C1E324D115}"/>
  </bookViews>
  <sheets>
    <sheet name="Online Resource 1" sheetId="18" r:id="rId1"/>
    <sheet name="Table S1 Mandible" sheetId="11" r:id="rId2"/>
    <sheet name="Table S2 Vertebrae" sheetId="12" r:id="rId3"/>
    <sheet name="Table S3 Ulna-radius" sheetId="13" r:id="rId4"/>
    <sheet name="Table S4 Carpals" sheetId="15" r:id="rId5"/>
    <sheet name="Table S5 Metacarpals" sheetId="14" r:id="rId6"/>
    <sheet name="Table S6 Phalanges" sheetId="17" r:id="rId7"/>
    <sheet name="Table S7 Cullinia Mts" sheetId="20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3" i="15" l="1"/>
  <c r="H63" i="15"/>
  <c r="I63" i="15"/>
  <c r="G28" i="15"/>
  <c r="H28" i="15"/>
  <c r="I28" i="15"/>
  <c r="G72" i="15"/>
  <c r="H72" i="15"/>
  <c r="I72" i="15"/>
  <c r="G73" i="15"/>
  <c r="H73" i="15"/>
  <c r="I73" i="15"/>
  <c r="K6" i="17"/>
  <c r="L6" i="17"/>
  <c r="K7" i="17"/>
  <c r="L7" i="17"/>
  <c r="L8" i="17"/>
  <c r="O5" i="14"/>
  <c r="P5" i="14"/>
  <c r="Q5" i="14"/>
  <c r="R5" i="14"/>
  <c r="S5" i="14"/>
  <c r="T5" i="14"/>
  <c r="O12" i="20"/>
  <c r="P12" i="20"/>
  <c r="Q12" i="20"/>
  <c r="R12" i="20"/>
  <c r="S12" i="20"/>
  <c r="T12" i="20"/>
  <c r="I76" i="17"/>
  <c r="J76" i="17"/>
  <c r="I77" i="17"/>
  <c r="J77" i="17"/>
  <c r="K21" i="17"/>
  <c r="L21" i="17"/>
  <c r="R33" i="14"/>
  <c r="Q33" i="14"/>
  <c r="Q32" i="14"/>
  <c r="T32" i="14"/>
  <c r="P33" i="14"/>
  <c r="S33" i="14"/>
  <c r="T33" i="14"/>
  <c r="O33" i="14"/>
  <c r="G53" i="15"/>
  <c r="H53" i="15"/>
  <c r="I53" i="15"/>
  <c r="G29" i="15"/>
  <c r="H29" i="15"/>
  <c r="I29" i="15"/>
  <c r="G41" i="15"/>
  <c r="H41" i="15"/>
  <c r="I41" i="15"/>
  <c r="I78" i="17"/>
  <c r="J78" i="17"/>
  <c r="K57" i="17"/>
  <c r="K29" i="17"/>
  <c r="K30" i="17"/>
  <c r="L30" i="17"/>
  <c r="I102" i="17"/>
  <c r="J102" i="17"/>
  <c r="L57" i="17"/>
  <c r="L29" i="17"/>
  <c r="Q36" i="14"/>
  <c r="Q41" i="14"/>
  <c r="Q40" i="14"/>
  <c r="Q39" i="14"/>
  <c r="Q38" i="14"/>
  <c r="T35" i="14"/>
  <c r="S35" i="14"/>
  <c r="R35" i="14"/>
  <c r="Q35" i="14"/>
  <c r="P35" i="14"/>
  <c r="O35" i="14"/>
  <c r="P16" i="14"/>
  <c r="Q16" i="14"/>
  <c r="R16" i="14"/>
  <c r="S16" i="14"/>
  <c r="T16" i="14"/>
  <c r="R18" i="14"/>
  <c r="O16" i="14"/>
  <c r="S25" i="20"/>
  <c r="O25" i="20"/>
  <c r="P25" i="20"/>
  <c r="T25" i="20"/>
  <c r="O26" i="20"/>
  <c r="P26" i="20"/>
  <c r="Q26" i="20"/>
  <c r="R26" i="20"/>
  <c r="S26" i="20"/>
  <c r="T26" i="20"/>
  <c r="O8" i="20"/>
  <c r="R8" i="20"/>
  <c r="R5" i="20"/>
  <c r="R13" i="20"/>
  <c r="O13" i="20"/>
  <c r="P13" i="20"/>
  <c r="Q13" i="20"/>
  <c r="S13" i="20"/>
  <c r="T13" i="20"/>
  <c r="O21" i="20"/>
  <c r="P21" i="20"/>
  <c r="Q21" i="20"/>
  <c r="R21" i="20"/>
  <c r="S21" i="20"/>
  <c r="T21" i="20"/>
  <c r="G77" i="15"/>
  <c r="I77" i="15"/>
  <c r="H77" i="15"/>
  <c r="O26" i="14"/>
  <c r="P26" i="14"/>
  <c r="Q26" i="14"/>
  <c r="R26" i="14"/>
  <c r="S26" i="14"/>
  <c r="T26" i="14"/>
  <c r="S6" i="14"/>
  <c r="T6" i="14"/>
  <c r="O6" i="14"/>
  <c r="P6" i="14"/>
  <c r="Q6" i="14"/>
  <c r="R6" i="14"/>
  <c r="O22" i="20"/>
  <c r="P22" i="20"/>
  <c r="Q22" i="20"/>
  <c r="R22" i="20"/>
  <c r="S22" i="20"/>
  <c r="T22" i="20"/>
  <c r="P8" i="20"/>
  <c r="Q8" i="20"/>
  <c r="S8" i="20"/>
  <c r="T8" i="20"/>
  <c r="Q30" i="14"/>
  <c r="Q31" i="14"/>
  <c r="G74" i="15"/>
  <c r="H74" i="15"/>
  <c r="I74" i="15"/>
  <c r="G75" i="15"/>
  <c r="H75" i="15"/>
  <c r="I75" i="15"/>
  <c r="G14" i="15"/>
  <c r="H14" i="15"/>
  <c r="I14" i="15"/>
  <c r="G15" i="15"/>
  <c r="H15" i="15"/>
  <c r="I15" i="15"/>
  <c r="I71" i="17"/>
  <c r="J71" i="17"/>
  <c r="I72" i="17"/>
  <c r="J72" i="17"/>
  <c r="I94" i="17"/>
  <c r="J94" i="17"/>
  <c r="I95" i="17"/>
  <c r="J95" i="17"/>
  <c r="I96" i="17"/>
  <c r="J96" i="17"/>
  <c r="G39" i="15"/>
  <c r="H39" i="15"/>
  <c r="I39" i="15"/>
  <c r="T5" i="20"/>
  <c r="S5" i="20"/>
  <c r="Q5" i="20"/>
  <c r="P5" i="20"/>
  <c r="O5" i="20"/>
  <c r="G51" i="15"/>
  <c r="G52" i="15"/>
  <c r="H51" i="15"/>
  <c r="I51" i="15"/>
  <c r="H52" i="15"/>
  <c r="I52" i="15"/>
  <c r="Q27" i="14"/>
  <c r="K51" i="17"/>
  <c r="L51" i="17"/>
  <c r="S30" i="14"/>
  <c r="T30" i="14"/>
  <c r="S31" i="14"/>
  <c r="T31" i="14"/>
  <c r="S34" i="14"/>
  <c r="T34" i="14"/>
  <c r="S36" i="14"/>
  <c r="T36" i="14"/>
  <c r="T37" i="14"/>
  <c r="T25" i="14"/>
  <c r="T27" i="14"/>
  <c r="S27" i="14"/>
  <c r="O27" i="14"/>
  <c r="P27" i="14"/>
  <c r="R27" i="14"/>
  <c r="T18" i="20"/>
  <c r="S18" i="20"/>
  <c r="R18" i="20"/>
  <c r="Q18" i="20"/>
  <c r="P18" i="20"/>
  <c r="O18" i="20"/>
  <c r="G76" i="15"/>
  <c r="H76" i="15"/>
  <c r="I76" i="15"/>
  <c r="G64" i="15"/>
  <c r="H64" i="15"/>
  <c r="I64" i="15"/>
  <c r="I40" i="15"/>
  <c r="H40" i="15"/>
  <c r="G40" i="15"/>
  <c r="I13" i="15"/>
  <c r="F5" i="15"/>
  <c r="F8" i="15"/>
  <c r="O19" i="13"/>
  <c r="P18" i="13"/>
  <c r="P19" i="13"/>
  <c r="O18" i="13"/>
  <c r="G65" i="15"/>
  <c r="H65" i="15"/>
  <c r="I65" i="15"/>
  <c r="G78" i="15"/>
  <c r="H78" i="15"/>
  <c r="I78" i="15"/>
  <c r="G66" i="15"/>
  <c r="H66" i="15"/>
  <c r="I66" i="15"/>
  <c r="G54" i="15"/>
  <c r="H54" i="15"/>
  <c r="I54" i="15"/>
  <c r="G42" i="15"/>
  <c r="H42" i="15"/>
  <c r="I42" i="15"/>
  <c r="G30" i="15"/>
  <c r="H30" i="15"/>
  <c r="I30" i="15"/>
  <c r="G16" i="15"/>
  <c r="H16" i="15"/>
  <c r="I16" i="15"/>
  <c r="P6" i="12"/>
  <c r="P4" i="12"/>
  <c r="P9" i="12"/>
  <c r="P10" i="12"/>
  <c r="O9" i="12"/>
  <c r="O11" i="12"/>
  <c r="O10" i="12"/>
  <c r="O7" i="12"/>
  <c r="O6" i="12"/>
  <c r="O4" i="12"/>
  <c r="N9" i="12"/>
  <c r="M9" i="12"/>
  <c r="L9" i="12"/>
  <c r="N5" i="12"/>
  <c r="L5" i="12"/>
  <c r="N6" i="12"/>
  <c r="M6" i="12"/>
  <c r="L6" i="12"/>
  <c r="S25" i="14"/>
  <c r="T8" i="14"/>
  <c r="T9" i="14"/>
  <c r="T12" i="14"/>
  <c r="T13" i="14"/>
  <c r="T14" i="14"/>
  <c r="T15" i="14"/>
  <c r="T4" i="14"/>
  <c r="S8" i="14"/>
  <c r="S9" i="14"/>
  <c r="S12" i="14"/>
  <c r="S14" i="14"/>
  <c r="S15" i="14"/>
  <c r="S4" i="14"/>
  <c r="J103" i="17"/>
  <c r="J104" i="17"/>
  <c r="J92" i="17"/>
  <c r="I92" i="17"/>
  <c r="K49" i="17"/>
  <c r="K53" i="17"/>
  <c r="K54" i="17"/>
  <c r="K55" i="17"/>
  <c r="K56" i="17"/>
  <c r="K59" i="17"/>
  <c r="K60" i="17"/>
  <c r="K61" i="17"/>
  <c r="K62" i="17"/>
  <c r="K63" i="17"/>
  <c r="R23" i="17"/>
  <c r="L49" i="17"/>
  <c r="K4" i="17"/>
  <c r="K5" i="17"/>
  <c r="K9" i="17"/>
  <c r="K10" i="17"/>
  <c r="K11" i="17"/>
  <c r="K13" i="17"/>
  <c r="K14" i="17"/>
  <c r="K15" i="17"/>
  <c r="K16" i="17"/>
  <c r="K17" i="17"/>
  <c r="K18" i="17"/>
  <c r="K19" i="17"/>
  <c r="K20" i="17"/>
  <c r="K22" i="17"/>
  <c r="K23" i="17"/>
  <c r="K24" i="17"/>
  <c r="K26" i="17"/>
  <c r="K28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R24" i="17"/>
  <c r="L4" i="17"/>
  <c r="L5" i="17"/>
  <c r="I103" i="17"/>
  <c r="I81" i="17"/>
  <c r="J81" i="17"/>
  <c r="I82" i="17"/>
  <c r="J82" i="17"/>
  <c r="L59" i="17"/>
  <c r="L33" i="17"/>
  <c r="L34" i="17"/>
  <c r="P37" i="14"/>
  <c r="O15" i="14"/>
  <c r="P15" i="14"/>
  <c r="Q15" i="14"/>
  <c r="R15" i="14"/>
  <c r="N7" i="12"/>
  <c r="N4" i="12"/>
  <c r="N8" i="12"/>
  <c r="N10" i="12"/>
  <c r="N11" i="12"/>
  <c r="N13" i="12"/>
  <c r="M4" i="12"/>
  <c r="L4" i="12"/>
  <c r="M11" i="12"/>
  <c r="M10" i="12"/>
  <c r="M7" i="12"/>
  <c r="L11" i="12"/>
  <c r="L10" i="12"/>
  <c r="J27" i="12"/>
  <c r="I27" i="12"/>
  <c r="I17" i="12"/>
  <c r="Q73" i="12"/>
  <c r="Q75" i="12"/>
  <c r="Q66" i="12"/>
  <c r="O53" i="12"/>
  <c r="M75" i="12"/>
  <c r="O73" i="12"/>
  <c r="N73" i="12"/>
  <c r="M66" i="12"/>
  <c r="M73" i="12"/>
  <c r="L61" i="12"/>
  <c r="L60" i="12"/>
  <c r="L54" i="12"/>
  <c r="L55" i="12"/>
  <c r="L57" i="12"/>
  <c r="L58" i="12"/>
  <c r="L59" i="12"/>
  <c r="L53" i="12"/>
  <c r="N53" i="12"/>
  <c r="M53" i="12"/>
  <c r="P75" i="12"/>
  <c r="O75" i="12"/>
  <c r="N75" i="12"/>
  <c r="M50" i="12"/>
  <c r="L50" i="12"/>
  <c r="K50" i="12"/>
  <c r="M38" i="12"/>
  <c r="L38" i="12"/>
  <c r="K38" i="12"/>
  <c r="M35" i="12"/>
  <c r="L35" i="12"/>
  <c r="K35" i="12"/>
  <c r="P66" i="12"/>
  <c r="O66" i="12"/>
  <c r="N66" i="12"/>
  <c r="O57" i="12"/>
  <c r="N57" i="12"/>
  <c r="M57" i="12"/>
  <c r="K44" i="12"/>
  <c r="K42" i="12"/>
  <c r="J44" i="12"/>
  <c r="J42" i="12"/>
  <c r="J17" i="12"/>
  <c r="G55" i="15"/>
  <c r="H55" i="15"/>
  <c r="I55" i="15"/>
  <c r="J98" i="17"/>
  <c r="J99" i="17"/>
  <c r="J100" i="17"/>
  <c r="J101" i="17"/>
  <c r="J97" i="17"/>
  <c r="J105" i="17"/>
  <c r="J106" i="17"/>
  <c r="J107" i="17"/>
  <c r="J108" i="17"/>
  <c r="J67" i="17"/>
  <c r="J68" i="17"/>
  <c r="J73" i="17"/>
  <c r="J74" i="17"/>
  <c r="J75" i="17"/>
  <c r="J79" i="17"/>
  <c r="J80" i="17"/>
  <c r="J69" i="17"/>
  <c r="J83" i="17"/>
  <c r="J84" i="17"/>
  <c r="J85" i="17"/>
  <c r="J86" i="17"/>
  <c r="J87" i="17"/>
  <c r="J88" i="17"/>
  <c r="J89" i="17"/>
  <c r="J66" i="17"/>
  <c r="L53" i="17"/>
  <c r="L54" i="17"/>
  <c r="L55" i="17"/>
  <c r="L52" i="17"/>
  <c r="L56" i="17"/>
  <c r="L60" i="17"/>
  <c r="L61" i="17"/>
  <c r="L62" i="17"/>
  <c r="L63" i="17"/>
  <c r="L14" i="17"/>
  <c r="L15" i="17"/>
  <c r="L16" i="17"/>
  <c r="L17" i="17"/>
  <c r="L18" i="17"/>
  <c r="L19" i="17"/>
  <c r="L20" i="17"/>
  <c r="L9" i="17"/>
  <c r="L10" i="17"/>
  <c r="L28" i="17"/>
  <c r="L22" i="17"/>
  <c r="L23" i="17"/>
  <c r="L24" i="17"/>
  <c r="L25" i="17"/>
  <c r="L26" i="17"/>
  <c r="L12" i="17"/>
  <c r="L27" i="17"/>
  <c r="L11" i="17"/>
  <c r="L31" i="17"/>
  <c r="L32" i="17"/>
  <c r="L35" i="17"/>
  <c r="L36" i="17"/>
  <c r="L37" i="17"/>
  <c r="L38" i="17"/>
  <c r="L39" i="17"/>
  <c r="L40" i="17"/>
  <c r="L41" i="17"/>
  <c r="L42" i="17"/>
  <c r="L43" i="17"/>
  <c r="L44" i="17"/>
  <c r="L45" i="17"/>
  <c r="L46" i="17"/>
  <c r="L13" i="17"/>
  <c r="R30" i="14"/>
  <c r="R31" i="14"/>
  <c r="R28" i="14"/>
  <c r="R36" i="14"/>
  <c r="R38" i="14"/>
  <c r="R39" i="14"/>
  <c r="R40" i="14"/>
  <c r="R41" i="14"/>
  <c r="P31" i="14"/>
  <c r="P28" i="14"/>
  <c r="P36" i="14"/>
  <c r="P34" i="14"/>
  <c r="P38" i="14"/>
  <c r="P39" i="14"/>
  <c r="P40" i="14"/>
  <c r="P41" i="14"/>
  <c r="P30" i="14"/>
  <c r="Q9" i="14"/>
  <c r="R7" i="14"/>
  <c r="R8" i="14"/>
  <c r="R9" i="14"/>
  <c r="R10" i="14"/>
  <c r="R12" i="14"/>
  <c r="R14" i="14"/>
  <c r="R17" i="14"/>
  <c r="R19" i="14"/>
  <c r="R20" i="14"/>
  <c r="R21" i="14"/>
  <c r="R22" i="14"/>
  <c r="Q18" i="14"/>
  <c r="Q8" i="14"/>
  <c r="Q10" i="14"/>
  <c r="Q12" i="14"/>
  <c r="Q13" i="14"/>
  <c r="Q7" i="14"/>
  <c r="Q14" i="14"/>
  <c r="Q17" i="14"/>
  <c r="Q19" i="14"/>
  <c r="Q20" i="14"/>
  <c r="Q21" i="14"/>
  <c r="Q22" i="14"/>
  <c r="P9" i="14"/>
  <c r="P18" i="14"/>
  <c r="P8" i="14"/>
  <c r="P10" i="14"/>
  <c r="P12" i="14"/>
  <c r="P7" i="14"/>
  <c r="P14" i="14"/>
  <c r="P17" i="14"/>
  <c r="P19" i="14"/>
  <c r="P20" i="14"/>
  <c r="P21" i="14"/>
  <c r="P22" i="14"/>
  <c r="O4" i="14"/>
  <c r="I17" i="15"/>
  <c r="H17" i="15"/>
  <c r="G17" i="15"/>
  <c r="I81" i="15"/>
  <c r="I80" i="15"/>
  <c r="I79" i="15"/>
  <c r="I71" i="15"/>
  <c r="H81" i="15"/>
  <c r="H80" i="15"/>
  <c r="H79" i="15"/>
  <c r="H71" i="15"/>
  <c r="G81" i="15"/>
  <c r="G80" i="15"/>
  <c r="G79" i="15"/>
  <c r="G71" i="15"/>
  <c r="I67" i="15"/>
  <c r="I62" i="15"/>
  <c r="H67" i="15"/>
  <c r="H62" i="15"/>
  <c r="G68" i="15"/>
  <c r="G67" i="15"/>
  <c r="G62" i="15"/>
  <c r="I57" i="15"/>
  <c r="I56" i="15"/>
  <c r="I58" i="15"/>
  <c r="I59" i="15"/>
  <c r="I50" i="15"/>
  <c r="H57" i="15"/>
  <c r="H58" i="15"/>
  <c r="H59" i="15"/>
  <c r="H56" i="15"/>
  <c r="H50" i="15"/>
  <c r="G57" i="15"/>
  <c r="G58" i="15"/>
  <c r="G59" i="15"/>
  <c r="G56" i="15"/>
  <c r="G50" i="15"/>
  <c r="I43" i="15"/>
  <c r="I44" i="15"/>
  <c r="I45" i="15"/>
  <c r="I46" i="15"/>
  <c r="I47" i="15"/>
  <c r="I38" i="15"/>
  <c r="H43" i="15"/>
  <c r="H44" i="15"/>
  <c r="H45" i="15"/>
  <c r="H46" i="15"/>
  <c r="H47" i="15"/>
  <c r="H38" i="15"/>
  <c r="G43" i="15"/>
  <c r="G44" i="15"/>
  <c r="G45" i="15"/>
  <c r="G46" i="15"/>
  <c r="G47" i="15"/>
  <c r="G38" i="15"/>
  <c r="I27" i="15"/>
  <c r="I31" i="15"/>
  <c r="I32" i="15"/>
  <c r="I33" i="15"/>
  <c r="I34" i="15"/>
  <c r="I35" i="15"/>
  <c r="I26" i="15"/>
  <c r="H31" i="15"/>
  <c r="H32" i="15"/>
  <c r="H33" i="15"/>
  <c r="H34" i="15"/>
  <c r="H35" i="15"/>
  <c r="H27" i="15"/>
  <c r="H26" i="15"/>
  <c r="G31" i="15"/>
  <c r="G32" i="15"/>
  <c r="G33" i="15"/>
  <c r="G34" i="15"/>
  <c r="G35" i="15"/>
  <c r="G27" i="15"/>
  <c r="G26" i="15"/>
  <c r="I20" i="15"/>
  <c r="I21" i="15"/>
  <c r="I22" i="15"/>
  <c r="I23" i="15"/>
  <c r="I19" i="15"/>
  <c r="I18" i="15"/>
  <c r="I12" i="15"/>
  <c r="H18" i="15"/>
  <c r="H19" i="15"/>
  <c r="H20" i="15"/>
  <c r="H21" i="15"/>
  <c r="H22" i="15"/>
  <c r="H23" i="15"/>
  <c r="H12" i="15"/>
  <c r="G20" i="15"/>
  <c r="G21" i="15"/>
  <c r="G22" i="15"/>
  <c r="G23" i="15"/>
  <c r="G19" i="15"/>
  <c r="G18" i="15"/>
  <c r="G12" i="15"/>
  <c r="F4" i="15"/>
  <c r="F6" i="15"/>
  <c r="F9" i="15"/>
  <c r="I108" i="17"/>
  <c r="I107" i="17"/>
  <c r="I106" i="17"/>
  <c r="I89" i="17"/>
  <c r="I88" i="17"/>
  <c r="I87" i="17"/>
  <c r="I86" i="17"/>
  <c r="I85" i="17"/>
  <c r="I105" i="17"/>
  <c r="I84" i="17"/>
  <c r="I83" i="17"/>
  <c r="O30" i="14"/>
  <c r="O31" i="14"/>
  <c r="O32" i="14"/>
  <c r="O28" i="14"/>
  <c r="O36" i="14"/>
  <c r="O34" i="14"/>
  <c r="O38" i="14"/>
  <c r="O39" i="14"/>
  <c r="O40" i="14"/>
  <c r="O41" i="14"/>
  <c r="O18" i="14"/>
  <c r="O19" i="14"/>
  <c r="O20" i="14"/>
  <c r="O21" i="14"/>
  <c r="O22" i="14"/>
  <c r="O17" i="14"/>
  <c r="I68" i="17"/>
  <c r="I66" i="17"/>
  <c r="I67" i="17"/>
  <c r="I69" i="17"/>
  <c r="I80" i="17"/>
  <c r="I79" i="17"/>
  <c r="I75" i="17"/>
  <c r="I74" i="17"/>
  <c r="I73" i="17"/>
  <c r="I104" i="17"/>
  <c r="I101" i="17"/>
  <c r="I100" i="17"/>
  <c r="I99" i="17"/>
  <c r="I98" i="17"/>
  <c r="O14" i="14"/>
  <c r="O7" i="14"/>
  <c r="O13" i="14"/>
  <c r="O12" i="14"/>
  <c r="O10" i="14"/>
  <c r="O9" i="14"/>
  <c r="O8" i="14"/>
  <c r="O21" i="13"/>
  <c r="O17" i="13"/>
  <c r="O16" i="13"/>
  <c r="P15" i="13"/>
  <c r="O15" i="13"/>
  <c r="P14" i="13"/>
  <c r="O14" i="13"/>
  <c r="P13" i="13"/>
  <c r="O13" i="13"/>
  <c r="P20" i="13"/>
  <c r="O20" i="13"/>
  <c r="J22" i="12"/>
  <c r="I22" i="12"/>
  <c r="J21" i="12"/>
  <c r="I21" i="12"/>
</calcChain>
</file>

<file path=xl/sharedStrings.xml><?xml version="1.0" encoding="utf-8"?>
<sst xmlns="http://schemas.openxmlformats.org/spreadsheetml/2006/main" count="1776" uniqueCount="571">
  <si>
    <t xml:space="preserve">Macr. Indet. ER </t>
  </si>
  <si>
    <t xml:space="preserve">MACN PV 1009 </t>
  </si>
  <si>
    <t xml:space="preserve">CICYTTP PV-M-1-189 </t>
  </si>
  <si>
    <t xml:space="preserve">MACN PV 2644 </t>
  </si>
  <si>
    <t xml:space="preserve">AMNH 15216 </t>
  </si>
  <si>
    <t xml:space="preserve">Mc II </t>
  </si>
  <si>
    <t xml:space="preserve">MACN PV 3653 </t>
  </si>
  <si>
    <t xml:space="preserve">MACN PV 4280 </t>
  </si>
  <si>
    <t xml:space="preserve">MACN PV 4445 </t>
  </si>
  <si>
    <t xml:space="preserve">CICYTTP PV-M-1-193 </t>
  </si>
  <si>
    <t xml:space="preserve">MAS PALEO-VERT 420 </t>
  </si>
  <si>
    <t xml:space="preserve">MNHN-Bol-V 003372 </t>
  </si>
  <si>
    <t xml:space="preserve">Mc III </t>
  </si>
  <si>
    <t xml:space="preserve">MACN PV 4281 </t>
  </si>
  <si>
    <t xml:space="preserve">MAS S/N </t>
  </si>
  <si>
    <t xml:space="preserve">MACN PV 2517 </t>
  </si>
  <si>
    <t xml:space="preserve">MACN PV 3008 </t>
  </si>
  <si>
    <t xml:space="preserve">AMNH 9219 </t>
  </si>
  <si>
    <t xml:space="preserve">MACN PV 3000 </t>
  </si>
  <si>
    <t xml:space="preserve">MACN PV 3003 </t>
  </si>
  <si>
    <t xml:space="preserve">MACN PV 2525 </t>
  </si>
  <si>
    <t xml:space="preserve">MACN PV 2968 </t>
  </si>
  <si>
    <t xml:space="preserve">MACN PV 3005 </t>
  </si>
  <si>
    <t xml:space="preserve">MACN PV 3006 </t>
  </si>
  <si>
    <t xml:space="preserve">MACN PV 4043 </t>
  </si>
  <si>
    <t xml:space="preserve">MACN PV 4082 </t>
  </si>
  <si>
    <t xml:space="preserve">MACN PV 4240 </t>
  </si>
  <si>
    <t xml:space="preserve">MACN PV 4243 </t>
  </si>
  <si>
    <t xml:space="preserve">MACN PV 11757 </t>
  </si>
  <si>
    <t xml:space="preserve">MACN PV 11767 </t>
  </si>
  <si>
    <t xml:space="preserve">MACN PV 2008 </t>
  </si>
  <si>
    <t xml:space="preserve">Macraucheniopsis </t>
  </si>
  <si>
    <t xml:space="preserve">MACN PV 7226 </t>
  </si>
  <si>
    <t xml:space="preserve">MACN PV 7228 </t>
  </si>
  <si>
    <t xml:space="preserve">MACN PV 7422 </t>
  </si>
  <si>
    <t xml:space="preserve">MACN PV 7833 </t>
  </si>
  <si>
    <t xml:space="preserve">MACN PV 7864 </t>
  </si>
  <si>
    <t xml:space="preserve">26.25? </t>
  </si>
  <si>
    <t>26.44?</t>
  </si>
  <si>
    <t xml:space="preserve">Macraucheniinae indet. </t>
  </si>
  <si>
    <t>Species</t>
  </si>
  <si>
    <t>Macrauchenia patachonica</t>
  </si>
  <si>
    <t>Theosodon garrettorum</t>
  </si>
  <si>
    <t>Theosodon gracilis</t>
  </si>
  <si>
    <t>Theosodon lallemanti</t>
  </si>
  <si>
    <t>Total length</t>
  </si>
  <si>
    <t>Width of anterior face</t>
  </si>
  <si>
    <t xml:space="preserve">This study </t>
  </si>
  <si>
    <t>Schmidt 2013</t>
  </si>
  <si>
    <t>Scott 1910</t>
  </si>
  <si>
    <t xml:space="preserve">Theosodon lallemanti </t>
  </si>
  <si>
    <t xml:space="preserve">Theosodon sp. </t>
  </si>
  <si>
    <t>Burmeister 1864-1869</t>
  </si>
  <si>
    <t>References</t>
  </si>
  <si>
    <t>This study</t>
  </si>
  <si>
    <t>Cervical vertebra seven (C7)</t>
  </si>
  <si>
    <t xml:space="preserve">Species </t>
  </si>
  <si>
    <t>YPM VPPU 015164</t>
  </si>
  <si>
    <t>YPM VPPU 015216</t>
  </si>
  <si>
    <t>YPM VPPU 015798</t>
  </si>
  <si>
    <t xml:space="preserve">Thesodon garretorum </t>
  </si>
  <si>
    <t>Anaya and McFadden 1995</t>
  </si>
  <si>
    <t xml:space="preserve">References </t>
  </si>
  <si>
    <t>Sefve 1925; Parodi 1931</t>
  </si>
  <si>
    <t>Kraglievich 1932; Schmidt 2013</t>
  </si>
  <si>
    <t xml:space="preserve">Theosodon sp.  </t>
  </si>
  <si>
    <t xml:space="preserve">Theosodon lydekkeri </t>
  </si>
  <si>
    <t xml:space="preserve">Scalabrinitherium ferreriai </t>
  </si>
  <si>
    <t>Theosodon sp.</t>
  </si>
  <si>
    <t xml:space="preserve">Coniopternium andinum </t>
  </si>
  <si>
    <t xml:space="preserve">Promacrauchenia kraglievichi </t>
  </si>
  <si>
    <t>Phalanx 1, digit III</t>
  </si>
  <si>
    <t xml:space="preserve">Phalanx 2, digit III </t>
  </si>
  <si>
    <t xml:space="preserve">Phalanx 1, digit II or IV </t>
  </si>
  <si>
    <t xml:space="preserve">Phalanx 2, digit II or IV </t>
  </si>
  <si>
    <t>Gervais 1855</t>
  </si>
  <si>
    <t>YPM VPPU 015164 (manus digit II)</t>
  </si>
  <si>
    <t xml:space="preserve">Parodi 1931; This study </t>
  </si>
  <si>
    <t>MLP 12-1424</t>
  </si>
  <si>
    <t>MNHN-Bol-V 003372</t>
  </si>
  <si>
    <t>This study; age from Pardiñas et. al 2017</t>
  </si>
  <si>
    <t xml:space="preserve">Age from Verzi et al. 2008 and Goin et al. 2000 </t>
  </si>
  <si>
    <t>MLP 12-1660</t>
  </si>
  <si>
    <t>MACN A-11700-11707</t>
  </si>
  <si>
    <t>17.09*</t>
  </si>
  <si>
    <t>MPEF- PV 2524</t>
  </si>
  <si>
    <t>Cramauchenia normalis</t>
  </si>
  <si>
    <t>Dozo and Vera 2010</t>
  </si>
  <si>
    <t>Theosodon sp</t>
  </si>
  <si>
    <t>MUSM 1654</t>
  </si>
  <si>
    <t>61.16+</t>
  </si>
  <si>
    <t>MACN PV 2</t>
  </si>
  <si>
    <t>MACN PV 5710</t>
  </si>
  <si>
    <t>MACN PV 9526</t>
  </si>
  <si>
    <t>Pleistocene</t>
  </si>
  <si>
    <t>Parodi 1931; Schmidt 2013; age from Tomassini et al 2013</t>
  </si>
  <si>
    <t>Parodi 1931; age from Tomassini et al 2013</t>
  </si>
  <si>
    <t>Schmidt 2013; age from Tomassini et al 2013</t>
  </si>
  <si>
    <t xml:space="preserve">ACM 3287 </t>
  </si>
  <si>
    <t>Total length (TL)</t>
  </si>
  <si>
    <t>Ratio DAW/TL</t>
  </si>
  <si>
    <t>Ratio URA/URD</t>
  </si>
  <si>
    <t>Ulna-radius maximum width at the level of the radial aliform expansion (URA)</t>
  </si>
  <si>
    <t>Ratio AE/URD</t>
  </si>
  <si>
    <t>Proximo-distal lenght of the aliform expansion (AE)</t>
  </si>
  <si>
    <t>Xenorhinotherium bahiense</t>
  </si>
  <si>
    <t>MCL -2644-77</t>
  </si>
  <si>
    <t>Cartelle and Lessa 1988</t>
  </si>
  <si>
    <t>WA/HA</t>
  </si>
  <si>
    <t>WA/OL</t>
  </si>
  <si>
    <t xml:space="preserve">Specimen </t>
  </si>
  <si>
    <t>Specimen</t>
  </si>
  <si>
    <t>Comments</t>
  </si>
  <si>
    <t>Total length (measured from the anconeus process of the ulna if possible)</t>
  </si>
  <si>
    <t>13.83*</t>
  </si>
  <si>
    <t>16.73*</t>
  </si>
  <si>
    <t>*There are surfaces eroded/missing</t>
  </si>
  <si>
    <t>18.05*</t>
  </si>
  <si>
    <t>15.55*</t>
  </si>
  <si>
    <t>15.04*</t>
  </si>
  <si>
    <t>20.25*</t>
  </si>
  <si>
    <t>20.98*</t>
  </si>
  <si>
    <t>125.37*</t>
  </si>
  <si>
    <t>20.68*</t>
  </si>
  <si>
    <t>17.72*</t>
  </si>
  <si>
    <t>14.42*</t>
  </si>
  <si>
    <t>9.28*</t>
  </si>
  <si>
    <t>*A dorsal fragment of the proximal end is missing</t>
  </si>
  <si>
    <t>43.95*</t>
  </si>
  <si>
    <t>1.21*</t>
  </si>
  <si>
    <t>2.04*</t>
  </si>
  <si>
    <t>Carpus</t>
  </si>
  <si>
    <r>
      <t xml:space="preserve">Tejada-Lara </t>
    </r>
    <r>
      <rPr>
        <i/>
        <sz val="11"/>
        <color theme="1"/>
        <rFont val="Times New Roman"/>
        <family val="1"/>
      </rPr>
      <t xml:space="preserve">et al. </t>
    </r>
    <r>
      <rPr>
        <sz val="11"/>
        <color theme="1"/>
        <rFont val="Times New Roman"/>
        <family val="1"/>
      </rPr>
      <t>2015</t>
    </r>
  </si>
  <si>
    <t>*This was measured in one of the articular processes</t>
  </si>
  <si>
    <t>MCL 2644\53</t>
  </si>
  <si>
    <t>MCL 3421</t>
  </si>
  <si>
    <t>MCL 3422</t>
  </si>
  <si>
    <t>Lessa 1992</t>
  </si>
  <si>
    <t>68*</t>
  </si>
  <si>
    <t>*Approximated measurement.</t>
  </si>
  <si>
    <t>MCL 3401</t>
  </si>
  <si>
    <t>MCL 3413</t>
  </si>
  <si>
    <t>MCL 3480</t>
  </si>
  <si>
    <t>Width of one anterior articular surface for the atlas (WA) *</t>
  </si>
  <si>
    <t>Martiínez &amp; Mondaca 2020</t>
  </si>
  <si>
    <t>158.35*</t>
  </si>
  <si>
    <t>*Its was measured from a picture so there may be a relatively small scale associated error.</t>
  </si>
  <si>
    <t>Cervical vertebra five (C5)</t>
  </si>
  <si>
    <t xml:space="preserve">MCL 2643/86 </t>
  </si>
  <si>
    <t>78.5*</t>
  </si>
  <si>
    <t xml:space="preserve">88.5* </t>
  </si>
  <si>
    <t>160*</t>
  </si>
  <si>
    <t>Thoracic vertebra one (T1)</t>
  </si>
  <si>
    <t>*It is just the vertebral body length.</t>
  </si>
  <si>
    <t>MCL 2643/88</t>
  </si>
  <si>
    <t xml:space="preserve">MCL 3433 </t>
  </si>
  <si>
    <t>MCL 3434</t>
  </si>
  <si>
    <t>MCL 3435</t>
  </si>
  <si>
    <t>79*</t>
  </si>
  <si>
    <t>73*</t>
  </si>
  <si>
    <t>MCL 2643/93</t>
  </si>
  <si>
    <t>MCL 3436</t>
  </si>
  <si>
    <t>MCL 3437</t>
  </si>
  <si>
    <t>75*</t>
  </si>
  <si>
    <t>60*</t>
  </si>
  <si>
    <t>58*</t>
  </si>
  <si>
    <t>MCL 3460</t>
  </si>
  <si>
    <t>Scaphoid</t>
  </si>
  <si>
    <t>41*</t>
  </si>
  <si>
    <t xml:space="preserve">*A fragment missing in the scaphoid could affect this measurement. </t>
  </si>
  <si>
    <t>37*</t>
  </si>
  <si>
    <t>MCL 2643/34 (left)</t>
  </si>
  <si>
    <t>MCL 2643/18 (right)</t>
  </si>
  <si>
    <t>MCL 2644/39 (left)</t>
  </si>
  <si>
    <t>MCL 2644/40 (right)</t>
  </si>
  <si>
    <t>MCL 3381 (left)</t>
  </si>
  <si>
    <t>MCL 3382 (right)</t>
  </si>
  <si>
    <t>Lunate</t>
  </si>
  <si>
    <t>MCL 2643/19 (right)</t>
  </si>
  <si>
    <t>MCL 2643 35 (left)</t>
  </si>
  <si>
    <t>MCL 2644/41 (right)</t>
  </si>
  <si>
    <t>MCL 3386 (left)</t>
  </si>
  <si>
    <t>MCL 3389 (right)</t>
  </si>
  <si>
    <t xml:space="preserve">Cuneiform </t>
  </si>
  <si>
    <t>MCL 2643/20 (right)</t>
  </si>
  <si>
    <t>MCL 2643/36 (left)</t>
  </si>
  <si>
    <t>MCL 3363 (left)</t>
  </si>
  <si>
    <t>MCL 3385 (right)</t>
  </si>
  <si>
    <t>MCL 3391 (right)</t>
  </si>
  <si>
    <t>46*</t>
  </si>
  <si>
    <t xml:space="preserve">Pisiform </t>
  </si>
  <si>
    <t>MCL 2643/21 (right)</t>
  </si>
  <si>
    <t>MCL 2643/37 (left)</t>
  </si>
  <si>
    <t>MCL 2644/42 (left)</t>
  </si>
  <si>
    <t>MCL 3392 (right)</t>
  </si>
  <si>
    <t>MCL composite</t>
  </si>
  <si>
    <t>*Based on the average of measurememts  from several specimens. The width is probably an overestimation as the elements were not articulated.</t>
  </si>
  <si>
    <t>33*</t>
  </si>
  <si>
    <t xml:space="preserve">Magnum </t>
  </si>
  <si>
    <t>MCL 2643/16 (right)</t>
  </si>
  <si>
    <t>MCL 2643/32 (left)</t>
  </si>
  <si>
    <t>35.5*</t>
  </si>
  <si>
    <t>31*</t>
  </si>
  <si>
    <t>Unciform</t>
  </si>
  <si>
    <t>MCL 2643/17 (right)</t>
  </si>
  <si>
    <t>MCL 2643/33 (left)</t>
  </si>
  <si>
    <t>MCL 3384 (left)</t>
  </si>
  <si>
    <t>35*</t>
  </si>
  <si>
    <t>34*</t>
  </si>
  <si>
    <t>34.5*</t>
  </si>
  <si>
    <t>MCL 2643/27 (left)</t>
  </si>
  <si>
    <t>MCL 2644/16 (left)</t>
  </si>
  <si>
    <t>MCL 2644/21 (right)</t>
  </si>
  <si>
    <t>MCL 3504 (right)</t>
  </si>
  <si>
    <t>MCL 3505 (right)</t>
  </si>
  <si>
    <t>MCL 3513 (left)</t>
  </si>
  <si>
    <t>198*</t>
  </si>
  <si>
    <t>MCL 2643/12 (right)</t>
  </si>
  <si>
    <t>MCL 2643/28 (left)</t>
  </si>
  <si>
    <t>MCL 2644/17 (left)</t>
  </si>
  <si>
    <t>MCL 3293 (right)</t>
  </si>
  <si>
    <t>MCL 2643/23 (right manus digit II)</t>
  </si>
  <si>
    <t>MCL 2643/39 (left manus digit II)</t>
  </si>
  <si>
    <t>MCL 2644/25 (right manus digit II)</t>
  </si>
  <si>
    <t>MCL 2644/36 (left manus digit II)</t>
  </si>
  <si>
    <t>MCL 2643/24 (right manus digit IV)</t>
  </si>
  <si>
    <t>MCL 2643/41 (left manus digit IV)</t>
  </si>
  <si>
    <t>MCL 2644/26 (right manus digit IV)</t>
  </si>
  <si>
    <t>MCL 2644/35 (left manus digit IV)</t>
  </si>
  <si>
    <t>MCL 2643/24 (right manus)</t>
  </si>
  <si>
    <t>MCL 2643/40 (left manus)</t>
  </si>
  <si>
    <t>MCL 2644/34 (left manus)</t>
  </si>
  <si>
    <t>MCL 2643/26 (right manus digit II)</t>
  </si>
  <si>
    <t>MCL 2643/42 (left manus digit II)</t>
  </si>
  <si>
    <t>MCL 2643/43 (left manus)</t>
  </si>
  <si>
    <t>MCL 2643/53 (right pes digit II)</t>
  </si>
  <si>
    <t>MCL 2644/24 (right pes digit II)</t>
  </si>
  <si>
    <t>MCL 2643/54 (right pes digit IV)</t>
  </si>
  <si>
    <t>MCL 2644/23 (left pes digit IV)</t>
  </si>
  <si>
    <t>MCL 2644/27 (left pes)</t>
  </si>
  <si>
    <t>MCL 2643/69 (left pes digit II)</t>
  </si>
  <si>
    <t>MCL 2644/29 (right pes digit II)</t>
  </si>
  <si>
    <t>MCL 2643/56 (right pes digit IV)</t>
  </si>
  <si>
    <t>MCL 2643/71 (left pes digit IV)</t>
  </si>
  <si>
    <t>MCL 2643/55 (right pes digit II)</t>
  </si>
  <si>
    <t>MCL 2643/27 (right pes)</t>
  </si>
  <si>
    <t>MCL 2643/70 (left pes)</t>
  </si>
  <si>
    <t>MCL 2644/14 (right pes)</t>
  </si>
  <si>
    <t>17.83*</t>
  </si>
  <si>
    <t>18.69*</t>
  </si>
  <si>
    <t xml:space="preserve">*Approximated measurement because an anterior fragment is missing. </t>
  </si>
  <si>
    <t>APL/MLW</t>
  </si>
  <si>
    <t>MAPL/MPDT</t>
  </si>
  <si>
    <t>MAPL/MMLW</t>
  </si>
  <si>
    <t>MMLW/MPDT</t>
  </si>
  <si>
    <t>MLP 91-III-1-26*</t>
  </si>
  <si>
    <t>MLP 57-X-10-157*</t>
  </si>
  <si>
    <t>MLP 57-X-10-157 (right)</t>
  </si>
  <si>
    <t>MLP 12-1660 (left)</t>
  </si>
  <si>
    <t>Ratio DAT/TL</t>
  </si>
  <si>
    <t>Ratio PAW/TL</t>
  </si>
  <si>
    <t>Ratio PAT/TL</t>
  </si>
  <si>
    <t>0.14*</t>
  </si>
  <si>
    <t>0.15*</t>
  </si>
  <si>
    <t>*Some surfaces are eroded so affect the measurement.</t>
  </si>
  <si>
    <t>0.20*</t>
  </si>
  <si>
    <t>0.18*</t>
  </si>
  <si>
    <t>0.16*</t>
  </si>
  <si>
    <t>MPEF- PV 2524 (left manus digit IV)</t>
  </si>
  <si>
    <t>Aproximated measurement due the erotion or missing fragments  of the element</t>
  </si>
  <si>
    <t>Montehermosan-Chapadmalalan, mid-Pliocene</t>
  </si>
  <si>
    <t>MNHN.F.TAR 813 (manus digit II)</t>
  </si>
  <si>
    <t>MNHN.F.TAR 813 (manus digit IV)</t>
  </si>
  <si>
    <t>MNHN.F.TAR 813 (right manus)</t>
  </si>
  <si>
    <t>﻿MPCN col Berro 2248?</t>
  </si>
  <si>
    <t>PIMUZ A/V 5700 (right)</t>
  </si>
  <si>
    <t>Odontoid process length (OL)</t>
  </si>
  <si>
    <t>Maximum anteroposterior length</t>
  </si>
  <si>
    <t xml:space="preserve">Mediolateral width between transverse processes </t>
  </si>
  <si>
    <t>*This element is broken at its anterior end, so it probably misses a considerable section.</t>
  </si>
  <si>
    <t>Micrauchenia saladensis</t>
  </si>
  <si>
    <t>69.25*</t>
  </si>
  <si>
    <t>Maximum anteroposterior vertebral body length</t>
  </si>
  <si>
    <t>Maximum dorsoventral height at posterior end of vertebral body (HPB)</t>
  </si>
  <si>
    <t xml:space="preserve">Maximum mediolateral width at anterior end of vertebral body </t>
  </si>
  <si>
    <t>Maximum mediolateral width at posterior end of vertebral body (WPB)</t>
  </si>
  <si>
    <t>PIMUZ A/V 5700</t>
  </si>
  <si>
    <t>WPB/HPB</t>
  </si>
  <si>
    <t>WPB/WPZ</t>
  </si>
  <si>
    <t>WAB/HAB</t>
  </si>
  <si>
    <t xml:space="preserve">SGO.PV.21700 </t>
  </si>
  <si>
    <t>SGO.PV.21700</t>
  </si>
  <si>
    <t>SGO.PV.21700 (left)</t>
  </si>
  <si>
    <t>SGO.PV.21700 (right)</t>
  </si>
  <si>
    <t>SGO.PV.21700 (right manus digit II)</t>
  </si>
  <si>
    <t xml:space="preserve">SGO.PV.21700 (left manus) </t>
  </si>
  <si>
    <t>SGO.PV.21700 (left manus digit IV)</t>
  </si>
  <si>
    <t>SGO.PV.21700 (right manus digit IV</t>
  </si>
  <si>
    <t>SGO.PV.21700 (left manus)</t>
  </si>
  <si>
    <t>Maximum mediolateral width at anterior end of vertebral body (WAB)</t>
  </si>
  <si>
    <t>Maximum dorsoventral height at anterior end of vertebral body (HAB)</t>
  </si>
  <si>
    <t>Mediolateral width between postzygapophyses (WPZ)</t>
  </si>
  <si>
    <t>103.84*</t>
  </si>
  <si>
    <t>Cervical vertebra 3 (C3)</t>
  </si>
  <si>
    <t xml:space="preserve">Mediolateral width between posterior transverse processes </t>
  </si>
  <si>
    <t xml:space="preserve">Comments </t>
  </si>
  <si>
    <t>51.5*</t>
  </si>
  <si>
    <t xml:space="preserve">*The total width was extrapolated from the left postzygapophysis as the right one was broken. </t>
  </si>
  <si>
    <t>Cervical vertebra 4 (C4)</t>
  </si>
  <si>
    <t>Cervical vertebra 6 (C6)</t>
  </si>
  <si>
    <t>148.84+</t>
  </si>
  <si>
    <t>107*</t>
  </si>
  <si>
    <t xml:space="preserve">*The total width was extrapolated from the left postzygapophysis as the right one was broken. +The total width between traverse processes was extrapolated from the left traverse process as it was more complete. </t>
  </si>
  <si>
    <t>Thoracic vertebra 2 (T2)</t>
  </si>
  <si>
    <t>63.5+</t>
  </si>
  <si>
    <t>60.5+</t>
  </si>
  <si>
    <t>67+</t>
  </si>
  <si>
    <t>68+</t>
  </si>
  <si>
    <t>*Approximated measurement. + In Lessa 1992 this measurement is the maximum dorsoventral height of the vertebral body.</t>
  </si>
  <si>
    <t>*Approximated measurement.  + In Lessa 1992 this measurement is the maximum dorsoventral height of the vertebral body.</t>
  </si>
  <si>
    <t xml:space="preserve"> + In Lessa 1992 this measurement is the maximum dorsoventral height of the vertebral body.</t>
  </si>
  <si>
    <t>28.5+</t>
  </si>
  <si>
    <t>33+</t>
  </si>
  <si>
    <t>MCL 2643/87</t>
  </si>
  <si>
    <t>*Approximated measurement (Lessa 1992).  + In Lessa 1992 this measurement is the maximum dorsoventral height of the vertebral body.</t>
  </si>
  <si>
    <t>77.5*</t>
  </si>
  <si>
    <t>26.5+</t>
  </si>
  <si>
    <t>*Approximated measurement (Lessa 1992).+ In Lessa 1992 this measurement is the maximum dorsoventral height of the vertebral body.</t>
  </si>
  <si>
    <t xml:space="preserve">*Approximated measurement because the left postzygapophyses is broken. </t>
  </si>
  <si>
    <t>Maximum anteroposterior vertebral body length (LB)</t>
  </si>
  <si>
    <t>LB/WAB</t>
  </si>
  <si>
    <t>WPB/WPR</t>
  </si>
  <si>
    <t>Mediolateral width between prezygapophyses (WPR)</t>
  </si>
  <si>
    <t>Maximum dorsoventral height of a transverse process</t>
  </si>
  <si>
    <t>26.11*</t>
  </si>
  <si>
    <t xml:space="preserve">*The tranverse process is partially broken, so it could be higher. </t>
  </si>
  <si>
    <t>45.4*</t>
  </si>
  <si>
    <t>40.52*</t>
  </si>
  <si>
    <t xml:space="preserve">PIMUZ A/V 5700 </t>
  </si>
  <si>
    <t>150.94*</t>
  </si>
  <si>
    <t>*It was estimated from the complete half.</t>
  </si>
  <si>
    <t>52.08*</t>
  </si>
  <si>
    <t>Maximum anteroposterior length (ML)</t>
  </si>
  <si>
    <t>Maximum width in the proximal end at occipital facets (MWO)</t>
  </si>
  <si>
    <t>Maximum width between distal facets for axis (MWA)</t>
  </si>
  <si>
    <t>54.28*</t>
  </si>
  <si>
    <t>Maximum width over transverse process (MWT)</t>
  </si>
  <si>
    <t>ML/MWO</t>
  </si>
  <si>
    <t>ML/MWT</t>
  </si>
  <si>
    <t>ML/MH</t>
  </si>
  <si>
    <t>73.28*</t>
  </si>
  <si>
    <t xml:space="preserve">Maximum mediolateral width of vertebral foramen </t>
  </si>
  <si>
    <t xml:space="preserve">Maximum dorsoventral height of vertebral foramen </t>
  </si>
  <si>
    <t>Maximum dorsoventral height (MH)</t>
  </si>
  <si>
    <t>Dorsoventral height of one anterior articular surface for the atlas (HA)*</t>
  </si>
  <si>
    <t>17.74*</t>
  </si>
  <si>
    <t xml:space="preserve">Micrauchenia saladensis </t>
  </si>
  <si>
    <t>PIMUZ A/V 5700 (right manus digit II)</t>
  </si>
  <si>
    <t>PIMUZ A/V 5700 (right manus digit IV)</t>
  </si>
  <si>
    <t>PIMUZ A/V 5700 (right manus)</t>
  </si>
  <si>
    <t>Proximal mediolateral articular width</t>
  </si>
  <si>
    <t>Distal anteroposterior articular thickness</t>
  </si>
  <si>
    <t xml:space="preserve">Distal mediolateral articular width </t>
  </si>
  <si>
    <t>Proximal anteroposterior articular thickness</t>
  </si>
  <si>
    <t>Distal mediolateral articular width (DAW)</t>
  </si>
  <si>
    <t xml:space="preserve">Diaphysis anteroposterior thickness </t>
  </si>
  <si>
    <t>Diaphysis mediolateral width</t>
  </si>
  <si>
    <t>Proximal mediolateral articular width (PAW)</t>
  </si>
  <si>
    <t xml:space="preserve">Maximum anteroposterior length of the coronoid process </t>
  </si>
  <si>
    <t xml:space="preserve">Maximum anteroposterior length of the condylar process </t>
  </si>
  <si>
    <t>Anteroposterior length of the mandibular notch</t>
  </si>
  <si>
    <t>Ulna-radius distal mediolateral width (articular)(URD)</t>
  </si>
  <si>
    <t>Ulna-radius distal anteroposterior thickness (at the midpoint)</t>
  </si>
  <si>
    <t>Radius distal mediolateral width (R4)</t>
  </si>
  <si>
    <t xml:space="preserve">Radius distal articular surface anteroposterior thickness (R3) </t>
  </si>
  <si>
    <t xml:space="preserve"> Radius distal articular surface mediolateral width (R2)</t>
  </si>
  <si>
    <t>Radius maximum mediolateral width (R5)</t>
  </si>
  <si>
    <t>Ulna distal anteroposterior thickness</t>
  </si>
  <si>
    <t>Ulna distal mediolateral width</t>
  </si>
  <si>
    <t>Ulna distal articular mediolateral width</t>
  </si>
  <si>
    <t>Mediolateral width in midpoint (MLW)</t>
  </si>
  <si>
    <t>Maximum anteroposterior length (MAPL)</t>
  </si>
  <si>
    <t>Maximum mediolateral width (MMLW)</t>
  </si>
  <si>
    <t>Maximum proximodistal thickness (MPDT)</t>
  </si>
  <si>
    <t>Proximal anteroposterior thickness</t>
  </si>
  <si>
    <t>Proximal mediolateral width</t>
  </si>
  <si>
    <t>Distal anteroposterior thickness</t>
  </si>
  <si>
    <t>Distal mediolateral width</t>
  </si>
  <si>
    <t>Proximal anteroposterior articular thickness (PAT)</t>
  </si>
  <si>
    <t>Distal anteroposterior articular thickness (DAT)</t>
  </si>
  <si>
    <t>Distance from the tip of the coronoid process to the base of the mandibular notch (JD)</t>
  </si>
  <si>
    <t xml:space="preserve">Theosodon </t>
  </si>
  <si>
    <t>Cassini et al. 2012</t>
  </si>
  <si>
    <t>1 School of GeoSciences, University of Edinburgh, Grant Institute, James Hutton Road, Edinburgh, EH9 3FE, Scotland, United Kingdom.</t>
  </si>
  <si>
    <t xml:space="preserve">2 Red Paleontológica U‑Chile, Laboratorio de Ontogenia y Filogenia, Departamento de Biología, Facultad de Ciencias, Universidad de Chile. Las Palmeras 3425, Ñuñoa, Santiago, Chile. </t>
  </si>
  <si>
    <t>3 Kaytreng Consultores en Paleontología, José Domingo Cañas 1640, Ñuñoa, Santiago, Chile</t>
  </si>
  <si>
    <t>4 Escuela de Geología, Facultad de Ciencias, Universidad Mayor, Manuel Montt 367, Providencia, Santiago, Chile</t>
  </si>
  <si>
    <t>*Corresponding author:</t>
  </si>
  <si>
    <t>Hans P. Püschel</t>
  </si>
  <si>
    <t>E-mail: H.P.Puschel-Rouliez@sms.ed.ac.uk</t>
  </si>
  <si>
    <t>Age/SALMA</t>
  </si>
  <si>
    <t>late Miocene/﻿Huayquerian</t>
  </si>
  <si>
    <t xml:space="preserve">early Miocene/Santacrucian </t>
  </si>
  <si>
    <t xml:space="preserve">late Miocene/"Mesopotamian" </t>
  </si>
  <si>
    <t>mid-Pliocene/Montehermosan-Chapadmalalan</t>
  </si>
  <si>
    <t>Pleistocene-Holocene</t>
  </si>
  <si>
    <t>Holocene</t>
  </si>
  <si>
    <t xml:space="preserve">early Pliocene/Montehermosan </t>
  </si>
  <si>
    <t>Parodi 1931</t>
  </si>
  <si>
    <r>
      <t xml:space="preserve">Table S1. </t>
    </r>
    <r>
      <rPr>
        <sz val="12"/>
        <color theme="1"/>
        <rFont val="Times New Roman"/>
        <family val="1"/>
      </rPr>
      <t>Measurements of the mandible (in mm)</t>
    </r>
  </si>
  <si>
    <r>
      <t xml:space="preserve">Table S2. </t>
    </r>
    <r>
      <rPr>
        <sz val="12"/>
        <color theme="1"/>
        <rFont val="Times New Roman"/>
        <family val="1"/>
      </rPr>
      <t>Measurements of the vertebrae (in mm)</t>
    </r>
  </si>
  <si>
    <t xml:space="preserve">late Miocene/Huayquerian </t>
  </si>
  <si>
    <t xml:space="preserve">*Juvenile specimen and the scales were probably misplaced in the original publication, so only the proportions are given. </t>
  </si>
  <si>
    <t>early Miocene/Santacrucian</t>
  </si>
  <si>
    <t>middle Miocene/Laventan</t>
  </si>
  <si>
    <t>*Approximated measurement (Lessa 1992).</t>
  </si>
  <si>
    <r>
      <t xml:space="preserve">Table S3. </t>
    </r>
    <r>
      <rPr>
        <sz val="12"/>
        <color theme="1"/>
        <rFont val="Times New Roman"/>
        <family val="1"/>
      </rPr>
      <t>Measurements of the ulna-radius (in mm)</t>
    </r>
  </si>
  <si>
    <r>
      <t xml:space="preserve">*Absent radial aliform expansion, so they were measured at the maximum radial width from the diaphysis. Identified as </t>
    </r>
    <r>
      <rPr>
        <i/>
        <sz val="11"/>
        <color theme="1"/>
        <rFont val="Times New Roman"/>
        <family val="1"/>
      </rPr>
      <t>Promacrauchenia</t>
    </r>
    <r>
      <rPr>
        <sz val="11"/>
        <color theme="1"/>
        <rFont val="Times New Roman"/>
        <family val="1"/>
      </rPr>
      <t> cf. P. chapadmalense in Pardiñas et. al 2017.</t>
    </r>
  </si>
  <si>
    <r>
      <t xml:space="preserve">Table S4. </t>
    </r>
    <r>
      <rPr>
        <sz val="12"/>
        <color theme="1"/>
        <rFont val="Times New Roman"/>
        <family val="1"/>
      </rPr>
      <t>Measurements of the carpals (in mm)</t>
    </r>
  </si>
  <si>
    <r>
      <t xml:space="preserve">Table S5. </t>
    </r>
    <r>
      <rPr>
        <sz val="12"/>
        <color theme="1"/>
        <rFont val="Times New Roman"/>
        <family val="1"/>
      </rPr>
      <t>Measurements of the metacarpals (in mm)</t>
    </r>
  </si>
  <si>
    <r>
      <t xml:space="preserve">Table S6. </t>
    </r>
    <r>
      <rPr>
        <sz val="12"/>
        <color theme="1"/>
        <rFont val="Times New Roman"/>
        <family val="1"/>
      </rPr>
      <t>Measurements of the phalanges (in mm)</t>
    </r>
  </si>
  <si>
    <t>early Pliocene/Montehermosan</t>
  </si>
  <si>
    <t>early Pleistocene/Ensenadan</t>
  </si>
  <si>
    <t>late Oligocene-early Miocene/Deseadan-Colhuehuapian</t>
  </si>
  <si>
    <t>late Oligocene/Deseadan</t>
  </si>
  <si>
    <t>Anatomy and phylogeny of a new small macraucheniid from the Bahía Inglesa Formation (late Miocene), Atacama Region, Northern Chile</t>
  </si>
  <si>
    <t>Llullataruca shockeyi</t>
  </si>
  <si>
    <t>UATF-V-001904</t>
  </si>
  <si>
    <t>﻿McGrath et al 2018; This study</t>
  </si>
  <si>
    <t>41.69  ± 1.47*</t>
  </si>
  <si>
    <t xml:space="preserve">*This measurement is based in the mean of MACN-A 2487-90 and MACN-A 9269-88. MACN-A  92609-88  is a subadult specimen and seems to present the tip of the coronoid process broken.  The mandible of MACN-A 2487-90 was not found in the MACN collection (2021), but a different mandible (MACN A 2490) was found in the same box as MACN-A 2487-90 but in this case all the dorsal portion of the coronoid process is missing. </t>
  </si>
  <si>
    <t xml:space="preserve">*There seems to be some damage repaired with plaster that could have some effect in the measurements. </t>
  </si>
  <si>
    <t>46.32*</t>
  </si>
  <si>
    <t>33.69*</t>
  </si>
  <si>
    <t>30.11*</t>
  </si>
  <si>
    <t xml:space="preserve">*The tip of the coronoid process is missing, so this measurement is probably two thirds of the total distance.  </t>
  </si>
  <si>
    <t>YPM VPPU 30601</t>
  </si>
  <si>
    <t xml:space="preserve">Mt IV </t>
  </si>
  <si>
    <t>MLP 29-IX-1-78</t>
  </si>
  <si>
    <t>Cullinia levis</t>
  </si>
  <si>
    <t xml:space="preserve">late Miocene/Chasicoan </t>
  </si>
  <si>
    <t>Ratio DIW/TL</t>
  </si>
  <si>
    <t>Ratio DIT/TL</t>
  </si>
  <si>
    <t>MACN A 9255</t>
  </si>
  <si>
    <t>98.43*</t>
  </si>
  <si>
    <t xml:space="preserve">*It was estimated from the most complete half. +Estimated from what is visible, there is still sediment covering part of the atlas.  </t>
  </si>
  <si>
    <r>
      <t>26.80</t>
    </r>
    <r>
      <rPr>
        <vertAlign val="superscript"/>
        <sz val="11"/>
        <color theme="1"/>
        <rFont val="Times New Roman"/>
        <family val="1"/>
      </rPr>
      <t>+</t>
    </r>
  </si>
  <si>
    <t>MWT/MH</t>
  </si>
  <si>
    <t xml:space="preserve"> Transverse process length (TL)</t>
  </si>
  <si>
    <r>
      <t>69.63</t>
    </r>
    <r>
      <rPr>
        <vertAlign val="superscript"/>
        <sz val="11"/>
        <color theme="1"/>
        <rFont val="Times New Roman"/>
        <family val="1"/>
      </rPr>
      <t>+</t>
    </r>
  </si>
  <si>
    <t xml:space="preserve">*It was estimated from the most complete half. +The transverse processes are broken so they were probably slighly longer. </t>
  </si>
  <si>
    <t>ML/TL</t>
  </si>
  <si>
    <t>35.34*</t>
  </si>
  <si>
    <t>﻿MNHN.F.PAM75</t>
  </si>
  <si>
    <t>﻿MNHN.F.PAM75 (left)</t>
  </si>
  <si>
    <t>MACN A 2569-2608</t>
  </si>
  <si>
    <t xml:space="preserve">*Proximal end missing </t>
  </si>
  <si>
    <t xml:space="preserve">*Lateral fragment missing at the distal end affects measurement +Proximal end missing </t>
  </si>
  <si>
    <r>
      <t>246</t>
    </r>
    <r>
      <rPr>
        <vertAlign val="superscript"/>
        <sz val="11"/>
        <color theme="1"/>
        <rFont val="Times New Roman"/>
        <family val="1"/>
      </rPr>
      <t>+</t>
    </r>
  </si>
  <si>
    <r>
      <t xml:space="preserve">Theosodon gracilis* </t>
    </r>
    <r>
      <rPr>
        <sz val="11"/>
        <color theme="1"/>
        <rFont val="Times New Roman"/>
        <family val="1"/>
      </rPr>
      <t>(radius)</t>
    </r>
  </si>
  <si>
    <t>MACN A 9253</t>
  </si>
  <si>
    <t>MLP 55-XII-13-110</t>
  </si>
  <si>
    <r>
      <t xml:space="preserve">Theosodon sp.* </t>
    </r>
    <r>
      <rPr>
        <sz val="11"/>
        <color theme="1"/>
        <rFont val="Times New Roman"/>
        <family val="1"/>
      </rPr>
      <t>(radius)</t>
    </r>
  </si>
  <si>
    <t>*Only distal epiphysis preserved</t>
  </si>
  <si>
    <t>Atlas (C1)</t>
  </si>
  <si>
    <t>Axis (C2)</t>
  </si>
  <si>
    <t>This study; age from Beilinson et al. 2017 and Prevosti et al. 2021</t>
  </si>
  <si>
    <t>Thesodon sp.</t>
  </si>
  <si>
    <t>41.00*</t>
  </si>
  <si>
    <t>MLP 12-850</t>
  </si>
  <si>
    <t xml:space="preserve">Diaphysis anteroposterior thickness (DIT) </t>
  </si>
  <si>
    <t>Diaphysis mediolateral width (DIW)</t>
  </si>
  <si>
    <t xml:space="preserve">Mt II </t>
  </si>
  <si>
    <t xml:space="preserve">Cullinia levis </t>
  </si>
  <si>
    <t>14.86*</t>
  </si>
  <si>
    <t>*It is only the proximal end. There are surfaces eroded/missing</t>
  </si>
  <si>
    <t>16.77*</t>
  </si>
  <si>
    <t>14.31*</t>
  </si>
  <si>
    <t>MLP 29-IX-1-78 (holotype)</t>
  </si>
  <si>
    <t xml:space="preserve">Cullinia levis?* </t>
  </si>
  <si>
    <t>MLP 55-IV-28-97 (right)</t>
  </si>
  <si>
    <t>MLP 29-IX-1-78 (holotype; right)*</t>
  </si>
  <si>
    <t>MLP 71-IX-2-5</t>
  </si>
  <si>
    <t>17.93*</t>
  </si>
  <si>
    <t>Includes the two main articular facets</t>
  </si>
  <si>
    <t>Diaphysis anteroposterior thickness (DIT)</t>
  </si>
  <si>
    <t>MLP 12-877 (left)</t>
  </si>
  <si>
    <t>MLP 12-850 (left)</t>
  </si>
  <si>
    <t>MLP 12-749</t>
  </si>
  <si>
    <t>MLP 12-747</t>
  </si>
  <si>
    <t>MLP 12-756</t>
  </si>
  <si>
    <t>MLP 12-757</t>
  </si>
  <si>
    <t>MLP 12-758</t>
  </si>
  <si>
    <t>MLP 12-883 (right)</t>
  </si>
  <si>
    <t>MLP 67-X-18-1 (left)</t>
  </si>
  <si>
    <t>MLP 67-XI-24-1 (left)</t>
  </si>
  <si>
    <t>MLP 12-400</t>
  </si>
  <si>
    <t>AMNH 9219</t>
  </si>
  <si>
    <t>ACM 3287</t>
  </si>
  <si>
    <t>ACM 3275</t>
  </si>
  <si>
    <t>Coniopternium andinum</t>
  </si>
  <si>
    <t>Col. Berro s/nº (Urug)</t>
  </si>
  <si>
    <t>Oxyodontherium zeballosi</t>
  </si>
  <si>
    <t>20?</t>
  </si>
  <si>
    <t>MCN-PV 1476</t>
  </si>
  <si>
    <t>Scherer 2009</t>
  </si>
  <si>
    <t>Thesodon garretorum</t>
  </si>
  <si>
    <t>Thesodon gracilis</t>
  </si>
  <si>
    <t>AMNH 15798</t>
  </si>
  <si>
    <t>PIMUZ A/V 5419</t>
  </si>
  <si>
    <t>Sefve 1925</t>
  </si>
  <si>
    <t>﻿MNHN.F.PAM75 (left manus digit II)</t>
  </si>
  <si>
    <t>﻿MNHN.F.PAM75 (left manus digit IV)</t>
  </si>
  <si>
    <t>﻿MNHN.F.PAM75 (left manus)</t>
  </si>
  <si>
    <t>Promacrauchenia antiquua</t>
  </si>
  <si>
    <t>MACN PV 7986 (holotype; right)</t>
  </si>
  <si>
    <t>29.69*</t>
  </si>
  <si>
    <t>33.19*</t>
  </si>
  <si>
    <t>MACN PV 7986 (holotype)</t>
  </si>
  <si>
    <t>MACN PV 7986 (holotype)*</t>
  </si>
  <si>
    <t xml:space="preserve">*H.P. P. only found a phanlanx 2 from digit II or IV with the holotype in the MACN collections. So this could be a misidentification from Schmidt 2013. </t>
  </si>
  <si>
    <t xml:space="preserve">*H.P. P. only found a phanlanx 1 from digit II or IV with the holotype in the MACN collections. So this could be a misidentification from Schmidt 2013. </t>
  </si>
  <si>
    <t>﻿MNHN.F.DES305 (right)</t>
  </si>
  <si>
    <t xml:space="preserve">﻿MNHN.F.DES307 </t>
  </si>
  <si>
    <t>﻿MNHN.F.DES308</t>
  </si>
  <si>
    <t>*It did not have a specific specimen number, but it was in the same box as MNHN.F.COL1900-18. They are from different individuals (same side)</t>
  </si>
  <si>
    <t>Coniopternium primitivum</t>
  </si>
  <si>
    <r>
      <t xml:space="preserve">Cramauchenia normalis+ </t>
    </r>
    <r>
      <rPr>
        <sz val="11"/>
        <color theme="1"/>
        <rFont val="Times New Roman"/>
        <family val="1"/>
      </rPr>
      <t>(radius)</t>
    </r>
  </si>
  <si>
    <r>
      <t xml:space="preserve">Cramauchenia normalis* </t>
    </r>
    <r>
      <rPr>
        <sz val="11"/>
        <color theme="1"/>
        <rFont val="Times New Roman"/>
        <family val="1"/>
      </rPr>
      <t>(radius)</t>
    </r>
  </si>
  <si>
    <r>
      <t xml:space="preserve">Coniopternium primitivum* </t>
    </r>
    <r>
      <rPr>
        <sz val="11"/>
        <color theme="1"/>
        <rFont val="Times New Roman"/>
        <family val="1"/>
      </rPr>
      <t>(radius)</t>
    </r>
  </si>
  <si>
    <t>Anteroposterior length in midpoint (APL)</t>
  </si>
  <si>
    <r>
      <t>Thesodon</t>
    </r>
    <r>
      <rPr>
        <sz val="11"/>
        <color theme="1"/>
        <rFont val="Times New Roman"/>
        <family val="1"/>
      </rPr>
      <t xml:space="preserve"> sp.</t>
    </r>
  </si>
  <si>
    <r>
      <t xml:space="preserve">Thesodon </t>
    </r>
    <r>
      <rPr>
        <sz val="11"/>
        <color theme="1"/>
        <rFont val="Times New Roman"/>
        <family val="1"/>
      </rPr>
      <t>sp.</t>
    </r>
  </si>
  <si>
    <t>MLP 12-853*</t>
  </si>
  <si>
    <t>*The carpals where glued, so it was not possbile to observe the articular facets between them. Site: Santacrucencse. Locality: Santa Cruz</t>
  </si>
  <si>
    <t>MACN A 2569-2608 (right)</t>
  </si>
  <si>
    <t>MACN A 2569-2608 (left)</t>
  </si>
  <si>
    <t xml:space="preserve">Theosodon garretorum </t>
  </si>
  <si>
    <r>
      <t>Hans P. Püschel</t>
    </r>
    <r>
      <rPr>
        <vertAlign val="superscript"/>
        <sz val="14"/>
        <color theme="1"/>
        <rFont val="Times New Roman"/>
        <family val="1"/>
      </rPr>
      <t>1</t>
    </r>
    <r>
      <rPr>
        <sz val="14"/>
        <color theme="1"/>
        <rFont val="Times New Roman"/>
        <family val="1"/>
      </rPr>
      <t>*, Jhonatan Alarcón-Muñoz</t>
    </r>
    <r>
      <rPr>
        <vertAlign val="superscript"/>
        <sz val="14"/>
        <color theme="1"/>
        <rFont val="Times New Roman"/>
        <family val="1"/>
      </rPr>
      <t>2</t>
    </r>
    <r>
      <rPr>
        <sz val="14"/>
        <color theme="1"/>
        <rFont val="Times New Roman"/>
        <family val="1"/>
      </rPr>
      <t>, Sergio Soto-Acuña</t>
    </r>
    <r>
      <rPr>
        <vertAlign val="superscript"/>
        <sz val="14"/>
        <color theme="1"/>
        <rFont val="Times New Roman"/>
        <family val="1"/>
      </rPr>
      <t>2,3</t>
    </r>
    <r>
      <rPr>
        <sz val="14"/>
        <color theme="1"/>
        <rFont val="Times New Roman"/>
        <family val="1"/>
      </rPr>
      <t>, Raúl Ugalde</t>
    </r>
    <r>
      <rPr>
        <vertAlign val="superscript"/>
        <sz val="14"/>
        <color theme="1"/>
        <rFont val="Times New Roman"/>
        <family val="1"/>
      </rPr>
      <t>3,4</t>
    </r>
    <r>
      <rPr>
        <sz val="14"/>
        <color theme="1"/>
        <rFont val="Times New Roman"/>
        <family val="1"/>
      </rPr>
      <t>, Sarah L. Shelley</t>
    </r>
    <r>
      <rPr>
        <vertAlign val="superscript"/>
        <sz val="14"/>
        <color theme="1"/>
        <rFont val="Times New Roman"/>
        <family val="1"/>
      </rPr>
      <t>1</t>
    </r>
    <r>
      <rPr>
        <sz val="14"/>
        <color theme="1"/>
        <rFont val="Times New Roman"/>
        <family val="1"/>
      </rPr>
      <t>, Stephen L. Brusatte</t>
    </r>
    <r>
      <rPr>
        <vertAlign val="superscript"/>
        <sz val="14"/>
        <color theme="1"/>
        <rFont val="Times New Roman"/>
        <family val="1"/>
      </rPr>
      <t>1</t>
    </r>
    <r>
      <rPr>
        <sz val="14"/>
        <color theme="1"/>
        <rFont val="Times New Roman"/>
        <family val="1"/>
      </rPr>
      <t> </t>
    </r>
  </si>
  <si>
    <t>﻿MNHN.F.COL181</t>
  </si>
  <si>
    <t>﻿MNHN.F.COL184</t>
  </si>
  <si>
    <t>﻿MNHN.F.COL185</t>
  </si>
  <si>
    <t>MNHN.F.SAL1053</t>
  </si>
  <si>
    <t xml:space="preserve">*It was in the same box as ﻿MNHN.F.COL185. They are from different individuals (same side). +Proximal end missing </t>
  </si>
  <si>
    <t>MNHN.F.SAL1050</t>
  </si>
  <si>
    <t>MNHN.F.SAL1051</t>
  </si>
  <si>
    <t>﻿MNHN.F.COL182(left)</t>
  </si>
  <si>
    <t>﻿MNHN.F.COL183(left)</t>
  </si>
  <si>
    <r>
      <t xml:space="preserve">*It shows anatomical features that question its assigment as </t>
    </r>
    <r>
      <rPr>
        <i/>
        <sz val="11"/>
        <color theme="1"/>
        <rFont val="Times New Roman"/>
        <family val="1"/>
      </rPr>
      <t>Cullinia levis</t>
    </r>
    <r>
      <rPr>
        <sz val="11"/>
        <color theme="1"/>
        <rFont val="Times New Roman"/>
        <family val="1"/>
      </rPr>
      <t xml:space="preserve">.. </t>
    </r>
  </si>
  <si>
    <t>MLP 83-III-2-1*</t>
  </si>
  <si>
    <t>*Subadult specimen, M2 erupting. +The specimen is somewhat deformed and fragmentary, so estimations were based from The complete and less deformed  half.</t>
  </si>
  <si>
    <t>51.18+</t>
  </si>
  <si>
    <t>39.73+</t>
  </si>
  <si>
    <t>18.88+</t>
  </si>
  <si>
    <t>MACN PV 9779*</t>
  </si>
  <si>
    <t>69.68+</t>
  </si>
  <si>
    <t>38.82+</t>
  </si>
  <si>
    <t>*Possibly subadult specimen as its proportions seem to be a bit different to other macraucheniines. +It was estimated from the most complete half.</t>
  </si>
  <si>
    <t xml:space="preserve">Theosodon lydekkeri  </t>
  </si>
  <si>
    <t>Theosodon lydekkeri * (radius)</t>
  </si>
  <si>
    <t xml:space="preserve">Thesodon lydekkeri </t>
  </si>
  <si>
    <t xml:space="preserve">Promacrauchenia antiquua </t>
  </si>
  <si>
    <r>
      <t xml:space="preserve">Cullinia </t>
    </r>
    <r>
      <rPr>
        <sz val="11"/>
        <color theme="1"/>
        <rFont val="Times New Roman"/>
        <family val="1"/>
      </rPr>
      <t>cf</t>
    </r>
    <r>
      <rPr>
        <i/>
        <sz val="11"/>
        <color theme="1"/>
        <rFont val="Times New Roman"/>
        <family val="1"/>
      </rPr>
      <t xml:space="preserve"> C. levis</t>
    </r>
  </si>
  <si>
    <r>
      <t xml:space="preserve">Promacrauchenia </t>
    </r>
    <r>
      <rPr>
        <sz val="11"/>
        <color theme="1"/>
        <rFont val="Times New Roman"/>
        <family val="1"/>
      </rPr>
      <t>sp.</t>
    </r>
    <r>
      <rPr>
        <i/>
        <sz val="11"/>
        <color theme="1"/>
        <rFont val="Times New Roman"/>
        <family val="1"/>
      </rPr>
      <t>*</t>
    </r>
  </si>
  <si>
    <r>
      <t xml:space="preserve">*There are important anatomical differences between this specimen and other specimens of </t>
    </r>
    <r>
      <rPr>
        <i/>
        <sz val="11"/>
        <color theme="1"/>
        <rFont val="Times New Roman"/>
        <family val="1"/>
      </rPr>
      <t xml:space="preserve">Promacrauchenia </t>
    </r>
    <r>
      <rPr>
        <sz val="11"/>
        <color theme="1"/>
        <rFont val="Times New Roman"/>
        <family val="1"/>
      </rPr>
      <t>that raise questions about its taxonomical assignment (see main text and also Schmidt 2013)</t>
    </r>
  </si>
  <si>
    <t>*There are important anatomical differences between this specimen and other specimens of Promacrauchenia that raise questions about its taxonomical assignment (see main text and also Schmidt 2013)</t>
  </si>
  <si>
    <r>
      <t xml:space="preserve">*There are important anatomical differences between this specimen and other specimens of </t>
    </r>
    <r>
      <rPr>
        <i/>
        <sz val="11"/>
        <color theme="1"/>
        <rFont val="Times New Roman"/>
        <family val="1"/>
      </rPr>
      <t>Promacrauchenia</t>
    </r>
    <r>
      <rPr>
        <sz val="11"/>
        <color theme="1"/>
        <rFont val="Times New Roman"/>
        <family val="1"/>
      </rPr>
      <t xml:space="preserve"> that raise questions about its taxonomical assignment (see main text and also Schmidt 2013)</t>
    </r>
  </si>
  <si>
    <t>Promacrauchenia sp.*</t>
  </si>
  <si>
    <t>Anaya and MacFadden 1995</t>
  </si>
  <si>
    <r>
      <t xml:space="preserve">Table S7. </t>
    </r>
    <r>
      <rPr>
        <sz val="12"/>
        <color theme="1"/>
        <rFont val="Times New Roman"/>
        <family val="1"/>
      </rPr>
      <t xml:space="preserve">Measurements of the metatarsals to compare with </t>
    </r>
    <r>
      <rPr>
        <i/>
        <sz val="12"/>
        <color theme="1"/>
        <rFont val="Times New Roman"/>
        <family val="1"/>
      </rPr>
      <t>Cullinia levis</t>
    </r>
    <r>
      <rPr>
        <sz val="12"/>
        <color theme="1"/>
        <rFont val="Times New Roman"/>
        <family val="1"/>
      </rPr>
      <t xml:space="preserve"> (in mm)</t>
    </r>
  </si>
  <si>
    <t>MUHNCAL-KM.A4B4.C3.RP3*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</si>
</sst>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theme="1"/>
      <name val="Times New Roman"/>
      <family val="1"/>
    </font>
    <font>
      <b/>
      <sz val="11"/>
      <name val="Times New Roman"/>
      <family val="1"/>
    </font>
    <font>
      <b/>
      <sz val="20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1"/>
      <color rgb="FF000000"/>
      <name val="Times New Roman"/>
      <family val="1"/>
    </font>
    <font>
      <vertAlign val="superscript"/>
      <sz val="14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vertAlign val="superscript"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2" fillId="0" borderId="2" xfId="0" applyFont="1" applyBorder="1"/>
    <xf numFmtId="0" fontId="2" fillId="0" borderId="0" xfId="0" applyFont="1"/>
    <xf numFmtId="0" fontId="3" fillId="0" borderId="2" xfId="0" applyFont="1" applyBorder="1"/>
    <xf numFmtId="0" fontId="4" fillId="0" borderId="2" xfId="0" applyFont="1" applyBorder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2" fontId="4" fillId="0" borderId="0" xfId="0" applyNumberFormat="1" applyFont="1"/>
    <xf numFmtId="0" fontId="8" fillId="0" borderId="0" xfId="0" applyFont="1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4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/>
    <xf numFmtId="0" fontId="8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/>
    </xf>
    <xf numFmtId="0" fontId="15" fillId="0" borderId="0" xfId="0" applyFont="1" applyAlignment="1">
      <alignment vertical="center"/>
    </xf>
    <xf numFmtId="0" fontId="16" fillId="0" borderId="0" xfId="0" applyFont="1"/>
    <xf numFmtId="0" fontId="9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/>
    <xf numFmtId="0" fontId="17" fillId="0" borderId="0" xfId="0" applyFont="1"/>
    <xf numFmtId="2" fontId="0" fillId="0" borderId="0" xfId="0" applyNumberFormat="1" applyAlignment="1">
      <alignment horizontal="center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31E79-1E0F-BB46-B9CA-E33D0C50A780}">
  <dimension ref="G14:U32"/>
  <sheetViews>
    <sheetView workbookViewId="0">
      <selection activeCell="H41" sqref="H41"/>
    </sheetView>
  </sheetViews>
  <sheetFormatPr baseColWidth="10" defaultRowHeight="15" x14ac:dyDescent="0.2"/>
  <sheetData>
    <row r="14" spans="8:17" x14ac:dyDescent="0.2">
      <c r="H14" s="46" t="s">
        <v>425</v>
      </c>
      <c r="I14" s="47"/>
      <c r="J14" s="47"/>
      <c r="K14" s="47"/>
      <c r="L14" s="47"/>
      <c r="M14" s="47"/>
      <c r="N14" s="47"/>
      <c r="O14" s="47"/>
      <c r="P14" s="47"/>
      <c r="Q14" s="47"/>
    </row>
    <row r="15" spans="8:17" x14ac:dyDescent="0.2">
      <c r="H15" s="47"/>
      <c r="I15" s="47"/>
      <c r="J15" s="47"/>
      <c r="K15" s="47"/>
      <c r="L15" s="47"/>
      <c r="M15" s="47"/>
      <c r="N15" s="47"/>
      <c r="O15" s="47"/>
      <c r="P15" s="47"/>
      <c r="Q15" s="47"/>
    </row>
    <row r="16" spans="8:17" x14ac:dyDescent="0.2">
      <c r="H16" s="47"/>
      <c r="I16" s="47"/>
      <c r="J16" s="47"/>
      <c r="K16" s="47"/>
      <c r="L16" s="47"/>
      <c r="M16" s="47"/>
      <c r="N16" s="47"/>
      <c r="O16" s="47"/>
      <c r="P16" s="47"/>
      <c r="Q16" s="47"/>
    </row>
    <row r="17" spans="7:21" x14ac:dyDescent="0.2">
      <c r="H17" s="47"/>
      <c r="I17" s="47"/>
      <c r="J17" s="47"/>
      <c r="K17" s="47"/>
      <c r="L17" s="47"/>
      <c r="M17" s="47"/>
      <c r="N17" s="47"/>
      <c r="O17" s="47"/>
      <c r="P17" s="47"/>
      <c r="Q17" s="47"/>
    </row>
    <row r="20" spans="7:21" x14ac:dyDescent="0.2">
      <c r="G20" s="48" t="s">
        <v>538</v>
      </c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</row>
    <row r="21" spans="7:21" x14ac:dyDescent="0.2"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</row>
    <row r="22" spans="7:21" x14ac:dyDescent="0.2"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</row>
    <row r="24" spans="7:21" ht="19" x14ac:dyDescent="0.25">
      <c r="H24" s="23" t="s">
        <v>393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4"/>
    </row>
    <row r="25" spans="7:21" ht="19" x14ac:dyDescent="0.25">
      <c r="H25" s="23" t="s">
        <v>394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4"/>
    </row>
    <row r="26" spans="7:21" ht="18" x14ac:dyDescent="0.2">
      <c r="H26" s="45" t="s">
        <v>395</v>
      </c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</row>
    <row r="27" spans="7:21" ht="18" x14ac:dyDescent="0.2">
      <c r="H27" s="45" t="s">
        <v>396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</row>
    <row r="30" spans="7:21" ht="16" customHeight="1" x14ac:dyDescent="0.2">
      <c r="H30" s="45" t="s">
        <v>397</v>
      </c>
      <c r="I30" s="45"/>
      <c r="J30" s="45"/>
      <c r="K30" s="45"/>
    </row>
    <row r="31" spans="7:21" ht="16" customHeight="1" x14ac:dyDescent="0.2">
      <c r="H31" s="45" t="s">
        <v>398</v>
      </c>
      <c r="I31" s="45"/>
      <c r="J31" s="45"/>
      <c r="K31" s="45"/>
    </row>
    <row r="32" spans="7:21" ht="16" customHeight="1" x14ac:dyDescent="0.2">
      <c r="H32" s="45" t="s">
        <v>399</v>
      </c>
      <c r="I32" s="45"/>
      <c r="J32" s="45"/>
      <c r="K32" s="45"/>
    </row>
  </sheetData>
  <mergeCells count="7">
    <mergeCell ref="H31:K31"/>
    <mergeCell ref="H32:K32"/>
    <mergeCell ref="H27:U27"/>
    <mergeCell ref="H14:Q17"/>
    <mergeCell ref="G20:R22"/>
    <mergeCell ref="H26:U26"/>
    <mergeCell ref="H30:K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89DE8-A1F1-4E02-9847-AEA2D6DD58FF}">
  <dimension ref="A1:J139"/>
  <sheetViews>
    <sheetView zoomScaleNormal="100" workbookViewId="0">
      <selection activeCell="D19" sqref="D19"/>
    </sheetView>
  </sheetViews>
  <sheetFormatPr baseColWidth="10" defaultRowHeight="14" x14ac:dyDescent="0.15"/>
  <cols>
    <col min="1" max="1" width="25.33203125" style="6" customWidth="1"/>
    <col min="2" max="2" width="24.83203125" style="6" customWidth="1"/>
    <col min="3" max="3" width="29.83203125" style="6" customWidth="1"/>
    <col min="4" max="4" width="29.5" style="6" customWidth="1"/>
    <col min="5" max="5" width="20.83203125" style="6" customWidth="1"/>
    <col min="6" max="6" width="21.5" style="6" customWidth="1"/>
    <col min="7" max="7" width="25.6640625" style="6" customWidth="1"/>
    <col min="8" max="8" width="81.1640625" style="6" customWidth="1"/>
    <col min="9" max="9" width="19.5" style="6" customWidth="1"/>
    <col min="10" max="10" width="21.33203125" style="6" customWidth="1"/>
    <col min="11" max="12" width="10.83203125" style="6"/>
    <col min="13" max="13" width="15.5" style="6" customWidth="1"/>
    <col min="14" max="16384" width="10.83203125" style="6"/>
  </cols>
  <sheetData>
    <row r="1" spans="1:10" s="5" customFormat="1" ht="17" thickBot="1" x14ac:dyDescent="0.25">
      <c r="A1" s="4" t="s">
        <v>409</v>
      </c>
    </row>
    <row r="2" spans="1:10" ht="15" thickTop="1" x14ac:dyDescent="0.15"/>
    <row r="3" spans="1:10" s="32" customFormat="1" ht="45" x14ac:dyDescent="0.2">
      <c r="A3" s="30" t="s">
        <v>110</v>
      </c>
      <c r="B3" s="30" t="s">
        <v>40</v>
      </c>
      <c r="C3" s="26" t="s">
        <v>390</v>
      </c>
      <c r="D3" s="26" t="s">
        <v>368</v>
      </c>
      <c r="E3" s="26" t="s">
        <v>369</v>
      </c>
      <c r="F3" s="26" t="s">
        <v>370</v>
      </c>
      <c r="G3" s="31" t="s">
        <v>400</v>
      </c>
      <c r="H3" s="31" t="s">
        <v>112</v>
      </c>
      <c r="I3" s="31" t="s">
        <v>53</v>
      </c>
    </row>
    <row r="4" spans="1:10" ht="15" x14ac:dyDescent="0.15">
      <c r="A4" s="9" t="s">
        <v>291</v>
      </c>
      <c r="B4" s="8" t="s">
        <v>356</v>
      </c>
      <c r="C4" s="14">
        <v>53.04</v>
      </c>
      <c r="D4" s="14">
        <v>29.98</v>
      </c>
      <c r="E4" s="14">
        <v>14.49</v>
      </c>
      <c r="F4" s="14">
        <v>6.54</v>
      </c>
      <c r="G4" s="13" t="s">
        <v>411</v>
      </c>
      <c r="H4" s="13"/>
      <c r="I4" s="13" t="s">
        <v>54</v>
      </c>
    </row>
    <row r="5" spans="1:10" ht="45" x14ac:dyDescent="0.15">
      <c r="A5" s="6" t="s">
        <v>539</v>
      </c>
      <c r="B5" s="8" t="s">
        <v>86</v>
      </c>
      <c r="C5" s="14" t="s">
        <v>434</v>
      </c>
      <c r="D5" s="14">
        <v>27.26</v>
      </c>
      <c r="E5" s="14">
        <v>14.05</v>
      </c>
      <c r="F5" s="16">
        <v>6.8</v>
      </c>
      <c r="G5" s="13" t="s">
        <v>423</v>
      </c>
      <c r="H5" s="6" t="s">
        <v>435</v>
      </c>
      <c r="I5" s="6" t="s">
        <v>54</v>
      </c>
    </row>
    <row r="6" spans="1:10" ht="16" x14ac:dyDescent="0.2">
      <c r="A6" s="6" t="s">
        <v>57</v>
      </c>
      <c r="B6" s="8" t="s">
        <v>42</v>
      </c>
      <c r="C6" s="14" t="s">
        <v>432</v>
      </c>
      <c r="D6" s="14" t="s">
        <v>433</v>
      </c>
      <c r="E6" s="14">
        <v>15.89</v>
      </c>
      <c r="F6" s="16">
        <v>7.9</v>
      </c>
      <c r="G6" s="13" t="s">
        <v>413</v>
      </c>
      <c r="H6" s="6" t="s">
        <v>431</v>
      </c>
      <c r="I6" s="6" t="s">
        <v>54</v>
      </c>
      <c r="J6" s="3"/>
    </row>
    <row r="7" spans="1:10" ht="75" x14ac:dyDescent="0.2">
      <c r="A7" s="3"/>
      <c r="B7" s="8" t="s">
        <v>391</v>
      </c>
      <c r="C7" s="14" t="s">
        <v>429</v>
      </c>
      <c r="D7" s="14"/>
      <c r="E7" s="14"/>
      <c r="F7" s="14"/>
      <c r="G7" s="13" t="s">
        <v>413</v>
      </c>
      <c r="H7" s="13" t="s">
        <v>430</v>
      </c>
      <c r="I7" s="13" t="s">
        <v>392</v>
      </c>
      <c r="J7" s="3"/>
    </row>
    <row r="8" spans="1:10" ht="30" x14ac:dyDescent="0.2">
      <c r="A8" s="3" t="s">
        <v>427</v>
      </c>
      <c r="B8" s="8" t="s">
        <v>426</v>
      </c>
      <c r="C8" s="16">
        <v>35.200000000000003</v>
      </c>
      <c r="D8" s="3">
        <v>20.45</v>
      </c>
      <c r="E8" s="3">
        <v>7.85</v>
      </c>
      <c r="F8" s="3">
        <v>4.2</v>
      </c>
      <c r="G8" s="13" t="s">
        <v>414</v>
      </c>
      <c r="H8" s="3"/>
      <c r="I8" s="13" t="s">
        <v>428</v>
      </c>
      <c r="J8" s="3"/>
    </row>
    <row r="139" spans="1:1" x14ac:dyDescent="0.15">
      <c r="A139" s="7"/>
    </row>
  </sheetData>
  <phoneticPr fontId="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4FE5F-5A4B-AC4A-A97E-84FCAB8AFF5D}">
  <dimension ref="A1:W88"/>
  <sheetViews>
    <sheetView tabSelected="1" topLeftCell="A10" zoomScaleNormal="100" workbookViewId="0">
      <selection activeCell="E20" sqref="E20"/>
    </sheetView>
  </sheetViews>
  <sheetFormatPr baseColWidth="10" defaultRowHeight="15" x14ac:dyDescent="0.2"/>
  <cols>
    <col min="1" max="1" width="24.83203125" customWidth="1"/>
    <col min="2" max="2" width="26.33203125" customWidth="1"/>
    <col min="3" max="3" width="22.5" customWidth="1"/>
    <col min="4" max="4" width="14.6640625" customWidth="1"/>
    <col min="5" max="5" width="18" customWidth="1"/>
    <col min="6" max="6" width="16.5" customWidth="1"/>
    <col min="7" max="7" width="17" customWidth="1"/>
    <col min="8" max="8" width="18" customWidth="1"/>
    <col min="9" max="9" width="18.5" customWidth="1"/>
    <col min="10" max="10" width="21.83203125" customWidth="1"/>
    <col min="11" max="11" width="25.83203125" customWidth="1"/>
    <col min="12" max="12" width="47" customWidth="1"/>
    <col min="13" max="13" width="34.83203125" customWidth="1"/>
    <col min="14" max="14" width="28.83203125" customWidth="1"/>
    <col min="15" max="15" width="41.6640625" customWidth="1"/>
    <col min="16" max="16" width="38.83203125" customWidth="1"/>
    <col min="17" max="17" width="32.5" customWidth="1"/>
    <col min="18" max="18" width="30.1640625" customWidth="1"/>
    <col min="19" max="19" width="35.6640625" customWidth="1"/>
    <col min="20" max="20" width="23.33203125" customWidth="1"/>
  </cols>
  <sheetData>
    <row r="1" spans="1:19" s="1" customFormat="1" ht="17" thickBot="1" x14ac:dyDescent="0.25">
      <c r="A1" s="4" t="s">
        <v>410</v>
      </c>
      <c r="B1" s="2"/>
      <c r="C1" s="2"/>
      <c r="D1" s="2"/>
      <c r="E1" s="2"/>
      <c r="F1" s="2"/>
      <c r="G1" s="2"/>
      <c r="I1" s="2"/>
      <c r="J1" s="2"/>
      <c r="K1" s="2"/>
      <c r="L1" s="5"/>
      <c r="M1" s="5"/>
      <c r="N1" s="5"/>
      <c r="O1" s="5"/>
      <c r="P1" s="5"/>
      <c r="Q1" s="5"/>
      <c r="R1" s="5"/>
    </row>
    <row r="2" spans="1:19" ht="17" thickTop="1" x14ac:dyDescent="0.2">
      <c r="A2" s="6"/>
      <c r="B2" s="3"/>
      <c r="C2" s="3"/>
      <c r="D2" s="3"/>
      <c r="E2" s="3"/>
      <c r="F2" s="3"/>
      <c r="G2" s="3"/>
      <c r="I2" s="3"/>
      <c r="J2" s="3"/>
      <c r="K2" s="3"/>
      <c r="L2" s="6"/>
      <c r="M2" s="6"/>
      <c r="N2" s="6"/>
      <c r="O2" s="6"/>
      <c r="P2" s="6"/>
      <c r="Q2" s="6"/>
      <c r="R2" s="6"/>
    </row>
    <row r="3" spans="1:19" s="35" customFormat="1" ht="60" x14ac:dyDescent="0.2">
      <c r="A3" s="31" t="s">
        <v>464</v>
      </c>
      <c r="B3" s="31" t="s">
        <v>111</v>
      </c>
      <c r="C3" s="31" t="s">
        <v>40</v>
      </c>
      <c r="D3" s="26" t="s">
        <v>342</v>
      </c>
      <c r="E3" s="26" t="s">
        <v>343</v>
      </c>
      <c r="F3" s="26" t="s">
        <v>344</v>
      </c>
      <c r="G3" s="26" t="s">
        <v>346</v>
      </c>
      <c r="H3" s="26" t="s">
        <v>448</v>
      </c>
      <c r="I3" s="26" t="s">
        <v>353</v>
      </c>
      <c r="J3" s="26" t="s">
        <v>351</v>
      </c>
      <c r="K3" s="26" t="s">
        <v>352</v>
      </c>
      <c r="L3" s="26" t="s">
        <v>347</v>
      </c>
      <c r="M3" s="26" t="s">
        <v>348</v>
      </c>
      <c r="N3" s="26" t="s">
        <v>349</v>
      </c>
      <c r="O3" s="26" t="s">
        <v>447</v>
      </c>
      <c r="P3" s="26" t="s">
        <v>451</v>
      </c>
      <c r="Q3" s="31" t="s">
        <v>400</v>
      </c>
      <c r="R3" s="31" t="s">
        <v>112</v>
      </c>
      <c r="S3" s="31" t="s">
        <v>53</v>
      </c>
    </row>
    <row r="4" spans="1:19" ht="30" x14ac:dyDescent="0.2">
      <c r="A4" s="6"/>
      <c r="B4" s="9" t="s">
        <v>290</v>
      </c>
      <c r="C4" s="19" t="s">
        <v>280</v>
      </c>
      <c r="D4" s="14">
        <v>42.64</v>
      </c>
      <c r="E4" s="14" t="s">
        <v>341</v>
      </c>
      <c r="F4" s="14" t="s">
        <v>345</v>
      </c>
      <c r="G4" s="14" t="s">
        <v>350</v>
      </c>
      <c r="H4" s="14">
        <v>35.770000000000003</v>
      </c>
      <c r="I4" s="14">
        <v>40.58</v>
      </c>
      <c r="J4" s="14">
        <v>30.95</v>
      </c>
      <c r="K4" s="14">
        <v>27.76</v>
      </c>
      <c r="L4" s="16">
        <f>D4/52.08</f>
        <v>0.81874039938556076</v>
      </c>
      <c r="M4" s="16">
        <f>D4/67.9</f>
        <v>0.62798232695139911</v>
      </c>
      <c r="N4" s="16">
        <f>D4/I4</f>
        <v>1.0507639231148349</v>
      </c>
      <c r="O4" s="16">
        <f>73.28/I4</f>
        <v>1.8058156727451948</v>
      </c>
      <c r="P4" s="16">
        <f>D4/H4</f>
        <v>1.1920603857981549</v>
      </c>
      <c r="Q4" s="13" t="s">
        <v>411</v>
      </c>
      <c r="R4" s="13" t="s">
        <v>340</v>
      </c>
      <c r="S4" s="13" t="s">
        <v>54</v>
      </c>
    </row>
    <row r="5" spans="1:19" ht="72" customHeight="1" x14ac:dyDescent="0.2">
      <c r="A5" s="6"/>
      <c r="B5" s="6" t="s">
        <v>549</v>
      </c>
      <c r="C5" s="8" t="s">
        <v>86</v>
      </c>
      <c r="D5" s="14">
        <v>51.32</v>
      </c>
      <c r="E5" s="14" t="s">
        <v>551</v>
      </c>
      <c r="F5" s="14">
        <v>49.16</v>
      </c>
      <c r="G5" s="14"/>
      <c r="H5" s="6"/>
      <c r="I5" s="14" t="s">
        <v>552</v>
      </c>
      <c r="J5" s="14" t="s">
        <v>553</v>
      </c>
      <c r="K5" s="14">
        <v>23.06</v>
      </c>
      <c r="L5" s="16">
        <f>D5/51.18</f>
        <v>1.0027354435326299</v>
      </c>
      <c r="M5" s="16"/>
      <c r="N5" s="16">
        <f>D5/39.73</f>
        <v>1.291719103951674</v>
      </c>
      <c r="O5" s="16"/>
      <c r="P5" s="14"/>
      <c r="Q5" s="13" t="s">
        <v>423</v>
      </c>
      <c r="R5" s="13" t="s">
        <v>550</v>
      </c>
      <c r="S5" s="13" t="s">
        <v>54</v>
      </c>
    </row>
    <row r="6" spans="1:19" ht="60" x14ac:dyDescent="0.2">
      <c r="A6" s="6"/>
      <c r="B6" s="6" t="s">
        <v>443</v>
      </c>
      <c r="C6" s="8" t="s">
        <v>558</v>
      </c>
      <c r="D6" s="14">
        <v>63.93</v>
      </c>
      <c r="E6" s="14">
        <v>68.17</v>
      </c>
      <c r="F6" s="14">
        <v>59.92</v>
      </c>
      <c r="G6" s="14" t="s">
        <v>444</v>
      </c>
      <c r="H6" s="14" t="s">
        <v>452</v>
      </c>
      <c r="I6" s="14">
        <v>49.45</v>
      </c>
      <c r="J6" s="14">
        <v>27.68</v>
      </c>
      <c r="K6" s="16" t="s">
        <v>446</v>
      </c>
      <c r="L6" s="16">
        <f>D6/E6</f>
        <v>0.93780255244242328</v>
      </c>
      <c r="M6" s="16">
        <f>D6/98.43</f>
        <v>0.64949710454129839</v>
      </c>
      <c r="N6" s="16">
        <f>D6/I6</f>
        <v>1.2928210313447925</v>
      </c>
      <c r="O6" s="16">
        <f>98.43/I6</f>
        <v>1.9904954499494438</v>
      </c>
      <c r="P6" s="16">
        <f>D6/35.34</f>
        <v>1.8089983022071305</v>
      </c>
      <c r="Q6" s="13" t="s">
        <v>413</v>
      </c>
      <c r="R6" s="13" t="s">
        <v>445</v>
      </c>
      <c r="S6" s="13" t="s">
        <v>54</v>
      </c>
    </row>
    <row r="7" spans="1:19" x14ac:dyDescent="0.2">
      <c r="A7" s="6"/>
      <c r="B7" s="6" t="s">
        <v>57</v>
      </c>
      <c r="C7" s="8" t="s">
        <v>42</v>
      </c>
      <c r="D7" s="14">
        <v>67</v>
      </c>
      <c r="E7" s="14"/>
      <c r="F7" s="14"/>
      <c r="G7" s="14">
        <v>101</v>
      </c>
      <c r="H7" s="6"/>
      <c r="I7" s="14">
        <v>47</v>
      </c>
      <c r="J7" s="14"/>
      <c r="K7" s="14"/>
      <c r="L7" s="16"/>
      <c r="M7" s="16">
        <f>D7/G7</f>
        <v>0.6633663366336634</v>
      </c>
      <c r="N7" s="16">
        <f>D7/I7</f>
        <v>1.425531914893617</v>
      </c>
      <c r="O7" s="16">
        <f>G7/I7</f>
        <v>2.1489361702127661</v>
      </c>
      <c r="P7" s="14"/>
      <c r="Q7" s="13" t="s">
        <v>413</v>
      </c>
      <c r="R7" s="13"/>
      <c r="S7" s="13" t="s">
        <v>49</v>
      </c>
    </row>
    <row r="8" spans="1:19" x14ac:dyDescent="0.2">
      <c r="A8" s="6"/>
      <c r="B8" s="6" t="s">
        <v>58</v>
      </c>
      <c r="C8" s="8" t="s">
        <v>44</v>
      </c>
      <c r="D8" s="14">
        <v>65</v>
      </c>
      <c r="E8" s="14"/>
      <c r="F8" s="14"/>
      <c r="G8" s="14"/>
      <c r="H8" s="6"/>
      <c r="I8" s="14">
        <v>47</v>
      </c>
      <c r="J8" s="14"/>
      <c r="K8" s="14"/>
      <c r="L8" s="16"/>
      <c r="M8" s="16"/>
      <c r="N8" s="16">
        <f>D8/I8</f>
        <v>1.3829787234042554</v>
      </c>
      <c r="O8" s="16"/>
      <c r="P8" s="14"/>
      <c r="Q8" s="13" t="s">
        <v>413</v>
      </c>
      <c r="R8" s="13"/>
      <c r="S8" s="13" t="s">
        <v>49</v>
      </c>
    </row>
    <row r="9" spans="1:19" ht="75" x14ac:dyDescent="0.2">
      <c r="A9" s="6"/>
      <c r="B9" s="6" t="s">
        <v>554</v>
      </c>
      <c r="C9" s="6" t="s">
        <v>39</v>
      </c>
      <c r="D9" s="14">
        <v>69.319999999999993</v>
      </c>
      <c r="E9" s="14">
        <v>71.75</v>
      </c>
      <c r="F9" s="14">
        <v>65.41</v>
      </c>
      <c r="G9" s="14">
        <v>102.71</v>
      </c>
      <c r="H9" s="14">
        <v>44</v>
      </c>
      <c r="I9" s="14" t="s">
        <v>555</v>
      </c>
      <c r="J9" s="14">
        <v>35.049999999999997</v>
      </c>
      <c r="K9" s="14" t="s">
        <v>556</v>
      </c>
      <c r="L9" s="16">
        <f>D9/E9</f>
        <v>0.96613240418118462</v>
      </c>
      <c r="M9" s="16">
        <f>D9/G9</f>
        <v>0.67490994060948295</v>
      </c>
      <c r="N9" s="16">
        <f>D9/69.68</f>
        <v>0.99483352468427078</v>
      </c>
      <c r="O9" s="16">
        <f>G9/69.68</f>
        <v>1.4740241102181397</v>
      </c>
      <c r="P9" s="16">
        <f>D9/H9</f>
        <v>1.5754545454545452</v>
      </c>
      <c r="Q9" s="13" t="s">
        <v>407</v>
      </c>
      <c r="R9" s="13" t="s">
        <v>557</v>
      </c>
      <c r="S9" s="13" t="s">
        <v>466</v>
      </c>
    </row>
    <row r="10" spans="1:19" ht="60" x14ac:dyDescent="0.2">
      <c r="A10" s="6"/>
      <c r="B10" s="6" t="s">
        <v>338</v>
      </c>
      <c r="C10" s="8" t="s">
        <v>41</v>
      </c>
      <c r="D10" s="14">
        <v>89.57</v>
      </c>
      <c r="E10" s="14">
        <v>106.56</v>
      </c>
      <c r="F10" s="14">
        <v>113.25</v>
      </c>
      <c r="G10" s="14" t="s">
        <v>339</v>
      </c>
      <c r="H10" s="14" t="s">
        <v>449</v>
      </c>
      <c r="I10" s="14">
        <v>75.97</v>
      </c>
      <c r="J10" s="14">
        <v>55.04</v>
      </c>
      <c r="K10" s="14">
        <v>44.27</v>
      </c>
      <c r="L10" s="16">
        <f>D10/E10</f>
        <v>0.84055930930930922</v>
      </c>
      <c r="M10" s="16">
        <f>D10/150.94</f>
        <v>0.59341460182854111</v>
      </c>
      <c r="N10" s="16">
        <f>D10/I10</f>
        <v>1.1790180334342504</v>
      </c>
      <c r="O10" s="16">
        <f>150.94/I10</f>
        <v>1.9868369093063052</v>
      </c>
      <c r="P10" s="16">
        <f>D10/69.63</f>
        <v>1.2863708171765043</v>
      </c>
      <c r="Q10" s="13" t="s">
        <v>405</v>
      </c>
      <c r="R10" s="13" t="s">
        <v>450</v>
      </c>
      <c r="S10" s="13" t="s">
        <v>54</v>
      </c>
    </row>
    <row r="11" spans="1:19" ht="45" x14ac:dyDescent="0.2">
      <c r="A11" s="6"/>
      <c r="B11" s="6" t="s">
        <v>134</v>
      </c>
      <c r="C11" s="8" t="s">
        <v>105</v>
      </c>
      <c r="D11" s="14">
        <v>100</v>
      </c>
      <c r="E11" s="14">
        <v>105</v>
      </c>
      <c r="F11" s="14"/>
      <c r="G11" s="14" t="s">
        <v>145</v>
      </c>
      <c r="H11" s="6"/>
      <c r="I11" s="14">
        <v>81</v>
      </c>
      <c r="J11" s="14"/>
      <c r="K11" s="14">
        <v>46.5</v>
      </c>
      <c r="L11" s="16">
        <f>D11/E11</f>
        <v>0.95238095238095233</v>
      </c>
      <c r="M11" s="16">
        <f>D11/158.35</f>
        <v>0.63151247237132935</v>
      </c>
      <c r="N11" s="16">
        <f>D11/I11</f>
        <v>1.2345679012345678</v>
      </c>
      <c r="O11" s="16">
        <f>158.35/I11</f>
        <v>1.9549382716049382</v>
      </c>
      <c r="P11" s="14"/>
      <c r="Q11" s="13" t="s">
        <v>406</v>
      </c>
      <c r="R11" s="13" t="s">
        <v>146</v>
      </c>
      <c r="S11" s="13" t="s">
        <v>137</v>
      </c>
    </row>
    <row r="12" spans="1:19" x14ac:dyDescent="0.2">
      <c r="A12" s="6"/>
      <c r="B12" s="6" t="s">
        <v>135</v>
      </c>
      <c r="C12" s="8" t="s">
        <v>105</v>
      </c>
      <c r="D12" s="14"/>
      <c r="E12" s="14"/>
      <c r="F12" s="14"/>
      <c r="G12" s="14"/>
      <c r="H12" s="6"/>
      <c r="I12" s="14" t="s">
        <v>138</v>
      </c>
      <c r="J12" s="14"/>
      <c r="K12" s="14">
        <v>41</v>
      </c>
      <c r="L12" s="16"/>
      <c r="M12" s="16"/>
      <c r="N12" s="16"/>
      <c r="O12" s="16"/>
      <c r="P12" s="14"/>
      <c r="Q12" s="13" t="s">
        <v>406</v>
      </c>
      <c r="R12" s="13" t="s">
        <v>139</v>
      </c>
      <c r="S12" s="13" t="s">
        <v>137</v>
      </c>
    </row>
    <row r="13" spans="1:19" x14ac:dyDescent="0.2">
      <c r="A13" s="6"/>
      <c r="B13" s="6" t="s">
        <v>136</v>
      </c>
      <c r="C13" s="8" t="s">
        <v>105</v>
      </c>
      <c r="D13" s="14">
        <v>82</v>
      </c>
      <c r="E13" s="14">
        <v>96</v>
      </c>
      <c r="F13" s="14"/>
      <c r="G13" s="14"/>
      <c r="H13" s="6"/>
      <c r="I13" s="14">
        <v>72.5</v>
      </c>
      <c r="J13" s="14"/>
      <c r="K13" s="14">
        <v>42</v>
      </c>
      <c r="L13" s="16"/>
      <c r="M13" s="16"/>
      <c r="N13" s="16">
        <f>D13/I13</f>
        <v>1.1310344827586207</v>
      </c>
      <c r="O13" s="14"/>
      <c r="P13" s="14"/>
      <c r="Q13" s="13" t="s">
        <v>406</v>
      </c>
      <c r="R13" s="13"/>
      <c r="S13" s="13" t="s">
        <v>137</v>
      </c>
    </row>
    <row r="14" spans="1:19" x14ac:dyDescent="0.2">
      <c r="B14" s="6"/>
      <c r="C14" s="8"/>
      <c r="D14" s="14"/>
      <c r="E14" s="14"/>
      <c r="F14" s="14"/>
      <c r="G14" s="15"/>
      <c r="H14" s="6"/>
      <c r="I14" s="14"/>
      <c r="J14" s="14"/>
      <c r="K14" s="14"/>
      <c r="L14" s="16"/>
      <c r="M14" s="16"/>
      <c r="N14" s="16"/>
      <c r="O14" s="14"/>
      <c r="P14" s="13"/>
      <c r="Q14" s="29"/>
      <c r="R14" s="13"/>
    </row>
    <row r="15" spans="1:19" x14ac:dyDescent="0.2">
      <c r="J15" s="6"/>
      <c r="N15" s="6"/>
      <c r="P15" s="6"/>
      <c r="Q15" s="6"/>
      <c r="R15" s="6"/>
    </row>
    <row r="16" spans="1:19" ht="75" x14ac:dyDescent="0.2">
      <c r="A16" s="28" t="s">
        <v>465</v>
      </c>
      <c r="B16" s="28" t="s">
        <v>111</v>
      </c>
      <c r="C16" s="28" t="s">
        <v>40</v>
      </c>
      <c r="D16" s="26" t="s">
        <v>277</v>
      </c>
      <c r="E16" s="26" t="s">
        <v>46</v>
      </c>
      <c r="F16" s="26" t="s">
        <v>143</v>
      </c>
      <c r="G16" s="26" t="s">
        <v>354</v>
      </c>
      <c r="H16" s="26" t="s">
        <v>276</v>
      </c>
      <c r="I16" s="26" t="s">
        <v>108</v>
      </c>
      <c r="J16" s="26" t="s">
        <v>109</v>
      </c>
      <c r="K16" s="28" t="s">
        <v>400</v>
      </c>
      <c r="L16" s="28" t="s">
        <v>112</v>
      </c>
      <c r="M16" s="28" t="s">
        <v>53</v>
      </c>
      <c r="N16" s="6"/>
      <c r="O16" s="6"/>
      <c r="P16" s="6"/>
      <c r="Q16" s="6"/>
      <c r="R16" s="6"/>
    </row>
    <row r="17" spans="1:18" x14ac:dyDescent="0.2">
      <c r="A17" s="6"/>
      <c r="B17" s="9" t="s">
        <v>290</v>
      </c>
      <c r="C17" s="19" t="s">
        <v>280</v>
      </c>
      <c r="D17" s="14"/>
      <c r="E17" s="14">
        <v>50.54</v>
      </c>
      <c r="F17" s="14">
        <v>16.670000000000002</v>
      </c>
      <c r="G17" s="14">
        <v>17.43</v>
      </c>
      <c r="H17" s="14">
        <v>11.53</v>
      </c>
      <c r="I17" s="16">
        <f>F17/G17</f>
        <v>0.9563970166379806</v>
      </c>
      <c r="J17" s="16">
        <f>F17/H17</f>
        <v>1.4457935819601042</v>
      </c>
      <c r="K17" s="13" t="s">
        <v>411</v>
      </c>
      <c r="L17" s="13"/>
      <c r="M17" s="13" t="s">
        <v>47</v>
      </c>
      <c r="N17" s="6"/>
      <c r="O17" s="6"/>
      <c r="P17" s="6"/>
      <c r="Q17" s="6"/>
      <c r="R17" s="6"/>
    </row>
    <row r="18" spans="1:18" x14ac:dyDescent="0.2">
      <c r="A18" s="6"/>
      <c r="B18" s="6" t="s">
        <v>4</v>
      </c>
      <c r="C18" s="8" t="s">
        <v>50</v>
      </c>
      <c r="D18" s="14">
        <v>117</v>
      </c>
      <c r="E18" s="14"/>
      <c r="F18" s="14"/>
      <c r="G18" s="14"/>
      <c r="H18" s="14"/>
      <c r="I18" s="16"/>
      <c r="J18" s="16"/>
      <c r="K18" s="13" t="s">
        <v>413</v>
      </c>
      <c r="L18" s="13" t="s">
        <v>133</v>
      </c>
      <c r="M18" s="13" t="s">
        <v>48</v>
      </c>
      <c r="N18" s="6"/>
      <c r="O18" s="6"/>
      <c r="P18" s="6"/>
      <c r="Q18" s="6"/>
      <c r="R18" s="6"/>
    </row>
    <row r="19" spans="1:18" x14ac:dyDescent="0.2">
      <c r="A19" s="6"/>
      <c r="B19" s="6" t="s">
        <v>58</v>
      </c>
      <c r="C19" s="8" t="s">
        <v>44</v>
      </c>
      <c r="D19" s="14">
        <v>117</v>
      </c>
      <c r="E19" s="14">
        <v>43</v>
      </c>
      <c r="F19" s="14"/>
      <c r="G19" s="14"/>
      <c r="H19" s="14"/>
      <c r="I19" s="16"/>
      <c r="J19" s="16"/>
      <c r="K19" s="13" t="s">
        <v>413</v>
      </c>
      <c r="L19" s="13"/>
      <c r="M19" s="13" t="s">
        <v>49</v>
      </c>
      <c r="N19" s="6"/>
      <c r="O19" s="6"/>
      <c r="P19" s="6"/>
      <c r="Q19" s="6"/>
      <c r="R19" s="6"/>
    </row>
    <row r="20" spans="1:18" x14ac:dyDescent="0.2">
      <c r="A20" s="6"/>
      <c r="B20" s="6" t="s">
        <v>59</v>
      </c>
      <c r="C20" s="8" t="s">
        <v>43</v>
      </c>
      <c r="D20" s="14"/>
      <c r="E20" s="14">
        <v>62</v>
      </c>
      <c r="F20" s="14"/>
      <c r="G20" s="14"/>
      <c r="H20" s="14"/>
      <c r="I20" s="16"/>
      <c r="J20" s="16"/>
      <c r="K20" s="13" t="s">
        <v>413</v>
      </c>
      <c r="L20" s="13"/>
      <c r="M20" s="13" t="s">
        <v>49</v>
      </c>
      <c r="N20" s="6"/>
      <c r="O20" s="6"/>
      <c r="P20" s="6"/>
      <c r="Q20" s="6"/>
      <c r="R20" s="6"/>
    </row>
    <row r="21" spans="1:18" x14ac:dyDescent="0.2">
      <c r="A21" s="6"/>
      <c r="B21" s="6" t="s">
        <v>436</v>
      </c>
      <c r="C21" s="8" t="s">
        <v>51</v>
      </c>
      <c r="D21" s="14">
        <v>103.57</v>
      </c>
      <c r="E21" s="14">
        <v>53.55</v>
      </c>
      <c r="F21" s="14">
        <v>16.489999999999998</v>
      </c>
      <c r="G21" s="14">
        <v>24.15</v>
      </c>
      <c r="H21" s="14">
        <v>20.73</v>
      </c>
      <c r="I21" s="16">
        <f>F21/G21</f>
        <v>0.68281573498964798</v>
      </c>
      <c r="J21" s="16">
        <f>F21/H21</f>
        <v>0.79546550892426426</v>
      </c>
      <c r="K21" s="13" t="s">
        <v>413</v>
      </c>
      <c r="L21" s="13"/>
      <c r="M21" s="13" t="s">
        <v>47</v>
      </c>
      <c r="N21" s="6"/>
      <c r="O21" s="6"/>
      <c r="P21" s="6"/>
      <c r="Q21" s="6"/>
      <c r="R21" s="6"/>
    </row>
    <row r="22" spans="1:18" x14ac:dyDescent="0.2">
      <c r="A22" s="6"/>
      <c r="B22" s="6" t="s">
        <v>89</v>
      </c>
      <c r="C22" s="8" t="s">
        <v>88</v>
      </c>
      <c r="D22" s="14">
        <v>103.58</v>
      </c>
      <c r="E22" s="14" t="s">
        <v>90</v>
      </c>
      <c r="F22" s="14">
        <v>21.97</v>
      </c>
      <c r="G22" s="14">
        <v>26.16</v>
      </c>
      <c r="H22" s="14">
        <v>15.91</v>
      </c>
      <c r="I22" s="16">
        <f>F22/G22</f>
        <v>0.83983180428134552</v>
      </c>
      <c r="J22" s="16">
        <f>F22/H22</f>
        <v>1.3808925204274041</v>
      </c>
      <c r="K22" s="13" t="s">
        <v>414</v>
      </c>
      <c r="L22" s="13"/>
      <c r="M22" s="13" t="s">
        <v>132</v>
      </c>
      <c r="N22" s="6"/>
      <c r="Q22" s="6"/>
      <c r="R22" s="6"/>
    </row>
    <row r="23" spans="1:18" x14ac:dyDescent="0.2">
      <c r="A23" s="6"/>
      <c r="B23" s="6" t="s">
        <v>2</v>
      </c>
      <c r="C23" s="6" t="s">
        <v>0</v>
      </c>
      <c r="D23" s="14">
        <v>141.26</v>
      </c>
      <c r="E23" s="14">
        <v>70.150000000000006</v>
      </c>
      <c r="F23" s="14"/>
      <c r="G23" s="14"/>
      <c r="H23" s="14"/>
      <c r="I23" s="16"/>
      <c r="J23" s="16"/>
      <c r="K23" s="13" t="s">
        <v>403</v>
      </c>
      <c r="L23" s="13"/>
      <c r="M23" s="13" t="s">
        <v>48</v>
      </c>
      <c r="N23" s="6"/>
      <c r="O23" s="6"/>
      <c r="P23" s="6"/>
      <c r="Q23" s="6"/>
      <c r="R23" s="6"/>
    </row>
    <row r="24" spans="1:18" x14ac:dyDescent="0.2">
      <c r="A24" s="6"/>
      <c r="B24" s="6" t="s">
        <v>3</v>
      </c>
      <c r="C24" s="6" t="s">
        <v>0</v>
      </c>
      <c r="D24" s="14">
        <v>168.4</v>
      </c>
      <c r="E24" s="14"/>
      <c r="F24" s="14"/>
      <c r="G24" s="14"/>
      <c r="H24" s="14"/>
      <c r="I24" s="16"/>
      <c r="J24" s="16"/>
      <c r="K24" s="13" t="s">
        <v>403</v>
      </c>
      <c r="L24" s="13"/>
      <c r="M24" s="13" t="s">
        <v>48</v>
      </c>
      <c r="N24" s="6"/>
      <c r="O24" s="6"/>
      <c r="P24" s="6"/>
      <c r="Q24" s="6"/>
      <c r="R24" s="6"/>
    </row>
    <row r="25" spans="1:18" x14ac:dyDescent="0.2">
      <c r="A25" s="6"/>
      <c r="B25" s="6" t="s">
        <v>91</v>
      </c>
      <c r="C25" s="8" t="s">
        <v>41</v>
      </c>
      <c r="D25" s="14" t="s">
        <v>151</v>
      </c>
      <c r="E25" s="14"/>
      <c r="F25" s="14"/>
      <c r="G25" s="14"/>
      <c r="H25" s="14"/>
      <c r="I25" s="16"/>
      <c r="J25" s="16"/>
      <c r="K25" s="13" t="s">
        <v>405</v>
      </c>
      <c r="L25" s="13" t="s">
        <v>153</v>
      </c>
      <c r="M25" s="13" t="s">
        <v>52</v>
      </c>
      <c r="N25" s="6"/>
      <c r="O25" s="6"/>
      <c r="P25" s="6"/>
      <c r="Q25" s="6"/>
      <c r="R25" s="6"/>
    </row>
    <row r="26" spans="1:18" ht="45" x14ac:dyDescent="0.2">
      <c r="A26" s="6"/>
      <c r="B26" s="6" t="s">
        <v>570</v>
      </c>
      <c r="C26" s="8" t="s">
        <v>41</v>
      </c>
      <c r="D26" s="18"/>
      <c r="E26" s="18"/>
      <c r="F26" s="18"/>
      <c r="G26" s="18"/>
      <c r="H26" s="18"/>
      <c r="I26" s="16">
        <v>1.1283226397800183</v>
      </c>
      <c r="J26" s="16">
        <v>1.429732868757259</v>
      </c>
      <c r="K26" s="13" t="s">
        <v>405</v>
      </c>
      <c r="L26" s="13" t="s">
        <v>412</v>
      </c>
      <c r="M26" s="13" t="s">
        <v>144</v>
      </c>
      <c r="N26" s="6"/>
      <c r="O26" s="6"/>
      <c r="P26" s="6"/>
      <c r="Q26" s="6"/>
      <c r="R26" s="6"/>
    </row>
    <row r="27" spans="1:18" x14ac:dyDescent="0.2">
      <c r="B27" s="6" t="s">
        <v>286</v>
      </c>
      <c r="C27" s="8" t="s">
        <v>41</v>
      </c>
      <c r="D27" s="14">
        <v>206.65</v>
      </c>
      <c r="E27" s="14">
        <v>109</v>
      </c>
      <c r="F27" s="14">
        <v>43.51</v>
      </c>
      <c r="G27" s="14">
        <v>38.659999999999997</v>
      </c>
      <c r="H27" s="14">
        <v>27.66</v>
      </c>
      <c r="I27" s="16">
        <f>F27/G27</f>
        <v>1.1254526642524574</v>
      </c>
      <c r="J27" s="16">
        <f t="shared" ref="J27" si="0">F27/H27</f>
        <v>1.5730296456977584</v>
      </c>
      <c r="K27" s="13" t="s">
        <v>405</v>
      </c>
      <c r="L27" s="29"/>
      <c r="M27" s="13" t="s">
        <v>47</v>
      </c>
      <c r="O27" s="6"/>
      <c r="P27" s="6"/>
      <c r="Q27" s="6"/>
      <c r="R27" s="6"/>
    </row>
    <row r="28" spans="1:18" x14ac:dyDescent="0.2">
      <c r="B28" s="6" t="s">
        <v>140</v>
      </c>
      <c r="C28" s="8" t="s">
        <v>105</v>
      </c>
      <c r="D28" s="14"/>
      <c r="E28" s="14">
        <v>100</v>
      </c>
      <c r="F28" s="14"/>
      <c r="G28" s="14"/>
      <c r="H28" s="14">
        <v>21.5</v>
      </c>
      <c r="I28" s="14"/>
      <c r="J28" s="14"/>
      <c r="K28" s="13" t="s">
        <v>406</v>
      </c>
      <c r="L28" s="29"/>
      <c r="M28" s="13" t="s">
        <v>137</v>
      </c>
      <c r="O28" s="6"/>
      <c r="P28" s="6"/>
      <c r="Q28" s="6"/>
      <c r="R28" s="6"/>
    </row>
    <row r="29" spans="1:18" x14ac:dyDescent="0.2">
      <c r="B29" s="6" t="s">
        <v>141</v>
      </c>
      <c r="C29" s="8" t="s">
        <v>105</v>
      </c>
      <c r="D29" s="14"/>
      <c r="E29" s="14">
        <v>88</v>
      </c>
      <c r="F29" s="14"/>
      <c r="G29" s="14"/>
      <c r="H29" s="14">
        <v>19</v>
      </c>
      <c r="I29" s="14"/>
      <c r="J29" s="14"/>
      <c r="K29" s="13" t="s">
        <v>406</v>
      </c>
      <c r="L29" s="29"/>
      <c r="M29" s="13" t="s">
        <v>137</v>
      </c>
      <c r="O29" s="6"/>
      <c r="P29" s="6"/>
      <c r="Q29" s="6"/>
      <c r="R29" s="6"/>
    </row>
    <row r="30" spans="1:18" x14ac:dyDescent="0.2">
      <c r="B30" s="6" t="s">
        <v>142</v>
      </c>
      <c r="C30" s="8" t="s">
        <v>105</v>
      </c>
      <c r="D30" s="14">
        <v>194</v>
      </c>
      <c r="E30" s="14">
        <v>87</v>
      </c>
      <c r="F30" s="14">
        <v>30.11</v>
      </c>
      <c r="G30" s="14"/>
      <c r="H30" s="14">
        <v>19</v>
      </c>
      <c r="I30" s="14"/>
      <c r="J30" s="14"/>
      <c r="K30" s="13" t="s">
        <v>406</v>
      </c>
      <c r="L30" s="29"/>
      <c r="M30" s="13" t="s">
        <v>137</v>
      </c>
      <c r="O30" s="6"/>
      <c r="P30" s="6"/>
      <c r="Q30" s="6"/>
      <c r="R30" s="6"/>
    </row>
    <row r="32" spans="1:18" s="29" customFormat="1" ht="75" x14ac:dyDescent="0.2">
      <c r="A32" s="28" t="s">
        <v>303</v>
      </c>
      <c r="B32" s="28" t="s">
        <v>111</v>
      </c>
      <c r="C32" s="28" t="s">
        <v>56</v>
      </c>
      <c r="D32" s="26" t="s">
        <v>282</v>
      </c>
      <c r="E32" s="26" t="s">
        <v>299</v>
      </c>
      <c r="F32" s="26" t="s">
        <v>300</v>
      </c>
      <c r="G32" s="26" t="s">
        <v>285</v>
      </c>
      <c r="H32" s="26" t="s">
        <v>283</v>
      </c>
      <c r="I32" s="26" t="s">
        <v>304</v>
      </c>
      <c r="J32" s="26" t="s">
        <v>301</v>
      </c>
      <c r="K32" s="26" t="s">
        <v>289</v>
      </c>
      <c r="L32" s="26" t="s">
        <v>287</v>
      </c>
      <c r="M32" s="26" t="s">
        <v>288</v>
      </c>
      <c r="N32" s="28" t="s">
        <v>400</v>
      </c>
      <c r="O32" s="28" t="s">
        <v>305</v>
      </c>
      <c r="P32" s="28" t="s">
        <v>53</v>
      </c>
    </row>
    <row r="33" spans="1:21" x14ac:dyDescent="0.2">
      <c r="A33" s="9"/>
      <c r="B33" s="6" t="s">
        <v>58</v>
      </c>
      <c r="C33" s="8" t="s">
        <v>44</v>
      </c>
      <c r="D33" s="14">
        <v>104</v>
      </c>
      <c r="E33" s="14">
        <v>40</v>
      </c>
      <c r="F33" s="14"/>
      <c r="G33" s="14"/>
      <c r="H33" s="14"/>
      <c r="I33" s="14"/>
      <c r="J33" s="14"/>
      <c r="K33" s="14"/>
      <c r="L33" s="14"/>
      <c r="M33" s="15"/>
      <c r="N33" s="13" t="s">
        <v>413</v>
      </c>
      <c r="O33" s="13"/>
      <c r="P33" s="13" t="s">
        <v>49</v>
      </c>
    </row>
    <row r="34" spans="1:21" x14ac:dyDescent="0.2">
      <c r="B34" s="6" t="s">
        <v>57</v>
      </c>
      <c r="C34" s="8" t="s">
        <v>42</v>
      </c>
      <c r="D34" s="14">
        <v>105</v>
      </c>
      <c r="E34" s="14">
        <v>43</v>
      </c>
      <c r="F34" s="15"/>
      <c r="G34" s="15"/>
      <c r="H34" s="15"/>
      <c r="I34" s="15"/>
      <c r="J34" s="15"/>
      <c r="K34" s="15"/>
      <c r="L34" s="15"/>
      <c r="M34" s="15"/>
      <c r="N34" s="13" t="s">
        <v>413</v>
      </c>
      <c r="O34" s="13"/>
      <c r="P34" s="13" t="s">
        <v>49</v>
      </c>
    </row>
    <row r="35" spans="1:21" ht="30" x14ac:dyDescent="0.2">
      <c r="A35" s="9"/>
      <c r="B35" s="6" t="s">
        <v>286</v>
      </c>
      <c r="C35" s="8" t="s">
        <v>41</v>
      </c>
      <c r="D35" s="14">
        <v>217.04</v>
      </c>
      <c r="E35" s="14">
        <v>75.849999999999994</v>
      </c>
      <c r="F35" s="14">
        <v>47.32</v>
      </c>
      <c r="G35" s="14">
        <v>90.69</v>
      </c>
      <c r="H35" s="14">
        <v>55.07</v>
      </c>
      <c r="I35" s="14">
        <v>115.4</v>
      </c>
      <c r="J35" s="14" t="s">
        <v>306</v>
      </c>
      <c r="K35" s="17">
        <f>E35/F35</f>
        <v>1.6029163144547758</v>
      </c>
      <c r="L35" s="16">
        <f>G35/H35</f>
        <v>1.6468131469039404</v>
      </c>
      <c r="M35" s="16">
        <f>G35/51.5</f>
        <v>1.7609708737864078</v>
      </c>
      <c r="N35" s="13" t="s">
        <v>405</v>
      </c>
      <c r="O35" s="13" t="s">
        <v>307</v>
      </c>
      <c r="P35" s="13" t="s">
        <v>47</v>
      </c>
    </row>
    <row r="37" spans="1:21" s="29" customFormat="1" ht="75" x14ac:dyDescent="0.2">
      <c r="A37" s="28" t="s">
        <v>308</v>
      </c>
      <c r="B37" s="28" t="s">
        <v>111</v>
      </c>
      <c r="C37" s="28" t="s">
        <v>56</v>
      </c>
      <c r="D37" s="26" t="s">
        <v>282</v>
      </c>
      <c r="E37" s="26" t="s">
        <v>299</v>
      </c>
      <c r="F37" s="26" t="s">
        <v>300</v>
      </c>
      <c r="G37" s="26" t="s">
        <v>285</v>
      </c>
      <c r="H37" s="26" t="s">
        <v>283</v>
      </c>
      <c r="I37" s="26" t="s">
        <v>304</v>
      </c>
      <c r="J37" s="26" t="s">
        <v>301</v>
      </c>
      <c r="K37" s="26" t="s">
        <v>289</v>
      </c>
      <c r="L37" s="26" t="s">
        <v>287</v>
      </c>
      <c r="M37" s="26" t="s">
        <v>288</v>
      </c>
      <c r="N37" s="28" t="s">
        <v>400</v>
      </c>
      <c r="O37" s="28" t="s">
        <v>305</v>
      </c>
      <c r="P37" s="28" t="s">
        <v>53</v>
      </c>
    </row>
    <row r="38" spans="1:21" x14ac:dyDescent="0.2">
      <c r="A38" s="9"/>
      <c r="B38" s="6" t="s">
        <v>286</v>
      </c>
      <c r="C38" s="8" t="s">
        <v>41</v>
      </c>
      <c r="D38" s="14">
        <v>204.55</v>
      </c>
      <c r="E38" s="14">
        <v>86.06</v>
      </c>
      <c r="F38" s="14">
        <v>55.91</v>
      </c>
      <c r="G38" s="14">
        <v>88.52</v>
      </c>
      <c r="H38" s="14">
        <v>59.03</v>
      </c>
      <c r="I38" s="14">
        <v>123.97</v>
      </c>
      <c r="J38" s="14">
        <v>50.86</v>
      </c>
      <c r="K38" s="16">
        <f>E38/F38</f>
        <v>1.5392595242353784</v>
      </c>
      <c r="L38" s="16">
        <f>G38/H38</f>
        <v>1.4995764865322716</v>
      </c>
      <c r="M38" s="16">
        <f>G38/J38</f>
        <v>1.740464018875344</v>
      </c>
      <c r="N38" s="13" t="s">
        <v>405</v>
      </c>
      <c r="O38" s="29"/>
      <c r="P38" s="13" t="s">
        <v>47</v>
      </c>
    </row>
    <row r="39" spans="1:21" ht="45" x14ac:dyDescent="0.2">
      <c r="B39" s="6" t="s">
        <v>323</v>
      </c>
      <c r="C39" s="8" t="s">
        <v>105</v>
      </c>
      <c r="D39" s="14">
        <v>194</v>
      </c>
      <c r="E39" s="14" t="s">
        <v>325</v>
      </c>
      <c r="F39" s="14"/>
      <c r="G39" s="14">
        <v>89</v>
      </c>
      <c r="H39" s="14" t="s">
        <v>326</v>
      </c>
      <c r="I39" s="15"/>
      <c r="J39" s="15"/>
      <c r="K39" s="15"/>
      <c r="L39" s="15"/>
      <c r="M39" s="15"/>
      <c r="N39" s="13" t="s">
        <v>406</v>
      </c>
      <c r="O39" s="13" t="s">
        <v>327</v>
      </c>
      <c r="P39" s="13" t="s">
        <v>137</v>
      </c>
    </row>
    <row r="41" spans="1:21" s="29" customFormat="1" ht="75" x14ac:dyDescent="0.2">
      <c r="A41" s="28" t="s">
        <v>147</v>
      </c>
      <c r="B41" s="28" t="s">
        <v>111</v>
      </c>
      <c r="C41" s="28" t="s">
        <v>56</v>
      </c>
      <c r="D41" s="26" t="s">
        <v>282</v>
      </c>
      <c r="E41" s="26" t="s">
        <v>284</v>
      </c>
      <c r="F41" s="26" t="s">
        <v>285</v>
      </c>
      <c r="G41" s="26" t="s">
        <v>283</v>
      </c>
      <c r="H41" s="26" t="s">
        <v>278</v>
      </c>
      <c r="I41" s="26" t="s">
        <v>301</v>
      </c>
      <c r="J41" s="26" t="s">
        <v>287</v>
      </c>
      <c r="K41" s="26" t="s">
        <v>288</v>
      </c>
      <c r="L41" s="26" t="s">
        <v>400</v>
      </c>
      <c r="M41" s="28" t="s">
        <v>112</v>
      </c>
      <c r="N41" s="28" t="s">
        <v>53</v>
      </c>
      <c r="R41" s="36"/>
      <c r="S41" s="36"/>
      <c r="T41" s="36"/>
      <c r="U41" s="36"/>
    </row>
    <row r="42" spans="1:21" ht="45" x14ac:dyDescent="0.2">
      <c r="B42" s="9" t="s">
        <v>290</v>
      </c>
      <c r="C42" s="19" t="s">
        <v>280</v>
      </c>
      <c r="D42" s="14" t="s">
        <v>281</v>
      </c>
      <c r="E42" s="15"/>
      <c r="F42" s="14">
        <v>42.89</v>
      </c>
      <c r="G42" s="14">
        <v>23.81</v>
      </c>
      <c r="H42" s="14">
        <v>60.64</v>
      </c>
      <c r="I42" s="14">
        <v>32.92</v>
      </c>
      <c r="J42" s="16">
        <f>F42/G42</f>
        <v>1.8013439731205376</v>
      </c>
      <c r="K42" s="16">
        <f>F42/I42</f>
        <v>1.3028554070473874</v>
      </c>
      <c r="L42" s="13" t="s">
        <v>411</v>
      </c>
      <c r="M42" s="13" t="s">
        <v>279</v>
      </c>
      <c r="N42" s="13" t="s">
        <v>47</v>
      </c>
      <c r="S42" s="6"/>
      <c r="T42" s="6"/>
      <c r="U42" s="12"/>
    </row>
    <row r="43" spans="1:21" x14ac:dyDescent="0.2">
      <c r="B43" s="6" t="s">
        <v>91</v>
      </c>
      <c r="C43" s="8" t="s">
        <v>41</v>
      </c>
      <c r="D43" s="14">
        <v>150</v>
      </c>
      <c r="E43" s="14"/>
      <c r="F43" s="14"/>
      <c r="G43" s="14"/>
      <c r="H43" s="14"/>
      <c r="I43" s="14"/>
      <c r="J43" s="16"/>
      <c r="K43" s="16"/>
      <c r="L43" s="13" t="s">
        <v>405</v>
      </c>
      <c r="M43" s="13"/>
      <c r="N43" s="13" t="s">
        <v>52</v>
      </c>
      <c r="R43" s="6"/>
      <c r="S43" s="6"/>
    </row>
    <row r="44" spans="1:21" x14ac:dyDescent="0.2">
      <c r="B44" s="6" t="s">
        <v>286</v>
      </c>
      <c r="C44" s="8" t="s">
        <v>41</v>
      </c>
      <c r="D44" s="14">
        <v>178.6</v>
      </c>
      <c r="E44" s="14">
        <v>78.69</v>
      </c>
      <c r="F44" s="14">
        <v>87.84</v>
      </c>
      <c r="G44" s="14">
        <v>54.82</v>
      </c>
      <c r="H44" s="14" t="s">
        <v>122</v>
      </c>
      <c r="I44" s="14">
        <v>63.28</v>
      </c>
      <c r="J44" s="16">
        <f t="shared" ref="J44" si="1">F44/G44</f>
        <v>1.6023349142648668</v>
      </c>
      <c r="K44" s="16">
        <f t="shared" ref="K44" si="2">F44/I44</f>
        <v>1.3881163084702908</v>
      </c>
      <c r="L44" s="13" t="s">
        <v>405</v>
      </c>
      <c r="M44" s="13"/>
      <c r="N44" s="13" t="s">
        <v>47</v>
      </c>
      <c r="Q44" s="6"/>
    </row>
    <row r="45" spans="1:21" ht="30" x14ac:dyDescent="0.2">
      <c r="B45" s="6" t="s">
        <v>148</v>
      </c>
      <c r="C45" s="8" t="s">
        <v>105</v>
      </c>
      <c r="D45" s="14">
        <v>175</v>
      </c>
      <c r="E45" s="14" t="s">
        <v>149</v>
      </c>
      <c r="F45" s="14" t="s">
        <v>150</v>
      </c>
      <c r="G45" s="14"/>
      <c r="H45" s="14"/>
      <c r="I45" s="14"/>
      <c r="J45" s="15"/>
      <c r="K45" s="15"/>
      <c r="L45" s="13" t="s">
        <v>94</v>
      </c>
      <c r="M45" s="13" t="s">
        <v>415</v>
      </c>
      <c r="N45" s="13" t="s">
        <v>137</v>
      </c>
      <c r="R45" s="6"/>
      <c r="S45" s="6"/>
    </row>
    <row r="47" spans="1:21" s="29" customFormat="1" ht="75" x14ac:dyDescent="0.2">
      <c r="A47" s="37" t="s">
        <v>309</v>
      </c>
      <c r="B47" s="28" t="s">
        <v>111</v>
      </c>
      <c r="C47" s="28" t="s">
        <v>56</v>
      </c>
      <c r="D47" s="26" t="s">
        <v>282</v>
      </c>
      <c r="E47" s="26" t="s">
        <v>299</v>
      </c>
      <c r="F47" s="26" t="s">
        <v>300</v>
      </c>
      <c r="G47" s="26" t="s">
        <v>285</v>
      </c>
      <c r="H47" s="26" t="s">
        <v>283</v>
      </c>
      <c r="I47" s="26" t="s">
        <v>304</v>
      </c>
      <c r="J47" s="26" t="s">
        <v>301</v>
      </c>
      <c r="K47" s="26" t="s">
        <v>289</v>
      </c>
      <c r="L47" s="26" t="s">
        <v>287</v>
      </c>
      <c r="M47" s="26" t="s">
        <v>288</v>
      </c>
      <c r="N47" s="28" t="s">
        <v>400</v>
      </c>
      <c r="O47" s="28" t="s">
        <v>112</v>
      </c>
      <c r="P47" s="28" t="s">
        <v>53</v>
      </c>
    </row>
    <row r="48" spans="1:21" x14ac:dyDescent="0.2">
      <c r="B48" s="6" t="s">
        <v>58</v>
      </c>
      <c r="C48" s="8" t="s">
        <v>44</v>
      </c>
      <c r="D48" s="14">
        <v>76</v>
      </c>
      <c r="E48" s="14">
        <v>42</v>
      </c>
      <c r="F48" s="14"/>
      <c r="G48" s="14"/>
      <c r="H48" s="14"/>
      <c r="I48" s="15"/>
      <c r="J48" s="15"/>
      <c r="K48" s="15"/>
      <c r="L48" s="15"/>
      <c r="M48" s="15"/>
      <c r="N48" s="13" t="s">
        <v>413</v>
      </c>
      <c r="O48" s="13"/>
      <c r="P48" s="13" t="s">
        <v>49</v>
      </c>
    </row>
    <row r="49" spans="1:23" x14ac:dyDescent="0.2">
      <c r="B49" s="6" t="s">
        <v>57</v>
      </c>
      <c r="C49" s="8" t="s">
        <v>42</v>
      </c>
      <c r="D49" s="14">
        <v>72</v>
      </c>
      <c r="E49" s="14">
        <v>41</v>
      </c>
      <c r="F49" s="15"/>
      <c r="G49" s="15"/>
      <c r="H49" s="15"/>
      <c r="I49" s="15"/>
      <c r="J49" s="15"/>
      <c r="K49" s="15"/>
      <c r="L49" s="15"/>
      <c r="M49" s="15"/>
      <c r="N49" s="13" t="s">
        <v>413</v>
      </c>
      <c r="O49" s="13"/>
      <c r="P49" s="13" t="s">
        <v>49</v>
      </c>
    </row>
    <row r="50" spans="1:23" ht="75" x14ac:dyDescent="0.2">
      <c r="A50" s="9"/>
      <c r="B50" s="6" t="s">
        <v>286</v>
      </c>
      <c r="C50" s="8" t="s">
        <v>41</v>
      </c>
      <c r="D50" s="14">
        <v>110.54</v>
      </c>
      <c r="E50" s="14">
        <v>82.7</v>
      </c>
      <c r="F50" s="14">
        <v>57.17</v>
      </c>
      <c r="G50" s="14">
        <v>81.209999999999994</v>
      </c>
      <c r="H50" s="14">
        <v>57.04</v>
      </c>
      <c r="I50" s="14" t="s">
        <v>310</v>
      </c>
      <c r="J50" s="14" t="s">
        <v>311</v>
      </c>
      <c r="K50" s="16">
        <f>E50/F50</f>
        <v>1.4465628826307504</v>
      </c>
      <c r="L50" s="16">
        <f>G50/H50</f>
        <v>1.4237377279102383</v>
      </c>
      <c r="M50" s="16">
        <f>G50/107</f>
        <v>0.75897196261682243</v>
      </c>
      <c r="N50" s="13" t="s">
        <v>405</v>
      </c>
      <c r="O50" s="13" t="s">
        <v>312</v>
      </c>
      <c r="P50" s="13" t="s">
        <v>47</v>
      </c>
    </row>
    <row r="52" spans="1:23" s="29" customFormat="1" ht="75" x14ac:dyDescent="0.2">
      <c r="A52" s="28" t="s">
        <v>55</v>
      </c>
      <c r="B52" s="28" t="s">
        <v>111</v>
      </c>
      <c r="C52" s="28" t="s">
        <v>56</v>
      </c>
      <c r="D52" s="26" t="s">
        <v>329</v>
      </c>
      <c r="E52" s="26" t="s">
        <v>299</v>
      </c>
      <c r="F52" s="26" t="s">
        <v>300</v>
      </c>
      <c r="G52" s="26" t="s">
        <v>285</v>
      </c>
      <c r="H52" s="26" t="s">
        <v>283</v>
      </c>
      <c r="I52" s="26" t="s">
        <v>278</v>
      </c>
      <c r="J52" s="26" t="s">
        <v>333</v>
      </c>
      <c r="K52" s="26" t="s">
        <v>301</v>
      </c>
      <c r="L52" s="26" t="s">
        <v>330</v>
      </c>
      <c r="M52" s="38" t="s">
        <v>289</v>
      </c>
      <c r="N52" s="38" t="s">
        <v>287</v>
      </c>
      <c r="O52" s="38" t="s">
        <v>288</v>
      </c>
      <c r="P52" s="28" t="s">
        <v>400</v>
      </c>
      <c r="Q52" s="28" t="s">
        <v>112</v>
      </c>
      <c r="R52" s="28" t="s">
        <v>53</v>
      </c>
      <c r="S52" s="36"/>
      <c r="T52" s="36"/>
      <c r="U52" s="36"/>
    </row>
    <row r="53" spans="1:23" ht="30" x14ac:dyDescent="0.2">
      <c r="B53" s="9" t="s">
        <v>290</v>
      </c>
      <c r="C53" s="19" t="s">
        <v>280</v>
      </c>
      <c r="D53" s="14">
        <v>41.37</v>
      </c>
      <c r="E53" s="14">
        <v>35.22</v>
      </c>
      <c r="F53" s="14">
        <v>28.6</v>
      </c>
      <c r="G53" s="14">
        <v>47.96</v>
      </c>
      <c r="H53" s="14">
        <v>22.5</v>
      </c>
      <c r="I53" s="14">
        <v>67.11</v>
      </c>
      <c r="J53" s="14">
        <v>18.87</v>
      </c>
      <c r="K53" s="14" t="s">
        <v>336</v>
      </c>
      <c r="L53" s="16">
        <f>D53/E53</f>
        <v>1.1746166950596251</v>
      </c>
      <c r="M53" s="16">
        <f>E53/F53</f>
        <v>1.2314685314685314</v>
      </c>
      <c r="N53" s="16">
        <f>G53/H53</f>
        <v>2.1315555555555554</v>
      </c>
      <c r="O53" s="16">
        <f>G53/44.56</f>
        <v>1.0763016157989227</v>
      </c>
      <c r="P53" s="13" t="s">
        <v>411</v>
      </c>
      <c r="Q53" s="13" t="s">
        <v>328</v>
      </c>
      <c r="R53" s="13" t="s">
        <v>47</v>
      </c>
      <c r="T53" s="6"/>
      <c r="U53" s="6"/>
    </row>
    <row r="54" spans="1:23" x14ac:dyDescent="0.2">
      <c r="B54" s="6" t="s">
        <v>58</v>
      </c>
      <c r="C54" s="8" t="s">
        <v>44</v>
      </c>
      <c r="D54" s="14">
        <v>48</v>
      </c>
      <c r="E54" s="14">
        <v>41.5</v>
      </c>
      <c r="F54" s="14"/>
      <c r="G54" s="14"/>
      <c r="H54" s="14"/>
      <c r="I54" s="14"/>
      <c r="K54" s="14"/>
      <c r="L54" s="16">
        <f>D54/E54</f>
        <v>1.1566265060240963</v>
      </c>
      <c r="M54" s="14"/>
      <c r="N54" s="15"/>
      <c r="O54" s="14"/>
      <c r="P54" s="13" t="s">
        <v>413</v>
      </c>
      <c r="Q54" s="29"/>
      <c r="R54" s="13" t="s">
        <v>49</v>
      </c>
      <c r="T54" s="6"/>
      <c r="U54" s="6"/>
    </row>
    <row r="55" spans="1:23" x14ac:dyDescent="0.2">
      <c r="B55" s="6" t="s">
        <v>57</v>
      </c>
      <c r="C55" s="8" t="s">
        <v>42</v>
      </c>
      <c r="D55" s="14">
        <v>48</v>
      </c>
      <c r="E55" s="14">
        <v>45</v>
      </c>
      <c r="F55" s="14"/>
      <c r="G55" s="14"/>
      <c r="H55" s="14"/>
      <c r="I55" s="14"/>
      <c r="K55" s="14"/>
      <c r="L55" s="16">
        <f>D55/E55</f>
        <v>1.0666666666666667</v>
      </c>
      <c r="M55" s="14"/>
      <c r="N55" s="15"/>
      <c r="O55" s="14"/>
      <c r="P55" s="13" t="s">
        <v>413</v>
      </c>
      <c r="Q55" s="29"/>
      <c r="R55" s="13" t="s">
        <v>49</v>
      </c>
      <c r="T55" s="6"/>
      <c r="U55" s="6"/>
    </row>
    <row r="56" spans="1:23" x14ac:dyDescent="0.2">
      <c r="B56" s="6" t="s">
        <v>91</v>
      </c>
      <c r="C56" s="8" t="s">
        <v>41</v>
      </c>
      <c r="D56" s="14">
        <v>90</v>
      </c>
      <c r="E56" s="14"/>
      <c r="F56" s="14"/>
      <c r="G56" s="14"/>
      <c r="H56" s="14"/>
      <c r="I56" s="14"/>
      <c r="K56" s="14"/>
      <c r="L56" s="16"/>
      <c r="M56" s="14"/>
      <c r="N56" s="15"/>
      <c r="O56" s="14"/>
      <c r="P56" s="13" t="s">
        <v>405</v>
      </c>
      <c r="Q56" s="13"/>
      <c r="R56" s="13" t="s">
        <v>52</v>
      </c>
      <c r="S56" s="6"/>
      <c r="T56" s="6"/>
      <c r="U56" s="6"/>
    </row>
    <row r="57" spans="1:23" ht="30" x14ac:dyDescent="0.2">
      <c r="B57" s="6" t="s">
        <v>286</v>
      </c>
      <c r="C57" s="8" t="s">
        <v>41</v>
      </c>
      <c r="D57" s="14">
        <v>77.28</v>
      </c>
      <c r="E57" s="14">
        <v>73.78</v>
      </c>
      <c r="F57" s="14">
        <v>54.49</v>
      </c>
      <c r="G57" s="14">
        <v>112.27</v>
      </c>
      <c r="H57" s="14">
        <v>50.5</v>
      </c>
      <c r="I57" s="14">
        <v>148.72</v>
      </c>
      <c r="J57" s="14" t="s">
        <v>334</v>
      </c>
      <c r="K57" s="14">
        <v>104.5</v>
      </c>
      <c r="L57" s="16">
        <f>D57/E57</f>
        <v>1.0474383301707779</v>
      </c>
      <c r="M57" s="16">
        <f>E57/F57</f>
        <v>1.3540099100752432</v>
      </c>
      <c r="N57" s="16">
        <f>G57/H57</f>
        <v>2.2231683168316829</v>
      </c>
      <c r="O57" s="16">
        <f>G57/K57</f>
        <v>1.074354066985646</v>
      </c>
      <c r="P57" s="13" t="s">
        <v>405</v>
      </c>
      <c r="Q57" s="13" t="s">
        <v>335</v>
      </c>
      <c r="R57" s="13" t="s">
        <v>47</v>
      </c>
      <c r="T57" s="6"/>
      <c r="U57" s="6"/>
    </row>
    <row r="58" spans="1:23" ht="75" x14ac:dyDescent="0.2">
      <c r="B58" s="6" t="s">
        <v>154</v>
      </c>
      <c r="C58" s="8" t="s">
        <v>105</v>
      </c>
      <c r="D58" s="14">
        <v>91</v>
      </c>
      <c r="E58" s="14">
        <v>77</v>
      </c>
      <c r="F58" s="14"/>
      <c r="G58" s="14">
        <v>77</v>
      </c>
      <c r="H58" s="14" t="s">
        <v>321</v>
      </c>
      <c r="I58" s="14"/>
      <c r="K58" s="14"/>
      <c r="L58" s="16">
        <f>D58/E58</f>
        <v>1.1818181818181819</v>
      </c>
      <c r="M58" s="14"/>
      <c r="N58" s="15"/>
      <c r="O58" s="14"/>
      <c r="P58" s="13" t="s">
        <v>406</v>
      </c>
      <c r="Q58" s="13" t="s">
        <v>324</v>
      </c>
      <c r="R58" s="13" t="s">
        <v>137</v>
      </c>
      <c r="T58" s="6"/>
      <c r="U58" s="6"/>
    </row>
    <row r="59" spans="1:23" x14ac:dyDescent="0.2">
      <c r="B59" s="6" t="s">
        <v>155</v>
      </c>
      <c r="C59" s="8" t="s">
        <v>105</v>
      </c>
      <c r="D59" s="14">
        <v>107</v>
      </c>
      <c r="E59" s="14">
        <v>76</v>
      </c>
      <c r="F59" s="14"/>
      <c r="G59" s="14">
        <v>75</v>
      </c>
      <c r="H59" s="15"/>
      <c r="I59" s="14"/>
      <c r="K59" s="14"/>
      <c r="L59" s="16">
        <f>D59/E59</f>
        <v>1.4078947368421053</v>
      </c>
      <c r="M59" s="14"/>
      <c r="N59" s="15"/>
      <c r="O59" s="14"/>
      <c r="P59" s="13" t="s">
        <v>406</v>
      </c>
      <c r="Q59" s="13"/>
      <c r="R59" s="13" t="s">
        <v>137</v>
      </c>
      <c r="T59" s="6"/>
      <c r="U59" s="6"/>
    </row>
    <row r="60" spans="1:23" ht="30" x14ac:dyDescent="0.2">
      <c r="B60" s="6" t="s">
        <v>156</v>
      </c>
      <c r="C60" s="8" t="s">
        <v>105</v>
      </c>
      <c r="D60" s="14">
        <v>102</v>
      </c>
      <c r="E60" s="14" t="s">
        <v>158</v>
      </c>
      <c r="F60" s="14"/>
      <c r="G60" s="14">
        <v>77</v>
      </c>
      <c r="H60" s="15"/>
      <c r="I60" s="14"/>
      <c r="K60" s="14"/>
      <c r="L60" s="16">
        <f>D60/79</f>
        <v>1.2911392405063291</v>
      </c>
      <c r="M60" s="14"/>
      <c r="N60" s="15"/>
      <c r="O60" s="14"/>
      <c r="P60" s="13" t="s">
        <v>406</v>
      </c>
      <c r="Q60" s="13" t="s">
        <v>415</v>
      </c>
      <c r="R60" s="13" t="s">
        <v>137</v>
      </c>
      <c r="T60" s="6"/>
      <c r="U60" s="6"/>
    </row>
    <row r="61" spans="1:23" ht="60" x14ac:dyDescent="0.2">
      <c r="B61" s="6" t="s">
        <v>157</v>
      </c>
      <c r="C61" s="8" t="s">
        <v>105</v>
      </c>
      <c r="D61" s="14">
        <v>109</v>
      </c>
      <c r="E61" s="14" t="s">
        <v>159</v>
      </c>
      <c r="F61" s="14"/>
      <c r="G61" s="14">
        <v>76</v>
      </c>
      <c r="H61" s="14" t="s">
        <v>322</v>
      </c>
      <c r="I61" s="14"/>
      <c r="K61" s="14"/>
      <c r="L61" s="16">
        <f>D61/73</f>
        <v>1.4931506849315068</v>
      </c>
      <c r="M61" s="14"/>
      <c r="N61" s="15"/>
      <c r="O61" s="14"/>
      <c r="P61" s="13" t="s">
        <v>406</v>
      </c>
      <c r="Q61" s="13" t="s">
        <v>319</v>
      </c>
      <c r="R61" s="13" t="s">
        <v>137</v>
      </c>
      <c r="T61" s="6"/>
      <c r="U61" s="6"/>
    </row>
    <row r="62" spans="1:23" x14ac:dyDescent="0.2">
      <c r="K62" s="6"/>
    </row>
    <row r="63" spans="1:23" s="29" customFormat="1" ht="75" x14ac:dyDescent="0.2">
      <c r="A63" s="28" t="s">
        <v>152</v>
      </c>
      <c r="B63" s="28" t="s">
        <v>111</v>
      </c>
      <c r="C63" s="28" t="s">
        <v>56</v>
      </c>
      <c r="D63" s="26" t="s">
        <v>329</v>
      </c>
      <c r="E63" s="26" t="s">
        <v>299</v>
      </c>
      <c r="F63" s="26" t="s">
        <v>300</v>
      </c>
      <c r="G63" s="26" t="s">
        <v>285</v>
      </c>
      <c r="H63" s="26" t="s">
        <v>283</v>
      </c>
      <c r="I63" s="26" t="s">
        <v>278</v>
      </c>
      <c r="J63" s="26" t="s">
        <v>333</v>
      </c>
      <c r="K63" s="26" t="s">
        <v>301</v>
      </c>
      <c r="L63" s="26" t="s">
        <v>332</v>
      </c>
      <c r="M63" s="26" t="s">
        <v>330</v>
      </c>
      <c r="N63" s="38" t="s">
        <v>289</v>
      </c>
      <c r="O63" s="38" t="s">
        <v>287</v>
      </c>
      <c r="P63" s="38" t="s">
        <v>288</v>
      </c>
      <c r="Q63" s="26" t="s">
        <v>331</v>
      </c>
      <c r="R63" s="28" t="s">
        <v>400</v>
      </c>
      <c r="S63" s="28" t="s">
        <v>112</v>
      </c>
      <c r="T63" s="28" t="s">
        <v>53</v>
      </c>
      <c r="V63" s="36"/>
      <c r="W63" s="36"/>
    </row>
    <row r="64" spans="1:23" x14ac:dyDescent="0.2">
      <c r="B64" s="6" t="s">
        <v>57</v>
      </c>
      <c r="C64" s="8" t="s">
        <v>42</v>
      </c>
      <c r="D64" s="14">
        <v>38</v>
      </c>
      <c r="E64" s="14">
        <v>37</v>
      </c>
      <c r="G64" s="14"/>
      <c r="H64" s="14"/>
      <c r="I64" s="14"/>
      <c r="J64" s="6"/>
      <c r="K64" s="14"/>
      <c r="L64" s="14"/>
      <c r="M64" s="6"/>
      <c r="N64" s="14"/>
      <c r="O64" s="14"/>
      <c r="P64" s="14"/>
      <c r="Q64" s="10"/>
      <c r="R64" s="13" t="s">
        <v>413</v>
      </c>
      <c r="S64" s="29"/>
      <c r="T64" s="13" t="s">
        <v>49</v>
      </c>
      <c r="V64" s="6"/>
      <c r="W64" s="6"/>
    </row>
    <row r="65" spans="1:23" x14ac:dyDescent="0.2">
      <c r="B65" s="6" t="s">
        <v>91</v>
      </c>
      <c r="C65" s="8" t="s">
        <v>41</v>
      </c>
      <c r="D65" s="14">
        <v>80</v>
      </c>
      <c r="E65" s="14"/>
      <c r="F65" s="15"/>
      <c r="G65" s="14"/>
      <c r="H65" s="14"/>
      <c r="I65" s="14"/>
      <c r="J65" s="6"/>
      <c r="K65" s="14"/>
      <c r="L65" s="14"/>
      <c r="M65" s="6"/>
      <c r="N65" s="14"/>
      <c r="O65" s="14"/>
      <c r="P65" s="14"/>
      <c r="Q65" s="10"/>
      <c r="R65" s="13" t="s">
        <v>405</v>
      </c>
      <c r="S65" s="13"/>
      <c r="T65" s="13" t="s">
        <v>52</v>
      </c>
      <c r="V65" s="6"/>
      <c r="W65" s="6"/>
    </row>
    <row r="66" spans="1:23" ht="45" x14ac:dyDescent="0.2">
      <c r="B66" s="6" t="s">
        <v>286</v>
      </c>
      <c r="C66" s="8" t="s">
        <v>41</v>
      </c>
      <c r="D66" s="14">
        <v>59.05</v>
      </c>
      <c r="E66" s="14">
        <v>123.57</v>
      </c>
      <c r="F66" s="14">
        <v>45.07</v>
      </c>
      <c r="G66" s="14">
        <v>113.89</v>
      </c>
      <c r="H66" s="14">
        <v>50.19</v>
      </c>
      <c r="I66" s="14">
        <v>156.61000000000001</v>
      </c>
      <c r="J66" s="14">
        <v>37.04</v>
      </c>
      <c r="K66" s="14">
        <v>86.68</v>
      </c>
      <c r="L66" s="14" t="s">
        <v>302</v>
      </c>
      <c r="M66" s="16">
        <f>D66/E66</f>
        <v>0.47786679614793237</v>
      </c>
      <c r="N66" s="16">
        <f>E66/F66</f>
        <v>2.7417350787663635</v>
      </c>
      <c r="O66" s="16">
        <f>G66/H66</f>
        <v>2.2691771269177128</v>
      </c>
      <c r="P66" s="16">
        <f>G66/K66</f>
        <v>1.3139132441162897</v>
      </c>
      <c r="Q66" s="16">
        <f>G66/103.84</f>
        <v>1.0967835130970724</v>
      </c>
      <c r="R66" s="13" t="s">
        <v>405</v>
      </c>
      <c r="S66" s="13" t="s">
        <v>318</v>
      </c>
      <c r="T66" s="13" t="s">
        <v>47</v>
      </c>
      <c r="V66" s="6"/>
      <c r="W66" s="6"/>
    </row>
    <row r="67" spans="1:23" ht="45" x14ac:dyDescent="0.2">
      <c r="B67" s="6" t="s">
        <v>160</v>
      </c>
      <c r="C67" s="8" t="s">
        <v>105</v>
      </c>
      <c r="D67" s="14">
        <v>65</v>
      </c>
      <c r="E67" s="14">
        <v>68</v>
      </c>
      <c r="F67" s="15"/>
      <c r="G67" s="14">
        <v>61</v>
      </c>
      <c r="H67" s="14" t="s">
        <v>314</v>
      </c>
      <c r="I67" s="15"/>
      <c r="J67" s="6"/>
      <c r="K67" s="15"/>
      <c r="L67" s="15"/>
      <c r="N67" s="14"/>
      <c r="O67" s="14"/>
      <c r="P67" s="14"/>
      <c r="Q67" s="10"/>
      <c r="R67" s="13" t="s">
        <v>406</v>
      </c>
      <c r="S67" s="13" t="s">
        <v>320</v>
      </c>
      <c r="T67" s="13" t="s">
        <v>137</v>
      </c>
      <c r="W67" s="6"/>
    </row>
    <row r="68" spans="1:23" ht="45" x14ac:dyDescent="0.2">
      <c r="B68" s="6" t="s">
        <v>161</v>
      </c>
      <c r="C68" s="8" t="s">
        <v>105</v>
      </c>
      <c r="D68" s="14" t="s">
        <v>163</v>
      </c>
      <c r="E68" s="14">
        <v>80</v>
      </c>
      <c r="F68" s="15"/>
      <c r="G68" s="14" t="s">
        <v>164</v>
      </c>
      <c r="H68" s="14" t="s">
        <v>315</v>
      </c>
      <c r="I68" s="15"/>
      <c r="J68" s="6"/>
      <c r="K68" s="15"/>
      <c r="L68" s="15"/>
      <c r="N68" s="14"/>
      <c r="O68" s="14"/>
      <c r="P68" s="14"/>
      <c r="Q68" s="6"/>
      <c r="R68" s="13" t="s">
        <v>406</v>
      </c>
      <c r="S68" s="13" t="s">
        <v>319</v>
      </c>
      <c r="T68" s="13" t="s">
        <v>137</v>
      </c>
      <c r="W68" s="6"/>
    </row>
    <row r="69" spans="1:23" ht="45" x14ac:dyDescent="0.2">
      <c r="A69" s="6"/>
      <c r="B69" s="6" t="s">
        <v>162</v>
      </c>
      <c r="C69" s="8" t="s">
        <v>105</v>
      </c>
      <c r="D69" s="14" t="s">
        <v>165</v>
      </c>
      <c r="E69" s="14">
        <v>67</v>
      </c>
      <c r="F69" s="15"/>
      <c r="G69" s="14">
        <v>71.5</v>
      </c>
      <c r="H69" s="14" t="s">
        <v>316</v>
      </c>
      <c r="I69" s="15"/>
      <c r="J69" s="6"/>
      <c r="K69" s="15"/>
      <c r="L69" s="15"/>
      <c r="N69" s="14"/>
      <c r="O69" s="14"/>
      <c r="P69" s="14"/>
      <c r="Q69" s="6"/>
      <c r="R69" s="13" t="s">
        <v>406</v>
      </c>
      <c r="S69" s="13" t="s">
        <v>320</v>
      </c>
      <c r="T69" s="13" t="s">
        <v>137</v>
      </c>
      <c r="W69" s="6"/>
    </row>
    <row r="70" spans="1:23" ht="45" x14ac:dyDescent="0.2">
      <c r="A70" s="9"/>
      <c r="B70" s="6" t="s">
        <v>166</v>
      </c>
      <c r="C70" s="8" t="s">
        <v>105</v>
      </c>
      <c r="D70" s="14">
        <v>72</v>
      </c>
      <c r="E70" s="14">
        <v>77</v>
      </c>
      <c r="F70" s="15"/>
      <c r="G70" s="14">
        <v>63</v>
      </c>
      <c r="H70" s="14" t="s">
        <v>317</v>
      </c>
      <c r="I70" s="15"/>
      <c r="J70" s="6"/>
      <c r="K70" s="15"/>
      <c r="L70" s="15"/>
      <c r="N70" s="14"/>
      <c r="O70" s="14"/>
      <c r="P70" s="14"/>
      <c r="Q70" s="6"/>
      <c r="R70" s="13" t="s">
        <v>406</v>
      </c>
      <c r="S70" s="13" t="s">
        <v>320</v>
      </c>
      <c r="T70" s="13" t="s">
        <v>137</v>
      </c>
      <c r="W70" s="6"/>
    </row>
    <row r="72" spans="1:23" s="29" customFormat="1" ht="75" x14ac:dyDescent="0.2">
      <c r="A72" s="37" t="s">
        <v>313</v>
      </c>
      <c r="B72" s="28" t="s">
        <v>111</v>
      </c>
      <c r="C72" s="28" t="s">
        <v>56</v>
      </c>
      <c r="D72" s="26" t="s">
        <v>282</v>
      </c>
      <c r="E72" s="26" t="s">
        <v>299</v>
      </c>
      <c r="F72" s="26" t="s">
        <v>300</v>
      </c>
      <c r="G72" s="26" t="s">
        <v>285</v>
      </c>
      <c r="H72" s="26" t="s">
        <v>283</v>
      </c>
      <c r="I72" s="26" t="s">
        <v>304</v>
      </c>
      <c r="J72" s="26" t="s">
        <v>333</v>
      </c>
      <c r="K72" s="26" t="s">
        <v>301</v>
      </c>
      <c r="L72" s="26" t="s">
        <v>332</v>
      </c>
      <c r="M72" s="26" t="s">
        <v>330</v>
      </c>
      <c r="N72" s="26" t="s">
        <v>289</v>
      </c>
      <c r="O72" s="26" t="s">
        <v>287</v>
      </c>
      <c r="P72" s="26" t="s">
        <v>288</v>
      </c>
      <c r="Q72" s="26" t="s">
        <v>331</v>
      </c>
      <c r="R72" s="28" t="s">
        <v>400</v>
      </c>
      <c r="S72" s="28" t="s">
        <v>53</v>
      </c>
    </row>
    <row r="73" spans="1:23" x14ac:dyDescent="0.2">
      <c r="B73" s="9" t="s">
        <v>290</v>
      </c>
      <c r="C73" s="19" t="s">
        <v>280</v>
      </c>
      <c r="D73" s="14">
        <v>28.16</v>
      </c>
      <c r="E73" s="14">
        <v>46.8</v>
      </c>
      <c r="F73" s="14">
        <v>21.68</v>
      </c>
      <c r="G73" s="14">
        <v>43.83</v>
      </c>
      <c r="H73" s="14">
        <v>20.93</v>
      </c>
      <c r="I73" s="14">
        <v>64.66</v>
      </c>
      <c r="J73" s="14">
        <v>28.09</v>
      </c>
      <c r="K73" s="14"/>
      <c r="L73" s="14" t="s">
        <v>337</v>
      </c>
      <c r="M73" s="16">
        <f>D73/E73</f>
        <v>0.60170940170940179</v>
      </c>
      <c r="N73" s="16">
        <f>E73/F73</f>
        <v>2.158671586715867</v>
      </c>
      <c r="O73" s="16">
        <f>G73/H73</f>
        <v>2.0941232680363115</v>
      </c>
      <c r="P73" s="14"/>
      <c r="Q73" s="10">
        <f>G73/40.52</f>
        <v>1.0816880552813424</v>
      </c>
      <c r="R73" s="13" t="s">
        <v>411</v>
      </c>
      <c r="S73" s="6" t="s">
        <v>47</v>
      </c>
      <c r="V73" s="6"/>
      <c r="W73" s="6"/>
    </row>
    <row r="74" spans="1:23" x14ac:dyDescent="0.2">
      <c r="B74" s="6" t="s">
        <v>57</v>
      </c>
      <c r="C74" s="8" t="s">
        <v>42</v>
      </c>
      <c r="D74" s="14">
        <v>35</v>
      </c>
      <c r="E74" s="14">
        <v>34</v>
      </c>
      <c r="F74" s="15"/>
      <c r="G74" s="15"/>
      <c r="H74" s="15"/>
      <c r="I74" s="15"/>
      <c r="J74" s="6"/>
      <c r="K74" s="15"/>
      <c r="L74" s="15"/>
      <c r="M74" s="15"/>
      <c r="N74" s="15"/>
      <c r="O74" s="15"/>
      <c r="P74" s="15"/>
      <c r="Q74" s="6"/>
      <c r="R74" s="13" t="s">
        <v>413</v>
      </c>
      <c r="S74" s="6" t="s">
        <v>49</v>
      </c>
    </row>
    <row r="75" spans="1:23" x14ac:dyDescent="0.2">
      <c r="B75" s="6" t="s">
        <v>286</v>
      </c>
      <c r="C75" s="8" t="s">
        <v>41</v>
      </c>
      <c r="D75" s="14">
        <v>67.010000000000005</v>
      </c>
      <c r="E75" s="14">
        <v>107.12</v>
      </c>
      <c r="F75" s="14">
        <v>45.37</v>
      </c>
      <c r="G75" s="14">
        <v>111.83</v>
      </c>
      <c r="H75" s="14">
        <v>46.28</v>
      </c>
      <c r="I75" s="14">
        <v>141.53</v>
      </c>
      <c r="J75" s="14">
        <v>55.17</v>
      </c>
      <c r="K75" s="14">
        <v>55.82</v>
      </c>
      <c r="L75" s="14">
        <v>86.94</v>
      </c>
      <c r="M75" s="16">
        <f>D75/E75</f>
        <v>0.6255601194921584</v>
      </c>
      <c r="N75" s="16">
        <f>E75/F75</f>
        <v>2.361031518624642</v>
      </c>
      <c r="O75" s="16">
        <f>G75/H75</f>
        <v>2.4163785652549699</v>
      </c>
      <c r="P75" s="16">
        <f>G75/K75</f>
        <v>2.0034037979218917</v>
      </c>
      <c r="Q75" s="10">
        <f>G75/L75</f>
        <v>1.2862893949850471</v>
      </c>
      <c r="R75" s="13" t="s">
        <v>405</v>
      </c>
      <c r="S75" s="6" t="s">
        <v>47</v>
      </c>
    </row>
    <row r="76" spans="1:23" x14ac:dyDescent="0.2">
      <c r="M76" s="15"/>
    </row>
    <row r="86" spans="10:16" x14ac:dyDescent="0.2">
      <c r="J86" s="6"/>
      <c r="P86" s="6"/>
    </row>
    <row r="87" spans="10:16" x14ac:dyDescent="0.2">
      <c r="P87" s="6"/>
    </row>
    <row r="88" spans="10:16" x14ac:dyDescent="0.2">
      <c r="P88" s="6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D8929-E8D2-5F4A-B192-CB79CE2397E4}">
  <dimension ref="A1:W21"/>
  <sheetViews>
    <sheetView workbookViewId="0">
      <selection activeCell="S15" sqref="S15"/>
    </sheetView>
  </sheetViews>
  <sheetFormatPr baseColWidth="10" defaultRowHeight="14" x14ac:dyDescent="0.15"/>
  <cols>
    <col min="1" max="1" width="26.5" style="6" customWidth="1"/>
    <col min="2" max="2" width="30" style="6" customWidth="1"/>
    <col min="3" max="3" width="19" style="6" customWidth="1"/>
    <col min="4" max="4" width="18.1640625" style="6" customWidth="1"/>
    <col min="5" max="5" width="18" style="6" customWidth="1"/>
    <col min="6" max="6" width="18.5" style="6" customWidth="1"/>
    <col min="7" max="7" width="22" style="6" customWidth="1"/>
    <col min="8" max="9" width="18.83203125" style="6" customWidth="1"/>
    <col min="10" max="10" width="15.5" style="6" customWidth="1"/>
    <col min="11" max="11" width="15.6640625" style="6" customWidth="1"/>
    <col min="12" max="12" width="16.6640625" style="6" customWidth="1"/>
    <col min="13" max="13" width="16.5" style="6" customWidth="1"/>
    <col min="14" max="14" width="16" style="6" customWidth="1"/>
    <col min="15" max="15" width="11.6640625" style="6" customWidth="1"/>
    <col min="16" max="16" width="11.6640625" style="6" bestFit="1" customWidth="1"/>
    <col min="17" max="17" width="30.1640625" style="6" customWidth="1"/>
    <col min="18" max="18" width="57.33203125" style="6" customWidth="1"/>
    <col min="19" max="19" width="46" style="6" customWidth="1"/>
    <col min="20" max="16384" width="10.83203125" style="6"/>
  </cols>
  <sheetData>
    <row r="1" spans="1:23" s="5" customFormat="1" ht="17" thickBot="1" x14ac:dyDescent="0.25">
      <c r="A1" s="4" t="s">
        <v>416</v>
      </c>
      <c r="B1" s="2"/>
      <c r="C1" s="2"/>
      <c r="D1" s="2"/>
      <c r="E1" s="2"/>
      <c r="F1" s="2"/>
      <c r="G1" s="2"/>
      <c r="H1" s="2"/>
      <c r="I1" s="2"/>
      <c r="J1" s="2"/>
    </row>
    <row r="2" spans="1:23" ht="17" thickTop="1" x14ac:dyDescent="0.2">
      <c r="B2" s="3"/>
      <c r="C2" s="3"/>
      <c r="D2" s="3"/>
      <c r="E2" s="3"/>
      <c r="F2" s="3"/>
      <c r="G2" s="3"/>
      <c r="H2" s="3"/>
      <c r="I2" s="3"/>
      <c r="J2" s="3"/>
    </row>
    <row r="3" spans="1:23" s="13" customFormat="1" ht="75" x14ac:dyDescent="0.2">
      <c r="A3" s="28" t="s">
        <v>111</v>
      </c>
      <c r="B3" s="28" t="s">
        <v>40</v>
      </c>
      <c r="C3" s="26" t="s">
        <v>113</v>
      </c>
      <c r="D3" s="26" t="s">
        <v>102</v>
      </c>
      <c r="E3" s="26" t="s">
        <v>371</v>
      </c>
      <c r="F3" s="26" t="s">
        <v>372</v>
      </c>
      <c r="G3" s="26" t="s">
        <v>373</v>
      </c>
      <c r="H3" s="26" t="s">
        <v>374</v>
      </c>
      <c r="I3" s="26" t="s">
        <v>375</v>
      </c>
      <c r="J3" s="26" t="s">
        <v>376</v>
      </c>
      <c r="K3" s="26" t="s">
        <v>377</v>
      </c>
      <c r="L3" s="26" t="s">
        <v>378</v>
      </c>
      <c r="M3" s="26" t="s">
        <v>379</v>
      </c>
      <c r="N3" s="26" t="s">
        <v>104</v>
      </c>
      <c r="O3" s="26" t="s">
        <v>101</v>
      </c>
      <c r="P3" s="26" t="s">
        <v>103</v>
      </c>
      <c r="Q3" s="28" t="s">
        <v>400</v>
      </c>
      <c r="R3" s="28" t="s">
        <v>112</v>
      </c>
      <c r="S3" s="28" t="s">
        <v>53</v>
      </c>
    </row>
    <row r="4" spans="1:23" ht="30" x14ac:dyDescent="0.15">
      <c r="A4" s="9" t="s">
        <v>290</v>
      </c>
      <c r="B4" s="8" t="s">
        <v>356</v>
      </c>
      <c r="C4" s="14" t="s">
        <v>458</v>
      </c>
      <c r="D4" s="14">
        <v>53.28</v>
      </c>
      <c r="E4" s="14" t="s">
        <v>128</v>
      </c>
      <c r="F4" s="14">
        <v>24.06</v>
      </c>
      <c r="G4" s="14">
        <v>24.32</v>
      </c>
      <c r="H4" s="14">
        <v>16.829999999999998</v>
      </c>
      <c r="I4" s="14">
        <v>27.15</v>
      </c>
      <c r="J4" s="14">
        <v>28.63</v>
      </c>
      <c r="K4" s="14" t="s">
        <v>115</v>
      </c>
      <c r="L4" s="14">
        <v>20.77</v>
      </c>
      <c r="M4" s="14" t="s">
        <v>114</v>
      </c>
      <c r="N4" s="14">
        <v>89.52</v>
      </c>
      <c r="O4" s="16" t="s">
        <v>129</v>
      </c>
      <c r="P4" s="16" t="s">
        <v>130</v>
      </c>
      <c r="Q4" s="13" t="s">
        <v>411</v>
      </c>
      <c r="R4" s="13" t="s">
        <v>457</v>
      </c>
      <c r="S4" s="13" t="s">
        <v>54</v>
      </c>
    </row>
    <row r="5" spans="1:23" ht="15" x14ac:dyDescent="0.15">
      <c r="A5" s="6" t="s">
        <v>542</v>
      </c>
      <c r="B5" s="8" t="s">
        <v>529</v>
      </c>
      <c r="C5" s="14"/>
      <c r="D5" s="14"/>
      <c r="E5" s="14"/>
      <c r="F5" s="14"/>
      <c r="G5" s="16">
        <v>25.73</v>
      </c>
      <c r="H5" s="14">
        <v>19.489999999999998</v>
      </c>
      <c r="I5" s="14">
        <v>25.51</v>
      </c>
      <c r="J5" s="14">
        <v>33.64</v>
      </c>
      <c r="K5" s="14"/>
      <c r="L5" s="14"/>
      <c r="M5" s="14"/>
      <c r="N5" s="14"/>
      <c r="O5" s="16"/>
      <c r="P5" s="16"/>
      <c r="Q5" s="13" t="s">
        <v>424</v>
      </c>
      <c r="R5" s="13" t="s">
        <v>456</v>
      </c>
      <c r="S5" s="13" t="s">
        <v>47</v>
      </c>
    </row>
    <row r="6" spans="1:23" ht="30" x14ac:dyDescent="0.15">
      <c r="A6" s="6" t="s">
        <v>541</v>
      </c>
      <c r="B6" s="8" t="s">
        <v>528</v>
      </c>
      <c r="C6" s="14"/>
      <c r="D6" s="14"/>
      <c r="E6" s="14"/>
      <c r="F6" s="14"/>
      <c r="G6" s="14">
        <v>36.29</v>
      </c>
      <c r="H6" s="14">
        <v>19.59</v>
      </c>
      <c r="I6" s="14">
        <v>31.55</v>
      </c>
      <c r="J6" s="14">
        <v>37.46</v>
      </c>
      <c r="K6" s="14"/>
      <c r="L6" s="14"/>
      <c r="M6" s="14"/>
      <c r="N6" s="14"/>
      <c r="O6" s="16"/>
      <c r="P6" s="16"/>
      <c r="Q6" s="13" t="s">
        <v>423</v>
      </c>
      <c r="R6" s="13" t="s">
        <v>456</v>
      </c>
      <c r="S6" s="13" t="s">
        <v>47</v>
      </c>
    </row>
    <row r="7" spans="1:23" customFormat="1" ht="31" x14ac:dyDescent="0.2">
      <c r="A7" s="6" t="s">
        <v>540</v>
      </c>
      <c r="B7" s="8" t="s">
        <v>527</v>
      </c>
      <c r="C7" s="6"/>
      <c r="D7" s="14"/>
      <c r="E7" s="16"/>
      <c r="F7" s="14"/>
      <c r="G7" s="14">
        <v>31.57</v>
      </c>
      <c r="H7" s="14">
        <v>19.55</v>
      </c>
      <c r="I7" s="16">
        <v>30</v>
      </c>
      <c r="J7" s="14">
        <v>35.93</v>
      </c>
      <c r="K7" s="14"/>
      <c r="L7" s="16"/>
      <c r="M7" s="27"/>
      <c r="N7" s="14"/>
      <c r="O7" s="16"/>
      <c r="P7" s="16"/>
      <c r="Q7" s="13" t="s">
        <v>423</v>
      </c>
      <c r="R7" s="44" t="s">
        <v>543</v>
      </c>
      <c r="S7" s="13" t="s">
        <v>47</v>
      </c>
      <c r="T7" s="16"/>
      <c r="U7" s="6"/>
      <c r="V7" s="6"/>
      <c r="W7" s="6"/>
    </row>
    <row r="8" spans="1:23" ht="15" x14ac:dyDescent="0.15">
      <c r="A8" s="6" t="s">
        <v>455</v>
      </c>
      <c r="B8" s="8" t="s">
        <v>459</v>
      </c>
      <c r="C8" s="14"/>
      <c r="D8" s="14"/>
      <c r="E8" s="14"/>
      <c r="F8" s="14"/>
      <c r="G8" s="14">
        <v>38.51</v>
      </c>
      <c r="H8" s="14"/>
      <c r="I8" s="16">
        <v>39.1</v>
      </c>
      <c r="J8" s="14">
        <v>42.18</v>
      </c>
      <c r="K8" s="14"/>
      <c r="L8" s="14"/>
      <c r="M8" s="14"/>
      <c r="N8" s="14"/>
      <c r="O8" s="16"/>
      <c r="P8" s="16"/>
      <c r="Q8" s="13" t="s">
        <v>413</v>
      </c>
      <c r="R8" s="13" t="s">
        <v>456</v>
      </c>
      <c r="S8" s="13" t="s">
        <v>54</v>
      </c>
    </row>
    <row r="9" spans="1:23" ht="15" x14ac:dyDescent="0.15">
      <c r="A9" s="6" t="s">
        <v>460</v>
      </c>
      <c r="B9" s="8" t="s">
        <v>559</v>
      </c>
      <c r="C9" s="14"/>
      <c r="D9" s="14"/>
      <c r="E9" s="14"/>
      <c r="F9" s="14"/>
      <c r="G9" s="14">
        <v>35.25</v>
      </c>
      <c r="H9" s="14">
        <v>24.26</v>
      </c>
      <c r="I9" s="16">
        <v>38.799999999999997</v>
      </c>
      <c r="J9" s="16">
        <v>41.4</v>
      </c>
      <c r="K9" s="14"/>
      <c r="L9" s="14"/>
      <c r="M9" s="14"/>
      <c r="N9" s="14"/>
      <c r="O9" s="16"/>
      <c r="P9" s="16"/>
      <c r="Q9" s="13" t="s">
        <v>413</v>
      </c>
      <c r="R9" s="13" t="s">
        <v>456</v>
      </c>
      <c r="S9" s="13" t="s">
        <v>54</v>
      </c>
    </row>
    <row r="10" spans="1:23" ht="15" x14ac:dyDescent="0.15">
      <c r="A10" s="6" t="s">
        <v>461</v>
      </c>
      <c r="B10" s="8" t="s">
        <v>462</v>
      </c>
      <c r="C10" s="14"/>
      <c r="D10" s="14"/>
      <c r="E10" s="14"/>
      <c r="F10" s="14"/>
      <c r="G10" s="14">
        <v>46.21</v>
      </c>
      <c r="H10" s="16">
        <v>27.9</v>
      </c>
      <c r="I10" s="14">
        <v>48.07</v>
      </c>
      <c r="J10" s="14">
        <v>52.02</v>
      </c>
      <c r="K10" s="14"/>
      <c r="L10" s="14"/>
      <c r="M10" s="14"/>
      <c r="N10" s="14"/>
      <c r="O10" s="16"/>
      <c r="P10" s="16"/>
      <c r="Q10" s="13" t="s">
        <v>413</v>
      </c>
      <c r="R10" s="13" t="s">
        <v>463</v>
      </c>
      <c r="S10" s="13" t="s">
        <v>54</v>
      </c>
    </row>
    <row r="11" spans="1:23" ht="15" x14ac:dyDescent="0.15">
      <c r="A11" s="6" t="s">
        <v>57</v>
      </c>
      <c r="B11" s="8" t="s">
        <v>42</v>
      </c>
      <c r="C11" s="14">
        <v>375</v>
      </c>
      <c r="D11" s="14"/>
      <c r="E11" s="14">
        <v>59</v>
      </c>
      <c r="F11" s="14"/>
      <c r="G11" s="14"/>
      <c r="H11" s="14">
        <v>28</v>
      </c>
      <c r="I11" s="14">
        <v>42</v>
      </c>
      <c r="J11" s="14"/>
      <c r="K11" s="14">
        <v>36</v>
      </c>
      <c r="L11" s="14"/>
      <c r="M11" s="14">
        <v>17</v>
      </c>
      <c r="N11" s="14"/>
      <c r="O11" s="16"/>
      <c r="P11" s="16"/>
      <c r="Q11" s="13" t="s">
        <v>413</v>
      </c>
      <c r="R11" s="13"/>
      <c r="S11" s="13" t="s">
        <v>49</v>
      </c>
    </row>
    <row r="12" spans="1:23" ht="15" x14ac:dyDescent="0.15">
      <c r="A12" s="6" t="s">
        <v>1</v>
      </c>
      <c r="B12" s="6" t="s">
        <v>0</v>
      </c>
      <c r="C12" s="14">
        <v>321.89999999999998</v>
      </c>
      <c r="D12" s="14"/>
      <c r="E12" s="22"/>
      <c r="F12" s="14"/>
      <c r="G12" s="14"/>
      <c r="H12" s="14"/>
      <c r="I12" s="14"/>
      <c r="J12" s="14"/>
      <c r="K12" s="14" t="s">
        <v>37</v>
      </c>
      <c r="L12" s="14">
        <v>45.57</v>
      </c>
      <c r="M12" s="14"/>
      <c r="N12" s="14"/>
      <c r="O12" s="16"/>
      <c r="P12" s="16"/>
      <c r="Q12" s="13" t="s">
        <v>403</v>
      </c>
      <c r="R12" s="13"/>
      <c r="S12" s="13" t="s">
        <v>48</v>
      </c>
    </row>
    <row r="13" spans="1:23" ht="30" x14ac:dyDescent="0.15">
      <c r="A13" s="6" t="s">
        <v>92</v>
      </c>
      <c r="B13" s="8" t="s">
        <v>514</v>
      </c>
      <c r="C13" s="16">
        <v>520</v>
      </c>
      <c r="D13" s="16">
        <v>64</v>
      </c>
      <c r="E13" s="16">
        <v>76</v>
      </c>
      <c r="F13" s="16">
        <v>40</v>
      </c>
      <c r="G13" s="14">
        <v>35.75</v>
      </c>
      <c r="H13" s="16">
        <v>46.5</v>
      </c>
      <c r="I13" s="14"/>
      <c r="J13" s="14"/>
      <c r="K13" s="14"/>
      <c r="L13" s="14"/>
      <c r="M13" s="14"/>
      <c r="N13" s="14">
        <v>180.64</v>
      </c>
      <c r="O13" s="16">
        <f t="shared" ref="O13:O21" si="0">D13/E13</f>
        <v>0.84210526315789469</v>
      </c>
      <c r="P13" s="16">
        <f>N13/E13</f>
        <v>2.3768421052631576</v>
      </c>
      <c r="Q13" s="13" t="s">
        <v>407</v>
      </c>
      <c r="R13" s="13"/>
      <c r="S13" s="13" t="s">
        <v>95</v>
      </c>
    </row>
    <row r="14" spans="1:23" ht="15" x14ac:dyDescent="0.15">
      <c r="A14" s="6" t="s">
        <v>93</v>
      </c>
      <c r="B14" s="8" t="s">
        <v>70</v>
      </c>
      <c r="C14" s="16">
        <v>565</v>
      </c>
      <c r="D14" s="16">
        <v>83</v>
      </c>
      <c r="E14" s="16">
        <v>89</v>
      </c>
      <c r="F14" s="16">
        <v>46</v>
      </c>
      <c r="G14" s="14"/>
      <c r="H14" s="14"/>
      <c r="I14" s="14"/>
      <c r="J14" s="14"/>
      <c r="K14" s="14"/>
      <c r="L14" s="14"/>
      <c r="M14" s="14"/>
      <c r="N14" s="14">
        <v>170.08</v>
      </c>
      <c r="O14" s="16">
        <f t="shared" si="0"/>
        <v>0.93258426966292129</v>
      </c>
      <c r="P14" s="16">
        <f>N14/E14</f>
        <v>1.9110112359550564</v>
      </c>
      <c r="Q14" s="13" t="s">
        <v>407</v>
      </c>
      <c r="R14" s="13"/>
      <c r="S14" s="13" t="s">
        <v>96</v>
      </c>
    </row>
    <row r="15" spans="1:23" ht="45" x14ac:dyDescent="0.15">
      <c r="A15" s="6" t="s">
        <v>11</v>
      </c>
      <c r="B15" s="8" t="s">
        <v>563</v>
      </c>
      <c r="C15" s="14"/>
      <c r="D15" s="20">
        <v>68</v>
      </c>
      <c r="E15" s="14">
        <v>60.5</v>
      </c>
      <c r="F15" s="14"/>
      <c r="G15" s="14">
        <v>41.1</v>
      </c>
      <c r="H15" s="14"/>
      <c r="I15" s="14">
        <v>40.700000000000003</v>
      </c>
      <c r="J15" s="14">
        <v>60.37</v>
      </c>
      <c r="K15" s="14"/>
      <c r="L15" s="14">
        <v>16.62</v>
      </c>
      <c r="M15" s="14">
        <v>14.5</v>
      </c>
      <c r="N15" s="14">
        <v>133.52000000000001</v>
      </c>
      <c r="O15" s="16">
        <f t="shared" si="0"/>
        <v>1.1239669421487604</v>
      </c>
      <c r="P15" s="16">
        <f>N15/E15</f>
        <v>2.2069421487603309</v>
      </c>
      <c r="Q15" s="13" t="s">
        <v>404</v>
      </c>
      <c r="R15" s="13" t="s">
        <v>564</v>
      </c>
      <c r="S15" s="13" t="s">
        <v>61</v>
      </c>
    </row>
    <row r="16" spans="1:23" ht="45" x14ac:dyDescent="0.15">
      <c r="A16" s="6" t="s">
        <v>255</v>
      </c>
      <c r="B16" s="6" t="s">
        <v>39</v>
      </c>
      <c r="C16" s="14">
        <v>320.51</v>
      </c>
      <c r="D16" s="14">
        <v>37.54</v>
      </c>
      <c r="E16" s="14">
        <v>43.4</v>
      </c>
      <c r="F16" s="14">
        <v>19.489999999999998</v>
      </c>
      <c r="G16" s="14">
        <v>22.86</v>
      </c>
      <c r="H16" s="14">
        <v>18.25</v>
      </c>
      <c r="I16" s="14">
        <v>25.18</v>
      </c>
      <c r="J16" s="14">
        <v>30.82</v>
      </c>
      <c r="K16" s="14">
        <v>16.920000000000002</v>
      </c>
      <c r="L16" s="14">
        <v>22.56</v>
      </c>
      <c r="M16" s="14">
        <v>23.22</v>
      </c>
      <c r="N16" s="14"/>
      <c r="O16" s="16">
        <f t="shared" si="0"/>
        <v>0.86497695852534562</v>
      </c>
      <c r="P16" s="16"/>
      <c r="Q16" s="13" t="s">
        <v>407</v>
      </c>
      <c r="R16" s="13" t="s">
        <v>417</v>
      </c>
      <c r="S16" s="13" t="s">
        <v>80</v>
      </c>
    </row>
    <row r="17" spans="1:19" ht="15" x14ac:dyDescent="0.15">
      <c r="A17" s="6" t="s">
        <v>256</v>
      </c>
      <c r="B17" s="6" t="s">
        <v>39</v>
      </c>
      <c r="C17" s="14">
        <v>327.63</v>
      </c>
      <c r="D17" s="14">
        <v>49.95</v>
      </c>
      <c r="E17" s="14">
        <v>56.07</v>
      </c>
      <c r="F17" s="14">
        <v>26.81</v>
      </c>
      <c r="G17" s="14">
        <v>26.03</v>
      </c>
      <c r="H17" s="14">
        <v>21.33</v>
      </c>
      <c r="I17" s="14">
        <v>35.42</v>
      </c>
      <c r="J17" s="14">
        <v>36.049999999999997</v>
      </c>
      <c r="K17" s="14">
        <v>22.5</v>
      </c>
      <c r="L17" s="14">
        <v>24.35</v>
      </c>
      <c r="M17" s="14">
        <v>20.65</v>
      </c>
      <c r="N17" s="14"/>
      <c r="O17" s="16">
        <f t="shared" si="0"/>
        <v>0.8908507223113965</v>
      </c>
      <c r="P17" s="16"/>
      <c r="Q17" s="13" t="s">
        <v>411</v>
      </c>
      <c r="R17" s="13"/>
      <c r="S17" s="13" t="s">
        <v>81</v>
      </c>
    </row>
    <row r="18" spans="1:19" ht="15" x14ac:dyDescent="0.15">
      <c r="A18" s="6" t="s">
        <v>286</v>
      </c>
      <c r="B18" s="8" t="s">
        <v>41</v>
      </c>
      <c r="C18" s="14">
        <v>684.28</v>
      </c>
      <c r="D18" s="14">
        <v>125.73</v>
      </c>
      <c r="E18" s="14">
        <v>103.55</v>
      </c>
      <c r="F18" s="14"/>
      <c r="G18" s="14">
        <v>66.86</v>
      </c>
      <c r="H18" s="14"/>
      <c r="I18" s="14">
        <v>73.010000000000005</v>
      </c>
      <c r="J18" s="16">
        <v>80.400000000000006</v>
      </c>
      <c r="K18" s="14"/>
      <c r="L18" s="16">
        <v>38.9</v>
      </c>
      <c r="M18" s="14">
        <v>30.54</v>
      </c>
      <c r="N18" s="14">
        <v>262.87</v>
      </c>
      <c r="O18" s="16">
        <f t="shared" si="0"/>
        <v>1.214196040560116</v>
      </c>
      <c r="P18" s="16">
        <f t="shared" ref="P18:P19" si="1">N18/E18</f>
        <v>2.5385803959439883</v>
      </c>
      <c r="Q18" s="13" t="s">
        <v>405</v>
      </c>
      <c r="R18" s="13"/>
      <c r="S18" s="13" t="s">
        <v>54</v>
      </c>
    </row>
    <row r="19" spans="1:19" ht="15" x14ac:dyDescent="0.15">
      <c r="A19" s="6" t="s">
        <v>453</v>
      </c>
      <c r="B19" s="8" t="s">
        <v>41</v>
      </c>
      <c r="C19" s="14">
        <v>629.69000000000005</v>
      </c>
      <c r="D19" s="14">
        <v>122.19</v>
      </c>
      <c r="E19" s="14">
        <v>93.21</v>
      </c>
      <c r="F19" s="14"/>
      <c r="G19" s="14">
        <v>65.31</v>
      </c>
      <c r="H19" s="14"/>
      <c r="I19" s="14">
        <v>70.72</v>
      </c>
      <c r="J19" s="14">
        <v>86.91</v>
      </c>
      <c r="K19" s="14"/>
      <c r="L19" s="14">
        <v>35.15</v>
      </c>
      <c r="M19" s="14">
        <v>22.49</v>
      </c>
      <c r="N19" s="14">
        <v>262.99</v>
      </c>
      <c r="O19" s="16">
        <f t="shared" si="0"/>
        <v>1.3109108464757</v>
      </c>
      <c r="P19" s="16">
        <f t="shared" si="1"/>
        <v>2.8214783821478386</v>
      </c>
      <c r="Q19" s="13" t="s">
        <v>405</v>
      </c>
      <c r="R19" s="13"/>
      <c r="S19" s="13" t="s">
        <v>54</v>
      </c>
    </row>
    <row r="20" spans="1:19" ht="15" x14ac:dyDescent="0.15">
      <c r="A20" s="6" t="s">
        <v>91</v>
      </c>
      <c r="B20" s="8" t="s">
        <v>41</v>
      </c>
      <c r="C20" s="16">
        <v>660</v>
      </c>
      <c r="D20" s="16">
        <v>127</v>
      </c>
      <c r="E20" s="16">
        <v>118</v>
      </c>
      <c r="F20" s="16">
        <v>56</v>
      </c>
      <c r="G20" s="14">
        <v>59.82</v>
      </c>
      <c r="H20" s="14">
        <v>39.229999999999997</v>
      </c>
      <c r="I20" s="14">
        <v>69.17</v>
      </c>
      <c r="J20" s="14">
        <v>75.64</v>
      </c>
      <c r="K20" s="14">
        <v>34.119999999999997</v>
      </c>
      <c r="L20" s="14">
        <v>46.7</v>
      </c>
      <c r="M20" s="14">
        <v>48.83</v>
      </c>
      <c r="N20" s="14">
        <v>270.62</v>
      </c>
      <c r="O20" s="16">
        <f t="shared" si="0"/>
        <v>1.076271186440678</v>
      </c>
      <c r="P20" s="16">
        <f>N20/E20</f>
        <v>2.2933898305084748</v>
      </c>
      <c r="Q20" s="13" t="s">
        <v>405</v>
      </c>
      <c r="R20" s="13"/>
      <c r="S20" s="13" t="s">
        <v>77</v>
      </c>
    </row>
    <row r="21" spans="1:19" ht="15" x14ac:dyDescent="0.15">
      <c r="A21" s="6" t="s">
        <v>106</v>
      </c>
      <c r="B21" s="8" t="s">
        <v>105</v>
      </c>
      <c r="C21" s="14"/>
      <c r="D21" s="16">
        <v>116</v>
      </c>
      <c r="E21" s="16">
        <v>116</v>
      </c>
      <c r="F21" s="14"/>
      <c r="G21" s="14"/>
      <c r="H21" s="14"/>
      <c r="I21" s="14"/>
      <c r="J21" s="14"/>
      <c r="K21" s="14"/>
      <c r="L21" s="14"/>
      <c r="M21" s="14"/>
      <c r="N21" s="14"/>
      <c r="O21" s="16">
        <f t="shared" si="0"/>
        <v>1</v>
      </c>
      <c r="P21" s="14"/>
      <c r="Q21" s="13" t="s">
        <v>406</v>
      </c>
      <c r="R21" s="13"/>
      <c r="S21" s="13" t="s">
        <v>107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7D2B-A1FF-F94D-9082-E243FF17F2C4}">
  <dimension ref="A1:W81"/>
  <sheetViews>
    <sheetView workbookViewId="0">
      <selection activeCell="I7" sqref="I7"/>
    </sheetView>
  </sheetViews>
  <sheetFormatPr baseColWidth="10" defaultRowHeight="14" x14ac:dyDescent="0.15"/>
  <cols>
    <col min="1" max="1" width="10.83203125" style="6"/>
    <col min="2" max="2" width="30.1640625" style="6" customWidth="1"/>
    <col min="3" max="3" width="26" style="6" customWidth="1"/>
    <col min="4" max="4" width="20.33203125" style="6" customWidth="1"/>
    <col min="5" max="5" width="22.1640625" style="6" customWidth="1"/>
    <col min="6" max="6" width="19.5" style="6" customWidth="1"/>
    <col min="7" max="7" width="26.5" style="6" customWidth="1"/>
    <col min="8" max="8" width="47" style="6" customWidth="1"/>
    <col min="9" max="9" width="23.83203125" style="6" customWidth="1"/>
    <col min="10" max="10" width="33.83203125" style="6" customWidth="1"/>
    <col min="11" max="11" width="37.5" style="6" customWidth="1"/>
    <col min="12" max="12" width="38" style="6" customWidth="1"/>
    <col min="13" max="16384" width="10.83203125" style="6"/>
  </cols>
  <sheetData>
    <row r="1" spans="1:15" s="5" customFormat="1" ht="17" thickBot="1" x14ac:dyDescent="0.25">
      <c r="A1" s="4" t="s">
        <v>418</v>
      </c>
      <c r="B1" s="2"/>
      <c r="C1" s="2"/>
      <c r="D1" s="2"/>
      <c r="E1" s="2"/>
      <c r="F1" s="2"/>
      <c r="G1" s="2"/>
      <c r="H1" s="2"/>
      <c r="I1" s="2"/>
      <c r="J1" s="2"/>
    </row>
    <row r="2" spans="1:15" ht="17" thickTop="1" x14ac:dyDescent="0.2">
      <c r="B2" s="3"/>
      <c r="C2" s="3"/>
      <c r="D2" s="3"/>
      <c r="E2" s="3"/>
      <c r="F2" s="3"/>
      <c r="G2" s="3"/>
      <c r="H2" s="3"/>
      <c r="I2" s="3"/>
      <c r="J2" s="3"/>
    </row>
    <row r="3" spans="1:15" s="13" customFormat="1" ht="30" x14ac:dyDescent="0.2">
      <c r="A3" s="28" t="s">
        <v>131</v>
      </c>
      <c r="B3" s="28" t="s">
        <v>111</v>
      </c>
      <c r="C3" s="28" t="s">
        <v>40</v>
      </c>
      <c r="D3" s="26" t="s">
        <v>530</v>
      </c>
      <c r="E3" s="26" t="s">
        <v>380</v>
      </c>
      <c r="F3" s="26" t="s">
        <v>251</v>
      </c>
      <c r="G3" s="28" t="s">
        <v>400</v>
      </c>
      <c r="H3" s="28" t="s">
        <v>112</v>
      </c>
      <c r="I3" s="28" t="s">
        <v>62</v>
      </c>
      <c r="J3" s="36"/>
      <c r="K3" s="36"/>
      <c r="L3" s="36"/>
      <c r="M3" s="36"/>
      <c r="N3" s="36"/>
      <c r="O3" s="36"/>
    </row>
    <row r="4" spans="1:15" ht="30" x14ac:dyDescent="0.15">
      <c r="B4" s="9" t="s">
        <v>290</v>
      </c>
      <c r="C4" s="8" t="s">
        <v>356</v>
      </c>
      <c r="D4" s="16">
        <v>19.09</v>
      </c>
      <c r="E4" s="16" t="s">
        <v>468</v>
      </c>
      <c r="F4" s="16">
        <f>D4/41</f>
        <v>0.46560975609756095</v>
      </c>
      <c r="G4" s="13" t="s">
        <v>411</v>
      </c>
      <c r="H4" s="13" t="s">
        <v>169</v>
      </c>
      <c r="I4" s="13" t="s">
        <v>47</v>
      </c>
    </row>
    <row r="5" spans="1:15" ht="15" x14ac:dyDescent="0.15">
      <c r="B5" s="6" t="s">
        <v>533</v>
      </c>
      <c r="C5" s="8" t="s">
        <v>532</v>
      </c>
      <c r="D5" s="16">
        <v>30.58</v>
      </c>
      <c r="E5" s="16">
        <v>59.94</v>
      </c>
      <c r="F5" s="16">
        <f>D5/E5</f>
        <v>0.51017684351017678</v>
      </c>
      <c r="G5" s="13" t="s">
        <v>413</v>
      </c>
      <c r="H5" s="6" t="s">
        <v>534</v>
      </c>
      <c r="I5" s="13" t="s">
        <v>47</v>
      </c>
    </row>
    <row r="6" spans="1:15" ht="15" x14ac:dyDescent="0.15">
      <c r="B6" s="6" t="s">
        <v>57</v>
      </c>
      <c r="C6" s="8" t="s">
        <v>60</v>
      </c>
      <c r="D6" s="16">
        <v>36</v>
      </c>
      <c r="E6" s="16">
        <v>62</v>
      </c>
      <c r="F6" s="16">
        <f>D6/E6</f>
        <v>0.58064516129032262</v>
      </c>
      <c r="G6" s="13" t="s">
        <v>413</v>
      </c>
      <c r="H6" s="13"/>
      <c r="I6" s="13" t="s">
        <v>49</v>
      </c>
    </row>
    <row r="7" spans="1:15" ht="60" x14ac:dyDescent="0.15">
      <c r="B7" s="6" t="s">
        <v>11</v>
      </c>
      <c r="C7" s="8" t="s">
        <v>563</v>
      </c>
      <c r="D7" s="16"/>
      <c r="E7" s="16">
        <v>59.02</v>
      </c>
      <c r="F7" s="16"/>
      <c r="G7" s="13" t="s">
        <v>404</v>
      </c>
      <c r="H7" s="13" t="s">
        <v>564</v>
      </c>
      <c r="I7" s="13" t="s">
        <v>61</v>
      </c>
    </row>
    <row r="8" spans="1:15" ht="15" x14ac:dyDescent="0.15">
      <c r="B8" s="6" t="s">
        <v>453</v>
      </c>
      <c r="C8" s="8" t="s">
        <v>41</v>
      </c>
      <c r="D8" s="16">
        <v>46.34</v>
      </c>
      <c r="E8" s="16">
        <v>101.2</v>
      </c>
      <c r="F8" s="16">
        <f>D8/E8</f>
        <v>0.45790513833992097</v>
      </c>
      <c r="G8" s="13" t="s">
        <v>405</v>
      </c>
      <c r="H8" s="16"/>
      <c r="I8" s="13" t="s">
        <v>47</v>
      </c>
      <c r="K8" s="13"/>
    </row>
    <row r="9" spans="1:15" ht="45" x14ac:dyDescent="0.15">
      <c r="B9" s="6" t="s">
        <v>195</v>
      </c>
      <c r="C9" s="8" t="s">
        <v>105</v>
      </c>
      <c r="D9" s="16">
        <v>48.4</v>
      </c>
      <c r="E9" s="16">
        <v>95.2</v>
      </c>
      <c r="F9" s="16">
        <f>D9/E9</f>
        <v>0.50840336134453779</v>
      </c>
      <c r="G9" s="13" t="s">
        <v>406</v>
      </c>
      <c r="H9" s="13" t="s">
        <v>196</v>
      </c>
      <c r="I9" s="13" t="s">
        <v>47</v>
      </c>
    </row>
    <row r="11" spans="1:15" s="13" customFormat="1" ht="45" x14ac:dyDescent="0.2">
      <c r="A11" s="28" t="s">
        <v>167</v>
      </c>
      <c r="B11" s="28" t="s">
        <v>111</v>
      </c>
      <c r="C11" s="28" t="s">
        <v>40</v>
      </c>
      <c r="D11" s="26" t="s">
        <v>381</v>
      </c>
      <c r="E11" s="26" t="s">
        <v>382</v>
      </c>
      <c r="F11" s="26" t="s">
        <v>383</v>
      </c>
      <c r="G11" s="26" t="s">
        <v>253</v>
      </c>
      <c r="H11" s="26" t="s">
        <v>252</v>
      </c>
      <c r="I11" s="26" t="s">
        <v>254</v>
      </c>
      <c r="J11" s="28" t="s">
        <v>400</v>
      </c>
      <c r="K11" s="28" t="s">
        <v>112</v>
      </c>
      <c r="L11" s="28" t="s">
        <v>62</v>
      </c>
    </row>
    <row r="12" spans="1:15" ht="30" x14ac:dyDescent="0.15">
      <c r="B12" s="9" t="s">
        <v>292</v>
      </c>
      <c r="C12" s="8" t="s">
        <v>356</v>
      </c>
      <c r="D12" s="14">
        <v>22.98</v>
      </c>
      <c r="E12" s="14" t="s">
        <v>248</v>
      </c>
      <c r="F12" s="14">
        <v>15.03</v>
      </c>
      <c r="G12" s="16">
        <f>D12/17.83</f>
        <v>1.2888390353337074</v>
      </c>
      <c r="H12" s="16">
        <f>D12/F12</f>
        <v>1.5289421157684631</v>
      </c>
      <c r="I12" s="16">
        <f>17.83/F12</f>
        <v>1.1862940785096474</v>
      </c>
      <c r="J12" s="13" t="s">
        <v>411</v>
      </c>
      <c r="K12" s="13" t="s">
        <v>169</v>
      </c>
      <c r="L12" s="13" t="s">
        <v>47</v>
      </c>
    </row>
    <row r="13" spans="1:15" ht="15" x14ac:dyDescent="0.15">
      <c r="B13" s="6" t="s">
        <v>487</v>
      </c>
      <c r="C13" s="8" t="s">
        <v>532</v>
      </c>
      <c r="D13" s="14"/>
      <c r="E13" s="14">
        <v>27.21</v>
      </c>
      <c r="F13" s="14">
        <v>20.27</v>
      </c>
      <c r="G13" s="16"/>
      <c r="H13" s="16"/>
      <c r="I13" s="16">
        <f>E13/F13</f>
        <v>1.3423778983719783</v>
      </c>
      <c r="J13" s="13" t="s">
        <v>413</v>
      </c>
      <c r="K13" s="13"/>
      <c r="L13" s="13" t="s">
        <v>47</v>
      </c>
    </row>
    <row r="14" spans="1:15" ht="15" x14ac:dyDescent="0.15">
      <c r="B14" s="6" t="s">
        <v>493</v>
      </c>
      <c r="C14" s="8" t="s">
        <v>531</v>
      </c>
      <c r="D14" s="14">
        <v>30.78</v>
      </c>
      <c r="E14" s="14">
        <v>24.78</v>
      </c>
      <c r="F14" s="14">
        <v>18.53</v>
      </c>
      <c r="G14" s="16">
        <f>D14/E14</f>
        <v>1.242130750605327</v>
      </c>
      <c r="H14" s="16">
        <f>D14/F14</f>
        <v>1.6610901241230436</v>
      </c>
      <c r="I14" s="16">
        <f>E14/F14</f>
        <v>1.3372908796546141</v>
      </c>
      <c r="J14" s="13" t="s">
        <v>413</v>
      </c>
      <c r="K14" s="13"/>
      <c r="L14" s="13" t="s">
        <v>47</v>
      </c>
    </row>
    <row r="15" spans="1:15" ht="30" x14ac:dyDescent="0.15">
      <c r="B15" s="6" t="s">
        <v>257</v>
      </c>
      <c r="C15" s="6" t="s">
        <v>39</v>
      </c>
      <c r="D15" s="14">
        <v>28.62</v>
      </c>
      <c r="E15" s="14">
        <v>23.18</v>
      </c>
      <c r="F15" s="14">
        <v>19.89</v>
      </c>
      <c r="G15" s="16">
        <f>D15/E15</f>
        <v>1.2346850733390855</v>
      </c>
      <c r="H15" s="16">
        <f>D15/F15</f>
        <v>1.4389140271493213</v>
      </c>
      <c r="I15" s="16">
        <f>E15/F15</f>
        <v>1.1654097536450476</v>
      </c>
      <c r="J15" s="13" t="s">
        <v>411</v>
      </c>
      <c r="K15" s="13"/>
      <c r="L15" s="13" t="s">
        <v>81</v>
      </c>
    </row>
    <row r="16" spans="1:15" ht="15" x14ac:dyDescent="0.15">
      <c r="B16" s="6" t="s">
        <v>454</v>
      </c>
      <c r="C16" s="8" t="s">
        <v>41</v>
      </c>
      <c r="D16" s="14">
        <v>55.12</v>
      </c>
      <c r="E16" s="16">
        <v>44.81</v>
      </c>
      <c r="F16" s="14">
        <v>34.409999999999997</v>
      </c>
      <c r="G16" s="16">
        <f>D16/E16</f>
        <v>1.2300825708547198</v>
      </c>
      <c r="H16" s="16">
        <f t="shared" ref="H16" si="0">D16/F16</f>
        <v>1.6018599244405698</v>
      </c>
      <c r="I16" s="16">
        <f>E16/F16</f>
        <v>1.3022377215925605</v>
      </c>
      <c r="J16" s="13" t="s">
        <v>405</v>
      </c>
      <c r="K16" s="13"/>
      <c r="L16" s="13" t="s">
        <v>47</v>
      </c>
    </row>
    <row r="17" spans="1:16" ht="15" x14ac:dyDescent="0.15">
      <c r="B17" s="6" t="s">
        <v>258</v>
      </c>
      <c r="C17" s="8" t="s">
        <v>41</v>
      </c>
      <c r="D17" s="14">
        <v>55.38</v>
      </c>
      <c r="E17" s="14">
        <v>46.28</v>
      </c>
      <c r="F17" s="14">
        <v>33.49</v>
      </c>
      <c r="G17" s="16">
        <f>D17/E17</f>
        <v>1.196629213483146</v>
      </c>
      <c r="H17" s="16">
        <f t="shared" ref="H17" si="1">D17/F17</f>
        <v>1.6536279486413854</v>
      </c>
      <c r="I17" s="16">
        <f>E17/F17</f>
        <v>1.3819050462824722</v>
      </c>
      <c r="J17" s="13" t="s">
        <v>405</v>
      </c>
      <c r="K17" s="13"/>
      <c r="L17" s="13" t="s">
        <v>47</v>
      </c>
    </row>
    <row r="18" spans="1:16" ht="15" x14ac:dyDescent="0.15">
      <c r="B18" s="6" t="s">
        <v>171</v>
      </c>
      <c r="C18" s="8" t="s">
        <v>105</v>
      </c>
      <c r="D18" s="14">
        <v>47</v>
      </c>
      <c r="E18" s="14" t="s">
        <v>168</v>
      </c>
      <c r="F18" s="14" t="s">
        <v>170</v>
      </c>
      <c r="G18" s="16">
        <f>D18/41</f>
        <v>1.1463414634146341</v>
      </c>
      <c r="H18" s="16">
        <f>D18/37</f>
        <v>1.2702702702702702</v>
      </c>
      <c r="I18" s="16">
        <f>41/37</f>
        <v>1.1081081081081081</v>
      </c>
      <c r="J18" s="13" t="s">
        <v>406</v>
      </c>
      <c r="K18" s="13" t="s">
        <v>415</v>
      </c>
      <c r="L18" s="13" t="s">
        <v>137</v>
      </c>
    </row>
    <row r="19" spans="1:16" ht="15" x14ac:dyDescent="0.15">
      <c r="B19" s="6" t="s">
        <v>172</v>
      </c>
      <c r="C19" s="8" t="s">
        <v>105</v>
      </c>
      <c r="D19" s="14">
        <v>51</v>
      </c>
      <c r="E19" s="14">
        <v>39.5</v>
      </c>
      <c r="F19" s="14">
        <v>37</v>
      </c>
      <c r="G19" s="16">
        <f>D19/E19</f>
        <v>1.2911392405063291</v>
      </c>
      <c r="H19" s="16">
        <f t="shared" ref="H19:H23" si="2">D19/F19</f>
        <v>1.3783783783783783</v>
      </c>
      <c r="I19" s="16">
        <f>E19/F19</f>
        <v>1.0675675675675675</v>
      </c>
      <c r="J19" s="13" t="s">
        <v>406</v>
      </c>
      <c r="K19" s="13"/>
      <c r="L19" s="13" t="s">
        <v>137</v>
      </c>
    </row>
    <row r="20" spans="1:16" ht="15" x14ac:dyDescent="0.15">
      <c r="B20" s="6" t="s">
        <v>173</v>
      </c>
      <c r="C20" s="8" t="s">
        <v>105</v>
      </c>
      <c r="D20" s="14">
        <v>50</v>
      </c>
      <c r="E20" s="14">
        <v>43</v>
      </c>
      <c r="F20" s="14">
        <v>33</v>
      </c>
      <c r="G20" s="16">
        <f t="shared" ref="G20:G23" si="3">D20/E20</f>
        <v>1.1627906976744187</v>
      </c>
      <c r="H20" s="16">
        <f t="shared" si="2"/>
        <v>1.5151515151515151</v>
      </c>
      <c r="I20" s="16">
        <f t="shared" ref="I20:I23" si="4">E20/F20</f>
        <v>1.303030303030303</v>
      </c>
      <c r="J20" s="13" t="s">
        <v>406</v>
      </c>
      <c r="K20" s="13"/>
      <c r="L20" s="13" t="s">
        <v>137</v>
      </c>
    </row>
    <row r="21" spans="1:16" ht="15" x14ac:dyDescent="0.15">
      <c r="B21" s="6" t="s">
        <v>174</v>
      </c>
      <c r="C21" s="8" t="s">
        <v>105</v>
      </c>
      <c r="D21" s="14">
        <v>51.5</v>
      </c>
      <c r="E21" s="14">
        <v>43</v>
      </c>
      <c r="F21" s="14">
        <v>33</v>
      </c>
      <c r="G21" s="16">
        <f t="shared" si="3"/>
        <v>1.1976744186046511</v>
      </c>
      <c r="H21" s="16">
        <f t="shared" si="2"/>
        <v>1.5606060606060606</v>
      </c>
      <c r="I21" s="16">
        <f t="shared" si="4"/>
        <v>1.303030303030303</v>
      </c>
      <c r="J21" s="13" t="s">
        <v>406</v>
      </c>
      <c r="K21" s="13"/>
      <c r="L21" s="13" t="s">
        <v>137</v>
      </c>
    </row>
    <row r="22" spans="1:16" ht="15" x14ac:dyDescent="0.15">
      <c r="B22" s="6" t="s">
        <v>175</v>
      </c>
      <c r="C22" s="8" t="s">
        <v>105</v>
      </c>
      <c r="D22" s="14">
        <v>54</v>
      </c>
      <c r="E22" s="14">
        <v>42</v>
      </c>
      <c r="F22" s="14">
        <v>39</v>
      </c>
      <c r="G22" s="16">
        <f t="shared" si="3"/>
        <v>1.2857142857142858</v>
      </c>
      <c r="H22" s="16">
        <f t="shared" si="2"/>
        <v>1.3846153846153846</v>
      </c>
      <c r="I22" s="16">
        <f t="shared" si="4"/>
        <v>1.0769230769230769</v>
      </c>
      <c r="J22" s="13" t="s">
        <v>406</v>
      </c>
      <c r="K22" s="13"/>
      <c r="L22" s="13" t="s">
        <v>137</v>
      </c>
    </row>
    <row r="23" spans="1:16" ht="15" x14ac:dyDescent="0.15">
      <c r="B23" s="6" t="s">
        <v>176</v>
      </c>
      <c r="C23" s="8" t="s">
        <v>105</v>
      </c>
      <c r="D23" s="14">
        <v>51</v>
      </c>
      <c r="E23" s="14">
        <v>42</v>
      </c>
      <c r="F23" s="14">
        <v>33.5</v>
      </c>
      <c r="G23" s="16">
        <f t="shared" si="3"/>
        <v>1.2142857142857142</v>
      </c>
      <c r="H23" s="16">
        <f t="shared" si="2"/>
        <v>1.5223880597014925</v>
      </c>
      <c r="I23" s="16">
        <f t="shared" si="4"/>
        <v>1.2537313432835822</v>
      </c>
      <c r="J23" s="13" t="s">
        <v>406</v>
      </c>
      <c r="K23" s="13"/>
      <c r="L23" s="13" t="s">
        <v>137</v>
      </c>
    </row>
    <row r="25" spans="1:16" s="13" customFormat="1" ht="45" x14ac:dyDescent="0.2">
      <c r="A25" s="28" t="s">
        <v>177</v>
      </c>
      <c r="B25" s="28" t="s">
        <v>111</v>
      </c>
      <c r="C25" s="28" t="s">
        <v>40</v>
      </c>
      <c r="D25" s="26" t="s">
        <v>381</v>
      </c>
      <c r="E25" s="26" t="s">
        <v>382</v>
      </c>
      <c r="F25" s="26" t="s">
        <v>383</v>
      </c>
      <c r="G25" s="26" t="s">
        <v>253</v>
      </c>
      <c r="H25" s="26" t="s">
        <v>252</v>
      </c>
      <c r="I25" s="26" t="s">
        <v>254</v>
      </c>
      <c r="J25" s="28" t="s">
        <v>400</v>
      </c>
      <c r="K25" s="28" t="s">
        <v>112</v>
      </c>
      <c r="L25" s="28" t="s">
        <v>62</v>
      </c>
    </row>
    <row r="26" spans="1:16" ht="30" x14ac:dyDescent="0.15">
      <c r="B26" s="9" t="s">
        <v>292</v>
      </c>
      <c r="C26" s="8" t="s">
        <v>356</v>
      </c>
      <c r="D26" s="14" t="s">
        <v>249</v>
      </c>
      <c r="E26" s="14">
        <v>9.5299999999999994</v>
      </c>
      <c r="F26" s="14">
        <v>13.91</v>
      </c>
      <c r="G26" s="16">
        <f>18.69/E26</f>
        <v>1.9611752360965375</v>
      </c>
      <c r="H26" s="16">
        <f>18.69/F26</f>
        <v>1.3436376707404745</v>
      </c>
      <c r="I26" s="16">
        <f>E26/F26</f>
        <v>0.68511861969805887</v>
      </c>
      <c r="J26" s="13" t="s">
        <v>411</v>
      </c>
      <c r="K26" s="13" t="s">
        <v>250</v>
      </c>
      <c r="L26" s="13" t="s">
        <v>47</v>
      </c>
    </row>
    <row r="27" spans="1:16" ht="15" x14ac:dyDescent="0.15">
      <c r="B27" s="9" t="s">
        <v>293</v>
      </c>
      <c r="C27" s="8" t="s">
        <v>356</v>
      </c>
      <c r="D27" s="14">
        <v>18.89</v>
      </c>
      <c r="E27" s="14">
        <v>9.91</v>
      </c>
      <c r="F27" s="14">
        <v>13.41</v>
      </c>
      <c r="G27" s="16">
        <f>D27/E27</f>
        <v>1.9061553985872857</v>
      </c>
      <c r="H27" s="16">
        <f>D27/F27</f>
        <v>1.4086502609992544</v>
      </c>
      <c r="I27" s="16">
        <f t="shared" ref="I27:I35" si="5">E27/F27</f>
        <v>0.73900074571215513</v>
      </c>
      <c r="J27" s="13" t="s">
        <v>411</v>
      </c>
      <c r="K27" s="13"/>
      <c r="L27" s="13" t="s">
        <v>47</v>
      </c>
    </row>
    <row r="28" spans="1:16" ht="15" x14ac:dyDescent="0.15">
      <c r="B28" s="6" t="s">
        <v>545</v>
      </c>
      <c r="C28" s="8" t="s">
        <v>526</v>
      </c>
      <c r="D28" s="14">
        <v>20.02</v>
      </c>
      <c r="E28" s="14">
        <v>11.43</v>
      </c>
      <c r="F28" s="14">
        <v>16.39</v>
      </c>
      <c r="G28" s="16">
        <f>D28/E28</f>
        <v>1.7515310586176729</v>
      </c>
      <c r="H28" s="16">
        <f>D28/F28</f>
        <v>1.2214765100671141</v>
      </c>
      <c r="I28" s="16">
        <f t="shared" ref="I28" si="6">E28/F28</f>
        <v>0.69737644905430141</v>
      </c>
      <c r="J28" s="13" t="s">
        <v>424</v>
      </c>
      <c r="K28" s="13"/>
      <c r="L28" s="13" t="s">
        <v>47</v>
      </c>
      <c r="M28" s="14"/>
      <c r="N28" s="14"/>
      <c r="O28" s="16"/>
      <c r="P28" s="16"/>
    </row>
    <row r="29" spans="1:16" ht="18" customHeight="1" x14ac:dyDescent="0.15">
      <c r="B29" s="6" t="s">
        <v>515</v>
      </c>
      <c r="C29" s="8" t="s">
        <v>514</v>
      </c>
      <c r="D29" s="14">
        <v>31.94</v>
      </c>
      <c r="E29" s="14">
        <v>16.28</v>
      </c>
      <c r="F29" s="14">
        <v>22.47</v>
      </c>
      <c r="G29" s="16">
        <f>D29/E29</f>
        <v>1.961916461916462</v>
      </c>
      <c r="H29" s="16">
        <f>D29/F29</f>
        <v>1.4214508233199823</v>
      </c>
      <c r="I29" s="16">
        <f t="shared" ref="I29" si="7">E29/F29</f>
        <v>0.72452158433466851</v>
      </c>
      <c r="J29" s="13" t="s">
        <v>421</v>
      </c>
      <c r="K29" s="13"/>
      <c r="L29" s="13" t="s">
        <v>47</v>
      </c>
    </row>
    <row r="30" spans="1:16" ht="15" x14ac:dyDescent="0.15">
      <c r="B30" s="6" t="s">
        <v>454</v>
      </c>
      <c r="C30" s="8" t="s">
        <v>41</v>
      </c>
      <c r="D30" s="14">
        <v>46.34</v>
      </c>
      <c r="E30" s="14">
        <v>20.91</v>
      </c>
      <c r="F30" s="14">
        <v>30.93</v>
      </c>
      <c r="G30" s="16">
        <f t="shared" ref="G30" si="8">D30/E30</f>
        <v>2.2161645145863225</v>
      </c>
      <c r="H30" s="16">
        <f t="shared" ref="H30" si="9">D30/F30</f>
        <v>1.498221791141287</v>
      </c>
      <c r="I30" s="16">
        <f t="shared" ref="I30" si="10">E30/F30</f>
        <v>0.67604267701260912</v>
      </c>
      <c r="J30" s="13" t="s">
        <v>405</v>
      </c>
      <c r="K30" s="13"/>
      <c r="L30" s="13" t="s">
        <v>47</v>
      </c>
    </row>
    <row r="31" spans="1:16" ht="15" x14ac:dyDescent="0.15">
      <c r="B31" s="6" t="s">
        <v>178</v>
      </c>
      <c r="C31" s="8" t="s">
        <v>105</v>
      </c>
      <c r="D31" s="14">
        <v>45</v>
      </c>
      <c r="E31" s="14">
        <v>20</v>
      </c>
      <c r="F31" s="14">
        <v>37</v>
      </c>
      <c r="G31" s="16">
        <f t="shared" ref="G31:G35" si="11">D31/E31</f>
        <v>2.25</v>
      </c>
      <c r="H31" s="16">
        <f t="shared" ref="H31:H35" si="12">D31/F31</f>
        <v>1.2162162162162162</v>
      </c>
      <c r="I31" s="16">
        <f t="shared" si="5"/>
        <v>0.54054054054054057</v>
      </c>
      <c r="J31" s="13" t="s">
        <v>406</v>
      </c>
      <c r="K31" s="13"/>
      <c r="L31" s="13" t="s">
        <v>137</v>
      </c>
    </row>
    <row r="32" spans="1:16" ht="15" x14ac:dyDescent="0.15">
      <c r="B32" s="6" t="s">
        <v>179</v>
      </c>
      <c r="C32" s="8" t="s">
        <v>105</v>
      </c>
      <c r="D32" s="14">
        <v>46</v>
      </c>
      <c r="E32" s="14">
        <v>20</v>
      </c>
      <c r="F32" s="14">
        <v>38</v>
      </c>
      <c r="G32" s="16">
        <f t="shared" si="11"/>
        <v>2.2999999999999998</v>
      </c>
      <c r="H32" s="16">
        <f t="shared" si="12"/>
        <v>1.2105263157894737</v>
      </c>
      <c r="I32" s="16">
        <f t="shared" si="5"/>
        <v>0.52631578947368418</v>
      </c>
      <c r="J32" s="13" t="s">
        <v>406</v>
      </c>
      <c r="K32" s="13"/>
      <c r="L32" s="13" t="s">
        <v>137</v>
      </c>
    </row>
    <row r="33" spans="1:12" ht="15" x14ac:dyDescent="0.15">
      <c r="B33" s="6" t="s">
        <v>180</v>
      </c>
      <c r="C33" s="8" t="s">
        <v>105</v>
      </c>
      <c r="D33" s="14">
        <v>45</v>
      </c>
      <c r="E33" s="14">
        <v>20.5</v>
      </c>
      <c r="F33" s="14">
        <v>31</v>
      </c>
      <c r="G33" s="16">
        <f t="shared" si="11"/>
        <v>2.1951219512195124</v>
      </c>
      <c r="H33" s="16">
        <f t="shared" si="12"/>
        <v>1.4516129032258065</v>
      </c>
      <c r="I33" s="16">
        <f t="shared" si="5"/>
        <v>0.66129032258064513</v>
      </c>
      <c r="J33" s="13" t="s">
        <v>406</v>
      </c>
      <c r="K33" s="13"/>
      <c r="L33" s="13" t="s">
        <v>137</v>
      </c>
    </row>
    <row r="34" spans="1:12" ht="15" x14ac:dyDescent="0.15">
      <c r="B34" s="6" t="s">
        <v>181</v>
      </c>
      <c r="C34" s="8" t="s">
        <v>105</v>
      </c>
      <c r="D34" s="14">
        <v>56</v>
      </c>
      <c r="E34" s="14">
        <v>21</v>
      </c>
      <c r="F34" s="14">
        <v>36</v>
      </c>
      <c r="G34" s="16">
        <f t="shared" si="11"/>
        <v>2.6666666666666665</v>
      </c>
      <c r="H34" s="16">
        <f t="shared" si="12"/>
        <v>1.5555555555555556</v>
      </c>
      <c r="I34" s="16">
        <f t="shared" si="5"/>
        <v>0.58333333333333337</v>
      </c>
      <c r="J34" s="13" t="s">
        <v>406</v>
      </c>
      <c r="K34" s="13"/>
      <c r="L34" s="13" t="s">
        <v>137</v>
      </c>
    </row>
    <row r="35" spans="1:12" ht="15" x14ac:dyDescent="0.15">
      <c r="B35" s="6" t="s">
        <v>182</v>
      </c>
      <c r="C35" s="8" t="s">
        <v>105</v>
      </c>
      <c r="D35" s="14">
        <v>50</v>
      </c>
      <c r="E35" s="14">
        <v>21</v>
      </c>
      <c r="F35" s="14">
        <v>31.5</v>
      </c>
      <c r="G35" s="16">
        <f t="shared" si="11"/>
        <v>2.3809523809523809</v>
      </c>
      <c r="H35" s="16">
        <f t="shared" si="12"/>
        <v>1.5873015873015872</v>
      </c>
      <c r="I35" s="16">
        <f t="shared" si="5"/>
        <v>0.66666666666666663</v>
      </c>
      <c r="J35" s="13" t="s">
        <v>406</v>
      </c>
      <c r="K35" s="13"/>
      <c r="L35" s="13" t="s">
        <v>137</v>
      </c>
    </row>
    <row r="36" spans="1:12" x14ac:dyDescent="0.15">
      <c r="C36" s="8"/>
      <c r="D36" s="14"/>
      <c r="E36" s="14"/>
      <c r="F36" s="14"/>
      <c r="G36" s="14"/>
      <c r="H36" s="14"/>
      <c r="I36" s="14"/>
    </row>
    <row r="37" spans="1:12" s="13" customFormat="1" ht="45" x14ac:dyDescent="0.2">
      <c r="A37" s="28" t="s">
        <v>183</v>
      </c>
      <c r="B37" s="28" t="s">
        <v>111</v>
      </c>
      <c r="C37" s="28" t="s">
        <v>40</v>
      </c>
      <c r="D37" s="26" t="s">
        <v>381</v>
      </c>
      <c r="E37" s="26" t="s">
        <v>382</v>
      </c>
      <c r="F37" s="26" t="s">
        <v>383</v>
      </c>
      <c r="G37" s="26" t="s">
        <v>253</v>
      </c>
      <c r="H37" s="26" t="s">
        <v>252</v>
      </c>
      <c r="I37" s="26" t="s">
        <v>254</v>
      </c>
      <c r="J37" s="28" t="s">
        <v>400</v>
      </c>
      <c r="K37" s="28" t="s">
        <v>112</v>
      </c>
      <c r="L37" s="28" t="s">
        <v>62</v>
      </c>
    </row>
    <row r="38" spans="1:12" ht="15" x14ac:dyDescent="0.15">
      <c r="B38" s="9" t="s">
        <v>292</v>
      </c>
      <c r="C38" s="8" t="s">
        <v>356</v>
      </c>
      <c r="D38" s="14">
        <v>22.17</v>
      </c>
      <c r="E38" s="14">
        <v>15.97</v>
      </c>
      <c r="F38" s="14">
        <v>20.71</v>
      </c>
      <c r="G38" s="16">
        <f>D38/E38</f>
        <v>1.3882279273638072</v>
      </c>
      <c r="H38" s="16">
        <f>D38/F38</f>
        <v>1.0704973442781265</v>
      </c>
      <c r="I38" s="16">
        <f>E38/F38</f>
        <v>0.77112506035731532</v>
      </c>
      <c r="J38" s="13" t="s">
        <v>411</v>
      </c>
      <c r="K38" s="13"/>
      <c r="L38" s="13" t="s">
        <v>47</v>
      </c>
    </row>
    <row r="39" spans="1:12" ht="15" x14ac:dyDescent="0.15">
      <c r="B39" s="6" t="s">
        <v>486</v>
      </c>
      <c r="C39" s="8" t="s">
        <v>467</v>
      </c>
      <c r="D39" s="14">
        <v>30.32</v>
      </c>
      <c r="E39" s="14">
        <v>21.86</v>
      </c>
      <c r="F39" s="14">
        <v>27.49</v>
      </c>
      <c r="G39" s="16">
        <f>D39/E39</f>
        <v>1.3870082342177494</v>
      </c>
      <c r="H39" s="16">
        <f>D39/F39</f>
        <v>1.102946526009458</v>
      </c>
      <c r="I39" s="16">
        <f>E39/F39</f>
        <v>0.79519825391051291</v>
      </c>
      <c r="J39" s="13" t="s">
        <v>413</v>
      </c>
      <c r="K39" s="13"/>
      <c r="L39" s="13" t="s">
        <v>47</v>
      </c>
    </row>
    <row r="40" spans="1:12" ht="15" x14ac:dyDescent="0.15">
      <c r="B40" s="6" t="s">
        <v>487</v>
      </c>
      <c r="C40" s="8" t="s">
        <v>467</v>
      </c>
      <c r="D40" s="14">
        <v>27.03</v>
      </c>
      <c r="E40" s="14">
        <v>19.52</v>
      </c>
      <c r="F40" s="14">
        <v>22.43</v>
      </c>
      <c r="G40" s="16">
        <f>D40/E40</f>
        <v>1.3847336065573772</v>
      </c>
      <c r="H40" s="16">
        <f>D40/F40</f>
        <v>1.205082478823005</v>
      </c>
      <c r="I40" s="16">
        <f>E40/F40</f>
        <v>0.87026304057066428</v>
      </c>
      <c r="J40" s="13" t="s">
        <v>413</v>
      </c>
      <c r="K40" s="13"/>
      <c r="L40" s="13" t="s">
        <v>47</v>
      </c>
    </row>
    <row r="41" spans="1:12" ht="18" customHeight="1" x14ac:dyDescent="0.15">
      <c r="B41" s="6" t="s">
        <v>515</v>
      </c>
      <c r="C41" s="8" t="s">
        <v>514</v>
      </c>
      <c r="D41" s="14">
        <v>37.770000000000003</v>
      </c>
      <c r="E41" s="14">
        <v>26.42</v>
      </c>
      <c r="F41" s="16">
        <v>30.7</v>
      </c>
      <c r="G41" s="16">
        <f>D41/E41</f>
        <v>1.4295987887963664</v>
      </c>
      <c r="H41" s="16">
        <f>D41/F41</f>
        <v>1.2302931596091207</v>
      </c>
      <c r="I41" s="16">
        <f>E41/F41</f>
        <v>0.86058631921824114</v>
      </c>
      <c r="J41" s="13" t="s">
        <v>421</v>
      </c>
      <c r="K41" s="13"/>
      <c r="L41" s="13" t="s">
        <v>47</v>
      </c>
    </row>
    <row r="42" spans="1:12" ht="15" x14ac:dyDescent="0.15">
      <c r="B42" s="6" t="s">
        <v>454</v>
      </c>
      <c r="C42" s="8" t="s">
        <v>41</v>
      </c>
      <c r="D42" s="14">
        <v>56.09</v>
      </c>
      <c r="E42" s="14">
        <v>39.909999999999997</v>
      </c>
      <c r="F42" s="14">
        <v>47.67</v>
      </c>
      <c r="G42" s="16">
        <f t="shared" ref="G42" si="13">D42/E42</f>
        <v>1.4054121773991484</v>
      </c>
      <c r="H42" s="16">
        <f>D42/46</f>
        <v>1.2193478260869566</v>
      </c>
      <c r="I42" s="16">
        <f>E42/46</f>
        <v>0.8676086956521738</v>
      </c>
      <c r="J42" s="13" t="s">
        <v>405</v>
      </c>
      <c r="L42" s="13" t="s">
        <v>47</v>
      </c>
    </row>
    <row r="43" spans="1:12" ht="15" x14ac:dyDescent="0.15">
      <c r="B43" s="6" t="s">
        <v>184</v>
      </c>
      <c r="C43" s="8" t="s">
        <v>105</v>
      </c>
      <c r="D43" s="14">
        <v>52</v>
      </c>
      <c r="E43" s="14">
        <v>34</v>
      </c>
      <c r="F43" s="14" t="s">
        <v>189</v>
      </c>
      <c r="G43" s="16">
        <f t="shared" ref="G43:G47" si="14">D43/E43</f>
        <v>1.5294117647058822</v>
      </c>
      <c r="H43" s="16">
        <f>D43/46</f>
        <v>1.1304347826086956</v>
      </c>
      <c r="I43" s="16">
        <f>E43/46</f>
        <v>0.73913043478260865</v>
      </c>
      <c r="J43" s="13" t="s">
        <v>406</v>
      </c>
      <c r="K43" s="13" t="s">
        <v>415</v>
      </c>
      <c r="L43" s="13" t="s">
        <v>137</v>
      </c>
    </row>
    <row r="44" spans="1:12" ht="15" x14ac:dyDescent="0.15">
      <c r="B44" s="6" t="s">
        <v>185</v>
      </c>
      <c r="C44" s="8" t="s">
        <v>105</v>
      </c>
      <c r="D44" s="14">
        <v>52.5</v>
      </c>
      <c r="E44" s="14">
        <v>34</v>
      </c>
      <c r="F44" s="14">
        <v>45</v>
      </c>
      <c r="G44" s="16">
        <f t="shared" si="14"/>
        <v>1.5441176470588236</v>
      </c>
      <c r="H44" s="16">
        <f t="shared" ref="H44:H47" si="15">D44/F44</f>
        <v>1.1666666666666667</v>
      </c>
      <c r="I44" s="16">
        <f t="shared" ref="I44:I47" si="16">E44/F44</f>
        <v>0.75555555555555554</v>
      </c>
      <c r="J44" s="13" t="s">
        <v>406</v>
      </c>
      <c r="K44" s="13"/>
      <c r="L44" s="13" t="s">
        <v>137</v>
      </c>
    </row>
    <row r="45" spans="1:12" ht="15" x14ac:dyDescent="0.15">
      <c r="B45" s="6" t="s">
        <v>186</v>
      </c>
      <c r="C45" s="8" t="s">
        <v>105</v>
      </c>
      <c r="D45" s="14">
        <v>52.5</v>
      </c>
      <c r="E45" s="14">
        <v>32</v>
      </c>
      <c r="F45" s="14">
        <v>43.5</v>
      </c>
      <c r="G45" s="16">
        <f t="shared" si="14"/>
        <v>1.640625</v>
      </c>
      <c r="H45" s="16">
        <f t="shared" si="15"/>
        <v>1.2068965517241379</v>
      </c>
      <c r="I45" s="16">
        <f t="shared" si="16"/>
        <v>0.73563218390804597</v>
      </c>
      <c r="J45" s="13" t="s">
        <v>406</v>
      </c>
      <c r="K45" s="13"/>
      <c r="L45" s="13" t="s">
        <v>137</v>
      </c>
    </row>
    <row r="46" spans="1:12" ht="15" x14ac:dyDescent="0.15">
      <c r="B46" s="6" t="s">
        <v>187</v>
      </c>
      <c r="C46" s="8" t="s">
        <v>105</v>
      </c>
      <c r="D46" s="14">
        <v>51</v>
      </c>
      <c r="E46" s="14">
        <v>32.5</v>
      </c>
      <c r="F46" s="14">
        <v>46</v>
      </c>
      <c r="G46" s="16">
        <f t="shared" si="14"/>
        <v>1.5692307692307692</v>
      </c>
      <c r="H46" s="16">
        <f t="shared" si="15"/>
        <v>1.1086956521739131</v>
      </c>
      <c r="I46" s="16">
        <f t="shared" si="16"/>
        <v>0.70652173913043481</v>
      </c>
      <c r="J46" s="13" t="s">
        <v>406</v>
      </c>
      <c r="K46" s="13"/>
      <c r="L46" s="13" t="s">
        <v>137</v>
      </c>
    </row>
    <row r="47" spans="1:12" ht="15" x14ac:dyDescent="0.15">
      <c r="B47" s="6" t="s">
        <v>188</v>
      </c>
      <c r="C47" s="8" t="s">
        <v>105</v>
      </c>
      <c r="D47" s="14">
        <v>51</v>
      </c>
      <c r="E47" s="14">
        <v>31.5</v>
      </c>
      <c r="F47" s="14">
        <v>42</v>
      </c>
      <c r="G47" s="16">
        <f t="shared" si="14"/>
        <v>1.6190476190476191</v>
      </c>
      <c r="H47" s="16">
        <f t="shared" si="15"/>
        <v>1.2142857142857142</v>
      </c>
      <c r="I47" s="14">
        <f t="shared" si="16"/>
        <v>0.75</v>
      </c>
      <c r="J47" s="13" t="s">
        <v>406</v>
      </c>
      <c r="K47" s="13"/>
      <c r="L47" s="13" t="s">
        <v>137</v>
      </c>
    </row>
    <row r="48" spans="1:12" x14ac:dyDescent="0.15">
      <c r="D48" s="14"/>
      <c r="E48" s="14"/>
      <c r="F48" s="14"/>
      <c r="G48" s="14"/>
      <c r="H48" s="14"/>
      <c r="I48" s="14"/>
    </row>
    <row r="49" spans="1:16" s="13" customFormat="1" ht="45" x14ac:dyDescent="0.2">
      <c r="A49" s="28" t="s">
        <v>190</v>
      </c>
      <c r="B49" s="28" t="s">
        <v>111</v>
      </c>
      <c r="C49" s="28" t="s">
        <v>40</v>
      </c>
      <c r="D49" s="26" t="s">
        <v>381</v>
      </c>
      <c r="E49" s="26" t="s">
        <v>382</v>
      </c>
      <c r="F49" s="26" t="s">
        <v>383</v>
      </c>
      <c r="G49" s="26" t="s">
        <v>253</v>
      </c>
      <c r="H49" s="26" t="s">
        <v>252</v>
      </c>
      <c r="I49" s="26" t="s">
        <v>254</v>
      </c>
      <c r="J49" s="28" t="s">
        <v>400</v>
      </c>
      <c r="K49" s="28" t="s">
        <v>112</v>
      </c>
      <c r="L49" s="28" t="s">
        <v>62</v>
      </c>
    </row>
    <row r="50" spans="1:16" ht="15" x14ac:dyDescent="0.15">
      <c r="B50" s="9" t="s">
        <v>292</v>
      </c>
      <c r="C50" s="8" t="s">
        <v>356</v>
      </c>
      <c r="D50" s="14">
        <v>22.68</v>
      </c>
      <c r="E50" s="14">
        <v>13.87</v>
      </c>
      <c r="F50" s="14">
        <v>17.920000000000002</v>
      </c>
      <c r="G50" s="16">
        <f>D50/E50</f>
        <v>1.6351838500360492</v>
      </c>
      <c r="H50" s="16">
        <f>D50/F50</f>
        <v>1.2656249999999998</v>
      </c>
      <c r="I50" s="16">
        <f>E50/F50</f>
        <v>0.77399553571428559</v>
      </c>
      <c r="J50" s="13" t="s">
        <v>411</v>
      </c>
      <c r="K50" s="13"/>
      <c r="L50" s="13" t="s">
        <v>47</v>
      </c>
    </row>
    <row r="51" spans="1:16" ht="15" x14ac:dyDescent="0.15">
      <c r="B51" s="6" t="s">
        <v>480</v>
      </c>
      <c r="C51" s="8" t="s">
        <v>562</v>
      </c>
      <c r="D51" s="14">
        <v>31.57</v>
      </c>
      <c r="E51" s="14">
        <v>21.99</v>
      </c>
      <c r="F51" s="14">
        <v>22.88</v>
      </c>
      <c r="G51" s="16">
        <f t="shared" ref="G51:G52" si="17">D51/E51</f>
        <v>1.4356525693497044</v>
      </c>
      <c r="H51" s="16">
        <f t="shared" ref="H51:H52" si="18">D51/F51</f>
        <v>1.3798076923076923</v>
      </c>
      <c r="I51" s="16">
        <f t="shared" ref="I51:I52" si="19">E51/F51</f>
        <v>0.96110139860139854</v>
      </c>
      <c r="J51" s="6" t="s">
        <v>440</v>
      </c>
      <c r="K51" s="13"/>
      <c r="L51" s="13" t="s">
        <v>47</v>
      </c>
    </row>
    <row r="52" spans="1:16" ht="30" x14ac:dyDescent="0.15">
      <c r="B52" s="6" t="s">
        <v>481</v>
      </c>
      <c r="C52" s="8" t="s">
        <v>479</v>
      </c>
      <c r="D52" s="14">
        <v>25.09</v>
      </c>
      <c r="E52" s="14">
        <v>15.12</v>
      </c>
      <c r="F52" s="14">
        <v>16.079999999999998</v>
      </c>
      <c r="G52" s="16">
        <f t="shared" si="17"/>
        <v>1.6593915343915344</v>
      </c>
      <c r="H52" s="16">
        <f t="shared" si="18"/>
        <v>1.5603233830845773</v>
      </c>
      <c r="I52" s="16">
        <f t="shared" si="19"/>
        <v>0.94029850746268662</v>
      </c>
      <c r="J52" s="6" t="s">
        <v>440</v>
      </c>
      <c r="K52" s="13" t="s">
        <v>548</v>
      </c>
      <c r="L52" s="13" t="s">
        <v>47</v>
      </c>
    </row>
    <row r="53" spans="1:16" ht="18" customHeight="1" x14ac:dyDescent="0.15">
      <c r="B53" s="6" t="s">
        <v>515</v>
      </c>
      <c r="C53" s="8" t="s">
        <v>514</v>
      </c>
      <c r="D53" s="16">
        <v>36.200000000000003</v>
      </c>
      <c r="E53" s="14">
        <v>24.68</v>
      </c>
      <c r="F53" s="14">
        <v>29.92</v>
      </c>
      <c r="G53" s="16">
        <f t="shared" ref="G53" si="20">D53/E53</f>
        <v>1.4667747163695302</v>
      </c>
      <c r="H53" s="16">
        <f t="shared" ref="H53" si="21">D53/F53</f>
        <v>1.2098930481283423</v>
      </c>
      <c r="I53" s="16">
        <f t="shared" ref="I53" si="22">E53/F53</f>
        <v>0.82486631016042777</v>
      </c>
      <c r="J53" s="13" t="s">
        <v>421</v>
      </c>
      <c r="K53" s="13"/>
      <c r="L53" s="13" t="s">
        <v>47</v>
      </c>
    </row>
    <row r="54" spans="1:16" ht="15" x14ac:dyDescent="0.15">
      <c r="B54" s="6" t="s">
        <v>454</v>
      </c>
      <c r="C54" s="8" t="s">
        <v>41</v>
      </c>
      <c r="D54" s="14">
        <v>47.78</v>
      </c>
      <c r="E54" s="14">
        <v>32.479999999999997</v>
      </c>
      <c r="F54" s="14">
        <v>35.53</v>
      </c>
      <c r="G54" s="16">
        <f>D54/E54</f>
        <v>1.4710591133004929</v>
      </c>
      <c r="H54" s="16">
        <f>D54/F54</f>
        <v>1.3447790599493386</v>
      </c>
      <c r="I54" s="16">
        <f>E54/F54</f>
        <v>0.91415705037996053</v>
      </c>
      <c r="J54" s="13" t="s">
        <v>405</v>
      </c>
      <c r="K54" s="13"/>
      <c r="L54" s="13" t="s">
        <v>47</v>
      </c>
    </row>
    <row r="55" spans="1:16" ht="15" x14ac:dyDescent="0.15">
      <c r="B55" s="6" t="s">
        <v>275</v>
      </c>
      <c r="C55" s="8" t="s">
        <v>41</v>
      </c>
      <c r="D55" s="14">
        <v>53.93</v>
      </c>
      <c r="E55" s="14">
        <v>38.24</v>
      </c>
      <c r="F55" s="14">
        <v>36.799999999999997</v>
      </c>
      <c r="G55" s="16">
        <f>D55/E55</f>
        <v>1.4103033472803346</v>
      </c>
      <c r="H55" s="16">
        <f>D55/F55</f>
        <v>1.4654891304347828</v>
      </c>
      <c r="I55" s="16">
        <f>E55/F55</f>
        <v>1.0391304347826089</v>
      </c>
      <c r="J55" s="13" t="s">
        <v>406</v>
      </c>
      <c r="K55" s="13"/>
      <c r="L55" s="13" t="s">
        <v>47</v>
      </c>
    </row>
    <row r="56" spans="1:16" ht="15" x14ac:dyDescent="0.15">
      <c r="B56" s="6" t="s">
        <v>191</v>
      </c>
      <c r="C56" s="8" t="s">
        <v>105</v>
      </c>
      <c r="D56" s="14">
        <v>50.5</v>
      </c>
      <c r="E56" s="14">
        <v>37</v>
      </c>
      <c r="F56" s="14">
        <v>33.5</v>
      </c>
      <c r="G56" s="16">
        <f>D56/E56</f>
        <v>1.3648648648648649</v>
      </c>
      <c r="H56" s="16">
        <f>D56/F56</f>
        <v>1.5074626865671641</v>
      </c>
      <c r="I56" s="16">
        <f t="shared" ref="I56:I59" si="23">E56/F56</f>
        <v>1.1044776119402986</v>
      </c>
      <c r="J56" s="13" t="s">
        <v>406</v>
      </c>
      <c r="K56" s="13"/>
      <c r="L56" s="13" t="s">
        <v>137</v>
      </c>
    </row>
    <row r="57" spans="1:16" ht="15" x14ac:dyDescent="0.15">
      <c r="B57" s="6" t="s">
        <v>192</v>
      </c>
      <c r="C57" s="8" t="s">
        <v>105</v>
      </c>
      <c r="D57" s="14">
        <v>52</v>
      </c>
      <c r="E57" s="14">
        <v>40</v>
      </c>
      <c r="F57" s="14" t="s">
        <v>197</v>
      </c>
      <c r="G57" s="16">
        <f t="shared" ref="G57:G59" si="24">D57/E57</f>
        <v>1.3</v>
      </c>
      <c r="H57" s="16">
        <f>D57/33</f>
        <v>1.5757575757575757</v>
      </c>
      <c r="I57" s="16">
        <f>E57/33</f>
        <v>1.2121212121212122</v>
      </c>
      <c r="J57" s="13" t="s">
        <v>406</v>
      </c>
      <c r="K57" s="13" t="s">
        <v>415</v>
      </c>
      <c r="L57" s="13" t="s">
        <v>137</v>
      </c>
    </row>
    <row r="58" spans="1:16" ht="15" x14ac:dyDescent="0.15">
      <c r="B58" s="6" t="s">
        <v>193</v>
      </c>
      <c r="C58" s="8" t="s">
        <v>105</v>
      </c>
      <c r="D58" s="14">
        <v>49</v>
      </c>
      <c r="E58" s="14">
        <v>34</v>
      </c>
      <c r="F58" s="14">
        <v>26</v>
      </c>
      <c r="G58" s="16">
        <f t="shared" si="24"/>
        <v>1.4411764705882353</v>
      </c>
      <c r="H58" s="16">
        <f t="shared" ref="H58:H59" si="25">D58/F58</f>
        <v>1.8846153846153846</v>
      </c>
      <c r="I58" s="16">
        <f t="shared" si="23"/>
        <v>1.3076923076923077</v>
      </c>
      <c r="J58" s="13" t="s">
        <v>406</v>
      </c>
      <c r="K58" s="13"/>
      <c r="L58" s="13" t="s">
        <v>137</v>
      </c>
    </row>
    <row r="59" spans="1:16" ht="15" x14ac:dyDescent="0.15">
      <c r="B59" s="6" t="s">
        <v>194</v>
      </c>
      <c r="C59" s="8" t="s">
        <v>105</v>
      </c>
      <c r="D59" s="14">
        <v>50</v>
      </c>
      <c r="E59" s="14">
        <v>36</v>
      </c>
      <c r="F59" s="14">
        <v>34</v>
      </c>
      <c r="G59" s="16">
        <f t="shared" si="24"/>
        <v>1.3888888888888888</v>
      </c>
      <c r="H59" s="16">
        <f t="shared" si="25"/>
        <v>1.4705882352941178</v>
      </c>
      <c r="I59" s="16">
        <f t="shared" si="23"/>
        <v>1.0588235294117647</v>
      </c>
      <c r="J59" s="13" t="s">
        <v>406</v>
      </c>
      <c r="K59" s="13"/>
      <c r="L59" s="13" t="s">
        <v>137</v>
      </c>
    </row>
    <row r="60" spans="1:16" x14ac:dyDescent="0.15">
      <c r="D60" s="14"/>
      <c r="E60" s="14"/>
      <c r="F60" s="14"/>
      <c r="G60" s="14"/>
      <c r="H60" s="14"/>
      <c r="I60" s="14"/>
    </row>
    <row r="61" spans="1:16" s="13" customFormat="1" ht="45" x14ac:dyDescent="0.2">
      <c r="A61" s="28" t="s">
        <v>198</v>
      </c>
      <c r="B61" s="28" t="s">
        <v>111</v>
      </c>
      <c r="C61" s="28" t="s">
        <v>40</v>
      </c>
      <c r="D61" s="26" t="s">
        <v>381</v>
      </c>
      <c r="E61" s="26" t="s">
        <v>382</v>
      </c>
      <c r="F61" s="26" t="s">
        <v>383</v>
      </c>
      <c r="G61" s="26" t="s">
        <v>253</v>
      </c>
      <c r="H61" s="26" t="s">
        <v>252</v>
      </c>
      <c r="I61" s="26" t="s">
        <v>254</v>
      </c>
      <c r="J61" s="28" t="s">
        <v>400</v>
      </c>
      <c r="K61" s="28" t="s">
        <v>112</v>
      </c>
      <c r="L61" s="28" t="s">
        <v>62</v>
      </c>
    </row>
    <row r="62" spans="1:16" ht="15" x14ac:dyDescent="0.15">
      <c r="B62" s="9" t="s">
        <v>292</v>
      </c>
      <c r="C62" s="8" t="s">
        <v>356</v>
      </c>
      <c r="D62" s="14">
        <v>19.03</v>
      </c>
      <c r="E62" s="16">
        <v>15.4</v>
      </c>
      <c r="F62" s="14">
        <v>15.32</v>
      </c>
      <c r="G62" s="16">
        <f>D62/E62</f>
        <v>1.2357142857142858</v>
      </c>
      <c r="H62" s="16">
        <f>D62/F62</f>
        <v>1.2421671018276763</v>
      </c>
      <c r="I62" s="16">
        <f>E62/F62</f>
        <v>1.0052219321148825</v>
      </c>
      <c r="J62" s="13" t="s">
        <v>411</v>
      </c>
      <c r="K62" s="13"/>
      <c r="L62" s="13" t="s">
        <v>47</v>
      </c>
    </row>
    <row r="63" spans="1:16" ht="15" x14ac:dyDescent="0.15">
      <c r="B63" s="6" t="s">
        <v>544</v>
      </c>
      <c r="C63" s="8" t="s">
        <v>526</v>
      </c>
      <c r="D63" s="16">
        <v>16.3</v>
      </c>
      <c r="E63" s="14">
        <v>13.34</v>
      </c>
      <c r="F63" s="14">
        <v>15.61</v>
      </c>
      <c r="G63" s="16">
        <f>D63/E63</f>
        <v>1.2218890554722639</v>
      </c>
      <c r="H63" s="16">
        <f>D63/F63</f>
        <v>1.0442024343369636</v>
      </c>
      <c r="I63" s="16">
        <f>E63/F63</f>
        <v>0.85458039718129408</v>
      </c>
      <c r="J63" s="13" t="s">
        <v>424</v>
      </c>
      <c r="K63" s="13"/>
      <c r="L63" s="13" t="s">
        <v>47</v>
      </c>
      <c r="M63" s="14"/>
      <c r="N63" s="14"/>
      <c r="O63" s="16"/>
      <c r="P63" s="16"/>
    </row>
    <row r="64" spans="1:16" ht="15" x14ac:dyDescent="0.15">
      <c r="B64" s="6" t="s">
        <v>487</v>
      </c>
      <c r="C64" s="8" t="s">
        <v>467</v>
      </c>
      <c r="D64" s="16">
        <v>23.2</v>
      </c>
      <c r="E64" s="14">
        <v>19.14</v>
      </c>
      <c r="F64" s="14">
        <v>24.01</v>
      </c>
      <c r="G64" s="16">
        <f>D64/E64</f>
        <v>1.2121212121212122</v>
      </c>
      <c r="H64" s="16">
        <f>D64/F64</f>
        <v>0.96626405664306525</v>
      </c>
      <c r="I64" s="16">
        <f>E64/F64</f>
        <v>0.79716784673052887</v>
      </c>
      <c r="J64" s="13" t="s">
        <v>413</v>
      </c>
      <c r="K64" s="13"/>
      <c r="L64" s="13" t="s">
        <v>47</v>
      </c>
    </row>
    <row r="65" spans="1:23" ht="15" x14ac:dyDescent="0.15">
      <c r="B65" s="6" t="s">
        <v>535</v>
      </c>
      <c r="C65" s="8" t="s">
        <v>43</v>
      </c>
      <c r="D65" s="14">
        <v>21.88</v>
      </c>
      <c r="E65" s="16">
        <v>18.73</v>
      </c>
      <c r="F65" s="14">
        <v>22.38</v>
      </c>
      <c r="G65" s="16">
        <f>D65/E65</f>
        <v>1.1681793913507741</v>
      </c>
      <c r="H65" s="16">
        <f>D65/F65</f>
        <v>0.97765862377122426</v>
      </c>
      <c r="I65" s="16">
        <f>E65/F65</f>
        <v>0.83690795352993752</v>
      </c>
      <c r="J65" s="13" t="s">
        <v>413</v>
      </c>
      <c r="K65" s="13"/>
      <c r="L65" s="13" t="s">
        <v>47</v>
      </c>
    </row>
    <row r="66" spans="1:23" ht="15" x14ac:dyDescent="0.15">
      <c r="B66" s="6" t="s">
        <v>454</v>
      </c>
      <c r="C66" s="8" t="s">
        <v>41</v>
      </c>
      <c r="D66" s="14">
        <v>43.41</v>
      </c>
      <c r="E66" s="16">
        <v>35.96</v>
      </c>
      <c r="F66" s="14">
        <v>36.840000000000003</v>
      </c>
      <c r="G66" s="16">
        <f>D66/E66</f>
        <v>1.207174638487208</v>
      </c>
      <c r="H66" s="16">
        <f>D66/F66</f>
        <v>1.1783387622149835</v>
      </c>
      <c r="I66" s="16">
        <f>E66/F66</f>
        <v>0.97611292073832778</v>
      </c>
      <c r="J66" s="13" t="s">
        <v>405</v>
      </c>
      <c r="K66" s="13"/>
      <c r="L66" s="13" t="s">
        <v>47</v>
      </c>
    </row>
    <row r="67" spans="1:23" ht="15" x14ac:dyDescent="0.15">
      <c r="B67" s="6" t="s">
        <v>199</v>
      </c>
      <c r="C67" s="8" t="s">
        <v>105</v>
      </c>
      <c r="D67" s="14">
        <v>42</v>
      </c>
      <c r="E67" s="14" t="s">
        <v>201</v>
      </c>
      <c r="F67" s="14" t="s">
        <v>170</v>
      </c>
      <c r="G67" s="16">
        <f>D67/35.5</f>
        <v>1.1830985915492958</v>
      </c>
      <c r="H67" s="16">
        <f>D67/37</f>
        <v>1.1351351351351351</v>
      </c>
      <c r="I67" s="16">
        <f>35.5/37</f>
        <v>0.95945945945945943</v>
      </c>
      <c r="J67" s="13" t="s">
        <v>406</v>
      </c>
      <c r="K67" s="13" t="s">
        <v>415</v>
      </c>
      <c r="L67" s="13" t="s">
        <v>137</v>
      </c>
    </row>
    <row r="68" spans="1:23" ht="15" x14ac:dyDescent="0.15">
      <c r="B68" s="6" t="s">
        <v>200</v>
      </c>
      <c r="C68" s="8" t="s">
        <v>105</v>
      </c>
      <c r="D68" s="14">
        <v>43</v>
      </c>
      <c r="E68" s="14" t="s">
        <v>202</v>
      </c>
      <c r="F68" s="14"/>
      <c r="G68" s="16">
        <f>D68/31</f>
        <v>1.3870967741935485</v>
      </c>
      <c r="H68" s="16"/>
      <c r="I68" s="16"/>
      <c r="J68" s="13" t="s">
        <v>406</v>
      </c>
      <c r="K68" s="13" t="s">
        <v>415</v>
      </c>
      <c r="L68" s="13" t="s">
        <v>137</v>
      </c>
    </row>
    <row r="69" spans="1:23" x14ac:dyDescent="0.15">
      <c r="C69" s="8"/>
    </row>
    <row r="70" spans="1:23" s="13" customFormat="1" ht="45" x14ac:dyDescent="0.2">
      <c r="A70" s="28" t="s">
        <v>203</v>
      </c>
      <c r="B70" s="28" t="s">
        <v>111</v>
      </c>
      <c r="C70" s="28" t="s">
        <v>40</v>
      </c>
      <c r="D70" s="26" t="s">
        <v>381</v>
      </c>
      <c r="E70" s="26" t="s">
        <v>382</v>
      </c>
      <c r="F70" s="26" t="s">
        <v>383</v>
      </c>
      <c r="G70" s="26" t="s">
        <v>253</v>
      </c>
      <c r="H70" s="26" t="s">
        <v>252</v>
      </c>
      <c r="I70" s="26" t="s">
        <v>254</v>
      </c>
      <c r="J70" s="28" t="s">
        <v>400</v>
      </c>
      <c r="K70" s="28" t="s">
        <v>112</v>
      </c>
      <c r="L70" s="28" t="s">
        <v>62</v>
      </c>
    </row>
    <row r="71" spans="1:23" ht="15" x14ac:dyDescent="0.15">
      <c r="B71" s="9" t="s">
        <v>293</v>
      </c>
      <c r="C71" s="8" t="s">
        <v>356</v>
      </c>
      <c r="D71" s="14">
        <v>20.28</v>
      </c>
      <c r="E71" s="14">
        <v>16.53</v>
      </c>
      <c r="F71" s="14">
        <v>15.04</v>
      </c>
      <c r="G71" s="16">
        <f>D71/E71</f>
        <v>1.2268602540834845</v>
      </c>
      <c r="H71" s="16">
        <f>D71/F71</f>
        <v>1.3484042553191491</v>
      </c>
      <c r="I71" s="16">
        <f>E71/F71</f>
        <v>1.0990691489361704</v>
      </c>
      <c r="J71" s="13" t="s">
        <v>411</v>
      </c>
      <c r="K71" s="13"/>
      <c r="L71" s="6" t="s">
        <v>47</v>
      </c>
    </row>
    <row r="72" spans="1:23" customFormat="1" ht="30" x14ac:dyDescent="0.2">
      <c r="A72" s="6"/>
      <c r="B72" s="6" t="s">
        <v>547</v>
      </c>
      <c r="C72" s="8" t="s">
        <v>86</v>
      </c>
      <c r="D72" s="14">
        <v>20.010000000000002</v>
      </c>
      <c r="E72" s="16">
        <v>19.55</v>
      </c>
      <c r="F72" s="16">
        <v>17.600000000000001</v>
      </c>
      <c r="G72" s="16">
        <f t="shared" ref="G72:G73" si="26">D72/E72</f>
        <v>1.023529411764706</v>
      </c>
      <c r="H72" s="16">
        <f t="shared" ref="H72:H73" si="27">D72/F72</f>
        <v>1.1369318181818182</v>
      </c>
      <c r="I72" s="16">
        <f t="shared" ref="I72:I73" si="28">E72/F72</f>
        <v>1.1107954545454546</v>
      </c>
      <c r="J72" s="13" t="s">
        <v>423</v>
      </c>
      <c r="L72" s="13" t="s">
        <v>47</v>
      </c>
      <c r="M72" s="27"/>
      <c r="N72" s="14"/>
      <c r="O72" s="16"/>
      <c r="P72" s="16"/>
      <c r="Q72" s="16"/>
      <c r="R72" s="16"/>
      <c r="S72" s="16"/>
      <c r="T72" s="16"/>
      <c r="U72" s="6"/>
      <c r="V72" s="6"/>
      <c r="W72" s="6"/>
    </row>
    <row r="73" spans="1:23" customFormat="1" ht="61" x14ac:dyDescent="0.2">
      <c r="A73" s="6"/>
      <c r="B73" s="6" t="s">
        <v>546</v>
      </c>
      <c r="C73" s="8" t="s">
        <v>86</v>
      </c>
      <c r="D73" s="14">
        <v>20.18</v>
      </c>
      <c r="E73" s="16">
        <v>20.5</v>
      </c>
      <c r="F73" s="14">
        <v>16.43</v>
      </c>
      <c r="G73" s="16">
        <f t="shared" si="26"/>
        <v>0.98439024390243901</v>
      </c>
      <c r="H73" s="16">
        <f t="shared" si="27"/>
        <v>1.2282410225197808</v>
      </c>
      <c r="I73" s="16">
        <f t="shared" si="28"/>
        <v>1.2477175897748023</v>
      </c>
      <c r="J73" s="13" t="s">
        <v>423</v>
      </c>
      <c r="K73" s="44" t="s">
        <v>525</v>
      </c>
      <c r="L73" s="13" t="s">
        <v>47</v>
      </c>
      <c r="M73" s="27"/>
      <c r="N73" s="14"/>
      <c r="O73" s="16"/>
      <c r="P73" s="16"/>
      <c r="Q73" s="16"/>
      <c r="R73" s="16"/>
      <c r="S73" s="16"/>
      <c r="T73" s="16"/>
      <c r="U73" s="6"/>
      <c r="V73" s="6"/>
      <c r="W73" s="6"/>
    </row>
    <row r="74" spans="1:23" ht="15" x14ac:dyDescent="0.15">
      <c r="B74" s="6" t="s">
        <v>494</v>
      </c>
      <c r="C74" s="8" t="s">
        <v>467</v>
      </c>
      <c r="D74" s="14">
        <v>29.09</v>
      </c>
      <c r="E74" s="14">
        <v>26.49</v>
      </c>
      <c r="F74" s="14">
        <v>19.52</v>
      </c>
      <c r="G74" s="16">
        <f t="shared" ref="G74:G75" si="29">D74/E74</f>
        <v>1.0981502453756136</v>
      </c>
      <c r="H74" s="16">
        <f t="shared" ref="H74:H75" si="30">D74/F74</f>
        <v>1.490266393442623</v>
      </c>
      <c r="I74" s="16">
        <f t="shared" ref="I74:I75" si="31">E74/F74</f>
        <v>1.3570696721311475</v>
      </c>
      <c r="J74" s="13" t="s">
        <v>413</v>
      </c>
      <c r="K74" s="13"/>
      <c r="L74" s="13" t="s">
        <v>47</v>
      </c>
    </row>
    <row r="75" spans="1:23" ht="15" x14ac:dyDescent="0.15">
      <c r="B75" s="6" t="s">
        <v>495</v>
      </c>
      <c r="C75" s="8" t="s">
        <v>467</v>
      </c>
      <c r="D75" s="14">
        <v>27.07</v>
      </c>
      <c r="E75" s="14">
        <v>26.09</v>
      </c>
      <c r="F75" s="14">
        <v>19.12</v>
      </c>
      <c r="G75" s="16">
        <f t="shared" si="29"/>
        <v>1.0375622844001533</v>
      </c>
      <c r="H75" s="16">
        <f t="shared" si="30"/>
        <v>1.4157949790794979</v>
      </c>
      <c r="I75" s="16">
        <f t="shared" si="31"/>
        <v>1.3645397489539748</v>
      </c>
      <c r="J75" s="13" t="s">
        <v>413</v>
      </c>
      <c r="K75" s="13"/>
      <c r="L75" s="13" t="s">
        <v>47</v>
      </c>
    </row>
    <row r="76" spans="1:23" ht="15" x14ac:dyDescent="0.15">
      <c r="B76" s="6" t="s">
        <v>487</v>
      </c>
      <c r="C76" s="8" t="s">
        <v>467</v>
      </c>
      <c r="D76" s="14">
        <v>27.98</v>
      </c>
      <c r="E76" s="14">
        <v>24.32</v>
      </c>
      <c r="F76" s="14">
        <v>19.39</v>
      </c>
      <c r="G76" s="16">
        <f>D76/E76</f>
        <v>1.1504934210526316</v>
      </c>
      <c r="H76" s="16">
        <f>D76/F76</f>
        <v>1.443011861784425</v>
      </c>
      <c r="I76" s="16">
        <f>E76/F76</f>
        <v>1.2542547705002578</v>
      </c>
      <c r="J76" s="13" t="s">
        <v>413</v>
      </c>
      <c r="K76" s="13"/>
      <c r="L76" s="13" t="s">
        <v>47</v>
      </c>
    </row>
    <row r="77" spans="1:23" ht="15" x14ac:dyDescent="0.15">
      <c r="B77" s="6" t="s">
        <v>536</v>
      </c>
      <c r="C77" s="8" t="s">
        <v>507</v>
      </c>
      <c r="D77" s="14">
        <v>24.68</v>
      </c>
      <c r="E77" s="14">
        <v>22.77</v>
      </c>
      <c r="F77" s="14">
        <v>17.149999999999999</v>
      </c>
      <c r="G77" s="16">
        <f>D77/E77</f>
        <v>1.0838823012736056</v>
      </c>
      <c r="H77" s="16">
        <f>D77/F77</f>
        <v>1.439067055393586</v>
      </c>
      <c r="I77" s="16">
        <f>E77/F77</f>
        <v>1.3276967930029155</v>
      </c>
      <c r="J77" s="13" t="s">
        <v>413</v>
      </c>
      <c r="K77" s="13"/>
      <c r="L77" s="13" t="s">
        <v>47</v>
      </c>
    </row>
    <row r="78" spans="1:23" ht="15" x14ac:dyDescent="0.15">
      <c r="B78" s="6" t="s">
        <v>454</v>
      </c>
      <c r="C78" s="8" t="s">
        <v>41</v>
      </c>
      <c r="D78" s="14">
        <v>44.54</v>
      </c>
      <c r="E78" s="14">
        <v>41.42</v>
      </c>
      <c r="F78" s="14">
        <v>31.35</v>
      </c>
      <c r="G78" s="16">
        <f>D78/E78</f>
        <v>1.0753259295026556</v>
      </c>
      <c r="H78" s="16">
        <f>D78/F78</f>
        <v>1.4207336523125995</v>
      </c>
      <c r="I78" s="16">
        <f>E78/F78</f>
        <v>1.3212121212121213</v>
      </c>
      <c r="J78" s="13" t="s">
        <v>405</v>
      </c>
      <c r="K78" s="13"/>
      <c r="L78" s="13" t="s">
        <v>47</v>
      </c>
    </row>
    <row r="79" spans="1:23" ht="15" x14ac:dyDescent="0.15">
      <c r="B79" s="6" t="s">
        <v>204</v>
      </c>
      <c r="C79" s="8" t="s">
        <v>105</v>
      </c>
      <c r="D79" s="14">
        <v>45</v>
      </c>
      <c r="E79" s="14" t="s">
        <v>170</v>
      </c>
      <c r="F79" s="14" t="s">
        <v>208</v>
      </c>
      <c r="G79" s="16">
        <f>D79/37</f>
        <v>1.2162162162162162</v>
      </c>
      <c r="H79" s="16">
        <f>D79/34</f>
        <v>1.3235294117647058</v>
      </c>
      <c r="I79" s="16">
        <f>37/34</f>
        <v>1.088235294117647</v>
      </c>
      <c r="J79" s="13" t="s">
        <v>406</v>
      </c>
      <c r="K79" s="13" t="s">
        <v>415</v>
      </c>
      <c r="L79" s="6" t="s">
        <v>137</v>
      </c>
    </row>
    <row r="80" spans="1:23" ht="15" x14ac:dyDescent="0.15">
      <c r="B80" s="6" t="s">
        <v>205</v>
      </c>
      <c r="C80" s="8" t="s">
        <v>105</v>
      </c>
      <c r="D80" s="14">
        <v>45</v>
      </c>
      <c r="E80" s="14" t="s">
        <v>170</v>
      </c>
      <c r="F80" s="14" t="s">
        <v>209</v>
      </c>
      <c r="G80" s="16">
        <f>D80/37</f>
        <v>1.2162162162162162</v>
      </c>
      <c r="H80" s="16">
        <f>D80/34.5</f>
        <v>1.3043478260869565</v>
      </c>
      <c r="I80" s="16">
        <f>37/34.5</f>
        <v>1.0724637681159421</v>
      </c>
      <c r="J80" s="13" t="s">
        <v>406</v>
      </c>
      <c r="K80" s="13" t="s">
        <v>415</v>
      </c>
      <c r="L80" s="6" t="s">
        <v>137</v>
      </c>
    </row>
    <row r="81" spans="2:12" ht="15" x14ac:dyDescent="0.15">
      <c r="B81" s="6" t="s">
        <v>206</v>
      </c>
      <c r="C81" s="8" t="s">
        <v>105</v>
      </c>
      <c r="D81" s="14">
        <v>45</v>
      </c>
      <c r="E81" s="14" t="s">
        <v>207</v>
      </c>
      <c r="F81" s="14">
        <v>34</v>
      </c>
      <c r="G81" s="16">
        <f>D81/35</f>
        <v>1.2857142857142858</v>
      </c>
      <c r="H81" s="16">
        <f>D81/34</f>
        <v>1.3235294117647058</v>
      </c>
      <c r="I81" s="16">
        <f>35/34</f>
        <v>1.0294117647058822</v>
      </c>
      <c r="J81" s="13" t="s">
        <v>406</v>
      </c>
      <c r="K81" s="13" t="s">
        <v>415</v>
      </c>
      <c r="L81" s="6" t="s">
        <v>137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CC7C7-0768-0245-99EE-D5765133F429}">
  <dimension ref="A1:W54"/>
  <sheetViews>
    <sheetView zoomScale="99" zoomScaleNormal="110" workbookViewId="0">
      <selection activeCell="W32" sqref="W32"/>
    </sheetView>
  </sheetViews>
  <sheetFormatPr baseColWidth="10" defaultRowHeight="14" x14ac:dyDescent="0.15"/>
  <cols>
    <col min="1" max="1" width="10.83203125" style="6"/>
    <col min="2" max="2" width="27.6640625" style="6" customWidth="1"/>
    <col min="3" max="3" width="26.6640625" style="6" customWidth="1"/>
    <col min="4" max="4" width="14.6640625" style="6" customWidth="1"/>
    <col min="5" max="5" width="15" style="6" customWidth="1"/>
    <col min="6" max="6" width="16" style="6" customWidth="1"/>
    <col min="7" max="7" width="14.6640625" style="6" customWidth="1"/>
    <col min="8" max="8" width="13.33203125" style="6" customWidth="1"/>
    <col min="9" max="9" width="16.33203125" style="6" customWidth="1"/>
    <col min="10" max="10" width="13.5" style="6" customWidth="1"/>
    <col min="11" max="11" width="15.1640625" style="6" customWidth="1"/>
    <col min="12" max="12" width="13.6640625" style="6" customWidth="1"/>
    <col min="13" max="13" width="15" style="6" customWidth="1"/>
    <col min="14" max="14" width="14" style="6" customWidth="1"/>
    <col min="15" max="15" width="14.5" style="6" customWidth="1"/>
    <col min="16" max="16" width="23" style="6" customWidth="1"/>
    <col min="17" max="17" width="22.6640625" style="6" customWidth="1"/>
    <col min="18" max="18" width="26.5" style="6" customWidth="1"/>
    <col min="19" max="19" width="31.1640625" style="6" customWidth="1"/>
    <col min="20" max="20" width="33" style="6" customWidth="1"/>
    <col min="21" max="21" width="46.1640625" style="6" customWidth="1"/>
    <col min="22" max="22" width="55.33203125" style="6" customWidth="1"/>
    <col min="23" max="23" width="29.1640625" style="6" customWidth="1"/>
    <col min="24" max="16384" width="10.83203125" style="6"/>
  </cols>
  <sheetData>
    <row r="1" spans="1:23" s="5" customFormat="1" ht="17" thickBot="1" x14ac:dyDescent="0.25">
      <c r="A1" s="4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23" ht="17" thickTop="1" x14ac:dyDescent="0.2">
      <c r="B2" s="3"/>
      <c r="C2" s="3"/>
      <c r="D2" s="3"/>
      <c r="E2" s="3"/>
      <c r="F2" s="3"/>
      <c r="G2" s="3"/>
      <c r="H2" s="3"/>
      <c r="I2" s="3"/>
      <c r="J2" s="3"/>
    </row>
    <row r="3" spans="1:23" s="34" customFormat="1" ht="60" x14ac:dyDescent="0.2">
      <c r="A3" s="31" t="s">
        <v>5</v>
      </c>
      <c r="B3" s="31" t="s">
        <v>111</v>
      </c>
      <c r="C3" s="31" t="s">
        <v>40</v>
      </c>
      <c r="D3" s="26" t="s">
        <v>99</v>
      </c>
      <c r="E3" s="26" t="s">
        <v>384</v>
      </c>
      <c r="F3" s="26" t="s">
        <v>385</v>
      </c>
      <c r="G3" s="26" t="s">
        <v>386</v>
      </c>
      <c r="H3" s="26" t="s">
        <v>387</v>
      </c>
      <c r="I3" s="26" t="s">
        <v>388</v>
      </c>
      <c r="J3" s="26" t="s">
        <v>367</v>
      </c>
      <c r="K3" s="26" t="s">
        <v>389</v>
      </c>
      <c r="L3" s="26" t="s">
        <v>364</v>
      </c>
      <c r="M3" s="26" t="s">
        <v>470</v>
      </c>
      <c r="N3" s="26" t="s">
        <v>471</v>
      </c>
      <c r="O3" s="26" t="s">
        <v>100</v>
      </c>
      <c r="P3" s="26" t="s">
        <v>259</v>
      </c>
      <c r="Q3" s="26" t="s">
        <v>260</v>
      </c>
      <c r="R3" s="26" t="s">
        <v>261</v>
      </c>
      <c r="S3" s="31" t="s">
        <v>442</v>
      </c>
      <c r="T3" s="31" t="s">
        <v>441</v>
      </c>
      <c r="U3" s="31" t="s">
        <v>400</v>
      </c>
      <c r="V3" s="31" t="s">
        <v>112</v>
      </c>
      <c r="W3" s="31" t="s">
        <v>62</v>
      </c>
    </row>
    <row r="4" spans="1:23" ht="15" x14ac:dyDescent="0.15">
      <c r="B4" s="9" t="s">
        <v>293</v>
      </c>
      <c r="C4" s="8" t="s">
        <v>356</v>
      </c>
      <c r="D4" s="14">
        <v>106.79</v>
      </c>
      <c r="E4" s="14" t="s">
        <v>120</v>
      </c>
      <c r="F4" s="14" t="s">
        <v>117</v>
      </c>
      <c r="G4" s="14">
        <v>14.74</v>
      </c>
      <c r="H4" s="14">
        <v>18.25</v>
      </c>
      <c r="I4" s="14" t="s">
        <v>121</v>
      </c>
      <c r="J4" s="14" t="s">
        <v>118</v>
      </c>
      <c r="K4" s="14" t="s">
        <v>119</v>
      </c>
      <c r="L4" s="14">
        <v>19.48</v>
      </c>
      <c r="M4" s="14">
        <v>13.28</v>
      </c>
      <c r="N4" s="14">
        <v>13.89</v>
      </c>
      <c r="O4" s="16">
        <f t="shared" ref="O4:O10" si="0">L4/D4</f>
        <v>0.18241408371570372</v>
      </c>
      <c r="P4" s="16" t="s">
        <v>262</v>
      </c>
      <c r="Q4" s="16" t="s">
        <v>263</v>
      </c>
      <c r="R4" s="16" t="s">
        <v>265</v>
      </c>
      <c r="S4" s="16">
        <f>M4/D4</f>
        <v>0.12435621312857008</v>
      </c>
      <c r="T4" s="16">
        <f>N4/D4</f>
        <v>0.13006835846053</v>
      </c>
      <c r="U4" s="13" t="s">
        <v>401</v>
      </c>
      <c r="V4" s="13" t="s">
        <v>264</v>
      </c>
      <c r="W4" s="13" t="s">
        <v>47</v>
      </c>
    </row>
    <row r="5" spans="1:23" customFormat="1" ht="15" x14ac:dyDescent="0.2">
      <c r="A5" s="6"/>
      <c r="B5" s="6" t="s">
        <v>522</v>
      </c>
      <c r="C5" s="8" t="s">
        <v>86</v>
      </c>
      <c r="D5" s="14">
        <v>115.61</v>
      </c>
      <c r="E5" s="16">
        <v>16.100000000000001</v>
      </c>
      <c r="F5" s="14">
        <v>14.84</v>
      </c>
      <c r="G5" s="14">
        <v>16.850000000000001</v>
      </c>
      <c r="H5" s="14">
        <v>18.41</v>
      </c>
      <c r="I5" s="16">
        <v>23.1</v>
      </c>
      <c r="J5" s="14">
        <v>20.71</v>
      </c>
      <c r="K5" s="14">
        <v>20.39</v>
      </c>
      <c r="L5" s="16">
        <v>20.350000000000001</v>
      </c>
      <c r="M5" s="27">
        <v>14.12</v>
      </c>
      <c r="N5" s="14">
        <v>14.34</v>
      </c>
      <c r="O5" s="16">
        <f>L5/D5</f>
        <v>0.17602283539486205</v>
      </c>
      <c r="P5" s="16">
        <f t="shared" ref="P5:P10" si="1">K5/D5</f>
        <v>0.176368826226105</v>
      </c>
      <c r="Q5" s="16">
        <f t="shared" ref="Q5:Q10" si="2">J5/D5</f>
        <v>0.1791367528760488</v>
      </c>
      <c r="R5" s="16">
        <f t="shared" ref="R5:R10" si="3">I5/D5</f>
        <v>0.19980970504281637</v>
      </c>
      <c r="S5" s="16">
        <f>M5/D5</f>
        <v>0.12213476342876912</v>
      </c>
      <c r="T5" s="16">
        <f>N5/D5</f>
        <v>0.12403771300060548</v>
      </c>
      <c r="U5" s="13" t="s">
        <v>423</v>
      </c>
      <c r="W5" s="13" t="s">
        <v>47</v>
      </c>
    </row>
    <row r="6" spans="1:23" ht="15" x14ac:dyDescent="0.15">
      <c r="B6" s="6" t="s">
        <v>536</v>
      </c>
      <c r="C6" s="8" t="s">
        <v>43</v>
      </c>
      <c r="D6" s="14">
        <v>122.31</v>
      </c>
      <c r="E6" s="14">
        <v>19.07</v>
      </c>
      <c r="F6" s="14">
        <v>18.03</v>
      </c>
      <c r="G6" s="14">
        <v>19.350000000000001</v>
      </c>
      <c r="H6" s="14">
        <v>21.54</v>
      </c>
      <c r="I6" s="14">
        <v>26.56</v>
      </c>
      <c r="J6" s="14">
        <v>21.28</v>
      </c>
      <c r="K6" s="14">
        <v>23.77</v>
      </c>
      <c r="L6" s="14">
        <v>23.05</v>
      </c>
      <c r="M6" s="14">
        <v>16.14</v>
      </c>
      <c r="N6" s="14">
        <v>15.65</v>
      </c>
      <c r="O6" s="16">
        <f t="shared" si="0"/>
        <v>0.18845556373150193</v>
      </c>
      <c r="P6" s="16">
        <f t="shared" si="1"/>
        <v>0.19434224511487205</v>
      </c>
      <c r="Q6" s="16">
        <f t="shared" si="2"/>
        <v>0.17398413866405038</v>
      </c>
      <c r="R6" s="16">
        <f t="shared" si="3"/>
        <v>0.21715313547543127</v>
      </c>
      <c r="S6" s="16">
        <f>M6/D6</f>
        <v>0.13195977434388032</v>
      </c>
      <c r="T6" s="16">
        <f>N6/D6</f>
        <v>0.1279535606246423</v>
      </c>
      <c r="U6" s="13" t="s">
        <v>402</v>
      </c>
      <c r="W6" s="13" t="s">
        <v>47</v>
      </c>
    </row>
    <row r="7" spans="1:23" ht="15" x14ac:dyDescent="0.15">
      <c r="B7" s="6" t="s">
        <v>57</v>
      </c>
      <c r="C7" s="8" t="s">
        <v>537</v>
      </c>
      <c r="D7" s="14">
        <v>130</v>
      </c>
      <c r="E7" s="14"/>
      <c r="G7" s="14"/>
      <c r="H7" s="14"/>
      <c r="I7" s="14">
        <v>26</v>
      </c>
      <c r="J7" s="14">
        <v>26</v>
      </c>
      <c r="K7" s="14">
        <v>26</v>
      </c>
      <c r="L7" s="14">
        <v>24</v>
      </c>
      <c r="M7" s="14"/>
      <c r="N7" s="14"/>
      <c r="O7" s="16">
        <f t="shared" si="0"/>
        <v>0.18461538461538463</v>
      </c>
      <c r="P7" s="16">
        <f t="shared" si="1"/>
        <v>0.2</v>
      </c>
      <c r="Q7" s="16">
        <f t="shared" si="2"/>
        <v>0.2</v>
      </c>
      <c r="R7" s="16">
        <f t="shared" si="3"/>
        <v>0.2</v>
      </c>
      <c r="S7" s="16"/>
      <c r="T7" s="16"/>
      <c r="U7" s="13" t="s">
        <v>402</v>
      </c>
      <c r="V7" s="13"/>
      <c r="W7" s="13" t="s">
        <v>49</v>
      </c>
    </row>
    <row r="8" spans="1:23" ht="15" x14ac:dyDescent="0.15">
      <c r="B8" s="6" t="s">
        <v>6</v>
      </c>
      <c r="C8" s="6" t="s">
        <v>0</v>
      </c>
      <c r="D8" s="14">
        <v>136.06</v>
      </c>
      <c r="E8" s="14">
        <v>20.16</v>
      </c>
      <c r="F8" s="14">
        <v>15.45</v>
      </c>
      <c r="G8" s="14">
        <v>15.98</v>
      </c>
      <c r="H8" s="14">
        <v>17.170000000000002</v>
      </c>
      <c r="I8" s="14">
        <v>30</v>
      </c>
      <c r="J8" s="14">
        <v>19.190000000000001</v>
      </c>
      <c r="K8" s="14">
        <v>22.14</v>
      </c>
      <c r="L8" s="14">
        <v>21.9</v>
      </c>
      <c r="M8" s="14">
        <v>17.23</v>
      </c>
      <c r="N8" s="14">
        <v>15.25</v>
      </c>
      <c r="O8" s="16">
        <f t="shared" si="0"/>
        <v>0.16095840070557105</v>
      </c>
      <c r="P8" s="16">
        <f t="shared" si="1"/>
        <v>0.16272232838453624</v>
      </c>
      <c r="Q8" s="16">
        <f t="shared" si="2"/>
        <v>0.14104071733058945</v>
      </c>
      <c r="R8" s="16">
        <f t="shared" si="3"/>
        <v>0.22049095987064529</v>
      </c>
      <c r="S8" s="16">
        <f>M8/D8</f>
        <v>0.12663530795237396</v>
      </c>
      <c r="T8" s="16">
        <f>N8/D8</f>
        <v>0.11208290460091136</v>
      </c>
      <c r="U8" s="13" t="s">
        <v>403</v>
      </c>
      <c r="V8" s="13"/>
      <c r="W8" s="13" t="s">
        <v>48</v>
      </c>
    </row>
    <row r="9" spans="1:23" ht="15" x14ac:dyDescent="0.15">
      <c r="B9" s="6" t="s">
        <v>7</v>
      </c>
      <c r="C9" s="6" t="s">
        <v>0</v>
      </c>
      <c r="D9" s="14">
        <v>145.12</v>
      </c>
      <c r="E9" s="14">
        <v>22.43</v>
      </c>
      <c r="F9" s="14">
        <v>19.12</v>
      </c>
      <c r="G9" s="14">
        <v>18.55</v>
      </c>
      <c r="H9" s="14">
        <v>22.46</v>
      </c>
      <c r="I9" s="14">
        <v>28.8</v>
      </c>
      <c r="J9" s="14">
        <v>21.45</v>
      </c>
      <c r="K9" s="14">
        <v>26.64</v>
      </c>
      <c r="L9" s="14">
        <v>28.55</v>
      </c>
      <c r="M9" s="14">
        <v>18.53</v>
      </c>
      <c r="N9" s="14">
        <v>21.6</v>
      </c>
      <c r="O9" s="16">
        <f t="shared" si="0"/>
        <v>0.19673373759647189</v>
      </c>
      <c r="P9" s="16">
        <f t="shared" si="1"/>
        <v>0.18357221609702315</v>
      </c>
      <c r="Q9" s="16">
        <f t="shared" si="2"/>
        <v>0.14780871003307605</v>
      </c>
      <c r="R9" s="16">
        <f t="shared" si="3"/>
        <v>0.19845644983461963</v>
      </c>
      <c r="S9" s="16">
        <f>M9/D9</f>
        <v>0.12768743109151048</v>
      </c>
      <c r="T9" s="16">
        <f>N9/D9</f>
        <v>0.14884233737596472</v>
      </c>
      <c r="U9" s="13" t="s">
        <v>403</v>
      </c>
      <c r="V9" s="13"/>
      <c r="W9" s="13" t="s">
        <v>48</v>
      </c>
    </row>
    <row r="10" spans="1:23" ht="15" x14ac:dyDescent="0.15">
      <c r="B10" s="6" t="s">
        <v>8</v>
      </c>
      <c r="C10" s="6" t="s">
        <v>0</v>
      </c>
      <c r="D10" s="14">
        <v>125.31</v>
      </c>
      <c r="E10" s="14">
        <v>19.100000000000001</v>
      </c>
      <c r="F10" s="14">
        <v>16.399999999999999</v>
      </c>
      <c r="G10" s="14">
        <v>16.78</v>
      </c>
      <c r="H10" s="14">
        <v>20.66</v>
      </c>
      <c r="I10" s="14">
        <v>25.25</v>
      </c>
      <c r="J10" s="14">
        <v>16.899999999999999</v>
      </c>
      <c r="K10" s="14">
        <v>14.15</v>
      </c>
      <c r="L10" s="14">
        <v>16.77</v>
      </c>
      <c r="M10" s="14"/>
      <c r="N10" s="14"/>
      <c r="O10" s="16">
        <f t="shared" si="0"/>
        <v>0.13382810629638495</v>
      </c>
      <c r="P10" s="16">
        <f t="shared" si="1"/>
        <v>0.11291995850291278</v>
      </c>
      <c r="Q10" s="16">
        <f t="shared" si="2"/>
        <v>0.13486553347697708</v>
      </c>
      <c r="R10" s="16">
        <f t="shared" si="3"/>
        <v>0.20150027930731784</v>
      </c>
      <c r="S10" s="16"/>
      <c r="T10" s="16"/>
      <c r="U10" s="13" t="s">
        <v>403</v>
      </c>
      <c r="V10" s="13"/>
      <c r="W10" s="13" t="s">
        <v>48</v>
      </c>
    </row>
    <row r="11" spans="1:23" ht="15" x14ac:dyDescent="0.15">
      <c r="B11" s="6" t="s">
        <v>9</v>
      </c>
      <c r="C11" s="6" t="s">
        <v>0</v>
      </c>
      <c r="D11" s="14"/>
      <c r="E11" s="14">
        <v>23.11</v>
      </c>
      <c r="F11" s="14">
        <v>16.829999999999998</v>
      </c>
      <c r="G11" s="14"/>
      <c r="H11" s="14"/>
      <c r="I11" s="14">
        <v>27.55</v>
      </c>
      <c r="J11" s="14">
        <v>22</v>
      </c>
      <c r="K11" s="14"/>
      <c r="L11" s="14"/>
      <c r="M11" s="14"/>
      <c r="N11" s="14"/>
      <c r="O11" s="16"/>
      <c r="P11" s="16"/>
      <c r="Q11" s="16"/>
      <c r="R11" s="16"/>
      <c r="S11" s="16"/>
      <c r="T11" s="16"/>
      <c r="U11" s="13" t="s">
        <v>403</v>
      </c>
      <c r="V11" s="13"/>
      <c r="W11" s="13" t="s">
        <v>48</v>
      </c>
    </row>
    <row r="12" spans="1:23" ht="1" customHeight="1" x14ac:dyDescent="0.15">
      <c r="B12" s="6" t="s">
        <v>10</v>
      </c>
      <c r="C12" s="6" t="s">
        <v>0</v>
      </c>
      <c r="D12" s="14">
        <v>143.34</v>
      </c>
      <c r="E12" s="14">
        <v>21.11</v>
      </c>
      <c r="F12" s="14">
        <v>15.12</v>
      </c>
      <c r="G12" s="14">
        <v>20.13</v>
      </c>
      <c r="H12" s="14">
        <v>18.5</v>
      </c>
      <c r="I12" s="14">
        <v>29.8</v>
      </c>
      <c r="J12" s="14">
        <v>21.3</v>
      </c>
      <c r="K12" s="14">
        <v>24.7</v>
      </c>
      <c r="L12" s="14">
        <v>23.14</v>
      </c>
      <c r="M12" s="14">
        <v>18.23</v>
      </c>
      <c r="N12" s="14">
        <v>16.27</v>
      </c>
      <c r="O12" s="16">
        <f t="shared" ref="O12:O17" si="4">L12/D12</f>
        <v>0.16143435189060973</v>
      </c>
      <c r="P12" s="16">
        <f>K12/D12</f>
        <v>0.17231756662480813</v>
      </c>
      <c r="Q12" s="16">
        <f t="shared" ref="Q12:Q17" si="5">J12/D12</f>
        <v>0.14859773964001674</v>
      </c>
      <c r="R12" s="16">
        <f>I12/D12</f>
        <v>0.20789730710199525</v>
      </c>
      <c r="S12" s="16">
        <f>M12/D12</f>
        <v>0.12718013115669038</v>
      </c>
      <c r="T12" s="16">
        <f>N12/D12</f>
        <v>0.11350634854192827</v>
      </c>
      <c r="U12" s="13" t="s">
        <v>403</v>
      </c>
      <c r="V12" s="13"/>
      <c r="W12" s="13" t="s">
        <v>48</v>
      </c>
    </row>
    <row r="13" spans="1:23" ht="59" customHeight="1" x14ac:dyDescent="0.15">
      <c r="B13" s="11" t="s">
        <v>11</v>
      </c>
      <c r="C13" s="8" t="s">
        <v>563</v>
      </c>
      <c r="D13" s="14">
        <v>151</v>
      </c>
      <c r="E13" s="14"/>
      <c r="F13" s="14">
        <v>21.31</v>
      </c>
      <c r="G13" s="14"/>
      <c r="H13" s="14">
        <v>22.32</v>
      </c>
      <c r="I13" s="14"/>
      <c r="J13" s="14">
        <v>25.92</v>
      </c>
      <c r="K13" s="14"/>
      <c r="L13" s="14">
        <v>25.23</v>
      </c>
      <c r="M13" s="14"/>
      <c r="N13" s="14">
        <v>20.9</v>
      </c>
      <c r="O13" s="16">
        <f t="shared" si="4"/>
        <v>0.16708609271523178</v>
      </c>
      <c r="P13" s="21"/>
      <c r="Q13" s="16">
        <f t="shared" si="5"/>
        <v>0.17165562913907287</v>
      </c>
      <c r="R13" s="16"/>
      <c r="S13" s="16"/>
      <c r="T13" s="16">
        <f>N13/D13</f>
        <v>0.13841059602649006</v>
      </c>
      <c r="U13" s="25" t="s">
        <v>404</v>
      </c>
      <c r="V13" s="34" t="s">
        <v>566</v>
      </c>
      <c r="W13" s="13" t="s">
        <v>61</v>
      </c>
    </row>
    <row r="14" spans="1:23" ht="15" x14ac:dyDescent="0.15">
      <c r="B14" s="6" t="s">
        <v>78</v>
      </c>
      <c r="C14" s="8" t="s">
        <v>41</v>
      </c>
      <c r="D14" s="14">
        <v>205</v>
      </c>
      <c r="E14" s="14"/>
      <c r="F14" s="14"/>
      <c r="G14" s="14"/>
      <c r="H14" s="14"/>
      <c r="I14" s="14">
        <v>50</v>
      </c>
      <c r="J14" s="14">
        <v>40</v>
      </c>
      <c r="K14" s="14">
        <v>43</v>
      </c>
      <c r="L14" s="14">
        <v>45</v>
      </c>
      <c r="M14" s="14">
        <v>30</v>
      </c>
      <c r="N14" s="14">
        <v>31</v>
      </c>
      <c r="O14" s="16">
        <f t="shared" si="4"/>
        <v>0.21951219512195122</v>
      </c>
      <c r="P14" s="16">
        <f>K14/D14</f>
        <v>0.2097560975609756</v>
      </c>
      <c r="Q14" s="16">
        <f t="shared" si="5"/>
        <v>0.1951219512195122</v>
      </c>
      <c r="R14" s="16">
        <f>I14/D14</f>
        <v>0.24390243902439024</v>
      </c>
      <c r="S14" s="16">
        <f>M14/D14</f>
        <v>0.14634146341463414</v>
      </c>
      <c r="T14" s="16">
        <f>N14/D14</f>
        <v>0.15121951219512195</v>
      </c>
      <c r="U14" s="13" t="s">
        <v>405</v>
      </c>
      <c r="V14" s="13"/>
      <c r="W14" s="13" t="s">
        <v>63</v>
      </c>
    </row>
    <row r="15" spans="1:23" ht="15" x14ac:dyDescent="0.15">
      <c r="B15" s="6" t="s">
        <v>286</v>
      </c>
      <c r="C15" s="8" t="s">
        <v>41</v>
      </c>
      <c r="D15" s="14">
        <v>208.08</v>
      </c>
      <c r="E15" s="14">
        <v>46.68</v>
      </c>
      <c r="F15" s="14">
        <v>32.51</v>
      </c>
      <c r="G15" s="14">
        <v>42.81</v>
      </c>
      <c r="H15" s="6">
        <v>40.549999999999997</v>
      </c>
      <c r="I15" s="14">
        <v>53.3</v>
      </c>
      <c r="J15" s="14">
        <v>37.83</v>
      </c>
      <c r="K15" s="14">
        <v>49.94</v>
      </c>
      <c r="L15" s="14">
        <v>43.05</v>
      </c>
      <c r="M15" s="14">
        <v>38.799999999999997</v>
      </c>
      <c r="N15" s="14">
        <v>30.01</v>
      </c>
      <c r="O15" s="16">
        <f t="shared" si="4"/>
        <v>0.20689158016147632</v>
      </c>
      <c r="P15" s="16">
        <f>K15/D15</f>
        <v>0.24000384467512492</v>
      </c>
      <c r="Q15" s="16">
        <f t="shared" si="5"/>
        <v>0.18180507497116491</v>
      </c>
      <c r="R15" s="16">
        <f>I15/D15</f>
        <v>0.25615148019992307</v>
      </c>
      <c r="S15" s="16">
        <f>M15/D15</f>
        <v>0.18646674356016915</v>
      </c>
      <c r="T15" s="16">
        <f>N15/D15</f>
        <v>0.1442233756247597</v>
      </c>
      <c r="U15" s="13" t="s">
        <v>405</v>
      </c>
      <c r="V15" s="13"/>
      <c r="W15" s="13" t="s">
        <v>47</v>
      </c>
    </row>
    <row r="16" spans="1:23" ht="15" x14ac:dyDescent="0.15">
      <c r="B16" s="6" t="s">
        <v>454</v>
      </c>
      <c r="C16" s="8" t="s">
        <v>41</v>
      </c>
      <c r="D16" s="16">
        <v>187.3</v>
      </c>
      <c r="E16" s="16">
        <v>36.409999999999997</v>
      </c>
      <c r="F16" s="16">
        <v>33.090000000000003</v>
      </c>
      <c r="G16" s="16">
        <v>34.17</v>
      </c>
      <c r="H16" s="16">
        <v>38.42</v>
      </c>
      <c r="I16" s="16">
        <v>50.59</v>
      </c>
      <c r="J16" s="16">
        <v>39.700000000000003</v>
      </c>
      <c r="K16" s="14">
        <v>40.89</v>
      </c>
      <c r="L16" s="16">
        <v>42.4</v>
      </c>
      <c r="M16" s="16">
        <v>28.53</v>
      </c>
      <c r="N16" s="16">
        <v>31.46</v>
      </c>
      <c r="O16" s="16">
        <f t="shared" si="4"/>
        <v>0.22637479978643885</v>
      </c>
      <c r="P16" s="16">
        <f>K16/D16</f>
        <v>0.21831286705819539</v>
      </c>
      <c r="Q16" s="16">
        <f t="shared" si="5"/>
        <v>0.21195942338494395</v>
      </c>
      <c r="R16" s="16">
        <f>I16/D16</f>
        <v>0.27010144153764015</v>
      </c>
      <c r="S16" s="16">
        <f>M16/D16</f>
        <v>0.15232247730912973</v>
      </c>
      <c r="T16" s="16">
        <f>N16/D16</f>
        <v>0.16796583021890016</v>
      </c>
      <c r="U16" s="13" t="s">
        <v>405</v>
      </c>
      <c r="W16" s="13" t="s">
        <v>47</v>
      </c>
    </row>
    <row r="17" spans="1:23" ht="15" x14ac:dyDescent="0.15">
      <c r="B17" s="6" t="s">
        <v>210</v>
      </c>
      <c r="C17" s="8" t="s">
        <v>105</v>
      </c>
      <c r="D17" s="14">
        <v>205</v>
      </c>
      <c r="E17" s="14"/>
      <c r="F17" s="14"/>
      <c r="G17" s="14"/>
      <c r="H17" s="14"/>
      <c r="I17" s="14">
        <v>48</v>
      </c>
      <c r="J17" s="14">
        <v>37</v>
      </c>
      <c r="K17" s="14">
        <v>39.5</v>
      </c>
      <c r="L17" s="14">
        <v>41</v>
      </c>
      <c r="M17" s="14"/>
      <c r="N17" s="14"/>
      <c r="O17" s="16">
        <f t="shared" si="4"/>
        <v>0.2</v>
      </c>
      <c r="P17" s="16">
        <f>K17/D17</f>
        <v>0.1926829268292683</v>
      </c>
      <c r="Q17" s="16">
        <f t="shared" si="5"/>
        <v>0.18048780487804877</v>
      </c>
      <c r="R17" s="16">
        <f>I17/D17</f>
        <v>0.23414634146341465</v>
      </c>
      <c r="U17" s="13" t="s">
        <v>406</v>
      </c>
      <c r="V17" s="13"/>
      <c r="W17" s="13" t="s">
        <v>137</v>
      </c>
    </row>
    <row r="18" spans="1:23" ht="26" customHeight="1" x14ac:dyDescent="0.15">
      <c r="B18" s="6" t="s">
        <v>211</v>
      </c>
      <c r="C18" s="8" t="s">
        <v>105</v>
      </c>
      <c r="D18" s="14" t="s">
        <v>216</v>
      </c>
      <c r="E18" s="14"/>
      <c r="F18" s="14"/>
      <c r="G18" s="14"/>
      <c r="H18" s="14"/>
      <c r="I18" s="14">
        <v>46</v>
      </c>
      <c r="J18" s="14">
        <v>41</v>
      </c>
      <c r="K18" s="14">
        <v>40</v>
      </c>
      <c r="L18" s="14">
        <v>38</v>
      </c>
      <c r="M18" s="14"/>
      <c r="N18" s="14"/>
      <c r="O18" s="16">
        <f>L18/198</f>
        <v>0.19191919191919191</v>
      </c>
      <c r="P18" s="16">
        <f>K18/198</f>
        <v>0.20202020202020202</v>
      </c>
      <c r="Q18" s="16">
        <f>J18/198</f>
        <v>0.20707070707070707</v>
      </c>
      <c r="R18" s="16">
        <f>I18/198</f>
        <v>0.23232323232323232</v>
      </c>
      <c r="U18" s="13" t="s">
        <v>406</v>
      </c>
      <c r="V18" s="13" t="s">
        <v>415</v>
      </c>
      <c r="W18" s="13" t="s">
        <v>137</v>
      </c>
    </row>
    <row r="19" spans="1:23" ht="15" x14ac:dyDescent="0.15">
      <c r="B19" s="6" t="s">
        <v>212</v>
      </c>
      <c r="C19" s="8" t="s">
        <v>105</v>
      </c>
      <c r="D19" s="14">
        <v>200</v>
      </c>
      <c r="E19" s="14"/>
      <c r="F19" s="14"/>
      <c r="G19" s="14"/>
      <c r="H19" s="14"/>
      <c r="I19" s="14">
        <v>46</v>
      </c>
      <c r="J19" s="14">
        <v>34.5</v>
      </c>
      <c r="K19" s="14">
        <v>42</v>
      </c>
      <c r="L19" s="14">
        <v>39</v>
      </c>
      <c r="M19" s="14"/>
      <c r="N19" s="14"/>
      <c r="O19" s="16">
        <f>L19/D19</f>
        <v>0.19500000000000001</v>
      </c>
      <c r="P19" s="16">
        <f>K19/D19</f>
        <v>0.21</v>
      </c>
      <c r="Q19" s="16">
        <f>J19/D19</f>
        <v>0.17249999999999999</v>
      </c>
      <c r="R19" s="16">
        <f>I19/D19</f>
        <v>0.23</v>
      </c>
      <c r="U19" s="13" t="s">
        <v>406</v>
      </c>
      <c r="V19" s="13"/>
      <c r="W19" s="13" t="s">
        <v>137</v>
      </c>
    </row>
    <row r="20" spans="1:23" ht="15" x14ac:dyDescent="0.15">
      <c r="B20" s="6" t="s">
        <v>213</v>
      </c>
      <c r="C20" s="8" t="s">
        <v>105</v>
      </c>
      <c r="D20" s="14">
        <v>214</v>
      </c>
      <c r="E20" s="14"/>
      <c r="F20" s="14"/>
      <c r="G20" s="14"/>
      <c r="H20" s="14"/>
      <c r="I20" s="14">
        <v>50</v>
      </c>
      <c r="J20" s="14">
        <v>35.5</v>
      </c>
      <c r="K20" s="14">
        <v>40</v>
      </c>
      <c r="L20" s="14">
        <v>38</v>
      </c>
      <c r="M20" s="14"/>
      <c r="N20" s="14"/>
      <c r="O20" s="16">
        <f>L20/D20</f>
        <v>0.17757009345794392</v>
      </c>
      <c r="P20" s="16">
        <f>K20/D20</f>
        <v>0.18691588785046728</v>
      </c>
      <c r="Q20" s="16">
        <f>J20/D20</f>
        <v>0.16588785046728971</v>
      </c>
      <c r="R20" s="16">
        <f>I20/D20</f>
        <v>0.23364485981308411</v>
      </c>
      <c r="U20" s="13" t="s">
        <v>406</v>
      </c>
      <c r="V20" s="13"/>
      <c r="W20" s="13" t="s">
        <v>137</v>
      </c>
    </row>
    <row r="21" spans="1:23" ht="15" x14ac:dyDescent="0.15">
      <c r="B21" s="6" t="s">
        <v>214</v>
      </c>
      <c r="C21" s="8" t="s">
        <v>105</v>
      </c>
      <c r="D21" s="14">
        <v>194</v>
      </c>
      <c r="E21" s="14"/>
      <c r="F21" s="14"/>
      <c r="G21" s="14"/>
      <c r="H21" s="14"/>
      <c r="I21" s="14">
        <v>45</v>
      </c>
      <c r="J21" s="14">
        <v>34.5</v>
      </c>
      <c r="K21" s="14">
        <v>36.5</v>
      </c>
      <c r="L21" s="14">
        <v>40</v>
      </c>
      <c r="M21" s="14"/>
      <c r="N21" s="14"/>
      <c r="O21" s="16">
        <f>L21/D21</f>
        <v>0.20618556701030927</v>
      </c>
      <c r="P21" s="16">
        <f>K21/D21</f>
        <v>0.18814432989690721</v>
      </c>
      <c r="Q21" s="16">
        <f>J21/D21</f>
        <v>0.17783505154639176</v>
      </c>
      <c r="R21" s="16">
        <f>I21/D21</f>
        <v>0.23195876288659795</v>
      </c>
      <c r="U21" s="13" t="s">
        <v>406</v>
      </c>
      <c r="V21" s="13"/>
      <c r="W21" s="13" t="s">
        <v>137</v>
      </c>
    </row>
    <row r="22" spans="1:23" ht="15" x14ac:dyDescent="0.15">
      <c r="B22" s="6" t="s">
        <v>215</v>
      </c>
      <c r="C22" s="8" t="s">
        <v>105</v>
      </c>
      <c r="D22" s="14">
        <v>214</v>
      </c>
      <c r="E22" s="14"/>
      <c r="F22" s="14"/>
      <c r="G22" s="14"/>
      <c r="H22" s="14"/>
      <c r="I22" s="14">
        <v>49</v>
      </c>
      <c r="J22" s="14">
        <v>36</v>
      </c>
      <c r="K22" s="14">
        <v>41</v>
      </c>
      <c r="L22" s="14">
        <v>39</v>
      </c>
      <c r="M22" s="14"/>
      <c r="N22" s="14"/>
      <c r="O22" s="16">
        <f>L22/D22</f>
        <v>0.1822429906542056</v>
      </c>
      <c r="P22" s="16">
        <f>K22/D22</f>
        <v>0.19158878504672897</v>
      </c>
      <c r="Q22" s="16">
        <f>J22/D22</f>
        <v>0.16822429906542055</v>
      </c>
      <c r="R22" s="16">
        <f>I22/D22</f>
        <v>0.22897196261682243</v>
      </c>
      <c r="U22" s="13" t="s">
        <v>406</v>
      </c>
      <c r="V22" s="13"/>
      <c r="W22" s="13" t="s">
        <v>137</v>
      </c>
    </row>
    <row r="24" spans="1:23" ht="60" x14ac:dyDescent="0.15">
      <c r="A24" s="31" t="s">
        <v>12</v>
      </c>
      <c r="B24" s="31" t="s">
        <v>111</v>
      </c>
      <c r="C24" s="31" t="s">
        <v>40</v>
      </c>
      <c r="D24" s="26" t="s">
        <v>99</v>
      </c>
      <c r="E24" s="26" t="s">
        <v>384</v>
      </c>
      <c r="F24" s="26" t="s">
        <v>385</v>
      </c>
      <c r="G24" s="26" t="s">
        <v>386</v>
      </c>
      <c r="H24" s="26" t="s">
        <v>387</v>
      </c>
      <c r="I24" s="26" t="s">
        <v>388</v>
      </c>
      <c r="J24" s="26" t="s">
        <v>367</v>
      </c>
      <c r="K24" s="26" t="s">
        <v>389</v>
      </c>
      <c r="L24" s="26" t="s">
        <v>364</v>
      </c>
      <c r="M24" s="26" t="s">
        <v>470</v>
      </c>
      <c r="N24" s="26" t="s">
        <v>471</v>
      </c>
      <c r="O24" s="26" t="s">
        <v>100</v>
      </c>
      <c r="P24" s="26" t="s">
        <v>259</v>
      </c>
      <c r="Q24" s="26" t="s">
        <v>260</v>
      </c>
      <c r="R24" s="26" t="s">
        <v>261</v>
      </c>
      <c r="S24" s="31" t="s">
        <v>442</v>
      </c>
      <c r="T24" s="31" t="s">
        <v>441</v>
      </c>
      <c r="U24" s="26" t="s">
        <v>400</v>
      </c>
      <c r="V24" s="26" t="s">
        <v>112</v>
      </c>
      <c r="W24" s="26" t="s">
        <v>53</v>
      </c>
    </row>
    <row r="25" spans="1:23" ht="15" x14ac:dyDescent="0.15">
      <c r="B25" s="9" t="s">
        <v>290</v>
      </c>
      <c r="C25" s="8" t="s">
        <v>356</v>
      </c>
      <c r="D25" s="14" t="s">
        <v>122</v>
      </c>
      <c r="E25" s="14">
        <v>18.64</v>
      </c>
      <c r="F25" s="14"/>
      <c r="G25" s="14">
        <v>14.71</v>
      </c>
      <c r="H25" s="14">
        <v>16.920000000000002</v>
      </c>
      <c r="I25" s="14" t="s">
        <v>123</v>
      </c>
      <c r="J25" s="14"/>
      <c r="K25" s="14">
        <v>18.100000000000001</v>
      </c>
      <c r="L25" s="14">
        <v>22.33</v>
      </c>
      <c r="M25" s="14">
        <v>11.36</v>
      </c>
      <c r="N25" s="14">
        <v>12.87</v>
      </c>
      <c r="O25" s="16" t="s">
        <v>266</v>
      </c>
      <c r="P25" s="16" t="s">
        <v>262</v>
      </c>
      <c r="Q25" s="14"/>
      <c r="R25" s="16" t="s">
        <v>267</v>
      </c>
      <c r="S25" s="16">
        <f>M25/125.37</f>
        <v>9.0611789104251411E-2</v>
      </c>
      <c r="T25" s="16">
        <f>N25/125.37</f>
        <v>0.10265613783201721</v>
      </c>
      <c r="U25" s="13" t="s">
        <v>401</v>
      </c>
      <c r="V25" s="13" t="s">
        <v>116</v>
      </c>
      <c r="W25" s="13" t="s">
        <v>47</v>
      </c>
    </row>
    <row r="26" spans="1:23" ht="15" x14ac:dyDescent="0.15">
      <c r="B26" s="6" t="s">
        <v>455</v>
      </c>
      <c r="C26" s="8" t="s">
        <v>43</v>
      </c>
      <c r="D26" s="14">
        <v>140.71</v>
      </c>
      <c r="E26" s="14">
        <v>17.57</v>
      </c>
      <c r="F26" s="14">
        <v>17.12</v>
      </c>
      <c r="G26" s="14">
        <v>18.170000000000002</v>
      </c>
      <c r="H26" s="14">
        <v>19.239999999999998</v>
      </c>
      <c r="I26" s="14">
        <v>25.58</v>
      </c>
      <c r="J26" s="14">
        <v>23.58</v>
      </c>
      <c r="K26" s="14">
        <v>23.58</v>
      </c>
      <c r="L26" s="14">
        <v>26.06</v>
      </c>
      <c r="M26" s="16">
        <v>12.9</v>
      </c>
      <c r="N26" s="14">
        <v>16.670000000000002</v>
      </c>
      <c r="O26" s="16">
        <f>L26/D26</f>
        <v>0.18520361026224147</v>
      </c>
      <c r="P26" s="16">
        <f>K26/D26</f>
        <v>0.1675787079809537</v>
      </c>
      <c r="Q26" s="16">
        <f>J26/D26</f>
        <v>0.1675787079809537</v>
      </c>
      <c r="R26" s="16">
        <f>I26/D26</f>
        <v>0.18179233885295998</v>
      </c>
      <c r="S26" s="16">
        <f>M26/D26</f>
        <v>9.167791912444033E-2</v>
      </c>
      <c r="T26" s="16">
        <f>N26/D26</f>
        <v>0.11847061331817213</v>
      </c>
      <c r="U26" s="13" t="s">
        <v>402</v>
      </c>
      <c r="W26" s="13" t="s">
        <v>47</v>
      </c>
    </row>
    <row r="27" spans="1:23" ht="15" x14ac:dyDescent="0.15">
      <c r="B27" s="6" t="s">
        <v>469</v>
      </c>
      <c r="C27" s="8" t="s">
        <v>68</v>
      </c>
      <c r="D27" s="14">
        <v>143.61000000000001</v>
      </c>
      <c r="E27" s="14">
        <v>21.25</v>
      </c>
      <c r="F27" s="14">
        <v>20.54</v>
      </c>
      <c r="G27" s="14">
        <v>21.97</v>
      </c>
      <c r="H27" s="16">
        <v>20.93</v>
      </c>
      <c r="I27" s="16">
        <v>22.92</v>
      </c>
      <c r="J27" s="14">
        <v>22.53</v>
      </c>
      <c r="K27" s="16">
        <v>22.45</v>
      </c>
      <c r="L27" s="14">
        <v>25.12</v>
      </c>
      <c r="M27" s="27">
        <v>12.93</v>
      </c>
      <c r="N27" s="27">
        <v>16.59</v>
      </c>
      <c r="O27" s="16">
        <f>L27/D27</f>
        <v>0.17491818118515423</v>
      </c>
      <c r="P27" s="16">
        <f>K27/D27</f>
        <v>0.15632616113084044</v>
      </c>
      <c r="Q27" s="16">
        <f>J27/D27</f>
        <v>0.15688322540213076</v>
      </c>
      <c r="R27" s="16">
        <f>I27/D27</f>
        <v>0.15959891372467097</v>
      </c>
      <c r="S27" s="16">
        <f>M27/D27</f>
        <v>9.0035512847294746E-2</v>
      </c>
      <c r="T27" s="16">
        <f>N27/D27</f>
        <v>0.11552120325882598</v>
      </c>
      <c r="U27" s="13" t="s">
        <v>413</v>
      </c>
      <c r="V27" s="13"/>
      <c r="W27" s="13" t="s">
        <v>47</v>
      </c>
    </row>
    <row r="28" spans="1:23" ht="15" x14ac:dyDescent="0.15">
      <c r="B28" s="6" t="s">
        <v>57</v>
      </c>
      <c r="C28" s="8" t="s">
        <v>60</v>
      </c>
      <c r="D28" s="14">
        <v>145</v>
      </c>
      <c r="E28" s="14"/>
      <c r="F28" s="14"/>
      <c r="G28" s="14"/>
      <c r="H28" s="14"/>
      <c r="I28" s="14">
        <v>28</v>
      </c>
      <c r="J28" s="14"/>
      <c r="K28" s="14">
        <v>24.5</v>
      </c>
      <c r="L28" s="14">
        <v>25</v>
      </c>
      <c r="M28" s="14"/>
      <c r="N28" s="14"/>
      <c r="O28" s="16">
        <f>L28/D28</f>
        <v>0.17241379310344829</v>
      </c>
      <c r="P28" s="16">
        <f>K28/D28</f>
        <v>0.16896551724137931</v>
      </c>
      <c r="Q28" s="16"/>
      <c r="R28" s="16">
        <f>I28/D28</f>
        <v>0.19310344827586207</v>
      </c>
      <c r="S28" s="16"/>
      <c r="T28" s="16"/>
      <c r="U28" s="13" t="s">
        <v>402</v>
      </c>
      <c r="V28" s="13"/>
      <c r="W28" s="13" t="s">
        <v>49</v>
      </c>
    </row>
    <row r="29" spans="1:23" ht="15" x14ac:dyDescent="0.15">
      <c r="B29" s="6" t="s">
        <v>478</v>
      </c>
      <c r="C29" s="8" t="s">
        <v>473</v>
      </c>
      <c r="D29" s="14"/>
      <c r="E29" s="14" t="s">
        <v>477</v>
      </c>
      <c r="F29" s="14">
        <v>14.32</v>
      </c>
      <c r="G29" s="14"/>
      <c r="H29" s="14"/>
      <c r="I29" s="14" t="s">
        <v>476</v>
      </c>
      <c r="J29" s="14" t="s">
        <v>474</v>
      </c>
      <c r="K29" s="14"/>
      <c r="L29" s="14"/>
      <c r="M29" s="14"/>
      <c r="N29" s="14"/>
      <c r="O29" s="14"/>
      <c r="P29" s="14"/>
      <c r="Q29" s="16"/>
      <c r="R29" s="14"/>
      <c r="S29" s="14"/>
      <c r="U29" s="6" t="s">
        <v>440</v>
      </c>
      <c r="V29" s="13" t="s">
        <v>475</v>
      </c>
      <c r="W29" s="13" t="s">
        <v>47</v>
      </c>
    </row>
    <row r="30" spans="1:23" ht="15" x14ac:dyDescent="0.15">
      <c r="B30" s="6" t="s">
        <v>13</v>
      </c>
      <c r="C30" s="6" t="s">
        <v>0</v>
      </c>
      <c r="D30" s="14">
        <v>143.59</v>
      </c>
      <c r="E30" s="14">
        <v>18.2</v>
      </c>
      <c r="F30" s="16">
        <v>19.399999999999999</v>
      </c>
      <c r="G30" s="14">
        <v>19.73</v>
      </c>
      <c r="H30" s="14">
        <v>25.41</v>
      </c>
      <c r="I30" s="14">
        <v>28.32</v>
      </c>
      <c r="J30" s="14">
        <v>24.56</v>
      </c>
      <c r="K30" s="14">
        <v>20.96</v>
      </c>
      <c r="L30" s="14">
        <v>24.87</v>
      </c>
      <c r="M30" s="14">
        <v>18.38</v>
      </c>
      <c r="N30" s="14">
        <v>19.399999999999999</v>
      </c>
      <c r="O30" s="16">
        <f t="shared" ref="O30:O36" si="6">L30/D30</f>
        <v>0.17320147642593495</v>
      </c>
      <c r="P30" s="16">
        <f>K30/D30</f>
        <v>0.14597116790862874</v>
      </c>
      <c r="Q30" s="16">
        <f t="shared" ref="Q30:Q31" si="7">J30/D30</f>
        <v>0.17104255170972907</v>
      </c>
      <c r="R30" s="16">
        <f>I30/D30</f>
        <v>0.1972282192353228</v>
      </c>
      <c r="S30" s="16">
        <f>M30/D30</f>
        <v>0.12800334285117346</v>
      </c>
      <c r="T30" s="16">
        <f t="shared" ref="T30:T37" si="8">N30/D30</f>
        <v>0.13510690159481856</v>
      </c>
      <c r="U30" s="13" t="s">
        <v>403</v>
      </c>
      <c r="V30" s="13"/>
      <c r="W30" s="13" t="s">
        <v>48</v>
      </c>
    </row>
    <row r="31" spans="1:23" ht="15" x14ac:dyDescent="0.15">
      <c r="B31" s="6" t="s">
        <v>14</v>
      </c>
      <c r="C31" s="6" t="s">
        <v>0</v>
      </c>
      <c r="D31" s="16">
        <v>143.30000000000001</v>
      </c>
      <c r="E31" s="14">
        <v>20.67</v>
      </c>
      <c r="F31" s="14">
        <v>16.059999999999999</v>
      </c>
      <c r="G31" s="14">
        <v>21.17</v>
      </c>
      <c r="H31" s="14">
        <v>20.399999999999999</v>
      </c>
      <c r="I31" s="14">
        <v>27.83</v>
      </c>
      <c r="J31" s="14">
        <v>21.72</v>
      </c>
      <c r="K31" s="14">
        <v>24.66</v>
      </c>
      <c r="L31" s="14">
        <v>23.22</v>
      </c>
      <c r="M31" s="14">
        <v>17.25</v>
      </c>
      <c r="N31" s="14">
        <v>16.940000000000001</v>
      </c>
      <c r="O31" s="16">
        <f t="shared" si="6"/>
        <v>0.16203768318213535</v>
      </c>
      <c r="P31" s="16">
        <f>K31/D31</f>
        <v>0.17208653175157013</v>
      </c>
      <c r="Q31" s="16">
        <f t="shared" si="7"/>
        <v>0.15157013258897417</v>
      </c>
      <c r="R31" s="16">
        <f>I31/D31</f>
        <v>0.19420795533845078</v>
      </c>
      <c r="S31" s="16">
        <f>M31/D31</f>
        <v>0.12037683182135379</v>
      </c>
      <c r="T31" s="16">
        <f t="shared" si="8"/>
        <v>0.11821353803210048</v>
      </c>
      <c r="U31" s="13" t="s">
        <v>403</v>
      </c>
      <c r="V31" s="13"/>
      <c r="W31" s="13" t="s">
        <v>48</v>
      </c>
    </row>
    <row r="32" spans="1:23" ht="56" customHeight="1" x14ac:dyDescent="0.15">
      <c r="B32" s="6" t="s">
        <v>79</v>
      </c>
      <c r="C32" s="8" t="s">
        <v>567</v>
      </c>
      <c r="D32" s="16">
        <v>167</v>
      </c>
      <c r="E32" s="14"/>
      <c r="F32" s="16">
        <v>19.2</v>
      </c>
      <c r="G32" s="14"/>
      <c r="H32" s="14">
        <v>20.96</v>
      </c>
      <c r="I32" s="14"/>
      <c r="J32" s="14">
        <v>23.08</v>
      </c>
      <c r="K32" s="14"/>
      <c r="L32" s="14">
        <v>27.95</v>
      </c>
      <c r="M32" s="14"/>
      <c r="N32" s="14">
        <v>16.690000000000001</v>
      </c>
      <c r="O32" s="16">
        <f t="shared" si="6"/>
        <v>0.16736526946107785</v>
      </c>
      <c r="P32" s="16"/>
      <c r="Q32" s="16">
        <f t="shared" ref="Q32" si="9">J32/D32</f>
        <v>0.13820359281437125</v>
      </c>
      <c r="R32" s="16"/>
      <c r="S32" s="16"/>
      <c r="T32" s="16">
        <f t="shared" ref="T32:T33" si="10">N32/D32</f>
        <v>9.9940119760479049E-2</v>
      </c>
      <c r="U32" s="25" t="s">
        <v>270</v>
      </c>
      <c r="V32" s="13" t="s">
        <v>565</v>
      </c>
      <c r="W32" s="13" t="s">
        <v>61</v>
      </c>
    </row>
    <row r="33" spans="2:23" ht="18" customHeight="1" x14ac:dyDescent="0.15">
      <c r="B33" s="6" t="s">
        <v>515</v>
      </c>
      <c r="C33" s="8" t="s">
        <v>514</v>
      </c>
      <c r="D33" s="14">
        <v>203.12</v>
      </c>
      <c r="E33" s="14">
        <v>21.04</v>
      </c>
      <c r="F33" s="16">
        <v>23</v>
      </c>
      <c r="G33" s="16">
        <v>21.22</v>
      </c>
      <c r="H33" s="16">
        <v>21.69</v>
      </c>
      <c r="I33" s="16" t="s">
        <v>517</v>
      </c>
      <c r="J33" s="14" t="s">
        <v>516</v>
      </c>
      <c r="K33" s="14">
        <v>29.89</v>
      </c>
      <c r="L33" s="16">
        <v>32.18</v>
      </c>
      <c r="M33" s="14">
        <v>18.52</v>
      </c>
      <c r="N33" s="16">
        <v>20</v>
      </c>
      <c r="O33" s="16">
        <f t="shared" si="6"/>
        <v>0.15842851516345016</v>
      </c>
      <c r="P33" s="16">
        <f t="shared" ref="P33" si="11">K33/D33</f>
        <v>0.14715439149271367</v>
      </c>
      <c r="Q33" s="16">
        <f>29.69/D33</f>
        <v>0.1461697518708153</v>
      </c>
      <c r="R33" s="16">
        <f>33.19/D33</f>
        <v>0.16340094525403701</v>
      </c>
      <c r="S33" s="16">
        <f t="shared" ref="S33" si="12">M33/D33</f>
        <v>9.1177628987790471E-2</v>
      </c>
      <c r="T33" s="16">
        <f t="shared" si="10"/>
        <v>9.8463962189838522E-2</v>
      </c>
      <c r="U33" s="13" t="s">
        <v>421</v>
      </c>
      <c r="V33" s="13" t="s">
        <v>116</v>
      </c>
      <c r="W33" s="13" t="s">
        <v>47</v>
      </c>
    </row>
    <row r="34" spans="2:23" ht="15" x14ac:dyDescent="0.15">
      <c r="B34" s="6" t="s">
        <v>92</v>
      </c>
      <c r="C34" s="8" t="s">
        <v>514</v>
      </c>
      <c r="D34" s="16">
        <v>206</v>
      </c>
      <c r="E34" s="14"/>
      <c r="F34" s="14"/>
      <c r="G34" s="14"/>
      <c r="H34" s="14"/>
      <c r="I34" s="14"/>
      <c r="J34" s="14"/>
      <c r="K34" s="14">
        <v>30</v>
      </c>
      <c r="L34" s="14">
        <v>32</v>
      </c>
      <c r="M34" s="14">
        <v>17</v>
      </c>
      <c r="N34" s="16">
        <v>20</v>
      </c>
      <c r="O34" s="16">
        <f t="shared" si="6"/>
        <v>0.1553398058252427</v>
      </c>
      <c r="P34" s="16">
        <f t="shared" ref="P34:P41" si="13">K34/D34</f>
        <v>0.14563106796116504</v>
      </c>
      <c r="Q34" s="16"/>
      <c r="R34" s="16"/>
      <c r="S34" s="16">
        <f>M34/D34</f>
        <v>8.2524271844660199E-2</v>
      </c>
      <c r="T34" s="16">
        <f t="shared" si="8"/>
        <v>9.7087378640776698E-2</v>
      </c>
      <c r="U34" s="13" t="s">
        <v>407</v>
      </c>
      <c r="V34" s="13"/>
      <c r="W34" s="13" t="s">
        <v>408</v>
      </c>
    </row>
    <row r="35" spans="2:23" ht="15" x14ac:dyDescent="0.15">
      <c r="B35" s="6" t="s">
        <v>454</v>
      </c>
      <c r="C35" s="8" t="s">
        <v>41</v>
      </c>
      <c r="D35" s="16">
        <v>214.85</v>
      </c>
      <c r="E35" s="16">
        <v>33.549999999999997</v>
      </c>
      <c r="F35" s="14">
        <v>33.979999999999997</v>
      </c>
      <c r="G35" s="16">
        <v>32.65</v>
      </c>
      <c r="H35" s="16">
        <v>36.03</v>
      </c>
      <c r="I35" s="16">
        <v>51.37</v>
      </c>
      <c r="J35" s="16">
        <v>41.62</v>
      </c>
      <c r="K35" s="14">
        <v>43.73</v>
      </c>
      <c r="L35" s="16">
        <v>47.68</v>
      </c>
      <c r="M35" s="16">
        <v>26.34</v>
      </c>
      <c r="N35" s="16">
        <v>31.94</v>
      </c>
      <c r="O35" s="16">
        <f t="shared" si="6"/>
        <v>0.22192227135210613</v>
      </c>
      <c r="P35" s="16">
        <f>K35/D35</f>
        <v>0.20353735164067954</v>
      </c>
      <c r="Q35" s="16">
        <f>J35/D35</f>
        <v>0.19371654642774028</v>
      </c>
      <c r="R35" s="16">
        <f>I35/D35</f>
        <v>0.23909704444961599</v>
      </c>
      <c r="S35" s="16">
        <f>M35/D35</f>
        <v>0.12259716080986735</v>
      </c>
      <c r="T35" s="16">
        <f>N35/D35</f>
        <v>0.14866185710961136</v>
      </c>
      <c r="U35" s="13" t="s">
        <v>405</v>
      </c>
      <c r="W35" s="13" t="s">
        <v>47</v>
      </c>
    </row>
    <row r="36" spans="2:23" ht="17" customHeight="1" x14ac:dyDescent="0.15">
      <c r="B36" s="6" t="s">
        <v>78</v>
      </c>
      <c r="C36" s="8" t="s">
        <v>41</v>
      </c>
      <c r="D36" s="16">
        <v>225</v>
      </c>
      <c r="E36" s="14"/>
      <c r="F36" s="14"/>
      <c r="G36" s="14"/>
      <c r="H36" s="14"/>
      <c r="I36" s="16">
        <v>56</v>
      </c>
      <c r="J36" s="16">
        <v>45</v>
      </c>
      <c r="K36" s="16">
        <v>44</v>
      </c>
      <c r="L36" s="16">
        <v>45</v>
      </c>
      <c r="M36" s="16">
        <v>27</v>
      </c>
      <c r="N36" s="16">
        <v>30</v>
      </c>
      <c r="O36" s="16">
        <f t="shared" si="6"/>
        <v>0.2</v>
      </c>
      <c r="P36" s="16">
        <f t="shared" si="13"/>
        <v>0.19555555555555557</v>
      </c>
      <c r="Q36" s="16">
        <f>J36/D36</f>
        <v>0.2</v>
      </c>
      <c r="R36" s="16">
        <f>I36/D36</f>
        <v>0.24888888888888888</v>
      </c>
      <c r="S36" s="16">
        <f>M36/D36</f>
        <v>0.12</v>
      </c>
      <c r="T36" s="16">
        <f t="shared" si="8"/>
        <v>0.13333333333333333</v>
      </c>
      <c r="U36" s="13" t="s">
        <v>405</v>
      </c>
      <c r="V36" s="13"/>
      <c r="W36" s="13" t="s">
        <v>510</v>
      </c>
    </row>
    <row r="37" spans="2:23" ht="15" x14ac:dyDescent="0.15">
      <c r="B37" s="6" t="s">
        <v>286</v>
      </c>
      <c r="C37" s="8" t="s">
        <v>41</v>
      </c>
      <c r="D37" s="14">
        <v>234.89</v>
      </c>
      <c r="E37" s="14"/>
      <c r="F37" s="14"/>
      <c r="G37" s="14"/>
      <c r="H37" s="14">
        <v>42.64</v>
      </c>
      <c r="I37" s="14"/>
      <c r="J37" s="14"/>
      <c r="K37" s="14">
        <v>46.58</v>
      </c>
      <c r="L37" s="14">
        <v>52.04</v>
      </c>
      <c r="M37" s="14"/>
      <c r="N37" s="14">
        <v>35.71</v>
      </c>
      <c r="O37" s="14"/>
      <c r="P37" s="16">
        <f t="shared" si="13"/>
        <v>0.19830558985056834</v>
      </c>
      <c r="Q37" s="16"/>
      <c r="R37" s="14"/>
      <c r="S37" s="16"/>
      <c r="T37" s="16">
        <f t="shared" si="8"/>
        <v>0.15202860913619143</v>
      </c>
      <c r="U37" s="13" t="s">
        <v>405</v>
      </c>
      <c r="V37" s="13"/>
      <c r="W37" s="13" t="s">
        <v>47</v>
      </c>
    </row>
    <row r="38" spans="2:23" ht="15" x14ac:dyDescent="0.15">
      <c r="B38" s="6" t="s">
        <v>217</v>
      </c>
      <c r="C38" s="8" t="s">
        <v>105</v>
      </c>
      <c r="D38" s="16">
        <v>216</v>
      </c>
      <c r="E38" s="14"/>
      <c r="F38" s="14"/>
      <c r="G38" s="14"/>
      <c r="H38" s="14"/>
      <c r="I38" s="14">
        <v>49</v>
      </c>
      <c r="J38" s="16">
        <v>37.5</v>
      </c>
      <c r="K38" s="14">
        <v>44.5</v>
      </c>
      <c r="L38" s="14">
        <v>41.5</v>
      </c>
      <c r="M38" s="14"/>
      <c r="N38" s="14"/>
      <c r="O38" s="16">
        <f>L38/D38</f>
        <v>0.19212962962962962</v>
      </c>
      <c r="P38" s="16">
        <f t="shared" si="13"/>
        <v>0.20601851851851852</v>
      </c>
      <c r="Q38" s="16">
        <f t="shared" ref="Q38:Q41" si="14">J38/D38</f>
        <v>0.1736111111111111</v>
      </c>
      <c r="R38" s="16">
        <f>I38/D38</f>
        <v>0.22685185185185186</v>
      </c>
      <c r="S38" s="16"/>
      <c r="U38" s="13" t="s">
        <v>406</v>
      </c>
      <c r="V38" s="13"/>
      <c r="W38" s="13" t="s">
        <v>137</v>
      </c>
    </row>
    <row r="39" spans="2:23" ht="15" x14ac:dyDescent="0.15">
      <c r="B39" s="6" t="s">
        <v>218</v>
      </c>
      <c r="C39" s="8" t="s">
        <v>105</v>
      </c>
      <c r="D39" s="16">
        <v>216.5</v>
      </c>
      <c r="E39" s="14"/>
      <c r="F39" s="14"/>
      <c r="G39" s="14"/>
      <c r="H39" s="14"/>
      <c r="I39" s="14">
        <v>49.5</v>
      </c>
      <c r="J39" s="16">
        <v>35</v>
      </c>
      <c r="K39" s="14">
        <v>43.5</v>
      </c>
      <c r="L39" s="14">
        <v>40</v>
      </c>
      <c r="M39" s="14"/>
      <c r="N39" s="14"/>
      <c r="O39" s="16">
        <f>L39/D39</f>
        <v>0.18475750577367206</v>
      </c>
      <c r="P39" s="16">
        <f t="shared" si="13"/>
        <v>0.20092378752886836</v>
      </c>
      <c r="Q39" s="16">
        <f t="shared" si="14"/>
        <v>0.16166281755196305</v>
      </c>
      <c r="R39" s="16">
        <f>I39/D39</f>
        <v>0.22863741339491916</v>
      </c>
      <c r="S39" s="16"/>
      <c r="U39" s="13" t="s">
        <v>406</v>
      </c>
      <c r="V39" s="13"/>
      <c r="W39" s="13" t="s">
        <v>137</v>
      </c>
    </row>
    <row r="40" spans="2:23" ht="15" x14ac:dyDescent="0.15">
      <c r="B40" s="6" t="s">
        <v>219</v>
      </c>
      <c r="C40" s="8" t="s">
        <v>105</v>
      </c>
      <c r="D40" s="16">
        <v>221</v>
      </c>
      <c r="E40" s="14"/>
      <c r="F40" s="14"/>
      <c r="G40" s="14"/>
      <c r="H40" s="14"/>
      <c r="I40" s="14">
        <v>46.5</v>
      </c>
      <c r="J40" s="16">
        <v>38</v>
      </c>
      <c r="K40" s="14">
        <v>46</v>
      </c>
      <c r="L40" s="14">
        <v>40</v>
      </c>
      <c r="M40" s="14"/>
      <c r="N40" s="14"/>
      <c r="O40" s="16">
        <f>L40/D40</f>
        <v>0.18099547511312217</v>
      </c>
      <c r="P40" s="16">
        <f t="shared" si="13"/>
        <v>0.20814479638009051</v>
      </c>
      <c r="Q40" s="16">
        <f t="shared" si="14"/>
        <v>0.17194570135746606</v>
      </c>
      <c r="R40" s="16">
        <f>I40/D40</f>
        <v>0.21040723981900453</v>
      </c>
      <c r="S40" s="16"/>
      <c r="U40" s="13" t="s">
        <v>406</v>
      </c>
      <c r="V40" s="13"/>
      <c r="W40" s="13" t="s">
        <v>137</v>
      </c>
    </row>
    <row r="41" spans="2:23" ht="15" x14ac:dyDescent="0.15">
      <c r="B41" s="6" t="s">
        <v>220</v>
      </c>
      <c r="C41" s="8" t="s">
        <v>105</v>
      </c>
      <c r="D41" s="16">
        <v>228.5</v>
      </c>
      <c r="E41" s="14"/>
      <c r="F41" s="14"/>
      <c r="G41" s="14"/>
      <c r="H41" s="14"/>
      <c r="I41" s="14">
        <v>50</v>
      </c>
      <c r="J41" s="16">
        <v>36</v>
      </c>
      <c r="K41" s="14">
        <v>47</v>
      </c>
      <c r="L41" s="14">
        <v>43</v>
      </c>
      <c r="M41" s="14"/>
      <c r="N41" s="14"/>
      <c r="O41" s="16">
        <f>L41/D41</f>
        <v>0.18818380743982493</v>
      </c>
      <c r="P41" s="16">
        <f t="shared" si="13"/>
        <v>0.20568927789934355</v>
      </c>
      <c r="Q41" s="16">
        <f t="shared" si="14"/>
        <v>0.1575492341356674</v>
      </c>
      <c r="R41" s="16">
        <f>I41/D41</f>
        <v>0.21881838074398249</v>
      </c>
      <c r="S41" s="16"/>
      <c r="U41" s="13" t="s">
        <v>406</v>
      </c>
      <c r="V41" s="13"/>
      <c r="W41" s="13" t="s">
        <v>137</v>
      </c>
    </row>
    <row r="42" spans="2:23" x14ac:dyDescent="0.15">
      <c r="F42" s="14"/>
      <c r="S42" s="10"/>
    </row>
    <row r="53" spans="4:14" x14ac:dyDescent="0.15"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</row>
    <row r="54" spans="4:14" ht="15" x14ac:dyDescent="0.2"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BFBC9-3D00-2C44-9D80-315C976A50D9}">
  <dimension ref="A1:T108"/>
  <sheetViews>
    <sheetView workbookViewId="0">
      <selection activeCell="N95" sqref="N95"/>
    </sheetView>
  </sheetViews>
  <sheetFormatPr baseColWidth="10" defaultRowHeight="15" x14ac:dyDescent="0.2"/>
  <cols>
    <col min="1" max="1" width="21.33203125" customWidth="1"/>
    <col min="2" max="2" width="32.33203125" customWidth="1"/>
    <col min="3" max="3" width="25.6640625" customWidth="1"/>
    <col min="5" max="5" width="12.5" customWidth="1"/>
    <col min="6" max="6" width="13.33203125" customWidth="1"/>
    <col min="7" max="7" width="15" customWidth="1"/>
    <col min="8" max="8" width="12.83203125" customWidth="1"/>
    <col min="9" max="9" width="14.5" customWidth="1"/>
    <col min="10" max="10" width="11.6640625" customWidth="1"/>
    <col min="11" max="11" width="35.33203125" customWidth="1"/>
    <col min="12" max="12" width="32" customWidth="1"/>
    <col min="13" max="13" width="42.83203125" customWidth="1"/>
    <col min="14" max="14" width="35.1640625" customWidth="1"/>
    <col min="15" max="15" width="31.1640625" customWidth="1"/>
  </cols>
  <sheetData>
    <row r="1" spans="1:15" s="1" customFormat="1" ht="17" thickBot="1" x14ac:dyDescent="0.25">
      <c r="A1" s="4" t="s">
        <v>420</v>
      </c>
      <c r="B1" s="2"/>
      <c r="C1" s="2"/>
      <c r="D1" s="2"/>
      <c r="E1" s="2"/>
      <c r="F1" s="2"/>
      <c r="G1" s="2"/>
      <c r="H1" s="2"/>
      <c r="I1" s="2"/>
      <c r="J1" s="2"/>
      <c r="K1" s="5"/>
      <c r="L1" s="5"/>
      <c r="M1" s="5"/>
      <c r="N1" s="5"/>
      <c r="O1" s="5"/>
    </row>
    <row r="2" spans="1:15" ht="17" thickTop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6"/>
      <c r="L2" s="6"/>
      <c r="M2" s="6"/>
      <c r="N2" s="6"/>
      <c r="O2" s="6"/>
    </row>
    <row r="3" spans="1:15" s="29" customFormat="1" ht="60" x14ac:dyDescent="0.2">
      <c r="A3" s="28" t="s">
        <v>73</v>
      </c>
      <c r="B3" s="28" t="s">
        <v>111</v>
      </c>
      <c r="C3" s="28" t="s">
        <v>40</v>
      </c>
      <c r="D3" s="26" t="s">
        <v>99</v>
      </c>
      <c r="E3" s="26" t="s">
        <v>363</v>
      </c>
      <c r="F3" s="26" t="s">
        <v>367</v>
      </c>
      <c r="G3" s="26" t="s">
        <v>361</v>
      </c>
      <c r="H3" s="26" t="s">
        <v>364</v>
      </c>
      <c r="I3" s="26" t="s">
        <v>365</v>
      </c>
      <c r="J3" s="26" t="s">
        <v>366</v>
      </c>
      <c r="K3" s="26" t="s">
        <v>100</v>
      </c>
      <c r="L3" s="26" t="s">
        <v>260</v>
      </c>
      <c r="M3" s="28" t="s">
        <v>112</v>
      </c>
      <c r="N3" s="28" t="s">
        <v>400</v>
      </c>
      <c r="O3" s="28" t="s">
        <v>53</v>
      </c>
    </row>
    <row r="4" spans="1:15" ht="30" x14ac:dyDescent="0.2">
      <c r="A4" s="6"/>
      <c r="B4" s="9" t="s">
        <v>294</v>
      </c>
      <c r="C4" s="8" t="s">
        <v>356</v>
      </c>
      <c r="D4" s="14">
        <v>49.83</v>
      </c>
      <c r="E4" s="14">
        <v>16.75</v>
      </c>
      <c r="F4" s="14" t="s">
        <v>355</v>
      </c>
      <c r="G4" s="14" t="s">
        <v>125</v>
      </c>
      <c r="H4" s="14" t="s">
        <v>124</v>
      </c>
      <c r="I4" s="14">
        <v>14.19</v>
      </c>
      <c r="J4" s="14">
        <v>12.37</v>
      </c>
      <c r="K4" s="16">
        <f>17.72/D4</f>
        <v>0.35560907084085891</v>
      </c>
      <c r="L4" s="16">
        <f>17.74/D4</f>
        <v>0.35601043548063416</v>
      </c>
      <c r="M4" s="13" t="s">
        <v>269</v>
      </c>
      <c r="N4" s="13" t="s">
        <v>401</v>
      </c>
      <c r="O4" s="13" t="s">
        <v>47</v>
      </c>
    </row>
    <row r="5" spans="1:15" x14ac:dyDescent="0.2">
      <c r="A5" s="6"/>
      <c r="B5" s="6" t="s">
        <v>83</v>
      </c>
      <c r="C5" s="8" t="s">
        <v>69</v>
      </c>
      <c r="D5" s="14">
        <v>51.86</v>
      </c>
      <c r="E5" s="14"/>
      <c r="F5" s="14" t="s">
        <v>84</v>
      </c>
      <c r="G5" s="14"/>
      <c r="H5" s="14">
        <v>15.09</v>
      </c>
      <c r="I5" s="14"/>
      <c r="J5" s="14"/>
      <c r="K5" s="16">
        <f>H5/D5</f>
        <v>0.29097570381797144</v>
      </c>
      <c r="L5" s="16">
        <f>17.09/D5</f>
        <v>0.32954107211723871</v>
      </c>
      <c r="M5" s="13"/>
      <c r="N5" s="13" t="s">
        <v>424</v>
      </c>
      <c r="O5" s="13" t="s">
        <v>47</v>
      </c>
    </row>
    <row r="6" spans="1:15" ht="30" x14ac:dyDescent="0.2">
      <c r="A6" s="6"/>
      <c r="B6" s="6" t="s">
        <v>523</v>
      </c>
      <c r="C6" s="8" t="s">
        <v>86</v>
      </c>
      <c r="D6" s="14">
        <v>49.19</v>
      </c>
      <c r="E6" s="14">
        <v>16.03</v>
      </c>
      <c r="F6" s="14">
        <v>21.51</v>
      </c>
      <c r="G6" s="14">
        <v>13.69</v>
      </c>
      <c r="H6" s="14">
        <v>16.239999999999998</v>
      </c>
      <c r="I6" s="14">
        <v>14.73</v>
      </c>
      <c r="J6" s="14">
        <v>13.92</v>
      </c>
      <c r="K6" s="16">
        <f t="shared" ref="K6:K7" si="0">H6/D6</f>
        <v>0.33014840414718438</v>
      </c>
      <c r="L6" s="16">
        <f t="shared" ref="L6:L8" si="1">F6/D6</f>
        <v>0.43728400081317348</v>
      </c>
      <c r="M6" s="13"/>
      <c r="N6" s="13" t="s">
        <v>423</v>
      </c>
      <c r="O6" s="13" t="s">
        <v>47</v>
      </c>
    </row>
    <row r="7" spans="1:15" ht="30" x14ac:dyDescent="0.2">
      <c r="A7" s="6"/>
      <c r="B7" s="6" t="s">
        <v>524</v>
      </c>
      <c r="C7" s="8" t="s">
        <v>86</v>
      </c>
      <c r="D7" s="14">
        <v>47.27</v>
      </c>
      <c r="E7" s="14">
        <v>15.85</v>
      </c>
      <c r="F7" s="14">
        <v>22.37</v>
      </c>
      <c r="G7" s="14">
        <v>14.31</v>
      </c>
      <c r="H7" s="14">
        <v>17.63</v>
      </c>
      <c r="I7" s="14">
        <v>14.45</v>
      </c>
      <c r="J7" s="14">
        <v>14.83</v>
      </c>
      <c r="K7" s="16">
        <f t="shared" si="0"/>
        <v>0.37296382483604817</v>
      </c>
      <c r="L7" s="16">
        <f t="shared" si="1"/>
        <v>0.47323884070234823</v>
      </c>
      <c r="M7" s="13"/>
      <c r="N7" s="13" t="s">
        <v>423</v>
      </c>
      <c r="O7" s="13" t="s">
        <v>47</v>
      </c>
    </row>
    <row r="8" spans="1:15" ht="30" x14ac:dyDescent="0.2">
      <c r="A8" s="6"/>
      <c r="B8" s="6" t="s">
        <v>268</v>
      </c>
      <c r="C8" s="8" t="s">
        <v>86</v>
      </c>
      <c r="D8" s="14">
        <v>50.5</v>
      </c>
      <c r="E8" s="14">
        <v>18.399999999999999</v>
      </c>
      <c r="F8" s="14">
        <v>20.8</v>
      </c>
      <c r="H8" s="14"/>
      <c r="I8" s="14"/>
      <c r="J8" s="14"/>
      <c r="K8" s="16"/>
      <c r="L8" s="16">
        <f t="shared" si="1"/>
        <v>0.41188118811881191</v>
      </c>
      <c r="M8" s="13"/>
      <c r="N8" s="13" t="s">
        <v>423</v>
      </c>
      <c r="O8" s="13" t="s">
        <v>87</v>
      </c>
    </row>
    <row r="9" spans="1:15" x14ac:dyDescent="0.2">
      <c r="A9" s="6"/>
      <c r="B9" s="6" t="s">
        <v>28</v>
      </c>
      <c r="C9" s="8" t="s">
        <v>65</v>
      </c>
      <c r="D9" s="14">
        <v>59.43</v>
      </c>
      <c r="E9" s="14">
        <v>20.72</v>
      </c>
      <c r="F9" s="14">
        <v>24.37</v>
      </c>
      <c r="G9" s="14">
        <v>15.53</v>
      </c>
      <c r="H9" s="14">
        <v>19.600000000000001</v>
      </c>
      <c r="I9" s="14"/>
      <c r="J9" s="14"/>
      <c r="K9" s="16">
        <f>H9/D9</f>
        <v>0.32979976442873971</v>
      </c>
      <c r="L9" s="16">
        <f t="shared" ref="L9:L34" si="2">F9/D9</f>
        <v>0.41006225811879526</v>
      </c>
      <c r="M9" s="13"/>
      <c r="N9" s="13" t="s">
        <v>402</v>
      </c>
      <c r="O9" s="13" t="s">
        <v>48</v>
      </c>
    </row>
    <row r="10" spans="1:15" x14ac:dyDescent="0.2">
      <c r="A10" s="6"/>
      <c r="B10" s="6" t="s">
        <v>29</v>
      </c>
      <c r="C10" s="8" t="s">
        <v>65</v>
      </c>
      <c r="D10" s="14">
        <v>56.82</v>
      </c>
      <c r="E10" s="14">
        <v>21.6</v>
      </c>
      <c r="F10" s="14">
        <v>26.83</v>
      </c>
      <c r="G10" s="14">
        <v>15.26</v>
      </c>
      <c r="H10" s="14">
        <v>22.28</v>
      </c>
      <c r="I10" s="14"/>
      <c r="J10" s="14"/>
      <c r="K10" s="16">
        <f>H10/D10</f>
        <v>0.39211545230552625</v>
      </c>
      <c r="L10" s="16">
        <f t="shared" si="2"/>
        <v>0.4721928898275255</v>
      </c>
      <c r="M10" s="13"/>
      <c r="N10" s="13" t="s">
        <v>402</v>
      </c>
      <c r="O10" s="13" t="s">
        <v>48</v>
      </c>
    </row>
    <row r="11" spans="1:15" x14ac:dyDescent="0.2">
      <c r="A11" s="6"/>
      <c r="B11" s="6" t="s">
        <v>76</v>
      </c>
      <c r="C11" s="8" t="s">
        <v>42</v>
      </c>
      <c r="D11" s="14">
        <v>58</v>
      </c>
      <c r="E11" s="14">
        <v>22</v>
      </c>
      <c r="F11" s="14">
        <v>24.5</v>
      </c>
      <c r="G11" s="14">
        <v>16</v>
      </c>
      <c r="H11" s="14">
        <v>20</v>
      </c>
      <c r="I11" s="14"/>
      <c r="J11" s="14"/>
      <c r="K11" s="16">
        <f>H11/D11</f>
        <v>0.34482758620689657</v>
      </c>
      <c r="L11" s="16">
        <f t="shared" si="2"/>
        <v>0.42241379310344829</v>
      </c>
      <c r="M11" s="13"/>
      <c r="N11" s="13" t="s">
        <v>402</v>
      </c>
      <c r="O11" s="13" t="s">
        <v>49</v>
      </c>
    </row>
    <row r="12" spans="1:15" x14ac:dyDescent="0.2">
      <c r="A12" s="6"/>
      <c r="B12" s="6" t="s">
        <v>17</v>
      </c>
      <c r="C12" s="8" t="s">
        <v>66</v>
      </c>
      <c r="D12" s="14">
        <v>54</v>
      </c>
      <c r="E12" s="14">
        <v>21</v>
      </c>
      <c r="F12" s="14">
        <v>29</v>
      </c>
      <c r="G12" s="14">
        <v>16</v>
      </c>
      <c r="H12" s="14"/>
      <c r="I12" s="14"/>
      <c r="J12" s="14"/>
      <c r="K12" s="16"/>
      <c r="L12" s="16">
        <f t="shared" si="2"/>
        <v>0.53703703703703709</v>
      </c>
      <c r="M12" s="13"/>
      <c r="N12" s="13" t="s">
        <v>402</v>
      </c>
      <c r="O12" s="13" t="s">
        <v>48</v>
      </c>
    </row>
    <row r="13" spans="1:15" x14ac:dyDescent="0.2">
      <c r="A13" s="6"/>
      <c r="B13" s="6" t="s">
        <v>20</v>
      </c>
      <c r="C13" s="6" t="s">
        <v>0</v>
      </c>
      <c r="D13" s="14">
        <v>56.81</v>
      </c>
      <c r="E13" s="14">
        <v>17.23</v>
      </c>
      <c r="F13" s="14">
        <v>20.75</v>
      </c>
      <c r="G13" s="14">
        <v>12.23</v>
      </c>
      <c r="H13" s="14">
        <v>18.100000000000001</v>
      </c>
      <c r="I13" s="14"/>
      <c r="J13" s="14"/>
      <c r="K13" s="16">
        <f t="shared" ref="K13:K24" si="3">H13/D13</f>
        <v>0.31860587924661155</v>
      </c>
      <c r="L13" s="16">
        <f t="shared" si="2"/>
        <v>0.3652525963738778</v>
      </c>
      <c r="M13" s="13"/>
      <c r="N13" s="13" t="s">
        <v>403</v>
      </c>
      <c r="O13" s="13" t="s">
        <v>48</v>
      </c>
    </row>
    <row r="14" spans="1:15" x14ac:dyDescent="0.2">
      <c r="A14" s="6"/>
      <c r="B14" s="6" t="s">
        <v>21</v>
      </c>
      <c r="C14" s="6" t="s">
        <v>0</v>
      </c>
      <c r="D14" s="14">
        <v>68.87</v>
      </c>
      <c r="E14" s="14">
        <v>27.92</v>
      </c>
      <c r="F14" s="14">
        <v>32</v>
      </c>
      <c r="G14" s="14">
        <v>18.61</v>
      </c>
      <c r="H14" s="14">
        <v>25.78</v>
      </c>
      <c r="I14" s="14"/>
      <c r="J14" s="14"/>
      <c r="K14" s="16">
        <f t="shared" si="3"/>
        <v>0.37432844489618122</v>
      </c>
      <c r="L14" s="16">
        <f t="shared" si="2"/>
        <v>0.4646435312908378</v>
      </c>
      <c r="M14" s="13"/>
      <c r="N14" s="13" t="s">
        <v>403</v>
      </c>
      <c r="O14" s="13" t="s">
        <v>48</v>
      </c>
    </row>
    <row r="15" spans="1:15" x14ac:dyDescent="0.2">
      <c r="A15" s="6"/>
      <c r="B15" s="6" t="s">
        <v>22</v>
      </c>
      <c r="C15" s="6" t="s">
        <v>0</v>
      </c>
      <c r="D15" s="14">
        <v>65.2</v>
      </c>
      <c r="E15" s="14">
        <v>20.21</v>
      </c>
      <c r="F15" s="14">
        <v>22.05</v>
      </c>
      <c r="G15" s="14">
        <v>11.65</v>
      </c>
      <c r="H15" s="14">
        <v>17.73</v>
      </c>
      <c r="I15" s="14"/>
      <c r="J15" s="14"/>
      <c r="K15" s="16">
        <f t="shared" si="3"/>
        <v>0.2719325153374233</v>
      </c>
      <c r="L15" s="16">
        <f t="shared" si="2"/>
        <v>0.33819018404907975</v>
      </c>
      <c r="M15" s="13"/>
      <c r="N15" s="13" t="s">
        <v>403</v>
      </c>
      <c r="O15" s="13" t="s">
        <v>48</v>
      </c>
    </row>
    <row r="16" spans="1:15" x14ac:dyDescent="0.2">
      <c r="A16" s="6"/>
      <c r="B16" s="6" t="s">
        <v>23</v>
      </c>
      <c r="C16" s="6" t="s">
        <v>0</v>
      </c>
      <c r="D16" s="14">
        <v>54.33</v>
      </c>
      <c r="E16" s="14">
        <v>21.65</v>
      </c>
      <c r="F16" s="14">
        <v>19.079999999999998</v>
      </c>
      <c r="G16" s="14">
        <v>13.08</v>
      </c>
      <c r="H16" s="14">
        <v>18.3</v>
      </c>
      <c r="I16" s="14"/>
      <c r="J16" s="14"/>
      <c r="K16" s="16">
        <f t="shared" si="3"/>
        <v>0.33683048039757041</v>
      </c>
      <c r="L16" s="16">
        <f t="shared" si="2"/>
        <v>0.35118718939812255</v>
      </c>
      <c r="M16" s="13"/>
      <c r="N16" s="13" t="s">
        <v>403</v>
      </c>
      <c r="O16" s="13" t="s">
        <v>48</v>
      </c>
    </row>
    <row r="17" spans="1:20" x14ac:dyDescent="0.2">
      <c r="A17" s="6"/>
      <c r="B17" s="6" t="s">
        <v>24</v>
      </c>
      <c r="C17" s="6" t="s">
        <v>0</v>
      </c>
      <c r="D17" s="14">
        <v>69.58</v>
      </c>
      <c r="E17" s="14">
        <v>26.78</v>
      </c>
      <c r="F17" s="14">
        <v>29.6</v>
      </c>
      <c r="G17" s="14">
        <v>17.68</v>
      </c>
      <c r="H17" s="14">
        <v>24.57</v>
      </c>
      <c r="I17" s="14"/>
      <c r="J17" s="14"/>
      <c r="K17" s="16">
        <f t="shared" si="3"/>
        <v>0.35311871227364189</v>
      </c>
      <c r="L17" s="16">
        <f t="shared" si="2"/>
        <v>0.42540960045990228</v>
      </c>
      <c r="M17" s="13"/>
      <c r="N17" s="13" t="s">
        <v>403</v>
      </c>
      <c r="O17" s="13" t="s">
        <v>48</v>
      </c>
    </row>
    <row r="18" spans="1:20" x14ac:dyDescent="0.2">
      <c r="A18" s="6"/>
      <c r="B18" s="6" t="s">
        <v>25</v>
      </c>
      <c r="C18" s="6" t="s">
        <v>0</v>
      </c>
      <c r="D18" s="14">
        <v>63.31</v>
      </c>
      <c r="E18" s="14">
        <v>22.39</v>
      </c>
      <c r="F18" s="14">
        <v>26.5</v>
      </c>
      <c r="G18" s="14">
        <v>14.6</v>
      </c>
      <c r="H18" s="14">
        <v>20.88</v>
      </c>
      <c r="I18" s="14"/>
      <c r="J18" s="14"/>
      <c r="K18" s="16">
        <f t="shared" si="3"/>
        <v>0.32980571789606694</v>
      </c>
      <c r="L18" s="16">
        <f t="shared" si="2"/>
        <v>0.41857526457115779</v>
      </c>
      <c r="M18" s="13"/>
      <c r="N18" s="13" t="s">
        <v>403</v>
      </c>
      <c r="O18" s="13" t="s">
        <v>48</v>
      </c>
    </row>
    <row r="19" spans="1:20" x14ac:dyDescent="0.2">
      <c r="A19" s="6"/>
      <c r="B19" s="6" t="s">
        <v>26</v>
      </c>
      <c r="C19" s="6" t="s">
        <v>0</v>
      </c>
      <c r="D19" s="14">
        <v>62.81</v>
      </c>
      <c r="E19" s="14">
        <v>22.07</v>
      </c>
      <c r="F19" s="14">
        <v>22.9</v>
      </c>
      <c r="G19" s="14">
        <v>13.74</v>
      </c>
      <c r="H19" s="14">
        <v>17.7</v>
      </c>
      <c r="I19" s="14"/>
      <c r="J19" s="14"/>
      <c r="K19" s="16">
        <f t="shared" si="3"/>
        <v>0.28180226078649895</v>
      </c>
      <c r="L19" s="16">
        <f t="shared" si="2"/>
        <v>0.36459162553733476</v>
      </c>
      <c r="M19" s="13"/>
      <c r="N19" s="13" t="s">
        <v>403</v>
      </c>
      <c r="O19" s="13" t="s">
        <v>48</v>
      </c>
    </row>
    <row r="20" spans="1:20" x14ac:dyDescent="0.2">
      <c r="A20" s="6"/>
      <c r="B20" s="6" t="s">
        <v>27</v>
      </c>
      <c r="C20" s="6" t="s">
        <v>0</v>
      </c>
      <c r="D20" s="14">
        <v>62.9</v>
      </c>
      <c r="E20" s="14">
        <v>20.92</v>
      </c>
      <c r="F20" s="14">
        <v>22</v>
      </c>
      <c r="G20" s="14">
        <v>13.11</v>
      </c>
      <c r="H20" s="14">
        <v>19.399999999999999</v>
      </c>
      <c r="I20" s="14"/>
      <c r="J20" s="14"/>
      <c r="K20" s="16">
        <f t="shared" si="3"/>
        <v>0.30842607313195547</v>
      </c>
      <c r="L20" s="16">
        <f t="shared" si="2"/>
        <v>0.34976152623211448</v>
      </c>
      <c r="M20" s="13"/>
      <c r="N20" s="13" t="s">
        <v>403</v>
      </c>
      <c r="O20" s="13" t="s">
        <v>48</v>
      </c>
    </row>
    <row r="21" spans="1:20" s="6" customFormat="1" ht="18" customHeight="1" x14ac:dyDescent="0.15">
      <c r="B21" s="6" t="s">
        <v>515</v>
      </c>
      <c r="C21" s="8" t="s">
        <v>514</v>
      </c>
      <c r="D21" s="14">
        <v>77.39</v>
      </c>
      <c r="E21" s="14">
        <v>23.18</v>
      </c>
      <c r="F21" s="16">
        <v>28.24</v>
      </c>
      <c r="G21" s="16">
        <v>19.690000000000001</v>
      </c>
      <c r="H21" s="16">
        <v>23.25</v>
      </c>
      <c r="I21" s="16">
        <v>19.84</v>
      </c>
      <c r="J21" s="14">
        <v>17.09</v>
      </c>
      <c r="K21" s="16">
        <f t="shared" si="3"/>
        <v>0.30042641168109574</v>
      </c>
      <c r="L21" s="16">
        <f t="shared" si="2"/>
        <v>0.36490502648921047</v>
      </c>
      <c r="M21" s="14"/>
      <c r="N21" s="13" t="s">
        <v>421</v>
      </c>
      <c r="O21" s="13" t="s">
        <v>47</v>
      </c>
      <c r="Q21" s="16"/>
      <c r="R21" s="16"/>
      <c r="S21" s="16"/>
      <c r="T21" s="16"/>
    </row>
    <row r="22" spans="1:20" x14ac:dyDescent="0.2">
      <c r="A22" s="6"/>
      <c r="B22" s="6" t="s">
        <v>32</v>
      </c>
      <c r="C22" s="8" t="s">
        <v>514</v>
      </c>
      <c r="D22" s="14">
        <v>78.34</v>
      </c>
      <c r="E22" s="14">
        <v>29.65</v>
      </c>
      <c r="F22" s="14">
        <v>27.82</v>
      </c>
      <c r="G22" s="14">
        <v>16.97</v>
      </c>
      <c r="H22" s="14">
        <v>24.95</v>
      </c>
      <c r="I22" s="14"/>
      <c r="J22" s="14"/>
      <c r="K22" s="16">
        <f t="shared" si="3"/>
        <v>0.31848353331631346</v>
      </c>
      <c r="L22" s="16">
        <f t="shared" si="2"/>
        <v>0.35511871330099565</v>
      </c>
      <c r="M22" s="13"/>
      <c r="N22" s="13" t="s">
        <v>421</v>
      </c>
      <c r="O22" s="13" t="s">
        <v>48</v>
      </c>
    </row>
    <row r="23" spans="1:20" x14ac:dyDescent="0.2">
      <c r="A23" s="6"/>
      <c r="B23" s="6" t="s">
        <v>33</v>
      </c>
      <c r="C23" s="8" t="s">
        <v>514</v>
      </c>
      <c r="D23" s="14">
        <v>78.599999999999994</v>
      </c>
      <c r="E23" s="14">
        <v>28.27</v>
      </c>
      <c r="F23" s="14">
        <v>27.39</v>
      </c>
      <c r="G23" s="14">
        <v>17.82</v>
      </c>
      <c r="H23" s="14">
        <v>23.95</v>
      </c>
      <c r="I23" s="14"/>
      <c r="J23" s="14"/>
      <c r="K23" s="16">
        <f t="shared" si="3"/>
        <v>0.30470737913486007</v>
      </c>
      <c r="L23" s="16">
        <f t="shared" si="2"/>
        <v>0.34847328244274811</v>
      </c>
      <c r="M23" s="13"/>
      <c r="N23" s="13" t="s">
        <v>421</v>
      </c>
      <c r="O23" s="13" t="s">
        <v>48</v>
      </c>
      <c r="R23" s="12">
        <f>MIN(K49:K63)</f>
        <v>0.30139593908629442</v>
      </c>
    </row>
    <row r="24" spans="1:20" x14ac:dyDescent="0.2">
      <c r="A24" s="6"/>
      <c r="B24" s="6" t="s">
        <v>34</v>
      </c>
      <c r="C24" s="8" t="s">
        <v>514</v>
      </c>
      <c r="D24" s="14">
        <v>83.25</v>
      </c>
      <c r="E24" s="14">
        <v>28.61</v>
      </c>
      <c r="F24" s="14">
        <v>29.24</v>
      </c>
      <c r="G24" s="14">
        <v>19.04</v>
      </c>
      <c r="H24" s="14">
        <v>27.17</v>
      </c>
      <c r="I24" s="14"/>
      <c r="J24" s="14"/>
      <c r="K24" s="16">
        <f t="shared" si="3"/>
        <v>0.3263663663663664</v>
      </c>
      <c r="L24" s="16">
        <f t="shared" si="2"/>
        <v>0.35123123123123123</v>
      </c>
      <c r="M24" s="13"/>
      <c r="N24" s="13" t="s">
        <v>421</v>
      </c>
      <c r="O24" s="13" t="s">
        <v>48</v>
      </c>
      <c r="R24" s="12">
        <f>MAX(K4:K46)</f>
        <v>0.49333333333333335</v>
      </c>
    </row>
    <row r="25" spans="1:20" x14ac:dyDescent="0.2">
      <c r="A25" s="6"/>
      <c r="B25" s="6" t="s">
        <v>35</v>
      </c>
      <c r="C25" s="8" t="s">
        <v>514</v>
      </c>
      <c r="D25" s="14">
        <v>81.010000000000005</v>
      </c>
      <c r="E25" s="14">
        <v>28.32</v>
      </c>
      <c r="F25" s="14">
        <v>30.51</v>
      </c>
      <c r="G25" s="14"/>
      <c r="H25" s="14"/>
      <c r="I25" s="14"/>
      <c r="J25" s="14"/>
      <c r="K25" s="16"/>
      <c r="L25" s="16">
        <f t="shared" si="2"/>
        <v>0.37662017034933959</v>
      </c>
      <c r="M25" s="13"/>
      <c r="N25" s="13" t="s">
        <v>421</v>
      </c>
      <c r="O25" s="13" t="s">
        <v>48</v>
      </c>
    </row>
    <row r="26" spans="1:20" x14ac:dyDescent="0.2">
      <c r="A26" s="6"/>
      <c r="B26" s="6" t="s">
        <v>36</v>
      </c>
      <c r="C26" s="8" t="s">
        <v>514</v>
      </c>
      <c r="D26" s="14">
        <v>83.56</v>
      </c>
      <c r="E26" s="14">
        <v>31.45</v>
      </c>
      <c r="F26" s="14">
        <v>34.6</v>
      </c>
      <c r="G26" s="14">
        <v>20.21</v>
      </c>
      <c r="H26" s="14" t="s">
        <v>38</v>
      </c>
      <c r="I26" s="14"/>
      <c r="J26" s="14"/>
      <c r="K26" s="16">
        <f>26.44/D26</f>
        <v>0.31641933939684058</v>
      </c>
      <c r="L26" s="16">
        <f t="shared" si="2"/>
        <v>0.41407371948300625</v>
      </c>
      <c r="M26" s="13"/>
      <c r="N26" s="13" t="s">
        <v>421</v>
      </c>
      <c r="O26" s="13" t="s">
        <v>48</v>
      </c>
    </row>
    <row r="27" spans="1:20" x14ac:dyDescent="0.2">
      <c r="A27" s="6"/>
      <c r="B27" s="6" t="s">
        <v>274</v>
      </c>
      <c r="C27" s="8" t="s">
        <v>67</v>
      </c>
      <c r="D27" s="14">
        <v>60</v>
      </c>
      <c r="E27" s="14">
        <v>23.3</v>
      </c>
      <c r="F27" s="14">
        <v>13</v>
      </c>
      <c r="G27" s="14">
        <v>18.5</v>
      </c>
      <c r="H27" s="14"/>
      <c r="I27" s="14"/>
      <c r="J27" s="14"/>
      <c r="K27" s="16"/>
      <c r="L27" s="16">
        <f t="shared" si="2"/>
        <v>0.21666666666666667</v>
      </c>
      <c r="M27" s="13"/>
      <c r="N27" s="13" t="s">
        <v>401</v>
      </c>
      <c r="O27" s="13" t="s">
        <v>64</v>
      </c>
    </row>
    <row r="28" spans="1:20" x14ac:dyDescent="0.2">
      <c r="A28" s="6"/>
      <c r="B28" s="6" t="s">
        <v>30</v>
      </c>
      <c r="C28" s="8" t="s">
        <v>31</v>
      </c>
      <c r="D28" s="14">
        <v>102.57</v>
      </c>
      <c r="E28" s="14">
        <v>41.37</v>
      </c>
      <c r="F28" s="14">
        <v>47.86</v>
      </c>
      <c r="G28" s="14">
        <v>30.8</v>
      </c>
      <c r="H28" s="14">
        <v>44.19</v>
      </c>
      <c r="I28" s="14"/>
      <c r="J28" s="14"/>
      <c r="K28" s="16">
        <f>H28/D28</f>
        <v>0.43082772740567415</v>
      </c>
      <c r="L28" s="16">
        <f t="shared" si="2"/>
        <v>0.46660817003022331</v>
      </c>
      <c r="M28" s="13"/>
      <c r="N28" s="13" t="s">
        <v>422</v>
      </c>
      <c r="O28" s="13" t="s">
        <v>48</v>
      </c>
    </row>
    <row r="29" spans="1:20" x14ac:dyDescent="0.2">
      <c r="A29" s="6"/>
      <c r="B29" s="6" t="s">
        <v>511</v>
      </c>
      <c r="C29" s="8" t="s">
        <v>41</v>
      </c>
      <c r="D29" s="14">
        <v>84.24</v>
      </c>
      <c r="E29" s="14">
        <v>39.909999999999997</v>
      </c>
      <c r="F29" s="14">
        <v>43.42</v>
      </c>
      <c r="G29" s="14">
        <v>26.38</v>
      </c>
      <c r="H29" s="14">
        <v>35.869999999999997</v>
      </c>
      <c r="I29" s="14">
        <v>26.08</v>
      </c>
      <c r="J29" s="14">
        <v>28.28</v>
      </c>
      <c r="K29" s="16">
        <f t="shared" ref="K29:K30" si="4">H29/D29</f>
        <v>0.42580721747388411</v>
      </c>
      <c r="L29" s="16">
        <f t="shared" si="2"/>
        <v>0.51543209876543217</v>
      </c>
      <c r="M29" s="13"/>
      <c r="N29" s="13" t="s">
        <v>405</v>
      </c>
      <c r="O29" s="13" t="s">
        <v>54</v>
      </c>
    </row>
    <row r="30" spans="1:20" x14ac:dyDescent="0.2">
      <c r="A30" s="6"/>
      <c r="B30" s="6" t="s">
        <v>512</v>
      </c>
      <c r="C30" s="8" t="s">
        <v>41</v>
      </c>
      <c r="D30" s="14">
        <v>87.97</v>
      </c>
      <c r="E30" s="14">
        <v>39.83</v>
      </c>
      <c r="F30" s="14">
        <v>45.29</v>
      </c>
      <c r="G30" s="14">
        <v>28.16</v>
      </c>
      <c r="H30" s="14">
        <v>36.42</v>
      </c>
      <c r="I30" s="14">
        <v>25.72</v>
      </c>
      <c r="J30" s="14">
        <v>28.55</v>
      </c>
      <c r="K30" s="16">
        <f t="shared" si="4"/>
        <v>0.41400477435489375</v>
      </c>
      <c r="L30" s="16">
        <f t="shared" si="2"/>
        <v>0.51483460270546777</v>
      </c>
      <c r="M30" s="13"/>
      <c r="N30" s="13" t="s">
        <v>405</v>
      </c>
      <c r="O30" s="13" t="s">
        <v>54</v>
      </c>
    </row>
    <row r="31" spans="1:20" x14ac:dyDescent="0.2">
      <c r="A31" s="6"/>
      <c r="B31" s="6" t="s">
        <v>271</v>
      </c>
      <c r="C31" s="8" t="s">
        <v>41</v>
      </c>
      <c r="D31" s="14">
        <v>80</v>
      </c>
      <c r="E31" s="14"/>
      <c r="F31" s="14">
        <v>43</v>
      </c>
      <c r="G31" s="14"/>
      <c r="H31" s="14">
        <v>35</v>
      </c>
      <c r="I31" s="14"/>
      <c r="J31" s="14"/>
      <c r="K31" s="16">
        <f>H31/D31</f>
        <v>0.4375</v>
      </c>
      <c r="L31" s="16">
        <f t="shared" si="2"/>
        <v>0.53749999999999998</v>
      </c>
      <c r="M31" s="13"/>
      <c r="N31" s="13" t="s">
        <v>405</v>
      </c>
      <c r="O31" s="13" t="s">
        <v>75</v>
      </c>
    </row>
    <row r="32" spans="1:20" x14ac:dyDescent="0.2">
      <c r="A32" s="6"/>
      <c r="B32" s="6" t="s">
        <v>272</v>
      </c>
      <c r="C32" s="8" t="s">
        <v>41</v>
      </c>
      <c r="D32" s="14">
        <v>75</v>
      </c>
      <c r="E32" s="14"/>
      <c r="F32" s="14">
        <v>45</v>
      </c>
      <c r="G32" s="14"/>
      <c r="H32" s="14">
        <v>37</v>
      </c>
      <c r="I32" s="14"/>
      <c r="K32" s="16">
        <f>H32/D32</f>
        <v>0.49333333333333335</v>
      </c>
      <c r="L32" s="16">
        <f t="shared" si="2"/>
        <v>0.6</v>
      </c>
      <c r="M32" s="27"/>
      <c r="N32" s="13" t="s">
        <v>405</v>
      </c>
      <c r="O32" s="13" t="s">
        <v>75</v>
      </c>
    </row>
    <row r="33" spans="1:15" x14ac:dyDescent="0.2">
      <c r="B33" s="6" t="s">
        <v>357</v>
      </c>
      <c r="C33" s="8" t="s">
        <v>41</v>
      </c>
      <c r="D33" s="14">
        <v>94.58</v>
      </c>
      <c r="E33" s="14">
        <v>38.49</v>
      </c>
      <c r="F33" s="14">
        <v>45.7</v>
      </c>
      <c r="G33" s="14">
        <v>31.45</v>
      </c>
      <c r="H33" s="14">
        <v>37.409999999999997</v>
      </c>
      <c r="I33" s="14">
        <v>27.41</v>
      </c>
      <c r="J33" s="14">
        <v>26.89</v>
      </c>
      <c r="K33" s="16">
        <f>H33/D33</f>
        <v>0.39553816874603509</v>
      </c>
      <c r="L33" s="16">
        <f>F33/D33</f>
        <v>0.48318883484880526</v>
      </c>
      <c r="M33" s="33"/>
      <c r="N33" s="13" t="s">
        <v>405</v>
      </c>
      <c r="O33" s="13" t="s">
        <v>54</v>
      </c>
    </row>
    <row r="34" spans="1:15" x14ac:dyDescent="0.2">
      <c r="B34" s="6" t="s">
        <v>358</v>
      </c>
      <c r="C34" s="8" t="s">
        <v>41</v>
      </c>
      <c r="D34" s="14">
        <v>93.13</v>
      </c>
      <c r="E34" s="14">
        <v>39.83</v>
      </c>
      <c r="F34" s="14">
        <v>43.01</v>
      </c>
      <c r="G34" s="14">
        <v>28.83</v>
      </c>
      <c r="H34" s="14">
        <v>36.36</v>
      </c>
      <c r="I34" s="14">
        <v>27.52</v>
      </c>
      <c r="J34" s="14">
        <v>27.99</v>
      </c>
      <c r="K34" s="16">
        <f t="shared" ref="K34" si="5">H34/D34</f>
        <v>0.39042199076559647</v>
      </c>
      <c r="L34" s="16">
        <f t="shared" si="2"/>
        <v>0.46182755288306671</v>
      </c>
      <c r="M34" s="33"/>
      <c r="N34" s="13" t="s">
        <v>405</v>
      </c>
      <c r="O34" s="13" t="s">
        <v>54</v>
      </c>
    </row>
    <row r="35" spans="1:15" x14ac:dyDescent="0.2">
      <c r="A35" s="6"/>
      <c r="B35" s="6" t="s">
        <v>221</v>
      </c>
      <c r="C35" s="8" t="s">
        <v>105</v>
      </c>
      <c r="D35" s="14">
        <v>88</v>
      </c>
      <c r="E35" s="14"/>
      <c r="F35" s="14">
        <v>38.5</v>
      </c>
      <c r="G35" s="15"/>
      <c r="H35" s="14">
        <v>32.5</v>
      </c>
      <c r="I35" s="14"/>
      <c r="J35" s="14"/>
      <c r="K35" s="16">
        <f t="shared" ref="K35:K46" si="6">H35/D35</f>
        <v>0.36931818181818182</v>
      </c>
      <c r="L35" s="16">
        <f t="shared" ref="L35:L46" si="7">F35/D35</f>
        <v>0.4375</v>
      </c>
      <c r="M35" s="13"/>
      <c r="N35" s="13" t="s">
        <v>406</v>
      </c>
      <c r="O35" s="13" t="s">
        <v>137</v>
      </c>
    </row>
    <row r="36" spans="1:15" x14ac:dyDescent="0.2">
      <c r="B36" s="6" t="s">
        <v>222</v>
      </c>
      <c r="C36" s="8" t="s">
        <v>105</v>
      </c>
      <c r="D36" s="14">
        <v>89.5</v>
      </c>
      <c r="E36" s="14"/>
      <c r="F36" s="14">
        <v>38</v>
      </c>
      <c r="G36" s="15"/>
      <c r="H36" s="14">
        <v>33</v>
      </c>
      <c r="I36" s="14"/>
      <c r="J36" s="14"/>
      <c r="K36" s="16">
        <f t="shared" si="6"/>
        <v>0.36871508379888268</v>
      </c>
      <c r="L36" s="16">
        <f t="shared" si="7"/>
        <v>0.42458100558659218</v>
      </c>
      <c r="M36" s="29"/>
      <c r="N36" s="13" t="s">
        <v>406</v>
      </c>
      <c r="O36" s="13" t="s">
        <v>137</v>
      </c>
    </row>
    <row r="37" spans="1:15" x14ac:dyDescent="0.2">
      <c r="B37" s="6" t="s">
        <v>223</v>
      </c>
      <c r="C37" s="8" t="s">
        <v>105</v>
      </c>
      <c r="D37" s="14">
        <v>87</v>
      </c>
      <c r="E37" s="14"/>
      <c r="F37" s="14">
        <v>42</v>
      </c>
      <c r="G37" s="15"/>
      <c r="H37" s="14">
        <v>36</v>
      </c>
      <c r="I37" s="14"/>
      <c r="J37" s="14"/>
      <c r="K37" s="16">
        <f t="shared" si="6"/>
        <v>0.41379310344827586</v>
      </c>
      <c r="L37" s="16">
        <f t="shared" si="7"/>
        <v>0.48275862068965519</v>
      </c>
      <c r="M37" s="29"/>
      <c r="N37" s="13" t="s">
        <v>406</v>
      </c>
      <c r="O37" s="13" t="s">
        <v>137</v>
      </c>
    </row>
    <row r="38" spans="1:15" x14ac:dyDescent="0.2">
      <c r="B38" s="6" t="s">
        <v>224</v>
      </c>
      <c r="C38" s="8" t="s">
        <v>105</v>
      </c>
      <c r="D38" s="14">
        <v>81</v>
      </c>
      <c r="E38" s="14"/>
      <c r="F38" s="14">
        <v>38.5</v>
      </c>
      <c r="G38" s="15"/>
      <c r="H38" s="14">
        <v>34.5</v>
      </c>
      <c r="I38" s="14"/>
      <c r="J38" s="14"/>
      <c r="K38" s="16">
        <f t="shared" si="6"/>
        <v>0.42592592592592593</v>
      </c>
      <c r="L38" s="16">
        <f t="shared" si="7"/>
        <v>0.47530864197530864</v>
      </c>
      <c r="M38" s="29"/>
      <c r="N38" s="13" t="s">
        <v>406</v>
      </c>
      <c r="O38" s="13" t="s">
        <v>137</v>
      </c>
    </row>
    <row r="39" spans="1:15" x14ac:dyDescent="0.2">
      <c r="B39" s="6" t="s">
        <v>225</v>
      </c>
      <c r="C39" s="8" t="s">
        <v>105</v>
      </c>
      <c r="D39" s="14">
        <v>86</v>
      </c>
      <c r="E39" s="15"/>
      <c r="F39" s="14">
        <v>39</v>
      </c>
      <c r="G39" s="15"/>
      <c r="H39" s="14">
        <v>34</v>
      </c>
      <c r="I39" s="14"/>
      <c r="J39" s="14"/>
      <c r="K39" s="16">
        <f t="shared" si="6"/>
        <v>0.39534883720930231</v>
      </c>
      <c r="L39" s="16">
        <f t="shared" si="7"/>
        <v>0.45348837209302323</v>
      </c>
      <c r="M39" s="29"/>
      <c r="N39" s="13" t="s">
        <v>406</v>
      </c>
      <c r="O39" s="13" t="s">
        <v>137</v>
      </c>
    </row>
    <row r="40" spans="1:15" x14ac:dyDescent="0.2">
      <c r="B40" s="6" t="s">
        <v>226</v>
      </c>
      <c r="C40" s="8" t="s">
        <v>105</v>
      </c>
      <c r="D40" s="14">
        <v>85.5</v>
      </c>
      <c r="E40" s="15"/>
      <c r="F40" s="14">
        <v>39.5</v>
      </c>
      <c r="G40" s="15"/>
      <c r="H40" s="14">
        <v>34</v>
      </c>
      <c r="I40" s="14"/>
      <c r="J40" s="14"/>
      <c r="K40" s="16">
        <f t="shared" si="6"/>
        <v>0.39766081871345027</v>
      </c>
      <c r="L40" s="16">
        <f t="shared" si="7"/>
        <v>0.46198830409356723</v>
      </c>
      <c r="M40" s="29"/>
      <c r="N40" s="13" t="s">
        <v>406</v>
      </c>
      <c r="O40" s="13" t="s">
        <v>137</v>
      </c>
    </row>
    <row r="41" spans="1:15" x14ac:dyDescent="0.2">
      <c r="B41" s="6" t="s">
        <v>227</v>
      </c>
      <c r="C41" s="8" t="s">
        <v>105</v>
      </c>
      <c r="D41" s="14">
        <v>86</v>
      </c>
      <c r="E41" s="15"/>
      <c r="F41" s="14">
        <v>40</v>
      </c>
      <c r="G41" s="15"/>
      <c r="H41" s="14">
        <v>34</v>
      </c>
      <c r="I41" s="14"/>
      <c r="J41" s="14"/>
      <c r="K41" s="16">
        <f t="shared" si="6"/>
        <v>0.39534883720930231</v>
      </c>
      <c r="L41" s="16">
        <f t="shared" si="7"/>
        <v>0.46511627906976744</v>
      </c>
      <c r="M41" s="29"/>
      <c r="N41" s="13" t="s">
        <v>406</v>
      </c>
      <c r="O41" s="13" t="s">
        <v>137</v>
      </c>
    </row>
    <row r="42" spans="1:15" x14ac:dyDescent="0.2">
      <c r="B42" s="6" t="s">
        <v>228</v>
      </c>
      <c r="C42" s="8" t="s">
        <v>105</v>
      </c>
      <c r="D42" s="14">
        <v>84.5</v>
      </c>
      <c r="E42" s="15"/>
      <c r="F42" s="14">
        <v>39</v>
      </c>
      <c r="G42" s="15"/>
      <c r="H42" s="14">
        <v>34.5</v>
      </c>
      <c r="I42" s="14"/>
      <c r="J42" s="14"/>
      <c r="K42" s="16">
        <f t="shared" si="6"/>
        <v>0.40828402366863903</v>
      </c>
      <c r="L42" s="16">
        <f t="shared" si="7"/>
        <v>0.46153846153846156</v>
      </c>
      <c r="M42" s="29"/>
      <c r="N42" s="13" t="s">
        <v>406</v>
      </c>
      <c r="O42" s="13" t="s">
        <v>137</v>
      </c>
    </row>
    <row r="43" spans="1:15" x14ac:dyDescent="0.2">
      <c r="B43" s="6" t="s">
        <v>235</v>
      </c>
      <c r="C43" s="8" t="s">
        <v>105</v>
      </c>
      <c r="D43" s="14">
        <v>82</v>
      </c>
      <c r="E43" s="15"/>
      <c r="F43" s="14">
        <v>36.5</v>
      </c>
      <c r="G43" s="15"/>
      <c r="H43" s="14">
        <v>34</v>
      </c>
      <c r="I43" s="14"/>
      <c r="J43" s="14"/>
      <c r="K43" s="16">
        <f t="shared" si="6"/>
        <v>0.41463414634146339</v>
      </c>
      <c r="L43" s="16">
        <f t="shared" si="7"/>
        <v>0.4451219512195122</v>
      </c>
      <c r="M43" s="29"/>
      <c r="N43" s="13" t="s">
        <v>406</v>
      </c>
      <c r="O43" s="13" t="s">
        <v>137</v>
      </c>
    </row>
    <row r="44" spans="1:15" x14ac:dyDescent="0.2">
      <c r="B44" s="6" t="s">
        <v>236</v>
      </c>
      <c r="C44" s="8" t="s">
        <v>105</v>
      </c>
      <c r="D44" s="14">
        <v>82.5</v>
      </c>
      <c r="E44" s="15"/>
      <c r="F44" s="14">
        <v>40</v>
      </c>
      <c r="G44" s="15"/>
      <c r="H44" s="14">
        <v>34</v>
      </c>
      <c r="I44" s="14"/>
      <c r="J44" s="14"/>
      <c r="K44" s="16">
        <f t="shared" si="6"/>
        <v>0.41212121212121211</v>
      </c>
      <c r="L44" s="16">
        <f t="shared" si="7"/>
        <v>0.48484848484848486</v>
      </c>
      <c r="M44" s="29"/>
      <c r="N44" s="13" t="s">
        <v>406</v>
      </c>
      <c r="O44" s="13" t="s">
        <v>137</v>
      </c>
    </row>
    <row r="45" spans="1:15" x14ac:dyDescent="0.2">
      <c r="B45" s="6" t="s">
        <v>237</v>
      </c>
      <c r="C45" s="8" t="s">
        <v>105</v>
      </c>
      <c r="D45" s="14">
        <v>83.5</v>
      </c>
      <c r="E45" s="15"/>
      <c r="F45" s="14">
        <v>40</v>
      </c>
      <c r="G45" s="15"/>
      <c r="H45" s="14">
        <v>36</v>
      </c>
      <c r="I45" s="14"/>
      <c r="J45" s="14"/>
      <c r="K45" s="16">
        <f t="shared" si="6"/>
        <v>0.43113772455089822</v>
      </c>
      <c r="L45" s="16">
        <f t="shared" si="7"/>
        <v>0.47904191616766467</v>
      </c>
      <c r="M45" s="29"/>
      <c r="N45" s="13" t="s">
        <v>406</v>
      </c>
      <c r="O45" s="13" t="s">
        <v>137</v>
      </c>
    </row>
    <row r="46" spans="1:15" x14ac:dyDescent="0.2">
      <c r="B46" s="6" t="s">
        <v>238</v>
      </c>
      <c r="C46" s="8" t="s">
        <v>105</v>
      </c>
      <c r="D46" s="14">
        <v>82</v>
      </c>
      <c r="E46" s="15"/>
      <c r="F46" s="14">
        <v>39</v>
      </c>
      <c r="G46" s="15"/>
      <c r="H46" s="14">
        <v>35</v>
      </c>
      <c r="I46" s="14"/>
      <c r="J46" s="14"/>
      <c r="K46" s="16">
        <f t="shared" si="6"/>
        <v>0.42682926829268292</v>
      </c>
      <c r="L46" s="16">
        <f t="shared" si="7"/>
        <v>0.47560975609756095</v>
      </c>
      <c r="M46" s="29"/>
      <c r="N46" s="13" t="s">
        <v>406</v>
      </c>
      <c r="O46" s="13" t="s">
        <v>137</v>
      </c>
    </row>
    <row r="48" spans="1:15" s="29" customFormat="1" ht="60" x14ac:dyDescent="0.2">
      <c r="A48" s="28" t="s">
        <v>71</v>
      </c>
      <c r="B48" s="28" t="s">
        <v>111</v>
      </c>
      <c r="C48" s="28" t="s">
        <v>40</v>
      </c>
      <c r="D48" s="26" t="s">
        <v>99</v>
      </c>
      <c r="E48" s="26" t="s">
        <v>363</v>
      </c>
      <c r="F48" s="26" t="s">
        <v>360</v>
      </c>
      <c r="G48" s="26" t="s">
        <v>361</v>
      </c>
      <c r="H48" s="26" t="s">
        <v>364</v>
      </c>
      <c r="I48" s="26" t="s">
        <v>365</v>
      </c>
      <c r="J48" s="26" t="s">
        <v>366</v>
      </c>
      <c r="K48" s="26" t="s">
        <v>100</v>
      </c>
      <c r="L48" s="26" t="s">
        <v>260</v>
      </c>
      <c r="M48" s="28" t="s">
        <v>112</v>
      </c>
      <c r="N48" s="28" t="s">
        <v>400</v>
      </c>
      <c r="O48" s="28" t="s">
        <v>62</v>
      </c>
    </row>
    <row r="49" spans="1:15" x14ac:dyDescent="0.2">
      <c r="A49" s="6"/>
      <c r="B49" s="9" t="s">
        <v>295</v>
      </c>
      <c r="C49" s="8" t="s">
        <v>356</v>
      </c>
      <c r="D49" s="16">
        <v>40.1</v>
      </c>
      <c r="E49" s="14">
        <v>13.76</v>
      </c>
      <c r="F49" s="14">
        <v>19.75</v>
      </c>
      <c r="G49" s="14">
        <v>11.75</v>
      </c>
      <c r="H49" s="14">
        <v>15.8</v>
      </c>
      <c r="I49" s="14">
        <v>10.44</v>
      </c>
      <c r="J49" s="14">
        <v>12.49</v>
      </c>
      <c r="K49" s="16">
        <f>H49/D49</f>
        <v>0.3940149625935162</v>
      </c>
      <c r="L49" s="16">
        <f>F49/D49</f>
        <v>0.49251870324189523</v>
      </c>
      <c r="M49" s="29"/>
      <c r="N49" s="13" t="s">
        <v>401</v>
      </c>
      <c r="O49" s="13" t="s">
        <v>54</v>
      </c>
    </row>
    <row r="50" spans="1:15" x14ac:dyDescent="0.2">
      <c r="A50" s="6"/>
      <c r="B50" s="6" t="s">
        <v>98</v>
      </c>
      <c r="C50" s="8" t="s">
        <v>69</v>
      </c>
      <c r="D50" s="16">
        <v>49</v>
      </c>
      <c r="E50" s="14"/>
      <c r="F50" s="14"/>
      <c r="G50" s="14"/>
      <c r="H50" s="14"/>
      <c r="I50" s="14"/>
      <c r="J50" s="15"/>
      <c r="K50" s="16"/>
      <c r="L50" s="16"/>
      <c r="M50" s="29"/>
      <c r="N50" s="13" t="s">
        <v>424</v>
      </c>
      <c r="O50" s="13" t="s">
        <v>48</v>
      </c>
    </row>
    <row r="51" spans="1:15" x14ac:dyDescent="0.2">
      <c r="A51" s="6"/>
      <c r="B51" s="6" t="s">
        <v>469</v>
      </c>
      <c r="C51" s="8" t="s">
        <v>51</v>
      </c>
      <c r="D51" s="14">
        <v>50.46</v>
      </c>
      <c r="E51" s="14">
        <v>18.03</v>
      </c>
      <c r="F51" s="14">
        <v>24.15</v>
      </c>
      <c r="G51" s="14">
        <v>14.52</v>
      </c>
      <c r="H51" s="14">
        <v>17.25</v>
      </c>
      <c r="I51" s="14">
        <v>12.42</v>
      </c>
      <c r="J51" s="16">
        <v>16.2</v>
      </c>
      <c r="K51" s="16">
        <f t="shared" ref="K51" si="8">H51/D51</f>
        <v>0.34185493460166466</v>
      </c>
      <c r="L51" s="16">
        <f t="shared" ref="L51" si="9">F51/D51</f>
        <v>0.47859690844233055</v>
      </c>
      <c r="M51" s="29"/>
      <c r="N51" s="13" t="s">
        <v>402</v>
      </c>
      <c r="O51" s="13" t="s">
        <v>54</v>
      </c>
    </row>
    <row r="52" spans="1:15" x14ac:dyDescent="0.2">
      <c r="A52" s="6"/>
      <c r="B52" s="6" t="s">
        <v>17</v>
      </c>
      <c r="C52" s="8" t="s">
        <v>66</v>
      </c>
      <c r="D52" s="14">
        <v>57</v>
      </c>
      <c r="E52" s="14">
        <v>28</v>
      </c>
      <c r="F52" s="14">
        <v>39</v>
      </c>
      <c r="G52" s="14">
        <v>24</v>
      </c>
      <c r="H52" s="14"/>
      <c r="I52" s="14"/>
      <c r="J52" s="15"/>
      <c r="K52" s="16"/>
      <c r="L52" s="16">
        <f t="shared" ref="L52:L57" si="10">F52/D52</f>
        <v>0.68421052631578949</v>
      </c>
      <c r="M52" s="29"/>
      <c r="N52" s="13" t="s">
        <v>402</v>
      </c>
      <c r="O52" s="13" t="s">
        <v>48</v>
      </c>
    </row>
    <row r="53" spans="1:15" x14ac:dyDescent="0.2">
      <c r="A53" s="6"/>
      <c r="B53" s="6" t="s">
        <v>15</v>
      </c>
      <c r="C53" s="6" t="s">
        <v>0</v>
      </c>
      <c r="D53" s="14">
        <v>67.22</v>
      </c>
      <c r="E53" s="14">
        <v>22.52</v>
      </c>
      <c r="F53" s="14">
        <v>32.82</v>
      </c>
      <c r="G53" s="14">
        <v>18.12</v>
      </c>
      <c r="H53" s="14">
        <v>23.92</v>
      </c>
      <c r="I53" s="14"/>
      <c r="J53" s="15"/>
      <c r="K53" s="16">
        <f>H53/D53</f>
        <v>0.35584647426361204</v>
      </c>
      <c r="L53" s="16">
        <f t="shared" si="10"/>
        <v>0.48824754537340076</v>
      </c>
      <c r="M53" s="29"/>
      <c r="N53" s="13" t="s">
        <v>403</v>
      </c>
      <c r="O53" s="13" t="s">
        <v>48</v>
      </c>
    </row>
    <row r="54" spans="1:15" x14ac:dyDescent="0.2">
      <c r="A54" s="6"/>
      <c r="B54" s="6" t="s">
        <v>16</v>
      </c>
      <c r="C54" s="6" t="s">
        <v>0</v>
      </c>
      <c r="D54" s="14">
        <v>63.04</v>
      </c>
      <c r="E54" s="14">
        <v>17.649999999999999</v>
      </c>
      <c r="F54" s="14">
        <v>20.149999999999999</v>
      </c>
      <c r="G54" s="14">
        <v>13.68</v>
      </c>
      <c r="H54" s="14">
        <v>19</v>
      </c>
      <c r="I54" s="14"/>
      <c r="J54" s="15"/>
      <c r="K54" s="16">
        <f>H54/D54</f>
        <v>0.30139593908629442</v>
      </c>
      <c r="L54" s="16">
        <f t="shared" si="10"/>
        <v>0.3196383248730964</v>
      </c>
      <c r="M54" s="29"/>
      <c r="N54" s="13" t="s">
        <v>403</v>
      </c>
      <c r="O54" s="13" t="s">
        <v>48</v>
      </c>
    </row>
    <row r="55" spans="1:15" ht="45" x14ac:dyDescent="0.2">
      <c r="A55" s="6"/>
      <c r="B55" s="6" t="s">
        <v>519</v>
      </c>
      <c r="C55" s="8" t="s">
        <v>561</v>
      </c>
      <c r="D55" s="14">
        <v>83.1</v>
      </c>
      <c r="E55" s="14">
        <v>24.69</v>
      </c>
      <c r="F55" s="14">
        <v>28.1</v>
      </c>
      <c r="G55" s="14">
        <v>18.59</v>
      </c>
      <c r="H55" s="14">
        <v>25.75</v>
      </c>
      <c r="I55" s="14"/>
      <c r="J55" s="15"/>
      <c r="K55" s="16">
        <f>H55/D55</f>
        <v>0.30986762936221424</v>
      </c>
      <c r="L55" s="16">
        <f t="shared" si="10"/>
        <v>0.33814681107099881</v>
      </c>
      <c r="M55" s="13" t="s">
        <v>521</v>
      </c>
      <c r="N55" s="13" t="s">
        <v>421</v>
      </c>
      <c r="O55" s="13" t="s">
        <v>48</v>
      </c>
    </row>
    <row r="56" spans="1:15" ht="75" x14ac:dyDescent="0.2">
      <c r="A56" s="6"/>
      <c r="B56" s="6" t="s">
        <v>79</v>
      </c>
      <c r="C56" s="8" t="s">
        <v>567</v>
      </c>
      <c r="D56" s="14">
        <v>53</v>
      </c>
      <c r="F56" s="14">
        <v>28.92</v>
      </c>
      <c r="H56" s="14">
        <v>22.32</v>
      </c>
      <c r="I56" s="14"/>
      <c r="J56" s="15"/>
      <c r="K56" s="16">
        <f>H56/D56</f>
        <v>0.42113207547169812</v>
      </c>
      <c r="L56" s="16">
        <f t="shared" si="10"/>
        <v>0.5456603773584906</v>
      </c>
      <c r="M56" s="25" t="s">
        <v>565</v>
      </c>
      <c r="N56" s="25" t="s">
        <v>404</v>
      </c>
      <c r="O56" s="13" t="s">
        <v>568</v>
      </c>
    </row>
    <row r="57" spans="1:15" x14ac:dyDescent="0.2">
      <c r="A57" s="6"/>
      <c r="B57" s="6" t="s">
        <v>513</v>
      </c>
      <c r="C57" s="8" t="s">
        <v>41</v>
      </c>
      <c r="D57" s="14">
        <v>70.739999999999995</v>
      </c>
      <c r="E57" s="14">
        <v>36.909999999999997</v>
      </c>
      <c r="F57" s="14">
        <v>45.62</v>
      </c>
      <c r="G57" s="14">
        <v>27.47</v>
      </c>
      <c r="H57" s="14">
        <v>35.909999999999997</v>
      </c>
      <c r="I57" s="14">
        <v>20.440000000000001</v>
      </c>
      <c r="J57" s="14">
        <v>30.69</v>
      </c>
      <c r="K57" s="16">
        <f t="shared" ref="K57" si="11">H57/D57</f>
        <v>0.50763358778625955</v>
      </c>
      <c r="L57" s="16">
        <f t="shared" si="10"/>
        <v>0.64489680520214876</v>
      </c>
      <c r="M57" s="25"/>
      <c r="N57" s="13" t="s">
        <v>405</v>
      </c>
      <c r="O57" s="13" t="s">
        <v>54</v>
      </c>
    </row>
    <row r="58" spans="1:15" x14ac:dyDescent="0.2">
      <c r="A58" s="6"/>
      <c r="B58" s="11" t="s">
        <v>82</v>
      </c>
      <c r="C58" s="8" t="s">
        <v>41</v>
      </c>
      <c r="D58" s="20">
        <v>85.84</v>
      </c>
      <c r="E58" s="14">
        <v>39.65</v>
      </c>
      <c r="F58" s="14"/>
      <c r="G58" s="14">
        <v>31.55</v>
      </c>
      <c r="H58" s="14"/>
      <c r="I58" s="14"/>
      <c r="J58" s="14"/>
      <c r="K58" s="16"/>
      <c r="L58" s="16"/>
      <c r="M58" s="29"/>
      <c r="N58" s="13" t="s">
        <v>405</v>
      </c>
      <c r="O58" s="13" t="s">
        <v>54</v>
      </c>
    </row>
    <row r="59" spans="1:15" x14ac:dyDescent="0.2">
      <c r="B59" s="6" t="s">
        <v>359</v>
      </c>
      <c r="C59" s="8" t="s">
        <v>41</v>
      </c>
      <c r="D59" s="14">
        <v>77.34</v>
      </c>
      <c r="E59" s="14">
        <v>39.11</v>
      </c>
      <c r="F59" s="14">
        <v>50.81</v>
      </c>
      <c r="G59" s="14">
        <v>32.07</v>
      </c>
      <c r="H59" s="14">
        <v>36.86</v>
      </c>
      <c r="I59" s="14">
        <v>24.39</v>
      </c>
      <c r="J59" s="14">
        <v>30.17</v>
      </c>
      <c r="K59" s="16">
        <f t="shared" ref="K59" si="12">H59/D59</f>
        <v>0.47659684509956035</v>
      </c>
      <c r="L59" s="16">
        <f t="shared" ref="L59" si="13">F59/D59</f>
        <v>0.65696922679079395</v>
      </c>
      <c r="M59" s="29"/>
      <c r="N59" s="13" t="s">
        <v>405</v>
      </c>
      <c r="O59" s="13" t="s">
        <v>54</v>
      </c>
    </row>
    <row r="60" spans="1:15" x14ac:dyDescent="0.2">
      <c r="A60" s="6"/>
      <c r="B60" s="6" t="s">
        <v>229</v>
      </c>
      <c r="C60" s="8" t="s">
        <v>105</v>
      </c>
      <c r="D60" s="14">
        <v>72</v>
      </c>
      <c r="E60" s="15"/>
      <c r="F60" s="14">
        <v>47</v>
      </c>
      <c r="G60" s="15"/>
      <c r="H60" s="14">
        <v>38</v>
      </c>
      <c r="I60" s="6"/>
      <c r="K60" s="16">
        <f>H60/D60</f>
        <v>0.52777777777777779</v>
      </c>
      <c r="L60" s="16">
        <f>F60/D60</f>
        <v>0.65277777777777779</v>
      </c>
      <c r="M60" s="29"/>
      <c r="N60" s="13" t="s">
        <v>406</v>
      </c>
      <c r="O60" s="13" t="s">
        <v>137</v>
      </c>
    </row>
    <row r="61" spans="1:15" x14ac:dyDescent="0.2">
      <c r="B61" s="6" t="s">
        <v>230</v>
      </c>
      <c r="C61" s="8" t="s">
        <v>105</v>
      </c>
      <c r="D61" s="14">
        <v>71</v>
      </c>
      <c r="E61" s="15"/>
      <c r="F61" s="14">
        <v>44.5</v>
      </c>
      <c r="G61" s="15"/>
      <c r="H61" s="14">
        <v>35</v>
      </c>
      <c r="I61" s="6"/>
      <c r="K61" s="16">
        <f>H61/D61</f>
        <v>0.49295774647887325</v>
      </c>
      <c r="L61" s="16">
        <f>F61/D61</f>
        <v>0.62676056338028174</v>
      </c>
      <c r="M61" s="29"/>
      <c r="N61" s="13" t="s">
        <v>406</v>
      </c>
      <c r="O61" s="13" t="s">
        <v>137</v>
      </c>
    </row>
    <row r="62" spans="1:15" x14ac:dyDescent="0.2">
      <c r="B62" s="6" t="s">
        <v>231</v>
      </c>
      <c r="C62" s="8" t="s">
        <v>105</v>
      </c>
      <c r="D62" s="14">
        <v>67</v>
      </c>
      <c r="E62" s="15"/>
      <c r="F62" s="14">
        <v>46.5</v>
      </c>
      <c r="G62" s="15"/>
      <c r="H62" s="14">
        <v>36.5</v>
      </c>
      <c r="I62" s="6"/>
      <c r="K62" s="16">
        <f>H62/D62</f>
        <v>0.54477611940298509</v>
      </c>
      <c r="L62" s="16">
        <f>F62/D62</f>
        <v>0.69402985074626866</v>
      </c>
      <c r="M62" s="29"/>
      <c r="N62" s="13" t="s">
        <v>406</v>
      </c>
      <c r="O62" s="13" t="s">
        <v>137</v>
      </c>
    </row>
    <row r="63" spans="1:15" x14ac:dyDescent="0.2">
      <c r="B63" s="6" t="s">
        <v>239</v>
      </c>
      <c r="C63" s="8" t="s">
        <v>105</v>
      </c>
      <c r="D63" s="14">
        <v>70</v>
      </c>
      <c r="E63" s="15"/>
      <c r="F63" s="14">
        <v>50</v>
      </c>
      <c r="G63" s="15"/>
      <c r="H63" s="14">
        <v>39</v>
      </c>
      <c r="I63" s="6"/>
      <c r="K63" s="16">
        <f>H63/D63</f>
        <v>0.55714285714285716</v>
      </c>
      <c r="L63" s="16">
        <f>F63/D63</f>
        <v>0.7142857142857143</v>
      </c>
      <c r="M63" s="29"/>
      <c r="N63" s="13" t="s">
        <v>406</v>
      </c>
      <c r="O63" s="13" t="s">
        <v>137</v>
      </c>
    </row>
    <row r="65" spans="1:14" s="29" customFormat="1" ht="60" x14ac:dyDescent="0.2">
      <c r="A65" s="28" t="s">
        <v>74</v>
      </c>
      <c r="B65" s="28" t="s">
        <v>111</v>
      </c>
      <c r="C65" s="28" t="s">
        <v>40</v>
      </c>
      <c r="D65" s="26" t="s">
        <v>45</v>
      </c>
      <c r="E65" s="26" t="s">
        <v>363</v>
      </c>
      <c r="F65" s="26" t="s">
        <v>360</v>
      </c>
      <c r="G65" s="26" t="s">
        <v>361</v>
      </c>
      <c r="H65" s="26" t="s">
        <v>362</v>
      </c>
      <c r="I65" s="26" t="s">
        <v>100</v>
      </c>
      <c r="J65" s="26" t="s">
        <v>260</v>
      </c>
      <c r="K65" s="28" t="s">
        <v>112</v>
      </c>
      <c r="L65" s="28" t="s">
        <v>400</v>
      </c>
      <c r="M65" s="28" t="s">
        <v>53</v>
      </c>
    </row>
    <row r="66" spans="1:14" x14ac:dyDescent="0.2">
      <c r="A66" s="6"/>
      <c r="B66" s="9" t="s">
        <v>294</v>
      </c>
      <c r="C66" s="8" t="s">
        <v>356</v>
      </c>
      <c r="D66" s="14">
        <v>25.43</v>
      </c>
      <c r="E66" s="14">
        <v>11.5</v>
      </c>
      <c r="F66" s="16">
        <v>18.53</v>
      </c>
      <c r="G66" s="14">
        <v>8.6199999999999992</v>
      </c>
      <c r="H66" s="14">
        <v>13.6</v>
      </c>
      <c r="I66" s="16">
        <f>H66/D66</f>
        <v>0.53480141565080608</v>
      </c>
      <c r="J66" s="16">
        <f>F66/D66</f>
        <v>0.72866692882422346</v>
      </c>
      <c r="K66" s="13"/>
      <c r="L66" s="13" t="s">
        <v>401</v>
      </c>
      <c r="M66" s="13" t="s">
        <v>47</v>
      </c>
    </row>
    <row r="67" spans="1:14" x14ac:dyDescent="0.2">
      <c r="A67" s="6"/>
      <c r="B67" s="9" t="s">
        <v>296</v>
      </c>
      <c r="C67" s="8" t="s">
        <v>356</v>
      </c>
      <c r="D67" s="14">
        <v>24.25</v>
      </c>
      <c r="E67" s="14">
        <v>12.12</v>
      </c>
      <c r="F67" s="16">
        <v>19.190000000000001</v>
      </c>
      <c r="G67" s="14">
        <v>8.3800000000000008</v>
      </c>
      <c r="H67" s="14">
        <v>13.16</v>
      </c>
      <c r="I67" s="16">
        <f>H67/D67</f>
        <v>0.54268041237113407</v>
      </c>
      <c r="J67" s="16">
        <f>F67/D67</f>
        <v>0.79134020618556711</v>
      </c>
      <c r="K67" s="13"/>
      <c r="L67" s="13" t="s">
        <v>401</v>
      </c>
      <c r="M67" s="13" t="s">
        <v>47</v>
      </c>
    </row>
    <row r="68" spans="1:14" ht="30" x14ac:dyDescent="0.2">
      <c r="A68" s="6"/>
      <c r="B68" s="9" t="s">
        <v>297</v>
      </c>
      <c r="C68" s="8" t="s">
        <v>356</v>
      </c>
      <c r="D68" s="14">
        <v>26.02</v>
      </c>
      <c r="E68" s="14" t="s">
        <v>126</v>
      </c>
      <c r="F68" s="16">
        <v>19.64</v>
      </c>
      <c r="G68" s="14">
        <v>8.4499999999999993</v>
      </c>
      <c r="H68" s="14">
        <v>13.29</v>
      </c>
      <c r="I68" s="16">
        <f>H68/D68</f>
        <v>0.51076095311298997</v>
      </c>
      <c r="J68" s="16">
        <f>F68/D68</f>
        <v>0.75480399692544198</v>
      </c>
      <c r="K68" s="13" t="s">
        <v>127</v>
      </c>
      <c r="L68" s="13" t="s">
        <v>401</v>
      </c>
      <c r="M68" s="13" t="s">
        <v>47</v>
      </c>
    </row>
    <row r="69" spans="1:14" x14ac:dyDescent="0.2">
      <c r="A69" s="6"/>
      <c r="B69" s="6" t="s">
        <v>83</v>
      </c>
      <c r="C69" s="8" t="s">
        <v>69</v>
      </c>
      <c r="D69" s="14">
        <v>29.49</v>
      </c>
      <c r="E69" s="14">
        <v>18.260000000000002</v>
      </c>
      <c r="F69" s="16">
        <v>21.04</v>
      </c>
      <c r="G69" s="14">
        <v>10.9</v>
      </c>
      <c r="H69" s="14">
        <v>17.64</v>
      </c>
      <c r="I69" s="16">
        <f>H69/D69</f>
        <v>0.59816887080366232</v>
      </c>
      <c r="J69" s="16">
        <f>F69/D69</f>
        <v>0.71346219057307558</v>
      </c>
      <c r="K69" s="13"/>
      <c r="L69" s="13" t="s">
        <v>424</v>
      </c>
      <c r="M69" s="13" t="s">
        <v>47</v>
      </c>
    </row>
    <row r="70" spans="1:14" ht="30" x14ac:dyDescent="0.2">
      <c r="A70" s="6"/>
      <c r="B70" s="6" t="s">
        <v>85</v>
      </c>
      <c r="C70" s="8" t="s">
        <v>86</v>
      </c>
      <c r="D70" s="14">
        <v>24.5</v>
      </c>
      <c r="E70" s="14"/>
      <c r="F70" s="16"/>
      <c r="G70" s="14"/>
      <c r="H70" s="14"/>
      <c r="I70" s="14"/>
      <c r="J70" s="16"/>
      <c r="K70" s="13"/>
      <c r="L70" s="13" t="s">
        <v>423</v>
      </c>
      <c r="M70" s="13" t="s">
        <v>87</v>
      </c>
    </row>
    <row r="71" spans="1:14" x14ac:dyDescent="0.2">
      <c r="A71" s="6"/>
      <c r="B71" s="6" t="s">
        <v>491</v>
      </c>
      <c r="C71" s="8" t="s">
        <v>68</v>
      </c>
      <c r="D71" s="14">
        <v>32.340000000000003</v>
      </c>
      <c r="E71" s="14">
        <v>14.53</v>
      </c>
      <c r="F71" s="16">
        <v>26.97</v>
      </c>
      <c r="G71" s="14">
        <v>13.26</v>
      </c>
      <c r="H71" s="14">
        <v>20.76</v>
      </c>
      <c r="I71" s="16">
        <f t="shared" ref="I71:I72" si="14">H71/D71</f>
        <v>0.64192949907235619</v>
      </c>
      <c r="J71" s="16">
        <f t="shared" ref="J71:J72" si="15">F71/D71</f>
        <v>0.83395176252319092</v>
      </c>
      <c r="K71" s="13"/>
      <c r="L71" s="13" t="s">
        <v>402</v>
      </c>
      <c r="M71" s="13" t="s">
        <v>47</v>
      </c>
    </row>
    <row r="72" spans="1:14" x14ac:dyDescent="0.2">
      <c r="A72" s="6"/>
      <c r="B72" s="6" t="s">
        <v>492</v>
      </c>
      <c r="C72" s="8" t="s">
        <v>68</v>
      </c>
      <c r="D72" s="14">
        <v>29.74</v>
      </c>
      <c r="E72" s="14">
        <v>13.01</v>
      </c>
      <c r="F72" s="16">
        <v>21.51</v>
      </c>
      <c r="G72" s="14">
        <v>11.71</v>
      </c>
      <c r="H72" s="14">
        <v>17.34</v>
      </c>
      <c r="I72" s="16">
        <f t="shared" si="14"/>
        <v>0.58305312710154678</v>
      </c>
      <c r="J72" s="16">
        <f t="shared" si="15"/>
        <v>0.72326832548755893</v>
      </c>
      <c r="K72" s="13"/>
      <c r="L72" s="13" t="s">
        <v>402</v>
      </c>
      <c r="M72" s="13" t="s">
        <v>47</v>
      </c>
    </row>
    <row r="73" spans="1:14" x14ac:dyDescent="0.2">
      <c r="A73" s="6"/>
      <c r="B73" s="6" t="s">
        <v>28</v>
      </c>
      <c r="C73" s="8" t="s">
        <v>68</v>
      </c>
      <c r="D73" s="14">
        <v>32.520000000000003</v>
      </c>
      <c r="E73" s="14">
        <v>20.64</v>
      </c>
      <c r="F73" s="16">
        <v>24.94</v>
      </c>
      <c r="G73" s="14">
        <v>13.94</v>
      </c>
      <c r="H73" s="14">
        <v>22.24</v>
      </c>
      <c r="I73" s="16">
        <f t="shared" ref="I73:I80" si="16">H73/D73</f>
        <v>0.68388683886838852</v>
      </c>
      <c r="J73" s="16">
        <f t="shared" ref="J73:J80" si="17">F73/D73</f>
        <v>0.7669126691266912</v>
      </c>
      <c r="K73" s="13"/>
      <c r="L73" s="13" t="s">
        <v>402</v>
      </c>
      <c r="M73" s="13" t="s">
        <v>48</v>
      </c>
    </row>
    <row r="74" spans="1:14" x14ac:dyDescent="0.2">
      <c r="A74" s="6"/>
      <c r="B74" s="6" t="s">
        <v>29</v>
      </c>
      <c r="C74" s="8" t="s">
        <v>68</v>
      </c>
      <c r="D74" s="14">
        <v>30.23</v>
      </c>
      <c r="E74" s="14">
        <v>18.760000000000002</v>
      </c>
      <c r="F74" s="16">
        <v>23.88</v>
      </c>
      <c r="G74" s="14">
        <v>11.72</v>
      </c>
      <c r="H74" s="16">
        <v>20.9</v>
      </c>
      <c r="I74" s="16">
        <f t="shared" si="16"/>
        <v>0.69136619252398279</v>
      </c>
      <c r="J74" s="16">
        <f t="shared" si="17"/>
        <v>0.78994376447237835</v>
      </c>
      <c r="K74" s="13"/>
      <c r="L74" s="13" t="s">
        <v>402</v>
      </c>
      <c r="M74" s="13" t="s">
        <v>48</v>
      </c>
    </row>
    <row r="75" spans="1:14" x14ac:dyDescent="0.2">
      <c r="A75" s="6"/>
      <c r="B75" s="6" t="s">
        <v>76</v>
      </c>
      <c r="C75" s="8" t="s">
        <v>42</v>
      </c>
      <c r="D75" s="14">
        <v>28</v>
      </c>
      <c r="E75" s="14"/>
      <c r="F75" s="16">
        <v>24.5</v>
      </c>
      <c r="G75" s="14"/>
      <c r="H75" s="16">
        <v>20</v>
      </c>
      <c r="I75" s="16">
        <f t="shared" si="16"/>
        <v>0.7142857142857143</v>
      </c>
      <c r="J75" s="16">
        <f t="shared" si="17"/>
        <v>0.875</v>
      </c>
      <c r="K75" s="13"/>
      <c r="L75" s="13" t="s">
        <v>402</v>
      </c>
      <c r="M75" s="13" t="s">
        <v>49</v>
      </c>
    </row>
    <row r="76" spans="1:14" x14ac:dyDescent="0.2">
      <c r="A76" s="6"/>
      <c r="B76" s="6" t="s">
        <v>518</v>
      </c>
      <c r="C76" s="8" t="s">
        <v>561</v>
      </c>
      <c r="D76" s="14">
        <v>34.369999999999997</v>
      </c>
      <c r="E76" s="14">
        <v>19.16</v>
      </c>
      <c r="F76" s="16">
        <v>25.29</v>
      </c>
      <c r="G76" s="14">
        <v>15.61</v>
      </c>
      <c r="H76" s="14">
        <v>21.19</v>
      </c>
      <c r="I76" s="16">
        <f t="shared" si="16"/>
        <v>0.61652604015129486</v>
      </c>
      <c r="J76" s="16">
        <f t="shared" si="17"/>
        <v>0.73581611870817576</v>
      </c>
      <c r="K76" s="25"/>
      <c r="L76" s="13" t="s">
        <v>421</v>
      </c>
      <c r="M76" s="13" t="s">
        <v>54</v>
      </c>
      <c r="N76" s="6"/>
    </row>
    <row r="77" spans="1:14" x14ac:dyDescent="0.2">
      <c r="A77" s="6"/>
      <c r="B77" s="6" t="s">
        <v>511</v>
      </c>
      <c r="C77" s="8" t="s">
        <v>41</v>
      </c>
      <c r="D77" s="14">
        <v>48.19</v>
      </c>
      <c r="E77" s="14">
        <v>26.12</v>
      </c>
      <c r="F77" s="16">
        <v>35.020000000000003</v>
      </c>
      <c r="G77" s="14">
        <v>20.51</v>
      </c>
      <c r="H77" s="14">
        <v>27.73</v>
      </c>
      <c r="I77" s="16">
        <f t="shared" si="16"/>
        <v>0.57543058725876739</v>
      </c>
      <c r="J77" s="16">
        <f t="shared" si="17"/>
        <v>0.72670678564017444</v>
      </c>
      <c r="K77" s="16"/>
      <c r="L77" s="13" t="s">
        <v>405</v>
      </c>
      <c r="M77" s="13" t="s">
        <v>54</v>
      </c>
    </row>
    <row r="78" spans="1:14" x14ac:dyDescent="0.2">
      <c r="A78" s="6"/>
      <c r="B78" s="6" t="s">
        <v>512</v>
      </c>
      <c r="C78" s="8" t="s">
        <v>41</v>
      </c>
      <c r="D78" s="14">
        <v>47.94</v>
      </c>
      <c r="E78" s="14">
        <v>24.61</v>
      </c>
      <c r="F78" s="16">
        <v>35.78</v>
      </c>
      <c r="G78" s="14">
        <v>21.99</v>
      </c>
      <c r="H78" s="16">
        <v>28.5</v>
      </c>
      <c r="I78" s="16">
        <f t="shared" si="16"/>
        <v>0.5944931163954944</v>
      </c>
      <c r="J78" s="16">
        <f t="shared" si="17"/>
        <v>0.7463496036712558</v>
      </c>
      <c r="K78" s="16"/>
      <c r="L78" s="13" t="s">
        <v>405</v>
      </c>
      <c r="M78" s="13" t="s">
        <v>54</v>
      </c>
    </row>
    <row r="79" spans="1:14" x14ac:dyDescent="0.2">
      <c r="A79" s="6"/>
      <c r="B79" s="6" t="s">
        <v>271</v>
      </c>
      <c r="C79" s="8" t="s">
        <v>41</v>
      </c>
      <c r="D79" s="14">
        <v>50</v>
      </c>
      <c r="E79" s="14"/>
      <c r="F79" s="16">
        <v>40</v>
      </c>
      <c r="G79" s="14"/>
      <c r="H79" s="16">
        <v>30</v>
      </c>
      <c r="I79" s="16">
        <f t="shared" si="16"/>
        <v>0.6</v>
      </c>
      <c r="J79" s="16">
        <f t="shared" si="17"/>
        <v>0.8</v>
      </c>
      <c r="K79" s="13"/>
      <c r="L79" s="13" t="s">
        <v>405</v>
      </c>
      <c r="M79" s="13" t="s">
        <v>75</v>
      </c>
    </row>
    <row r="80" spans="1:14" x14ac:dyDescent="0.2">
      <c r="A80" s="6"/>
      <c r="B80" s="6" t="s">
        <v>272</v>
      </c>
      <c r="C80" s="8" t="s">
        <v>41</v>
      </c>
      <c r="D80" s="14">
        <v>60</v>
      </c>
      <c r="E80" s="14"/>
      <c r="F80" s="16">
        <v>42</v>
      </c>
      <c r="G80" s="14"/>
      <c r="H80" s="16">
        <v>35</v>
      </c>
      <c r="I80" s="16">
        <f t="shared" si="16"/>
        <v>0.58333333333333337</v>
      </c>
      <c r="J80" s="16">
        <f t="shared" si="17"/>
        <v>0.7</v>
      </c>
      <c r="K80" s="13"/>
      <c r="L80" s="13" t="s">
        <v>405</v>
      </c>
      <c r="M80" s="13" t="s">
        <v>75</v>
      </c>
    </row>
    <row r="81" spans="1:14" x14ac:dyDescent="0.2">
      <c r="B81" s="6" t="s">
        <v>357</v>
      </c>
      <c r="C81" s="8" t="s">
        <v>41</v>
      </c>
      <c r="D81" s="14">
        <v>48.32</v>
      </c>
      <c r="E81" s="16">
        <v>28.2</v>
      </c>
      <c r="F81" s="16">
        <v>39.299999999999997</v>
      </c>
      <c r="G81" s="14">
        <v>22.7</v>
      </c>
      <c r="H81" s="14">
        <v>29.33</v>
      </c>
      <c r="I81" s="16">
        <f t="shared" ref="I81:I82" si="18">H81/D81</f>
        <v>0.60699503311258274</v>
      </c>
      <c r="J81" s="16">
        <f t="shared" ref="J81:J82" si="19">F81/D81</f>
        <v>0.8133278145695364</v>
      </c>
      <c r="K81" s="33"/>
      <c r="L81" s="13" t="s">
        <v>405</v>
      </c>
      <c r="M81" s="13" t="s">
        <v>54</v>
      </c>
    </row>
    <row r="82" spans="1:14" x14ac:dyDescent="0.2">
      <c r="B82" s="6" t="s">
        <v>358</v>
      </c>
      <c r="C82" s="8" t="s">
        <v>41</v>
      </c>
      <c r="D82" s="14">
        <v>47.13</v>
      </c>
      <c r="E82" s="14">
        <v>29.14</v>
      </c>
      <c r="F82" s="16">
        <v>39.26</v>
      </c>
      <c r="G82" s="14">
        <v>24.54</v>
      </c>
      <c r="H82" s="14">
        <v>29.94</v>
      </c>
      <c r="I82" s="16">
        <f t="shared" si="18"/>
        <v>0.63526416295353283</v>
      </c>
      <c r="J82" s="16">
        <f t="shared" si="19"/>
        <v>0.83301506471461906</v>
      </c>
      <c r="K82" s="29"/>
      <c r="L82" s="13" t="s">
        <v>405</v>
      </c>
      <c r="M82" s="13" t="s">
        <v>54</v>
      </c>
    </row>
    <row r="83" spans="1:14" x14ac:dyDescent="0.2">
      <c r="A83" s="6"/>
      <c r="B83" s="6" t="s">
        <v>232</v>
      </c>
      <c r="C83" s="8" t="s">
        <v>105</v>
      </c>
      <c r="D83" s="14">
        <v>50.5</v>
      </c>
      <c r="F83" s="16">
        <v>34.5</v>
      </c>
      <c r="G83" s="15"/>
      <c r="H83" s="16">
        <v>32</v>
      </c>
      <c r="I83" s="16">
        <f t="shared" ref="I83:I89" si="20">H83/D83</f>
        <v>0.63366336633663367</v>
      </c>
      <c r="J83" s="16">
        <f t="shared" ref="J83:J89" si="21">F83/D83</f>
        <v>0.68316831683168322</v>
      </c>
      <c r="K83" s="29"/>
      <c r="L83" s="13" t="s">
        <v>406</v>
      </c>
      <c r="M83" s="13" t="s">
        <v>137</v>
      </c>
    </row>
    <row r="84" spans="1:14" x14ac:dyDescent="0.2">
      <c r="B84" s="6" t="s">
        <v>233</v>
      </c>
      <c r="C84" s="8" t="s">
        <v>105</v>
      </c>
      <c r="D84" s="14">
        <v>51</v>
      </c>
      <c r="E84" s="15"/>
      <c r="F84" s="16">
        <v>32</v>
      </c>
      <c r="G84" s="15"/>
      <c r="H84" s="16">
        <v>30</v>
      </c>
      <c r="I84" s="16">
        <f t="shared" si="20"/>
        <v>0.58823529411764708</v>
      </c>
      <c r="J84" s="16">
        <f t="shared" si="21"/>
        <v>0.62745098039215685</v>
      </c>
      <c r="K84" s="29"/>
      <c r="L84" s="13" t="s">
        <v>406</v>
      </c>
      <c r="M84" s="13" t="s">
        <v>137</v>
      </c>
    </row>
    <row r="85" spans="1:14" x14ac:dyDescent="0.2">
      <c r="B85" s="6" t="s">
        <v>244</v>
      </c>
      <c r="C85" s="8" t="s">
        <v>105</v>
      </c>
      <c r="D85" s="14">
        <v>49.5</v>
      </c>
      <c r="E85" s="15"/>
      <c r="F85" s="16">
        <v>33</v>
      </c>
      <c r="G85" s="15"/>
      <c r="H85" s="16">
        <v>30</v>
      </c>
      <c r="I85" s="16">
        <f t="shared" si="20"/>
        <v>0.60606060606060608</v>
      </c>
      <c r="J85" s="16">
        <f t="shared" si="21"/>
        <v>0.66666666666666663</v>
      </c>
      <c r="K85" s="29"/>
      <c r="L85" s="13" t="s">
        <v>406</v>
      </c>
      <c r="M85" s="13" t="s">
        <v>137</v>
      </c>
    </row>
    <row r="86" spans="1:14" x14ac:dyDescent="0.2">
      <c r="B86" s="6" t="s">
        <v>240</v>
      </c>
      <c r="C86" s="8" t="s">
        <v>105</v>
      </c>
      <c r="D86" s="14">
        <v>52</v>
      </c>
      <c r="E86" s="15"/>
      <c r="F86" s="16">
        <v>33.5</v>
      </c>
      <c r="G86" s="15"/>
      <c r="H86" s="16">
        <v>31</v>
      </c>
      <c r="I86" s="16">
        <f t="shared" si="20"/>
        <v>0.59615384615384615</v>
      </c>
      <c r="J86" s="16">
        <f t="shared" si="21"/>
        <v>0.64423076923076927</v>
      </c>
      <c r="K86" s="29"/>
      <c r="L86" s="13" t="s">
        <v>406</v>
      </c>
      <c r="M86" s="13" t="s">
        <v>137</v>
      </c>
    </row>
    <row r="87" spans="1:14" x14ac:dyDescent="0.2">
      <c r="B87" s="6" t="s">
        <v>241</v>
      </c>
      <c r="C87" s="8" t="s">
        <v>105</v>
      </c>
      <c r="D87" s="14">
        <v>40.5</v>
      </c>
      <c r="E87" s="15"/>
      <c r="F87" s="16">
        <v>33.5</v>
      </c>
      <c r="G87" s="15"/>
      <c r="H87" s="16">
        <v>30</v>
      </c>
      <c r="I87" s="16">
        <f t="shared" si="20"/>
        <v>0.7407407407407407</v>
      </c>
      <c r="J87" s="16">
        <f t="shared" si="21"/>
        <v>0.8271604938271605</v>
      </c>
      <c r="K87" s="29"/>
      <c r="L87" s="13" t="s">
        <v>406</v>
      </c>
      <c r="M87" s="13" t="s">
        <v>137</v>
      </c>
    </row>
    <row r="88" spans="1:14" x14ac:dyDescent="0.2">
      <c r="B88" s="6" t="s">
        <v>242</v>
      </c>
      <c r="C88" s="8" t="s">
        <v>105</v>
      </c>
      <c r="D88" s="14">
        <v>53</v>
      </c>
      <c r="E88" s="15"/>
      <c r="F88" s="16">
        <v>36</v>
      </c>
      <c r="G88" s="15"/>
      <c r="H88" s="16">
        <v>31.5</v>
      </c>
      <c r="I88" s="16">
        <f t="shared" si="20"/>
        <v>0.59433962264150941</v>
      </c>
      <c r="J88" s="16">
        <f t="shared" si="21"/>
        <v>0.67924528301886788</v>
      </c>
      <c r="K88" s="29"/>
      <c r="L88" s="13" t="s">
        <v>406</v>
      </c>
      <c r="M88" s="13" t="s">
        <v>137</v>
      </c>
    </row>
    <row r="89" spans="1:14" x14ac:dyDescent="0.2">
      <c r="B89" s="6" t="s">
        <v>243</v>
      </c>
      <c r="C89" s="8" t="s">
        <v>105</v>
      </c>
      <c r="D89" s="14">
        <v>49</v>
      </c>
      <c r="E89" s="15"/>
      <c r="F89" s="16">
        <v>33</v>
      </c>
      <c r="G89" s="15"/>
      <c r="H89" s="16">
        <v>30.5</v>
      </c>
      <c r="I89" s="16">
        <f t="shared" si="20"/>
        <v>0.62244897959183676</v>
      </c>
      <c r="J89" s="16">
        <f t="shared" si="21"/>
        <v>0.67346938775510201</v>
      </c>
      <c r="K89" s="29"/>
      <c r="L89" s="13" t="s">
        <v>406</v>
      </c>
      <c r="M89" s="13" t="s">
        <v>137</v>
      </c>
    </row>
    <row r="90" spans="1:14" x14ac:dyDescent="0.2">
      <c r="J90" s="6"/>
    </row>
    <row r="91" spans="1:14" s="29" customFormat="1" ht="60" x14ac:dyDescent="0.2">
      <c r="A91" s="28" t="s">
        <v>72</v>
      </c>
      <c r="B91" s="28" t="s">
        <v>111</v>
      </c>
      <c r="C91" s="28" t="s">
        <v>40</v>
      </c>
      <c r="D91" s="26" t="s">
        <v>99</v>
      </c>
      <c r="E91" s="26" t="s">
        <v>363</v>
      </c>
      <c r="F91" s="26" t="s">
        <v>360</v>
      </c>
      <c r="G91" s="26" t="s">
        <v>361</v>
      </c>
      <c r="H91" s="26" t="s">
        <v>364</v>
      </c>
      <c r="I91" s="26" t="s">
        <v>100</v>
      </c>
      <c r="J91" s="26" t="s">
        <v>260</v>
      </c>
      <c r="K91" s="28" t="s">
        <v>112</v>
      </c>
      <c r="L91" s="28" t="s">
        <v>400</v>
      </c>
      <c r="M91" s="28" t="s">
        <v>62</v>
      </c>
      <c r="N91" s="13"/>
    </row>
    <row r="92" spans="1:14" x14ac:dyDescent="0.2">
      <c r="A92" s="6"/>
      <c r="B92" s="9" t="s">
        <v>298</v>
      </c>
      <c r="C92" s="8" t="s">
        <v>356</v>
      </c>
      <c r="D92" s="14">
        <v>27.11</v>
      </c>
      <c r="E92" s="14">
        <v>11.19</v>
      </c>
      <c r="F92" s="14">
        <v>17.3</v>
      </c>
      <c r="G92" s="14">
        <v>10.029999999999999</v>
      </c>
      <c r="H92" s="14">
        <v>13.34</v>
      </c>
      <c r="I92" s="16">
        <f>H92/D92</f>
        <v>0.49206934710438954</v>
      </c>
      <c r="J92" s="16">
        <f>F92/D92</f>
        <v>0.63814090741423835</v>
      </c>
      <c r="K92" s="29"/>
      <c r="L92" s="13" t="s">
        <v>401</v>
      </c>
      <c r="M92" s="13" t="s">
        <v>54</v>
      </c>
      <c r="N92" s="6"/>
    </row>
    <row r="93" spans="1:14" x14ac:dyDescent="0.2">
      <c r="A93" s="6"/>
      <c r="B93" s="6" t="s">
        <v>98</v>
      </c>
      <c r="C93" s="8" t="s">
        <v>69</v>
      </c>
      <c r="D93" s="14">
        <v>27</v>
      </c>
      <c r="E93" s="14"/>
      <c r="F93" s="14"/>
      <c r="G93" s="14"/>
      <c r="H93" s="14"/>
      <c r="I93" s="16"/>
      <c r="J93" s="16"/>
      <c r="K93" s="29"/>
      <c r="L93" s="13" t="s">
        <v>424</v>
      </c>
      <c r="M93" s="13" t="s">
        <v>48</v>
      </c>
      <c r="N93" s="6"/>
    </row>
    <row r="94" spans="1:14" x14ac:dyDescent="0.2">
      <c r="A94" s="6"/>
      <c r="B94" s="6" t="s">
        <v>490</v>
      </c>
      <c r="C94" s="8" t="s">
        <v>68</v>
      </c>
      <c r="D94" s="14">
        <v>26.75</v>
      </c>
      <c r="E94" s="14">
        <v>14.46</v>
      </c>
      <c r="F94" s="14">
        <v>21.06</v>
      </c>
      <c r="G94" s="16">
        <v>11.7</v>
      </c>
      <c r="H94" s="16">
        <v>18.420000000000002</v>
      </c>
      <c r="I94" s="16">
        <f t="shared" ref="I94" si="22">H94/D94</f>
        <v>0.68859813084112154</v>
      </c>
      <c r="J94" s="16">
        <f t="shared" ref="J94" si="23">F94/D94</f>
        <v>0.78728971962616823</v>
      </c>
      <c r="K94" s="29"/>
      <c r="L94" s="13" t="s">
        <v>402</v>
      </c>
      <c r="M94" s="13" t="s">
        <v>54</v>
      </c>
      <c r="N94" s="6"/>
    </row>
    <row r="95" spans="1:14" x14ac:dyDescent="0.2">
      <c r="A95" s="6"/>
      <c r="B95" s="6" t="s">
        <v>488</v>
      </c>
      <c r="C95" s="8" t="s">
        <v>68</v>
      </c>
      <c r="D95" s="14">
        <v>28.82</v>
      </c>
      <c r="E95" s="14">
        <v>14.28</v>
      </c>
      <c r="F95" s="14">
        <v>22.62</v>
      </c>
      <c r="G95" s="14">
        <v>13.69</v>
      </c>
      <c r="H95" s="16">
        <v>19.399999999999999</v>
      </c>
      <c r="I95" s="16">
        <f t="shared" ref="I95:I96" si="24">H95/D95</f>
        <v>0.6731436502428868</v>
      </c>
      <c r="J95" s="16">
        <f t="shared" ref="J95:J96" si="25">F95/D95</f>
        <v>0.7848716169326857</v>
      </c>
      <c r="K95" s="29"/>
      <c r="L95" s="13" t="s">
        <v>402</v>
      </c>
      <c r="M95" s="13" t="s">
        <v>54</v>
      </c>
      <c r="N95" s="6"/>
    </row>
    <row r="96" spans="1:14" x14ac:dyDescent="0.2">
      <c r="A96" s="6"/>
      <c r="B96" s="6" t="s">
        <v>489</v>
      </c>
      <c r="C96" s="8" t="s">
        <v>68</v>
      </c>
      <c r="D96" s="14">
        <v>31.15</v>
      </c>
      <c r="E96" s="14">
        <v>13.43</v>
      </c>
      <c r="F96" s="14">
        <v>21.85</v>
      </c>
      <c r="G96" s="14">
        <v>14.27</v>
      </c>
      <c r="H96" s="14">
        <v>19.670000000000002</v>
      </c>
      <c r="I96" s="16">
        <f t="shared" si="24"/>
        <v>0.63146067415730345</v>
      </c>
      <c r="J96" s="16">
        <f t="shared" si="25"/>
        <v>0.70144462279293751</v>
      </c>
      <c r="K96" s="29"/>
      <c r="L96" s="13" t="s">
        <v>402</v>
      </c>
      <c r="M96" s="13" t="s">
        <v>54</v>
      </c>
      <c r="N96" s="6"/>
    </row>
    <row r="97" spans="1:14" x14ac:dyDescent="0.2">
      <c r="A97" s="6"/>
      <c r="B97" s="6" t="s">
        <v>17</v>
      </c>
      <c r="C97" s="8" t="s">
        <v>66</v>
      </c>
      <c r="D97" s="14">
        <v>34</v>
      </c>
      <c r="E97" s="14">
        <v>25</v>
      </c>
      <c r="F97" s="14">
        <v>22</v>
      </c>
      <c r="G97" s="14"/>
      <c r="H97" s="14"/>
      <c r="I97" s="16"/>
      <c r="J97" s="16">
        <f t="shared" ref="J97:J108" si="26">F97/D97</f>
        <v>0.6470588235294118</v>
      </c>
      <c r="K97" s="29"/>
      <c r="L97" s="13" t="s">
        <v>402</v>
      </c>
      <c r="M97" s="13" t="s">
        <v>48</v>
      </c>
      <c r="N97" s="6"/>
    </row>
    <row r="98" spans="1:14" x14ac:dyDescent="0.2">
      <c r="A98" s="6"/>
      <c r="B98" s="6" t="s">
        <v>18</v>
      </c>
      <c r="C98" s="6" t="s">
        <v>0</v>
      </c>
      <c r="D98" s="14">
        <v>39.57</v>
      </c>
      <c r="E98" s="14">
        <v>17.64</v>
      </c>
      <c r="F98" s="14">
        <v>24.2</v>
      </c>
      <c r="G98" s="14">
        <v>14.72</v>
      </c>
      <c r="H98" s="14">
        <v>21.31</v>
      </c>
      <c r="I98" s="16">
        <f t="shared" ref="I98:I108" si="27">H98/D98</f>
        <v>0.53853929744756124</v>
      </c>
      <c r="J98" s="16">
        <f t="shared" si="26"/>
        <v>0.61157442506949711</v>
      </c>
      <c r="K98" s="29"/>
      <c r="L98" s="13" t="s">
        <v>403</v>
      </c>
      <c r="M98" s="13" t="s">
        <v>48</v>
      </c>
      <c r="N98" s="6"/>
    </row>
    <row r="99" spans="1:14" x14ac:dyDescent="0.2">
      <c r="A99" s="6"/>
      <c r="B99" s="6" t="s">
        <v>19</v>
      </c>
      <c r="C99" s="6" t="s">
        <v>0</v>
      </c>
      <c r="D99" s="14">
        <v>42.04</v>
      </c>
      <c r="E99" s="14">
        <v>17.64</v>
      </c>
      <c r="F99" s="14">
        <v>22.94</v>
      </c>
      <c r="G99" s="14">
        <v>12.52</v>
      </c>
      <c r="H99" s="14">
        <v>23.41</v>
      </c>
      <c r="I99" s="16">
        <f t="shared" si="27"/>
        <v>0.55685061845861084</v>
      </c>
      <c r="J99" s="16">
        <f t="shared" si="26"/>
        <v>0.54567078972407235</v>
      </c>
      <c r="K99" s="29"/>
      <c r="L99" s="13" t="s">
        <v>403</v>
      </c>
      <c r="M99" s="13" t="s">
        <v>48</v>
      </c>
      <c r="N99" s="6"/>
    </row>
    <row r="100" spans="1:14" ht="60" x14ac:dyDescent="0.2">
      <c r="A100" s="6"/>
      <c r="B100" s="6" t="s">
        <v>518</v>
      </c>
      <c r="C100" s="8" t="s">
        <v>561</v>
      </c>
      <c r="D100" s="14">
        <v>36.549999999999997</v>
      </c>
      <c r="E100" s="14">
        <v>17.64</v>
      </c>
      <c r="F100" s="14">
        <v>27.11</v>
      </c>
      <c r="G100" s="14">
        <v>15.16</v>
      </c>
      <c r="H100" s="14">
        <v>21.7</v>
      </c>
      <c r="I100" s="16">
        <f t="shared" si="27"/>
        <v>0.59370725034199734</v>
      </c>
      <c r="J100" s="16">
        <f t="shared" si="26"/>
        <v>0.74172366621067032</v>
      </c>
      <c r="K100" s="25" t="s">
        <v>520</v>
      </c>
      <c r="L100" s="13" t="s">
        <v>421</v>
      </c>
      <c r="M100" s="13" t="s">
        <v>97</v>
      </c>
      <c r="N100" s="6"/>
    </row>
    <row r="101" spans="1:14" ht="90" x14ac:dyDescent="0.2">
      <c r="A101" s="6"/>
      <c r="B101" s="6" t="s">
        <v>11</v>
      </c>
      <c r="C101" s="8" t="s">
        <v>567</v>
      </c>
      <c r="D101" s="14">
        <v>29</v>
      </c>
      <c r="E101" s="14"/>
      <c r="F101" s="14">
        <v>21.05</v>
      </c>
      <c r="G101" s="14"/>
      <c r="H101" s="14">
        <v>14.53</v>
      </c>
      <c r="I101" s="16">
        <f t="shared" si="27"/>
        <v>0.50103448275862061</v>
      </c>
      <c r="J101" s="16">
        <f t="shared" si="26"/>
        <v>0.7258620689655173</v>
      </c>
      <c r="K101" s="25" t="s">
        <v>565</v>
      </c>
      <c r="L101" s="25" t="s">
        <v>404</v>
      </c>
      <c r="M101" s="13" t="s">
        <v>568</v>
      </c>
      <c r="N101" s="6"/>
    </row>
    <row r="102" spans="1:14" x14ac:dyDescent="0.2">
      <c r="A102" s="6"/>
      <c r="B102" s="6" t="s">
        <v>513</v>
      </c>
      <c r="C102" s="8" t="s">
        <v>41</v>
      </c>
      <c r="D102" s="14">
        <v>48.98</v>
      </c>
      <c r="E102" s="14">
        <v>29.31</v>
      </c>
      <c r="F102" s="14">
        <v>33.159999999999997</v>
      </c>
      <c r="G102" s="14">
        <v>19.25</v>
      </c>
      <c r="H102" s="14">
        <v>36.950000000000003</v>
      </c>
      <c r="I102" s="16">
        <f t="shared" si="27"/>
        <v>0.75438954675377712</v>
      </c>
      <c r="J102" s="16">
        <f t="shared" si="26"/>
        <v>0.6770110249081257</v>
      </c>
      <c r="K102" s="16"/>
      <c r="L102" s="13" t="s">
        <v>405</v>
      </c>
      <c r="M102" s="13" t="s">
        <v>54</v>
      </c>
    </row>
    <row r="103" spans="1:14" x14ac:dyDescent="0.2">
      <c r="B103" s="6" t="s">
        <v>359</v>
      </c>
      <c r="C103" s="8" t="s">
        <v>41</v>
      </c>
      <c r="D103" s="14">
        <v>53.02</v>
      </c>
      <c r="E103" s="14">
        <v>30.59</v>
      </c>
      <c r="F103" s="14">
        <v>39.47</v>
      </c>
      <c r="G103" s="14">
        <v>20.98</v>
      </c>
      <c r="H103" s="14">
        <v>35.64</v>
      </c>
      <c r="I103" s="16">
        <f t="shared" si="27"/>
        <v>0.67219917012448127</v>
      </c>
      <c r="J103" s="16">
        <f t="shared" si="26"/>
        <v>0.74443606186344768</v>
      </c>
      <c r="K103" s="29"/>
      <c r="L103" s="13" t="s">
        <v>405</v>
      </c>
      <c r="M103" s="13" t="s">
        <v>54</v>
      </c>
    </row>
    <row r="104" spans="1:14" x14ac:dyDescent="0.2">
      <c r="A104" s="6"/>
      <c r="B104" s="6" t="s">
        <v>273</v>
      </c>
      <c r="C104" s="8" t="s">
        <v>41</v>
      </c>
      <c r="D104" s="14">
        <v>50</v>
      </c>
      <c r="E104" s="14"/>
      <c r="F104" s="14">
        <v>45</v>
      </c>
      <c r="G104" s="14"/>
      <c r="H104" s="14">
        <v>35</v>
      </c>
      <c r="I104" s="16">
        <f t="shared" si="27"/>
        <v>0.7</v>
      </c>
      <c r="J104" s="16">
        <f t="shared" si="26"/>
        <v>0.9</v>
      </c>
      <c r="K104" s="29"/>
      <c r="L104" s="13" t="s">
        <v>405</v>
      </c>
      <c r="M104" s="13" t="s">
        <v>75</v>
      </c>
      <c r="N104" s="6"/>
    </row>
    <row r="105" spans="1:14" x14ac:dyDescent="0.2">
      <c r="B105" s="6" t="s">
        <v>234</v>
      </c>
      <c r="C105" s="8" t="s">
        <v>105</v>
      </c>
      <c r="D105" s="14">
        <v>56.5</v>
      </c>
      <c r="E105" s="15"/>
      <c r="F105" s="14">
        <v>36.5</v>
      </c>
      <c r="G105" s="15"/>
      <c r="H105" s="14">
        <v>36.5</v>
      </c>
      <c r="I105" s="16">
        <f t="shared" si="27"/>
        <v>0.64601769911504425</v>
      </c>
      <c r="J105" s="16">
        <f t="shared" si="26"/>
        <v>0.64601769911504425</v>
      </c>
      <c r="K105" s="29"/>
      <c r="L105" s="13" t="s">
        <v>406</v>
      </c>
      <c r="M105" s="13" t="s">
        <v>137</v>
      </c>
      <c r="N105" s="6"/>
    </row>
    <row r="106" spans="1:14" x14ac:dyDescent="0.2">
      <c r="B106" s="6" t="s">
        <v>245</v>
      </c>
      <c r="C106" s="8" t="s">
        <v>105</v>
      </c>
      <c r="D106" s="14">
        <v>50</v>
      </c>
      <c r="E106" s="15"/>
      <c r="F106" s="14">
        <v>36</v>
      </c>
      <c r="G106" s="15"/>
      <c r="H106" s="14">
        <v>33</v>
      </c>
      <c r="I106" s="16">
        <f t="shared" si="27"/>
        <v>0.66</v>
      </c>
      <c r="J106" s="16">
        <f t="shared" si="26"/>
        <v>0.72</v>
      </c>
      <c r="K106" s="29"/>
      <c r="L106" s="13" t="s">
        <v>406</v>
      </c>
      <c r="M106" s="13" t="s">
        <v>137</v>
      </c>
      <c r="N106" s="6"/>
    </row>
    <row r="107" spans="1:14" x14ac:dyDescent="0.2">
      <c r="B107" s="6" t="s">
        <v>246</v>
      </c>
      <c r="C107" s="8" t="s">
        <v>105</v>
      </c>
      <c r="D107" s="14">
        <v>51</v>
      </c>
      <c r="E107" s="15"/>
      <c r="F107" s="14">
        <v>36.5</v>
      </c>
      <c r="G107" s="15"/>
      <c r="H107" s="14">
        <v>33.5</v>
      </c>
      <c r="I107" s="16">
        <f t="shared" si="27"/>
        <v>0.65686274509803921</v>
      </c>
      <c r="J107" s="16">
        <f t="shared" si="26"/>
        <v>0.71568627450980393</v>
      </c>
      <c r="K107" s="29"/>
      <c r="L107" s="13" t="s">
        <v>406</v>
      </c>
      <c r="M107" s="13" t="s">
        <v>137</v>
      </c>
      <c r="N107" s="6"/>
    </row>
    <row r="108" spans="1:14" x14ac:dyDescent="0.2">
      <c r="B108" s="6" t="s">
        <v>247</v>
      </c>
      <c r="C108" s="8" t="s">
        <v>105</v>
      </c>
      <c r="D108" s="14">
        <v>55.5</v>
      </c>
      <c r="E108" s="15"/>
      <c r="F108" s="14">
        <v>38</v>
      </c>
      <c r="G108" s="15"/>
      <c r="H108" s="14">
        <v>35.5</v>
      </c>
      <c r="I108" s="16">
        <f t="shared" si="27"/>
        <v>0.63963963963963966</v>
      </c>
      <c r="J108" s="16">
        <f t="shared" si="26"/>
        <v>0.68468468468468469</v>
      </c>
      <c r="K108" s="29"/>
      <c r="L108" s="13" t="s">
        <v>406</v>
      </c>
      <c r="M108" s="13" t="s">
        <v>137</v>
      </c>
      <c r="N108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63AD3-F721-C34D-AA0E-B0D44F377F91}">
  <dimension ref="A1:W26"/>
  <sheetViews>
    <sheetView zoomScale="99" workbookViewId="0">
      <selection activeCell="C33" sqref="C33"/>
    </sheetView>
  </sheetViews>
  <sheetFormatPr baseColWidth="10" defaultRowHeight="15" x14ac:dyDescent="0.2"/>
  <cols>
    <col min="2" max="2" width="28.6640625" customWidth="1"/>
    <col min="3" max="3" width="24" customWidth="1"/>
    <col min="5" max="5" width="14.33203125" customWidth="1"/>
    <col min="6" max="6" width="12.1640625" customWidth="1"/>
    <col min="7" max="7" width="14.1640625" customWidth="1"/>
    <col min="8" max="8" width="12.6640625" customWidth="1"/>
    <col min="10" max="10" width="12.6640625" customWidth="1"/>
    <col min="11" max="11" width="14.33203125" customWidth="1"/>
    <col min="12" max="12" width="12.6640625" customWidth="1"/>
    <col min="13" max="13" width="14" customWidth="1"/>
    <col min="14" max="14" width="13.5" customWidth="1"/>
    <col min="21" max="21" width="27.33203125" customWidth="1"/>
    <col min="22" max="22" width="23.83203125" customWidth="1"/>
    <col min="23" max="23" width="15" customWidth="1"/>
  </cols>
  <sheetData>
    <row r="1" spans="1:23" s="5" customFormat="1" ht="17" thickBot="1" x14ac:dyDescent="0.25">
      <c r="A1" s="4" t="s">
        <v>569</v>
      </c>
      <c r="B1" s="2"/>
      <c r="C1" s="2"/>
      <c r="D1" s="2"/>
      <c r="E1" s="2"/>
      <c r="F1" s="2"/>
      <c r="G1" s="2"/>
      <c r="H1" s="2"/>
      <c r="I1" s="2"/>
      <c r="J1" s="2"/>
    </row>
    <row r="2" spans="1:23" ht="16" thickTop="1" x14ac:dyDescent="0.2"/>
    <row r="3" spans="1:23" s="6" customFormat="1" ht="14" x14ac:dyDescent="0.15"/>
    <row r="4" spans="1:23" s="6" customFormat="1" ht="90" x14ac:dyDescent="0.15">
      <c r="A4" s="31" t="s">
        <v>472</v>
      </c>
      <c r="B4" s="31" t="s">
        <v>111</v>
      </c>
      <c r="C4" s="31" t="s">
        <v>40</v>
      </c>
      <c r="D4" s="26" t="s">
        <v>99</v>
      </c>
      <c r="E4" s="26" t="s">
        <v>384</v>
      </c>
      <c r="F4" s="26" t="s">
        <v>385</v>
      </c>
      <c r="G4" s="26" t="s">
        <v>386</v>
      </c>
      <c r="H4" s="26" t="s">
        <v>387</v>
      </c>
      <c r="I4" s="26" t="s">
        <v>388</v>
      </c>
      <c r="J4" s="26" t="s">
        <v>367</v>
      </c>
      <c r="K4" s="26" t="s">
        <v>389</v>
      </c>
      <c r="L4" s="26" t="s">
        <v>364</v>
      </c>
      <c r="M4" s="26" t="s">
        <v>485</v>
      </c>
      <c r="N4" s="26" t="s">
        <v>471</v>
      </c>
      <c r="O4" s="26" t="s">
        <v>100</v>
      </c>
      <c r="P4" s="26" t="s">
        <v>259</v>
      </c>
      <c r="Q4" s="26" t="s">
        <v>260</v>
      </c>
      <c r="R4" s="26" t="s">
        <v>261</v>
      </c>
      <c r="S4" s="31" t="s">
        <v>442</v>
      </c>
      <c r="T4" s="31" t="s">
        <v>441</v>
      </c>
      <c r="U4" s="31" t="s">
        <v>400</v>
      </c>
      <c r="V4" s="31" t="s">
        <v>112</v>
      </c>
      <c r="W4" s="31" t="s">
        <v>62</v>
      </c>
    </row>
    <row r="5" spans="1:23" x14ac:dyDescent="0.2">
      <c r="B5" s="6" t="s">
        <v>482</v>
      </c>
      <c r="C5" s="8" t="s">
        <v>439</v>
      </c>
      <c r="D5" s="14">
        <v>114.51</v>
      </c>
      <c r="E5" s="14">
        <v>14.89</v>
      </c>
      <c r="F5" s="14">
        <v>11.22</v>
      </c>
      <c r="G5" s="14">
        <v>15.01</v>
      </c>
      <c r="H5" s="14">
        <v>14.96</v>
      </c>
      <c r="I5" s="14" t="s">
        <v>483</v>
      </c>
      <c r="J5" s="14">
        <v>9.14</v>
      </c>
      <c r="K5" s="16">
        <v>17.3</v>
      </c>
      <c r="L5" s="14">
        <v>16.79</v>
      </c>
      <c r="M5" s="14">
        <v>13.49</v>
      </c>
      <c r="N5" s="14">
        <v>11.34</v>
      </c>
      <c r="O5" s="16">
        <f>L5/D5</f>
        <v>0.14662474893022442</v>
      </c>
      <c r="P5" s="16">
        <f>K5/D5</f>
        <v>0.1510785084272116</v>
      </c>
      <c r="Q5" s="16">
        <f>J5/D5</f>
        <v>7.9818356475416991E-2</v>
      </c>
      <c r="R5" s="16">
        <f>17.93/D5</f>
        <v>0.15658021133525454</v>
      </c>
      <c r="S5" s="16">
        <f>M5/D5</f>
        <v>0.11780630512618985</v>
      </c>
      <c r="T5" s="16">
        <f>N5/D5</f>
        <v>9.9030652344773373E-2</v>
      </c>
      <c r="U5" s="6" t="s">
        <v>440</v>
      </c>
      <c r="V5" s="6" t="s">
        <v>484</v>
      </c>
      <c r="W5" s="13" t="s">
        <v>54</v>
      </c>
    </row>
    <row r="6" spans="1:23" x14ac:dyDescent="0.2">
      <c r="B6" s="6" t="s">
        <v>498</v>
      </c>
      <c r="C6" s="8" t="s">
        <v>500</v>
      </c>
      <c r="D6" s="16">
        <v>114</v>
      </c>
      <c r="O6" s="16"/>
      <c r="P6" s="16"/>
      <c r="Q6" s="16"/>
      <c r="R6" s="16"/>
      <c r="S6" s="16"/>
      <c r="T6" s="16"/>
      <c r="U6" s="13" t="s">
        <v>424</v>
      </c>
      <c r="W6" s="13" t="s">
        <v>48</v>
      </c>
    </row>
    <row r="7" spans="1:23" x14ac:dyDescent="0.2">
      <c r="B7" s="6" t="s">
        <v>499</v>
      </c>
      <c r="C7" s="8" t="s">
        <v>500</v>
      </c>
      <c r="D7" s="16">
        <v>105</v>
      </c>
      <c r="O7" s="16"/>
      <c r="P7" s="16"/>
      <c r="Q7" s="16"/>
      <c r="R7" s="16"/>
      <c r="S7" s="16"/>
      <c r="T7" s="16"/>
      <c r="U7" s="13" t="s">
        <v>424</v>
      </c>
      <c r="W7" s="13" t="s">
        <v>48</v>
      </c>
    </row>
    <row r="8" spans="1:23" s="6" customFormat="1" ht="16" customHeight="1" x14ac:dyDescent="0.15">
      <c r="B8" s="6" t="s">
        <v>496</v>
      </c>
      <c r="C8" s="8" t="s">
        <v>467</v>
      </c>
      <c r="D8" s="14">
        <v>141.85</v>
      </c>
      <c r="E8" s="14">
        <v>24.43</v>
      </c>
      <c r="F8" s="14">
        <v>22.25</v>
      </c>
      <c r="G8" s="14">
        <v>22.73</v>
      </c>
      <c r="H8" s="14">
        <v>28.28</v>
      </c>
      <c r="I8" s="16">
        <v>34.229999999999997</v>
      </c>
      <c r="J8" s="14">
        <v>18.07</v>
      </c>
      <c r="K8" s="16">
        <v>26.8</v>
      </c>
      <c r="L8" s="14">
        <v>29.52</v>
      </c>
      <c r="M8" s="27">
        <v>19.62</v>
      </c>
      <c r="N8" s="27">
        <v>21.75</v>
      </c>
      <c r="O8" s="16">
        <f>L8/D8</f>
        <v>0.20810715544589356</v>
      </c>
      <c r="P8" s="16">
        <f t="shared" ref="P8" si="0">K8/D8</f>
        <v>0.18893197039125839</v>
      </c>
      <c r="Q8" s="16">
        <f t="shared" ref="Q8" si="1">J8/D8</f>
        <v>0.12738808600634474</v>
      </c>
      <c r="R8" s="16">
        <f>I8/D8</f>
        <v>0.24131124427211842</v>
      </c>
      <c r="S8" s="16">
        <f t="shared" ref="S8" si="2">M8/D8</f>
        <v>0.1383151216073317</v>
      </c>
      <c r="T8" s="16">
        <f t="shared" ref="T8" si="3">N8/D8</f>
        <v>0.15333098343320409</v>
      </c>
      <c r="U8" s="13" t="s">
        <v>413</v>
      </c>
      <c r="V8" s="13"/>
      <c r="W8" s="13" t="s">
        <v>47</v>
      </c>
    </row>
    <row r="9" spans="1:23" s="6" customFormat="1" ht="16" customHeight="1" x14ac:dyDescent="0.15">
      <c r="B9" s="6" t="s">
        <v>508</v>
      </c>
      <c r="C9" s="8" t="s">
        <v>507</v>
      </c>
      <c r="D9" s="16">
        <v>122</v>
      </c>
      <c r="E9" s="16">
        <v>29</v>
      </c>
      <c r="F9" s="16">
        <v>21</v>
      </c>
      <c r="G9" s="16">
        <v>29</v>
      </c>
      <c r="H9" s="16">
        <v>24.5</v>
      </c>
      <c r="I9" s="16"/>
      <c r="J9" s="14"/>
      <c r="K9" s="16"/>
      <c r="L9" s="14"/>
      <c r="M9" s="27"/>
      <c r="N9" s="27"/>
      <c r="O9" s="16"/>
      <c r="P9" s="16"/>
      <c r="Q9" s="16"/>
      <c r="R9" s="16"/>
      <c r="S9" s="16"/>
      <c r="T9" s="16"/>
      <c r="U9" s="13" t="s">
        <v>413</v>
      </c>
      <c r="V9" s="13"/>
      <c r="W9" s="13" t="s">
        <v>49</v>
      </c>
    </row>
    <row r="10" spans="1:23" s="6" customFormat="1" ht="16" customHeight="1" x14ac:dyDescent="0.15">
      <c r="B10" s="6" t="s">
        <v>57</v>
      </c>
      <c r="C10" s="8" t="s">
        <v>506</v>
      </c>
      <c r="D10" s="16">
        <v>134</v>
      </c>
      <c r="E10" s="16">
        <v>31</v>
      </c>
      <c r="F10" s="16">
        <v>19</v>
      </c>
      <c r="G10" s="16">
        <v>26</v>
      </c>
      <c r="H10" s="16">
        <v>25</v>
      </c>
      <c r="I10" s="16"/>
      <c r="J10" s="14"/>
      <c r="K10" s="16"/>
      <c r="L10" s="14"/>
      <c r="M10" s="27"/>
      <c r="N10" s="27"/>
      <c r="O10" s="16"/>
      <c r="P10" s="16"/>
      <c r="Q10" s="16"/>
      <c r="R10" s="16"/>
      <c r="S10" s="16"/>
      <c r="T10" s="16"/>
      <c r="U10" s="13" t="s">
        <v>413</v>
      </c>
      <c r="V10" s="13"/>
      <c r="W10" s="13" t="s">
        <v>49</v>
      </c>
    </row>
    <row r="11" spans="1:23" x14ac:dyDescent="0.2">
      <c r="A11" s="6"/>
      <c r="B11" s="6" t="s">
        <v>497</v>
      </c>
      <c r="C11" s="8" t="s">
        <v>560</v>
      </c>
      <c r="D11" s="16">
        <v>134</v>
      </c>
      <c r="E11" s="16">
        <v>32</v>
      </c>
      <c r="F11" s="16">
        <v>20</v>
      </c>
      <c r="G11" s="16">
        <v>29</v>
      </c>
      <c r="H11" s="16">
        <v>29</v>
      </c>
      <c r="I11" s="16"/>
      <c r="J11" s="14"/>
      <c r="K11" s="16"/>
      <c r="L11" s="14"/>
      <c r="M11" s="27"/>
      <c r="N11" s="27"/>
      <c r="O11" s="16"/>
      <c r="P11" s="16"/>
      <c r="Q11" s="16"/>
      <c r="R11" s="16"/>
      <c r="S11" s="16"/>
      <c r="T11" s="16"/>
      <c r="U11" s="13" t="s">
        <v>413</v>
      </c>
      <c r="V11" s="13"/>
      <c r="W11" s="13" t="s">
        <v>49</v>
      </c>
    </row>
    <row r="12" spans="1:23" s="6" customFormat="1" ht="18" customHeight="1" x14ac:dyDescent="0.15">
      <c r="B12" s="6" t="s">
        <v>518</v>
      </c>
      <c r="C12" s="8" t="s">
        <v>514</v>
      </c>
      <c r="D12" s="14">
        <v>190.81</v>
      </c>
      <c r="E12" s="14">
        <v>25.48</v>
      </c>
      <c r="F12" s="16">
        <v>16.47</v>
      </c>
      <c r="G12" s="16">
        <v>29.64</v>
      </c>
      <c r="H12" s="16">
        <v>26.23</v>
      </c>
      <c r="I12" s="16">
        <v>33.53</v>
      </c>
      <c r="J12" s="14">
        <v>21.22</v>
      </c>
      <c r="K12" s="16">
        <v>34.06</v>
      </c>
      <c r="L12" s="16">
        <v>30.07</v>
      </c>
      <c r="M12" s="14">
        <v>24.36</v>
      </c>
      <c r="N12" s="14">
        <v>20.440000000000001</v>
      </c>
      <c r="O12" s="16">
        <f t="shared" ref="O12" si="4">L12/D12</f>
        <v>0.15759132120958022</v>
      </c>
      <c r="P12" s="16">
        <f t="shared" ref="P12" si="5">K12/D12</f>
        <v>0.17850217493842044</v>
      </c>
      <c r="Q12" s="16">
        <f t="shared" ref="Q12" si="6">J12/D12</f>
        <v>0.11121010429222786</v>
      </c>
      <c r="R12" s="16">
        <f t="shared" ref="R12" si="7">I12/D12</f>
        <v>0.17572454273885016</v>
      </c>
      <c r="S12" s="16">
        <f t="shared" ref="S12" si="8">M12/D12</f>
        <v>0.12766626487081389</v>
      </c>
      <c r="T12" s="16">
        <f t="shared" ref="T12" si="9">N12/D12</f>
        <v>0.1071222682249358</v>
      </c>
      <c r="U12" s="13" t="s">
        <v>421</v>
      </c>
      <c r="W12" s="13" t="s">
        <v>47</v>
      </c>
    </row>
    <row r="13" spans="1:23" x14ac:dyDescent="0.2">
      <c r="A13" s="6"/>
      <c r="B13" s="6" t="s">
        <v>91</v>
      </c>
      <c r="C13" s="8" t="s">
        <v>41</v>
      </c>
      <c r="D13" s="16">
        <v>194.87</v>
      </c>
      <c r="E13" s="16">
        <v>32.76</v>
      </c>
      <c r="F13" s="16">
        <v>24.65</v>
      </c>
      <c r="G13" s="16">
        <v>38.369999999999997</v>
      </c>
      <c r="H13" s="16">
        <v>38</v>
      </c>
      <c r="I13" s="16">
        <v>43.87</v>
      </c>
      <c r="J13" s="14">
        <v>30.87</v>
      </c>
      <c r="K13" s="16">
        <v>46.08</v>
      </c>
      <c r="L13" s="14">
        <v>41.85</v>
      </c>
      <c r="M13" s="27">
        <v>29.34</v>
      </c>
      <c r="N13" s="43">
        <v>30.7</v>
      </c>
      <c r="O13" s="16">
        <f t="shared" ref="O13" si="10">L13/D13</f>
        <v>0.21475855698670909</v>
      </c>
      <c r="P13" s="16">
        <f t="shared" ref="P13" si="11">K13/D13</f>
        <v>0.23646533586493559</v>
      </c>
      <c r="Q13" s="16">
        <f t="shared" ref="Q13" si="12">J13/D13</f>
        <v>0.15841330117514241</v>
      </c>
      <c r="R13" s="16">
        <f>I13/D13</f>
        <v>0.2251244419356494</v>
      </c>
      <c r="S13" s="16">
        <f t="shared" ref="S13" si="13">M13/D13</f>
        <v>0.15056191307025196</v>
      </c>
      <c r="T13" s="16">
        <f t="shared" ref="T13" si="14">N13/D13</f>
        <v>0.15754092471904346</v>
      </c>
      <c r="U13" s="13" t="s">
        <v>405</v>
      </c>
      <c r="V13" s="13"/>
      <c r="W13" s="13" t="s">
        <v>47</v>
      </c>
    </row>
    <row r="14" spans="1:23" x14ac:dyDescent="0.2">
      <c r="B14" s="6" t="s">
        <v>504</v>
      </c>
      <c r="C14" s="8" t="s">
        <v>41</v>
      </c>
      <c r="D14" s="16">
        <v>195</v>
      </c>
      <c r="E14" s="16">
        <v>49.1</v>
      </c>
      <c r="F14" s="16">
        <v>32.299999999999997</v>
      </c>
      <c r="G14" s="16">
        <v>43.3</v>
      </c>
      <c r="H14" s="16">
        <v>50.1</v>
      </c>
      <c r="U14" s="13" t="s">
        <v>405</v>
      </c>
      <c r="W14" s="13" t="s">
        <v>505</v>
      </c>
    </row>
    <row r="17" spans="1:23" ht="90" x14ac:dyDescent="0.2">
      <c r="A17" s="31" t="s">
        <v>437</v>
      </c>
      <c r="B17" s="31" t="s">
        <v>111</v>
      </c>
      <c r="C17" s="31" t="s">
        <v>40</v>
      </c>
      <c r="D17" s="26" t="s">
        <v>99</v>
      </c>
      <c r="E17" s="26" t="s">
        <v>384</v>
      </c>
      <c r="F17" s="26" t="s">
        <v>385</v>
      </c>
      <c r="G17" s="26" t="s">
        <v>386</v>
      </c>
      <c r="H17" s="26" t="s">
        <v>387</v>
      </c>
      <c r="I17" s="26" t="s">
        <v>388</v>
      </c>
      <c r="J17" s="26" t="s">
        <v>367</v>
      </c>
      <c r="K17" s="26" t="s">
        <v>389</v>
      </c>
      <c r="L17" s="26" t="s">
        <v>364</v>
      </c>
      <c r="M17" s="26" t="s">
        <v>365</v>
      </c>
      <c r="N17" s="26" t="s">
        <v>366</v>
      </c>
      <c r="O17" s="26" t="s">
        <v>100</v>
      </c>
      <c r="P17" s="26" t="s">
        <v>259</v>
      </c>
      <c r="Q17" s="26" t="s">
        <v>260</v>
      </c>
      <c r="R17" s="26" t="s">
        <v>261</v>
      </c>
      <c r="S17" s="31" t="s">
        <v>442</v>
      </c>
      <c r="T17" s="31" t="s">
        <v>441</v>
      </c>
      <c r="U17" s="31" t="s">
        <v>400</v>
      </c>
      <c r="V17" s="31" t="s">
        <v>112</v>
      </c>
      <c r="W17" s="31" t="s">
        <v>62</v>
      </c>
    </row>
    <row r="18" spans="1:23" x14ac:dyDescent="0.2">
      <c r="A18" s="6"/>
      <c r="B18" s="6" t="s">
        <v>438</v>
      </c>
      <c r="C18" s="8" t="s">
        <v>439</v>
      </c>
      <c r="D18" s="14">
        <v>113.35</v>
      </c>
      <c r="E18" s="14">
        <v>11.85</v>
      </c>
      <c r="F18" s="14">
        <v>11.47</v>
      </c>
      <c r="G18" s="14">
        <v>14.31</v>
      </c>
      <c r="H18" s="14">
        <v>13.88</v>
      </c>
      <c r="I18" s="14">
        <v>18.46</v>
      </c>
      <c r="J18" s="14">
        <v>14.76</v>
      </c>
      <c r="K18" s="14">
        <v>17.41</v>
      </c>
      <c r="L18" s="14">
        <v>16.18</v>
      </c>
      <c r="M18" s="14">
        <v>11.86</v>
      </c>
      <c r="N18" s="14">
        <v>10.8</v>
      </c>
      <c r="O18" s="16">
        <f>L18/D18</f>
        <v>0.1427437141596824</v>
      </c>
      <c r="P18" s="16">
        <f>K18/D18</f>
        <v>0.15359505955006617</v>
      </c>
      <c r="Q18" s="16">
        <f>J18/D18</f>
        <v>0.13021614468460521</v>
      </c>
      <c r="R18" s="16">
        <f>I18/D18</f>
        <v>0.16285840317600356</v>
      </c>
      <c r="S18" s="16">
        <f>M18/D18</f>
        <v>0.10463167181296869</v>
      </c>
      <c r="T18" s="16">
        <f>N18/D18</f>
        <v>9.5280105866784301E-2</v>
      </c>
      <c r="U18" s="6" t="s">
        <v>440</v>
      </c>
      <c r="V18" s="6"/>
      <c r="W18" s="13" t="s">
        <v>48</v>
      </c>
    </row>
    <row r="19" spans="1:23" x14ac:dyDescent="0.2">
      <c r="B19" s="6" t="s">
        <v>498</v>
      </c>
      <c r="C19" s="8" t="s">
        <v>500</v>
      </c>
      <c r="D19" s="16">
        <v>110</v>
      </c>
      <c r="O19" s="16"/>
      <c r="P19" s="16"/>
      <c r="Q19" s="16"/>
      <c r="R19" s="16"/>
      <c r="S19" s="16"/>
      <c r="T19" s="16"/>
      <c r="U19" s="13" t="s">
        <v>424</v>
      </c>
      <c r="W19" s="13" t="s">
        <v>48</v>
      </c>
    </row>
    <row r="20" spans="1:23" x14ac:dyDescent="0.2">
      <c r="B20" s="6" t="s">
        <v>499</v>
      </c>
      <c r="C20" s="8" t="s">
        <v>500</v>
      </c>
      <c r="D20" s="16">
        <v>101</v>
      </c>
      <c r="O20" s="16"/>
      <c r="P20" s="16"/>
      <c r="Q20" s="16"/>
      <c r="R20" s="16"/>
      <c r="S20" s="16"/>
      <c r="T20" s="16"/>
      <c r="U20" s="13" t="s">
        <v>424</v>
      </c>
      <c r="W20" s="13" t="s">
        <v>48</v>
      </c>
    </row>
    <row r="21" spans="1:23" x14ac:dyDescent="0.2">
      <c r="B21" s="6" t="s">
        <v>509</v>
      </c>
      <c r="C21" s="8" t="s">
        <v>467</v>
      </c>
      <c r="D21" s="16">
        <v>124.32</v>
      </c>
      <c r="E21" s="14">
        <v>19.010000000000002</v>
      </c>
      <c r="F21" s="14">
        <v>17.920000000000002</v>
      </c>
      <c r="G21" s="14">
        <v>18.059999999999999</v>
      </c>
      <c r="H21" s="14">
        <v>22.32</v>
      </c>
      <c r="I21" s="14">
        <v>28.39</v>
      </c>
      <c r="J21" s="14">
        <v>22.72</v>
      </c>
      <c r="K21" s="16">
        <v>24.2</v>
      </c>
      <c r="L21" s="14">
        <v>24.22</v>
      </c>
      <c r="M21" s="14">
        <v>15.97</v>
      </c>
      <c r="N21" s="14">
        <v>19.98</v>
      </c>
      <c r="O21" s="16">
        <f t="shared" ref="O21" si="15">L21/D21</f>
        <v>0.19481981981981983</v>
      </c>
      <c r="P21" s="16">
        <f t="shared" ref="P21" si="16">K21/D21</f>
        <v>0.19465894465894468</v>
      </c>
      <c r="Q21" s="16">
        <f t="shared" ref="Q21" si="17">J21/D21</f>
        <v>0.18275418275418276</v>
      </c>
      <c r="R21" s="16">
        <f t="shared" ref="R21" si="18">I21/D21</f>
        <v>0.22836229086229087</v>
      </c>
      <c r="S21" s="16">
        <f t="shared" ref="S21" si="19">M21/D21</f>
        <v>0.12845881595881598</v>
      </c>
      <c r="T21" s="16">
        <f t="shared" ref="T21" si="20">N21/D21</f>
        <v>0.16071428571428573</v>
      </c>
      <c r="U21" s="13" t="s">
        <v>413</v>
      </c>
      <c r="V21" s="13"/>
      <c r="W21" s="13" t="s">
        <v>47</v>
      </c>
    </row>
    <row r="22" spans="1:23" s="6" customFormat="1" ht="16" customHeight="1" x14ac:dyDescent="0.15">
      <c r="B22" s="6" t="s">
        <v>496</v>
      </c>
      <c r="C22" s="8" t="s">
        <v>467</v>
      </c>
      <c r="D22" s="14">
        <v>134.21</v>
      </c>
      <c r="E22" s="14">
        <v>22.18</v>
      </c>
      <c r="F22" s="14">
        <v>24.42</v>
      </c>
      <c r="G22" s="14">
        <v>24.32</v>
      </c>
      <c r="H22" s="14">
        <v>25.55</v>
      </c>
      <c r="I22" s="16">
        <v>35.22</v>
      </c>
      <c r="J22" s="14">
        <v>27.88</v>
      </c>
      <c r="K22" s="16">
        <v>25.65</v>
      </c>
      <c r="L22" s="14">
        <v>29.67</v>
      </c>
      <c r="M22" s="27">
        <v>19.45</v>
      </c>
      <c r="N22" s="27">
        <v>23.38</v>
      </c>
      <c r="O22" s="16">
        <f t="shared" ref="O22" si="21">L22/D22</f>
        <v>0.22107145518217719</v>
      </c>
      <c r="P22" s="16">
        <f t="shared" ref="P22" si="22">K22/D22</f>
        <v>0.19111839654273152</v>
      </c>
      <c r="Q22" s="16">
        <f t="shared" ref="Q22" si="23">J22/D22</f>
        <v>0.20773414797705086</v>
      </c>
      <c r="R22" s="16">
        <f t="shared" ref="R22" si="24">I22/D22</f>
        <v>0.26242455852768048</v>
      </c>
      <c r="S22" s="16">
        <f t="shared" ref="S22" si="25">M22/D22</f>
        <v>0.14492213694955666</v>
      </c>
      <c r="T22" s="16">
        <f t="shared" ref="T22" si="26">N22/D22</f>
        <v>0.17420460472394009</v>
      </c>
      <c r="U22" s="13" t="s">
        <v>413</v>
      </c>
      <c r="V22" s="13"/>
      <c r="W22" s="13" t="s">
        <v>47</v>
      </c>
    </row>
    <row r="23" spans="1:23" s="6" customFormat="1" ht="16" customHeight="1" x14ac:dyDescent="0.15">
      <c r="B23" s="6" t="s">
        <v>508</v>
      </c>
      <c r="C23" s="8" t="s">
        <v>507</v>
      </c>
      <c r="D23" s="16">
        <v>116</v>
      </c>
      <c r="E23" s="16"/>
      <c r="F23" s="16">
        <v>21.5</v>
      </c>
      <c r="G23" s="16"/>
      <c r="H23" s="16">
        <v>25</v>
      </c>
      <c r="J23" s="14"/>
      <c r="K23" s="16"/>
      <c r="L23" s="14"/>
      <c r="M23" s="27"/>
      <c r="N23" s="27"/>
      <c r="O23" s="16"/>
      <c r="P23" s="16"/>
      <c r="Q23" s="16"/>
      <c r="R23" s="16"/>
      <c r="S23" s="16"/>
      <c r="T23" s="16"/>
      <c r="U23" s="13" t="s">
        <v>413</v>
      </c>
      <c r="V23" s="13"/>
      <c r="W23" s="13" t="s">
        <v>49</v>
      </c>
    </row>
    <row r="24" spans="1:23" s="6" customFormat="1" ht="16" customHeight="1" x14ac:dyDescent="0.15">
      <c r="B24" s="6" t="s">
        <v>497</v>
      </c>
      <c r="C24" s="8" t="s">
        <v>560</v>
      </c>
      <c r="D24" s="16">
        <v>127</v>
      </c>
      <c r="E24" s="16">
        <v>34</v>
      </c>
      <c r="F24" s="16">
        <v>24</v>
      </c>
      <c r="G24" s="16">
        <v>28</v>
      </c>
      <c r="H24" s="16">
        <v>28</v>
      </c>
      <c r="I24" s="16"/>
      <c r="J24" s="14"/>
      <c r="K24" s="16"/>
      <c r="L24" s="14"/>
      <c r="M24" s="27"/>
      <c r="N24" s="27"/>
      <c r="O24" s="16"/>
      <c r="P24" s="16"/>
      <c r="Q24" s="16"/>
      <c r="R24" s="16"/>
      <c r="S24" s="16"/>
      <c r="T24" s="16"/>
      <c r="U24" s="13" t="s">
        <v>413</v>
      </c>
      <c r="V24" s="13"/>
      <c r="W24" s="13" t="s">
        <v>49</v>
      </c>
    </row>
    <row r="25" spans="1:23" x14ac:dyDescent="0.2">
      <c r="B25" s="6" t="s">
        <v>501</v>
      </c>
      <c r="C25" s="41" t="s">
        <v>502</v>
      </c>
      <c r="D25" s="16">
        <v>125</v>
      </c>
      <c r="E25" s="14" t="s">
        <v>503</v>
      </c>
      <c r="F25" s="16">
        <v>17</v>
      </c>
      <c r="G25" s="42"/>
      <c r="H25" s="42"/>
      <c r="I25" s="42"/>
      <c r="K25" s="16">
        <v>17</v>
      </c>
      <c r="L25" s="16">
        <v>19.5</v>
      </c>
      <c r="M25" s="16">
        <v>13</v>
      </c>
      <c r="N25" s="16">
        <v>15</v>
      </c>
      <c r="O25" s="16">
        <f t="shared" ref="O25:O26" si="27">L25/D25</f>
        <v>0.156</v>
      </c>
      <c r="P25" s="16">
        <f t="shared" ref="P25:P26" si="28">K25/D25</f>
        <v>0.13600000000000001</v>
      </c>
      <c r="Q25" s="16"/>
      <c r="R25" s="16"/>
      <c r="S25" s="16">
        <f>M25/D25</f>
        <v>0.104</v>
      </c>
      <c r="T25" s="16">
        <f t="shared" ref="T25:T26" si="29">N25/D25</f>
        <v>0.12</v>
      </c>
      <c r="U25" s="13" t="s">
        <v>411</v>
      </c>
      <c r="W25" s="13" t="s">
        <v>48</v>
      </c>
    </row>
    <row r="26" spans="1:23" x14ac:dyDescent="0.2">
      <c r="A26" s="6"/>
      <c r="B26" s="6" t="s">
        <v>91</v>
      </c>
      <c r="C26" s="8" t="s">
        <v>41</v>
      </c>
      <c r="D26" s="16">
        <v>186.41</v>
      </c>
      <c r="E26" s="16">
        <v>33.94</v>
      </c>
      <c r="F26" s="16">
        <v>28.26</v>
      </c>
      <c r="G26" s="16">
        <v>36.42</v>
      </c>
      <c r="H26" s="16">
        <v>37.200000000000003</v>
      </c>
      <c r="I26" s="16">
        <v>50.68</v>
      </c>
      <c r="J26" s="16">
        <v>36.85</v>
      </c>
      <c r="K26" s="16">
        <v>40.549999999999997</v>
      </c>
      <c r="L26" s="14">
        <v>44.65</v>
      </c>
      <c r="M26" s="27">
        <v>33.32</v>
      </c>
      <c r="N26" s="43">
        <v>32.450000000000003</v>
      </c>
      <c r="O26" s="16">
        <f t="shared" si="27"/>
        <v>0.23952577651413551</v>
      </c>
      <c r="P26" s="16">
        <f t="shared" si="28"/>
        <v>0.21753124832358778</v>
      </c>
      <c r="Q26" s="16">
        <f t="shared" ref="Q26" si="30">J26/D26</f>
        <v>0.1976825277613862</v>
      </c>
      <c r="R26" s="16">
        <f t="shared" ref="R26" si="31">I26/D26</f>
        <v>0.27187382651145325</v>
      </c>
      <c r="S26" s="16">
        <f t="shared" ref="S26" si="32">M26/D26</f>
        <v>0.17874577544123169</v>
      </c>
      <c r="T26" s="16">
        <f t="shared" si="29"/>
        <v>0.17407864384957891</v>
      </c>
      <c r="U26" s="13" t="s">
        <v>405</v>
      </c>
      <c r="V26" s="13"/>
      <c r="W26" s="13" t="s">
        <v>47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1852136AAE514CB502F3F78C0F7E4C" ma:contentTypeVersion="12" ma:contentTypeDescription="Create a new document." ma:contentTypeScope="" ma:versionID="09cd19965f3fc6fbc4f8de16f9669337">
  <xsd:schema xmlns:xsd="http://www.w3.org/2001/XMLSchema" xmlns:xs="http://www.w3.org/2001/XMLSchema" xmlns:p="http://schemas.microsoft.com/office/2006/metadata/properties" xmlns:ns3="0d412240-b38b-4f80-9963-99a7c9d22f24" xmlns:ns4="3eb375ad-76b0-4034-addf-60f7e0140e1c" targetNamespace="http://schemas.microsoft.com/office/2006/metadata/properties" ma:root="true" ma:fieldsID="3739342b8053835d2cb7b3558dc638d2" ns3:_="" ns4:_="">
    <xsd:import namespace="0d412240-b38b-4f80-9963-99a7c9d22f24"/>
    <xsd:import namespace="3eb375ad-76b0-4034-addf-60f7e0140e1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412240-b38b-4f80-9963-99a7c9d22f2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b375ad-76b0-4034-addf-60f7e0140e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6FFFE6-F6AC-4AAC-8341-065D733E39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412240-b38b-4f80-9963-99a7c9d22f24"/>
    <ds:schemaRef ds:uri="3eb375ad-76b0-4034-addf-60f7e0140e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E413BA-BA87-409A-A9FC-09D4CFE1D840}">
  <ds:schemaRefs>
    <ds:schemaRef ds:uri="http://purl.org/dc/elements/1.1/"/>
    <ds:schemaRef ds:uri="0d412240-b38b-4f80-9963-99a7c9d22f24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3eb375ad-76b0-4034-addf-60f7e0140e1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3F88631-CFFB-48FA-A7D5-27FC3513CD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Online Resource 1</vt:lpstr>
      <vt:lpstr>Table S1 Mandible</vt:lpstr>
      <vt:lpstr>Table S2 Vertebrae</vt:lpstr>
      <vt:lpstr>Table S3 Ulna-radius</vt:lpstr>
      <vt:lpstr>Table S4 Carpals</vt:lpstr>
      <vt:lpstr>Table S5 Metacarpals</vt:lpstr>
      <vt:lpstr>Table S6 Phalanges</vt:lpstr>
      <vt:lpstr>Table S7 Cullinia Mts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puschel rouliez</dc:creator>
  <cp:lastModifiedBy>Microsoft Office User</cp:lastModifiedBy>
  <dcterms:created xsi:type="dcterms:W3CDTF">2020-03-13T14:04:47Z</dcterms:created>
  <dcterms:modified xsi:type="dcterms:W3CDTF">2023-01-06T10:22:23Z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0x010100A51852136AAE514CB502F3F78C0F7E4C</vt:lpwstr>
  </property>
</Properties>
</file>