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723398\Downloads\10940_9612_1748311222464\Corr\upload_1\"/>
    </mc:Choice>
  </mc:AlternateContent>
  <bookViews>
    <workbookView xWindow="600" yWindow="500" windowWidth="28200" windowHeight="16300"/>
  </bookViews>
  <sheets>
    <sheet name="TA1. Desc Year" sheetId="29" r:id="rId1"/>
    <sheet name="TA2. Spatial AutoCorr" sheetId="30" r:id="rId2"/>
    <sheet name="TA3. Spatial Tests" sheetId="31" r:id="rId3"/>
    <sheet name="TA4. Hausman Tests" sheetId="32" r:id="rId4"/>
    <sheet name="TA5. Altern Com Defs" sheetId="36" r:id="rId5"/>
    <sheet name="TA6. 2020 Difference" sheetId="35" r:id="rId6"/>
    <sheet name="TA7_Summary" sheetId="4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" i="43" l="1"/>
  <c r="L40" i="43"/>
  <c r="K40" i="43"/>
  <c r="J40" i="43"/>
  <c r="I40" i="43"/>
  <c r="M39" i="43"/>
  <c r="L39" i="43"/>
  <c r="K39" i="43"/>
  <c r="J39" i="43"/>
  <c r="I39" i="43"/>
  <c r="M22" i="43"/>
  <c r="L22" i="43"/>
  <c r="K22" i="43"/>
  <c r="J22" i="43"/>
  <c r="I22" i="43"/>
  <c r="M21" i="43"/>
  <c r="L21" i="43"/>
  <c r="K21" i="43"/>
  <c r="J21" i="43"/>
  <c r="I21" i="43"/>
  <c r="M58" i="43"/>
  <c r="L58" i="43"/>
  <c r="K58" i="43"/>
  <c r="J58" i="43"/>
  <c r="I58" i="43"/>
  <c r="M57" i="43"/>
  <c r="L57" i="43"/>
  <c r="K57" i="43"/>
  <c r="J57" i="43"/>
  <c r="I57" i="43"/>
  <c r="M34" i="43"/>
  <c r="L34" i="43"/>
  <c r="K34" i="43"/>
  <c r="J34" i="43"/>
  <c r="I34" i="43"/>
  <c r="M33" i="43"/>
  <c r="L33" i="43"/>
  <c r="K33" i="43"/>
  <c r="J33" i="43"/>
  <c r="I33" i="43"/>
  <c r="M16" i="43"/>
  <c r="L16" i="43"/>
  <c r="K16" i="43"/>
  <c r="J16" i="43"/>
  <c r="I16" i="43"/>
  <c r="M15" i="43"/>
  <c r="L15" i="43"/>
  <c r="K15" i="43"/>
  <c r="J15" i="43"/>
  <c r="I15" i="43"/>
  <c r="M52" i="43"/>
  <c r="L52" i="43"/>
  <c r="K52" i="43"/>
  <c r="J52" i="43"/>
  <c r="I52" i="43"/>
  <c r="M51" i="43"/>
  <c r="L51" i="43"/>
  <c r="K51" i="43"/>
  <c r="J51" i="43"/>
  <c r="I51" i="43"/>
  <c r="M28" i="43"/>
  <c r="L28" i="43"/>
  <c r="K28" i="43"/>
  <c r="J28" i="43"/>
  <c r="I28" i="43"/>
  <c r="M27" i="43"/>
  <c r="L27" i="43"/>
  <c r="K27" i="43"/>
  <c r="J27" i="43"/>
  <c r="I27" i="43"/>
  <c r="M10" i="43"/>
  <c r="L10" i="43"/>
  <c r="K10" i="43"/>
  <c r="J10" i="43"/>
  <c r="I10" i="43"/>
  <c r="M9" i="43"/>
  <c r="L9" i="43"/>
  <c r="K9" i="43"/>
  <c r="J9" i="43"/>
  <c r="I9" i="43"/>
  <c r="M46" i="43"/>
  <c r="L46" i="43"/>
  <c r="K46" i="43"/>
  <c r="J46" i="43"/>
  <c r="I46" i="43"/>
  <c r="M45" i="43"/>
  <c r="L45" i="43"/>
  <c r="K45" i="43"/>
  <c r="J45" i="43"/>
  <c r="I45" i="43"/>
  <c r="M64" i="43"/>
  <c r="L64" i="43"/>
  <c r="K64" i="43"/>
  <c r="J64" i="43"/>
  <c r="I64" i="43"/>
  <c r="M63" i="43"/>
  <c r="L63" i="43"/>
  <c r="K63" i="43"/>
  <c r="J63" i="43"/>
  <c r="I63" i="43"/>
  <c r="F64" i="43"/>
  <c r="E64" i="43"/>
  <c r="D64" i="43"/>
  <c r="C64" i="43"/>
  <c r="B64" i="43"/>
  <c r="F63" i="43"/>
  <c r="E63" i="43"/>
  <c r="D63" i="43"/>
  <c r="C63" i="43"/>
  <c r="B63" i="43"/>
  <c r="F40" i="43"/>
  <c r="E40" i="43"/>
  <c r="D40" i="43"/>
  <c r="C40" i="43"/>
  <c r="B40" i="43"/>
  <c r="F39" i="43"/>
  <c r="E39" i="43"/>
  <c r="D39" i="43"/>
  <c r="C39" i="43"/>
  <c r="B39" i="43"/>
  <c r="F22" i="43"/>
  <c r="E22" i="43"/>
  <c r="D22" i="43"/>
  <c r="C22" i="43"/>
  <c r="B22" i="43"/>
  <c r="F21" i="43"/>
  <c r="E21" i="43"/>
  <c r="D21" i="43"/>
  <c r="C21" i="43"/>
  <c r="B21" i="43"/>
  <c r="F58" i="43"/>
  <c r="E58" i="43"/>
  <c r="D58" i="43"/>
  <c r="C58" i="43"/>
  <c r="B58" i="43"/>
  <c r="F57" i="43"/>
  <c r="E57" i="43"/>
  <c r="D57" i="43"/>
  <c r="C57" i="43"/>
  <c r="B57" i="43"/>
  <c r="F34" i="43"/>
  <c r="E34" i="43"/>
  <c r="D34" i="43"/>
  <c r="C34" i="43"/>
  <c r="B34" i="43"/>
  <c r="F33" i="43"/>
  <c r="E33" i="43"/>
  <c r="D33" i="43"/>
  <c r="C33" i="43"/>
  <c r="B33" i="43"/>
  <c r="F16" i="43"/>
  <c r="E16" i="43"/>
  <c r="D16" i="43"/>
  <c r="C16" i="43"/>
  <c r="B16" i="43"/>
  <c r="F15" i="43"/>
  <c r="E15" i="43"/>
  <c r="D15" i="43"/>
  <c r="C15" i="43"/>
  <c r="B15" i="43"/>
  <c r="F52" i="43"/>
  <c r="E52" i="43"/>
  <c r="D52" i="43"/>
  <c r="C52" i="43"/>
  <c r="B52" i="43"/>
  <c r="F51" i="43"/>
  <c r="E51" i="43"/>
  <c r="D51" i="43"/>
  <c r="C51" i="43"/>
  <c r="B51" i="43"/>
  <c r="F28" i="43"/>
  <c r="E28" i="43"/>
  <c r="D28" i="43"/>
  <c r="C28" i="43"/>
  <c r="B28" i="43"/>
  <c r="F27" i="43"/>
  <c r="E27" i="43"/>
  <c r="D27" i="43"/>
  <c r="C27" i="43"/>
  <c r="B27" i="43"/>
  <c r="F10" i="43"/>
  <c r="E10" i="43"/>
  <c r="D10" i="43"/>
  <c r="C10" i="43"/>
  <c r="B10" i="43"/>
  <c r="F9" i="43"/>
  <c r="E9" i="43"/>
  <c r="D9" i="43"/>
  <c r="C9" i="43"/>
  <c r="B9" i="43"/>
  <c r="F46" i="43"/>
  <c r="E46" i="43"/>
  <c r="D46" i="43"/>
  <c r="C46" i="43"/>
  <c r="B46" i="43"/>
  <c r="F45" i="43"/>
  <c r="E45" i="43"/>
  <c r="D45" i="43"/>
  <c r="C45" i="43"/>
  <c r="B45" i="43"/>
  <c r="N20" i="43"/>
  <c r="M20" i="43"/>
  <c r="L20" i="43"/>
  <c r="K20" i="43"/>
  <c r="G20" i="43"/>
  <c r="F20" i="43"/>
  <c r="E20" i="43"/>
  <c r="D20" i="43"/>
  <c r="N19" i="43"/>
  <c r="M19" i="43"/>
  <c r="L19" i="43"/>
  <c r="K19" i="43"/>
  <c r="J19" i="43"/>
  <c r="I19" i="43"/>
  <c r="G19" i="43"/>
  <c r="F19" i="43"/>
  <c r="E19" i="43"/>
  <c r="D19" i="43"/>
  <c r="C19" i="43"/>
  <c r="B19" i="43"/>
  <c r="N18" i="43"/>
  <c r="M18" i="43"/>
  <c r="L18" i="43"/>
  <c r="K18" i="43"/>
  <c r="J18" i="43"/>
  <c r="I18" i="43"/>
  <c r="G18" i="43"/>
  <c r="F18" i="43"/>
  <c r="E18" i="43"/>
  <c r="D18" i="43"/>
  <c r="C18" i="43"/>
  <c r="B18" i="43"/>
  <c r="N38" i="43"/>
  <c r="M38" i="43"/>
  <c r="L38" i="43"/>
  <c r="K38" i="43"/>
  <c r="G38" i="43"/>
  <c r="F38" i="43"/>
  <c r="E38" i="43"/>
  <c r="D38" i="43"/>
  <c r="N37" i="43"/>
  <c r="M37" i="43"/>
  <c r="L37" i="43"/>
  <c r="K37" i="43"/>
  <c r="J37" i="43"/>
  <c r="I37" i="43"/>
  <c r="G37" i="43"/>
  <c r="F37" i="43"/>
  <c r="C37" i="43"/>
  <c r="B37" i="43"/>
  <c r="N36" i="43"/>
  <c r="M36" i="43"/>
  <c r="L36" i="43"/>
  <c r="K36" i="43"/>
  <c r="J36" i="43"/>
  <c r="I36" i="43"/>
  <c r="G36" i="43"/>
  <c r="F36" i="43"/>
  <c r="E36" i="43"/>
  <c r="D36" i="43"/>
  <c r="C36" i="43"/>
  <c r="B36" i="43"/>
  <c r="N56" i="43"/>
  <c r="M56" i="43"/>
  <c r="L56" i="43"/>
  <c r="K56" i="43"/>
  <c r="G56" i="43"/>
  <c r="F56" i="43"/>
  <c r="E56" i="43"/>
  <c r="D56" i="43"/>
  <c r="N55" i="43"/>
  <c r="M55" i="43"/>
  <c r="L55" i="43"/>
  <c r="K55" i="43"/>
  <c r="J55" i="43"/>
  <c r="I55" i="43"/>
  <c r="G55" i="43"/>
  <c r="F55" i="43"/>
  <c r="E55" i="43"/>
  <c r="D55" i="43"/>
  <c r="C55" i="43"/>
  <c r="B55" i="43"/>
  <c r="N54" i="43"/>
  <c r="M54" i="43"/>
  <c r="L54" i="43"/>
  <c r="K54" i="43"/>
  <c r="J54" i="43"/>
  <c r="I54" i="43"/>
  <c r="G54" i="43"/>
  <c r="F54" i="43"/>
  <c r="E54" i="43"/>
  <c r="D54" i="43"/>
  <c r="C54" i="43"/>
  <c r="B54" i="43"/>
  <c r="N14" i="43"/>
  <c r="M14" i="43"/>
  <c r="L14" i="43"/>
  <c r="K14" i="43"/>
  <c r="G14" i="43"/>
  <c r="F14" i="43"/>
  <c r="E14" i="43"/>
  <c r="D14" i="43"/>
  <c r="N13" i="43"/>
  <c r="M13" i="43"/>
  <c r="L13" i="43"/>
  <c r="K13" i="43"/>
  <c r="J13" i="43"/>
  <c r="I13" i="43"/>
  <c r="G13" i="43"/>
  <c r="F13" i="43"/>
  <c r="E13" i="43"/>
  <c r="D13" i="43"/>
  <c r="C13" i="43"/>
  <c r="B13" i="43"/>
  <c r="N12" i="43"/>
  <c r="M12" i="43"/>
  <c r="L12" i="43"/>
  <c r="K12" i="43"/>
  <c r="J12" i="43"/>
  <c r="I12" i="43"/>
  <c r="G12" i="43"/>
  <c r="F12" i="43"/>
  <c r="E12" i="43"/>
  <c r="D12" i="43"/>
  <c r="C12" i="43"/>
  <c r="B12" i="43"/>
  <c r="N32" i="43"/>
  <c r="M32" i="43"/>
  <c r="L32" i="43"/>
  <c r="K32" i="43"/>
  <c r="G32" i="43"/>
  <c r="F32" i="43"/>
  <c r="E32" i="43"/>
  <c r="D32" i="43"/>
  <c r="N31" i="43"/>
  <c r="M31" i="43"/>
  <c r="L31" i="43"/>
  <c r="K31" i="43"/>
  <c r="J31" i="43"/>
  <c r="I31" i="43"/>
  <c r="G31" i="43"/>
  <c r="F31" i="43"/>
  <c r="E31" i="43"/>
  <c r="D31" i="43"/>
  <c r="C31" i="43"/>
  <c r="B31" i="43"/>
  <c r="N30" i="43"/>
  <c r="M30" i="43"/>
  <c r="L30" i="43"/>
  <c r="K30" i="43"/>
  <c r="J30" i="43"/>
  <c r="I30" i="43"/>
  <c r="G30" i="43"/>
  <c r="F30" i="43"/>
  <c r="E30" i="43"/>
  <c r="D30" i="43"/>
  <c r="C30" i="43"/>
  <c r="B30" i="43"/>
  <c r="N50" i="43"/>
  <c r="M50" i="43"/>
  <c r="L50" i="43"/>
  <c r="K50" i="43"/>
  <c r="G50" i="43"/>
  <c r="F50" i="43"/>
  <c r="E50" i="43"/>
  <c r="D50" i="43"/>
  <c r="N49" i="43"/>
  <c r="M49" i="43"/>
  <c r="L49" i="43"/>
  <c r="K49" i="43"/>
  <c r="J49" i="43"/>
  <c r="I49" i="43"/>
  <c r="G49" i="43"/>
  <c r="F49" i="43"/>
  <c r="E49" i="43"/>
  <c r="D49" i="43"/>
  <c r="C49" i="43"/>
  <c r="B49" i="43"/>
  <c r="N48" i="43"/>
  <c r="M48" i="43"/>
  <c r="L48" i="43"/>
  <c r="K48" i="43"/>
  <c r="J48" i="43"/>
  <c r="I48" i="43"/>
  <c r="G48" i="43"/>
  <c r="F48" i="43"/>
  <c r="E48" i="43"/>
  <c r="D48" i="43"/>
  <c r="C48" i="43"/>
  <c r="B48" i="43"/>
  <c r="N8" i="43"/>
  <c r="M8" i="43"/>
  <c r="L8" i="43"/>
  <c r="K8" i="43"/>
  <c r="G8" i="43"/>
  <c r="F8" i="43"/>
  <c r="E8" i="43"/>
  <c r="D8" i="43"/>
  <c r="N7" i="43"/>
  <c r="M7" i="43"/>
  <c r="L7" i="43"/>
  <c r="K7" i="43"/>
  <c r="J7" i="43"/>
  <c r="I7" i="43"/>
  <c r="G7" i="43"/>
  <c r="F7" i="43"/>
  <c r="E7" i="43"/>
  <c r="D7" i="43"/>
  <c r="C7" i="43"/>
  <c r="B7" i="43"/>
  <c r="N6" i="43"/>
  <c r="M6" i="43"/>
  <c r="L6" i="43"/>
  <c r="K6" i="43"/>
  <c r="J6" i="43"/>
  <c r="I6" i="43"/>
  <c r="G6" i="43"/>
  <c r="F6" i="43"/>
  <c r="E6" i="43"/>
  <c r="D6" i="43"/>
  <c r="C6" i="43"/>
  <c r="B6" i="43"/>
  <c r="N26" i="43"/>
  <c r="M26" i="43"/>
  <c r="L26" i="43"/>
  <c r="K26" i="43"/>
  <c r="G26" i="43"/>
  <c r="F26" i="43"/>
  <c r="E26" i="43"/>
  <c r="D26" i="43"/>
  <c r="N25" i="43"/>
  <c r="M25" i="43"/>
  <c r="L25" i="43"/>
  <c r="K25" i="43"/>
  <c r="J25" i="43"/>
  <c r="I25" i="43"/>
  <c r="G25" i="43"/>
  <c r="F25" i="43"/>
  <c r="E25" i="43"/>
  <c r="D25" i="43"/>
  <c r="C25" i="43"/>
  <c r="B25" i="43"/>
  <c r="N24" i="43"/>
  <c r="M24" i="43"/>
  <c r="L24" i="43"/>
  <c r="K24" i="43"/>
  <c r="J24" i="43"/>
  <c r="I24" i="43"/>
  <c r="G24" i="43"/>
  <c r="F24" i="43"/>
  <c r="E24" i="43"/>
  <c r="D24" i="43"/>
  <c r="C24" i="43"/>
  <c r="B24" i="43"/>
  <c r="N44" i="43"/>
  <c r="M44" i="43"/>
  <c r="L44" i="43"/>
  <c r="K44" i="43"/>
  <c r="G44" i="43"/>
  <c r="F44" i="43"/>
  <c r="E44" i="43"/>
  <c r="D44" i="43"/>
  <c r="N43" i="43"/>
  <c r="M43" i="43"/>
  <c r="L43" i="43"/>
  <c r="K43" i="43"/>
  <c r="J43" i="43"/>
  <c r="I43" i="43"/>
  <c r="G43" i="43"/>
  <c r="F43" i="43"/>
  <c r="E43" i="43"/>
  <c r="D43" i="43"/>
  <c r="C43" i="43"/>
  <c r="B43" i="43"/>
  <c r="N42" i="43"/>
  <c r="M42" i="43"/>
  <c r="L42" i="43"/>
  <c r="K42" i="43"/>
  <c r="J42" i="43"/>
  <c r="I42" i="43"/>
  <c r="G42" i="43"/>
  <c r="F42" i="43"/>
  <c r="E42" i="43"/>
  <c r="D42" i="43"/>
  <c r="C42" i="43"/>
  <c r="B42" i="43"/>
  <c r="N62" i="43"/>
  <c r="M62" i="43"/>
  <c r="L62" i="43"/>
  <c r="K62" i="43"/>
  <c r="G62" i="43"/>
  <c r="F62" i="43"/>
  <c r="E62" i="43"/>
  <c r="D62" i="43"/>
  <c r="N61" i="43"/>
  <c r="M61" i="43"/>
  <c r="L61" i="43"/>
  <c r="K61" i="43"/>
  <c r="J61" i="43"/>
  <c r="I61" i="43"/>
  <c r="G61" i="43"/>
  <c r="F61" i="43"/>
  <c r="E61" i="43"/>
  <c r="D61" i="43"/>
  <c r="C61" i="43"/>
  <c r="B61" i="43"/>
  <c r="N60" i="43"/>
  <c r="M60" i="43"/>
  <c r="L60" i="43"/>
  <c r="K60" i="43"/>
  <c r="J60" i="43"/>
  <c r="I60" i="43"/>
  <c r="G60" i="43"/>
  <c r="F60" i="43"/>
  <c r="E60" i="43"/>
  <c r="D60" i="43"/>
  <c r="C60" i="43"/>
  <c r="B60" i="43"/>
  <c r="J20" i="36"/>
  <c r="I20" i="36"/>
  <c r="H20" i="36"/>
  <c r="G20" i="36"/>
  <c r="J18" i="36"/>
  <c r="I18" i="36"/>
  <c r="H18" i="36"/>
  <c r="G18" i="36"/>
  <c r="J19" i="36"/>
  <c r="I19" i="36"/>
  <c r="H19" i="36"/>
  <c r="G19" i="36"/>
  <c r="J12" i="36"/>
  <c r="I12" i="36"/>
  <c r="H12" i="36"/>
  <c r="G12" i="36"/>
  <c r="J10" i="36"/>
  <c r="I10" i="36"/>
  <c r="H10" i="36"/>
  <c r="G10" i="36"/>
  <c r="J11" i="36"/>
  <c r="I11" i="36"/>
  <c r="H11" i="36"/>
  <c r="G11" i="36"/>
  <c r="J16" i="36"/>
  <c r="I16" i="36"/>
  <c r="H16" i="36"/>
  <c r="G16" i="36"/>
  <c r="J14" i="36"/>
  <c r="I14" i="36"/>
  <c r="H14" i="36"/>
  <c r="G14" i="36"/>
  <c r="J15" i="36"/>
  <c r="I15" i="36"/>
  <c r="H15" i="36"/>
  <c r="G15" i="36"/>
  <c r="J8" i="36"/>
  <c r="I8" i="36"/>
  <c r="H8" i="36"/>
  <c r="G8" i="36"/>
  <c r="J6" i="36"/>
  <c r="I6" i="36"/>
  <c r="H6" i="36"/>
  <c r="G6" i="36"/>
  <c r="J7" i="36"/>
  <c r="I7" i="36"/>
  <c r="H7" i="36"/>
  <c r="G7" i="36"/>
  <c r="E20" i="36"/>
  <c r="D20" i="36"/>
  <c r="C20" i="36"/>
  <c r="B20" i="36"/>
  <c r="E18" i="36"/>
  <c r="D18" i="36"/>
  <c r="C18" i="36"/>
  <c r="B18" i="36"/>
  <c r="E19" i="36"/>
  <c r="D19" i="36"/>
  <c r="C19" i="36"/>
  <c r="B19" i="36"/>
  <c r="E12" i="36"/>
  <c r="D12" i="36"/>
  <c r="C12" i="36"/>
  <c r="B12" i="36"/>
  <c r="E10" i="36"/>
  <c r="D10" i="36"/>
  <c r="C10" i="36"/>
  <c r="B10" i="36"/>
  <c r="E11" i="36"/>
  <c r="D11" i="36"/>
  <c r="C11" i="36"/>
  <c r="B11" i="36"/>
  <c r="E16" i="36"/>
  <c r="D16" i="36"/>
  <c r="C16" i="36"/>
  <c r="B16" i="36"/>
  <c r="E14" i="36"/>
  <c r="D14" i="36"/>
  <c r="C14" i="36"/>
  <c r="B14" i="36"/>
  <c r="E15" i="36"/>
  <c r="D15" i="36"/>
  <c r="C15" i="36"/>
  <c r="B15" i="36"/>
  <c r="E8" i="36"/>
  <c r="D8" i="36"/>
  <c r="C8" i="36"/>
  <c r="B8" i="36"/>
  <c r="E7" i="36"/>
  <c r="D7" i="36"/>
  <c r="C7" i="36"/>
  <c r="B7" i="36"/>
  <c r="B6" i="36"/>
  <c r="C6" i="36"/>
  <c r="D6" i="36"/>
  <c r="E6" i="36"/>
  <c r="K22" i="35"/>
  <c r="L22" i="35"/>
  <c r="M22" i="35"/>
  <c r="N22" i="35"/>
  <c r="I21" i="35"/>
  <c r="J21" i="35"/>
  <c r="K21" i="35"/>
  <c r="L21" i="35"/>
  <c r="M21" i="35"/>
  <c r="N21" i="35"/>
  <c r="I20" i="35"/>
  <c r="J20" i="35"/>
  <c r="K20" i="35"/>
  <c r="L20" i="35"/>
  <c r="M20" i="35"/>
  <c r="N20" i="35"/>
  <c r="D18" i="35"/>
  <c r="E18" i="35"/>
  <c r="F18" i="35"/>
  <c r="G18" i="35"/>
  <c r="B17" i="35"/>
  <c r="C17" i="35"/>
  <c r="D17" i="35"/>
  <c r="E17" i="35"/>
  <c r="F17" i="35"/>
  <c r="G17" i="35"/>
  <c r="B16" i="35"/>
  <c r="C16" i="35"/>
  <c r="D16" i="35"/>
  <c r="E16" i="35"/>
  <c r="F16" i="35"/>
  <c r="G16" i="35"/>
  <c r="D13" i="35"/>
  <c r="E13" i="35"/>
  <c r="F13" i="35"/>
  <c r="G13" i="35"/>
  <c r="B12" i="35"/>
  <c r="C12" i="35"/>
  <c r="D12" i="35"/>
  <c r="E12" i="35"/>
  <c r="F12" i="35"/>
  <c r="G12" i="35"/>
  <c r="B11" i="35"/>
  <c r="C11" i="35"/>
  <c r="D11" i="35"/>
  <c r="E11" i="35"/>
  <c r="F11" i="35"/>
  <c r="G11" i="35"/>
  <c r="K9" i="35"/>
  <c r="L9" i="35"/>
  <c r="M9" i="35"/>
  <c r="N9" i="35"/>
  <c r="I8" i="35"/>
  <c r="J8" i="35"/>
  <c r="K8" i="35"/>
  <c r="L8" i="35"/>
  <c r="M8" i="35"/>
  <c r="N8" i="35"/>
  <c r="I7" i="35"/>
  <c r="J7" i="35"/>
  <c r="K7" i="35"/>
  <c r="L7" i="35"/>
  <c r="M7" i="35"/>
  <c r="N7" i="35"/>
  <c r="D22" i="35"/>
  <c r="E22" i="35"/>
  <c r="F22" i="35"/>
  <c r="G22" i="35"/>
  <c r="B21" i="35"/>
  <c r="C21" i="35"/>
  <c r="D21" i="35"/>
  <c r="E21" i="35"/>
  <c r="F21" i="35"/>
  <c r="G21" i="35"/>
  <c r="B20" i="35"/>
  <c r="C20" i="35"/>
  <c r="D20" i="35"/>
  <c r="E20" i="35"/>
  <c r="F20" i="35"/>
  <c r="G20" i="35"/>
  <c r="I16" i="35"/>
  <c r="J16" i="35"/>
  <c r="K16" i="35"/>
  <c r="L16" i="35"/>
  <c r="M16" i="35"/>
  <c r="N16" i="35"/>
  <c r="I17" i="35"/>
  <c r="J17" i="35"/>
  <c r="K17" i="35"/>
  <c r="L17" i="35"/>
  <c r="M17" i="35"/>
  <c r="N17" i="35"/>
  <c r="K18" i="35"/>
  <c r="L18" i="35"/>
  <c r="M18" i="35"/>
  <c r="N18" i="35"/>
  <c r="K13" i="35"/>
  <c r="L13" i="35"/>
  <c r="M13" i="35"/>
  <c r="N13" i="35"/>
  <c r="I12" i="35"/>
  <c r="J12" i="35"/>
  <c r="K12" i="35"/>
  <c r="L12" i="35"/>
  <c r="M12" i="35"/>
  <c r="N12" i="35"/>
  <c r="I11" i="35"/>
  <c r="J11" i="35"/>
  <c r="K11" i="35"/>
  <c r="L11" i="35"/>
  <c r="M11" i="35"/>
  <c r="N11" i="35"/>
  <c r="D9" i="35"/>
  <c r="E9" i="35"/>
  <c r="F9" i="35"/>
  <c r="G9" i="35"/>
  <c r="B8" i="35"/>
  <c r="C8" i="35"/>
  <c r="D8" i="35"/>
  <c r="E8" i="35"/>
  <c r="F8" i="35"/>
  <c r="G8" i="35"/>
  <c r="B7" i="35"/>
  <c r="C7" i="35"/>
  <c r="D7" i="35"/>
  <c r="E7" i="35"/>
  <c r="F7" i="35"/>
  <c r="G7" i="35"/>
</calcChain>
</file>

<file path=xl/sharedStrings.xml><?xml version="1.0" encoding="utf-8"?>
<sst xmlns="http://schemas.openxmlformats.org/spreadsheetml/2006/main" count="287" uniqueCount="82">
  <si>
    <t xml:space="preserve"> Mean/Prop. </t>
  </si>
  <si>
    <t xml:space="preserve"> Min.   </t>
  </si>
  <si>
    <t xml:space="preserve"> Max.   </t>
  </si>
  <si>
    <t>Opioid Overdose Rates</t>
  </si>
  <si>
    <t>EMS-Response Overdose</t>
  </si>
  <si>
    <t>Fatal Overdose</t>
  </si>
  <si>
    <t>Arrest Rates</t>
  </si>
  <si>
    <t>Heroin Possession</t>
  </si>
  <si>
    <t>Heroin Manufacture/Distribution</t>
  </si>
  <si>
    <t>Synthetic Narcotic Possession</t>
  </si>
  <si>
    <t>Synthetic Manufacture/Distribution</t>
  </si>
  <si>
    <t>Time-Varying Controls</t>
  </si>
  <si>
    <t>Crime Rate</t>
  </si>
  <si>
    <t>Homeless Rate</t>
  </si>
  <si>
    <t>EMS-Response Opioid Overdose Rate</t>
  </si>
  <si>
    <t>Fatal Opioid Overdose Rate</t>
  </si>
  <si>
    <t>Model 1</t>
  </si>
  <si>
    <t>Model 2</t>
  </si>
  <si>
    <t>Model 3</t>
  </si>
  <si>
    <t>b</t>
  </si>
  <si>
    <t>SE</t>
  </si>
  <si>
    <t>Local Arrests</t>
  </si>
  <si>
    <t>Spatial Spillover of Arrests</t>
  </si>
  <si>
    <t>Social Spillover of Arrests</t>
  </si>
  <si>
    <t>AIC</t>
  </si>
  <si>
    <t>BIC</t>
  </si>
  <si>
    <t>Possession</t>
  </si>
  <si>
    <t>Heroin</t>
  </si>
  <si>
    <t>Synthetic Narcotics</t>
  </si>
  <si>
    <t>stat</t>
  </si>
  <si>
    <t>mean</t>
  </si>
  <si>
    <t>sd</t>
  </si>
  <si>
    <t>z</t>
  </si>
  <si>
    <t>p-val</t>
  </si>
  <si>
    <t>Queen 1 Spatial Autocorrelation</t>
  </si>
  <si>
    <t>EMS-Response Overdose Rate</t>
  </si>
  <si>
    <t>Geary's C</t>
  </si>
  <si>
    <t>Moran's I</t>
  </si>
  <si>
    <t>Fatal Overdose Rate</t>
  </si>
  <si>
    <t>Commuting Spatial Autocorrelation</t>
  </si>
  <si>
    <t>Moran</t>
  </si>
  <si>
    <t>LMerr</t>
  </si>
  <si>
    <t>RLMerr</t>
  </si>
  <si>
    <t>LMlag</t>
  </si>
  <si>
    <t>RLMlag</t>
  </si>
  <si>
    <t>Heroin Manufacturing/Distribution</t>
  </si>
  <si>
    <t>Synthetic Possession</t>
  </si>
  <si>
    <t>Synthetic Manufacturing/Distribution</t>
  </si>
  <si>
    <t>chi</t>
  </si>
  <si>
    <t>p-value</t>
  </si>
  <si>
    <t>Arrest rates</t>
  </si>
  <si>
    <t>EMS-Response Opioid Overdoses</t>
  </si>
  <si>
    <t>Fatal Opioid Overdoses</t>
  </si>
  <si>
    <t>Social Model</t>
  </si>
  <si>
    <t>Combined Model</t>
  </si>
  <si>
    <t>Social Spillovers</t>
  </si>
  <si>
    <t>0.25% Threshold</t>
  </si>
  <si>
    <t>0.5% Threshold</t>
  </si>
  <si>
    <t>2% Threshold</t>
  </si>
  <si>
    <t>Heroin Manufacture and Distribution</t>
  </si>
  <si>
    <t>Synthetic Manufacture and Distribution</t>
  </si>
  <si>
    <t>Note: All models include spatial lag of dependent variable and time-varying controls for crime, homelessness, and time itself. All measures are standardized to a mean of 0 and standard deviation of 1. The significance of the local and spatial spillover coefficients not shown but included in all models.</t>
  </si>
  <si>
    <t>Manufacture and Distribuion</t>
  </si>
  <si>
    <t>Note: All measures are standardized to a mean of 0 and standard deviation of 1. All models include spatial lag of dependent variable and controls for crime. * p&lt;.05, ** p&lt;.01, *** p&lt;.001</t>
  </si>
  <si>
    <t>Spatial Model</t>
  </si>
  <si>
    <t>Local Relationship</t>
  </si>
  <si>
    <t>Spatial Spillover</t>
  </si>
  <si>
    <t>Social Spillover</t>
  </si>
  <si>
    <t>Opioid Arrests</t>
  </si>
  <si>
    <t>Opioid Manufacture and Distribution</t>
  </si>
  <si>
    <t>Opioid Possession</t>
  </si>
  <si>
    <t>Heroin Arrests</t>
  </si>
  <si>
    <t>Synthetic Arrests</t>
  </si>
  <si>
    <t>Note: All models include spatial lag of dependent variable and time-varying controls for crime, homelessness, and time itself. All measures are standardized to a mean of 0 and standard deviation of 1</t>
  </si>
  <si>
    <t>All Drug Arrests</t>
  </si>
  <si>
    <t>Table A1. Descriptive Statistics of Opioid Overdose Rates and Arrest Rates by Year for Chicago, 2016-2019</t>
  </si>
  <si>
    <t>Table A2. Tests for Spatial Autocorrelation among Opioid Overdose Rates by Year in Chicago, 2016-2019</t>
  </si>
  <si>
    <t>Table A3. Lagrange Multiplier Tests for Spatial Lag or Spatial Error Models with Queen 1 Spatial Weight Predicting Opioid Overdose Rates by Opioid Arrests and Year in Chicago, 2016-2019</t>
  </si>
  <si>
    <t>Table A4. Hausman Test for Fixed or Random Effects Models Predicting Opioid Overdose Rates by Arrest Rates in Chicago, 2016-2019</t>
  </si>
  <si>
    <t>Table A5. Alternative Definitions of Socially Connected Communities based on Varying Commuting Thresholds to Assess Social Spillover of Arrests on Opioid Overdose Rates in Chicago, 2016-2019</t>
  </si>
  <si>
    <t>Table A6. Spatial Autoregressive Models Predicting Opioid Overdose Rates by Arrests in Chicago, 2020, N=77</t>
  </si>
  <si>
    <r>
      <t>Table A7. S</t>
    </r>
    <r>
      <rPr>
        <sz val="10"/>
        <color theme="1"/>
        <rFont val="Times New Roman"/>
        <family val="1"/>
      </rPr>
      <t>ummary of Local, Spatial Spillover, and Social Spillover of Varying Arrest Rate Measures on Opioid Overdose Rates in Chicago, 2016-2019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</si>
</sst>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(&quot;#.#00&quot;,&quot;;&quot;(&quot;\-#.#00&quot;,&quot;"/>
    <numFmt numFmtId="165" formatCode="#.00"/>
  </numFmts>
  <fonts count="12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newroman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 indent="1"/>
    </xf>
    <xf numFmtId="165" fontId="2" fillId="0" borderId="1" xfId="0" applyNumberFormat="1" applyFont="1" applyBorder="1" applyAlignment="1">
      <alignment horizontal="right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3" xfId="0" applyNumberFormat="1" applyFont="1" applyBorder="1" applyAlignment="1">
      <alignment horizontal="right" indent="1"/>
    </xf>
    <xf numFmtId="0" fontId="2" fillId="0" borderId="0" xfId="0" applyFont="1" applyAlignment="1">
      <alignment horizontal="left" indent="1"/>
    </xf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2"/>
    </xf>
    <xf numFmtId="0" fontId="2" fillId="0" borderId="1" xfId="0" applyFont="1" applyBorder="1" applyAlignment="1">
      <alignment horizontal="left" indent="2"/>
    </xf>
    <xf numFmtId="0" fontId="2" fillId="0" borderId="4" xfId="0" applyFont="1" applyBorder="1" applyAlignment="1">
      <alignment horizontal="center"/>
    </xf>
    <xf numFmtId="165" fontId="2" fillId="0" borderId="0" xfId="0" applyNumberFormat="1" applyFont="1" applyAlignment="1">
      <alignment horizontal="left" indent="2"/>
    </xf>
    <xf numFmtId="165" fontId="2" fillId="0" borderId="4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left" indent="2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165" fontId="7" fillId="0" borderId="0" xfId="0" applyNumberFormat="1" applyFont="1" applyAlignment="1">
      <alignment horizontal="right" indent="1"/>
    </xf>
    <xf numFmtId="165" fontId="2" fillId="0" borderId="5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6" xfId="0" applyFont="1" applyBorder="1" applyAlignment="1">
      <alignment horizontal="center" wrapText="1"/>
    </xf>
    <xf numFmtId="0" fontId="11" fillId="0" borderId="0" xfId="0" applyFont="1"/>
    <xf numFmtId="0" fontId="10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E8A3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workbookViewId="0">
      <selection activeCell="A19" sqref="A19"/>
    </sheetView>
  </sheetViews>
  <sheetFormatPr defaultColWidth="10.83203125" defaultRowHeight="15.5"/>
  <cols>
    <col min="1" max="1" width="31.6640625" style="1" customWidth="1"/>
    <col min="2" max="2" width="11" style="1" customWidth="1"/>
    <col min="3" max="4" width="9.83203125" style="1" customWidth="1"/>
    <col min="5" max="5" width="11.33203125" style="1" customWidth="1"/>
    <col min="6" max="7" width="9.83203125" style="1" customWidth="1"/>
    <col min="8" max="8" width="11.33203125" style="1" customWidth="1"/>
    <col min="9" max="10" width="9.83203125" style="1" customWidth="1"/>
    <col min="11" max="11" width="11.5" style="1" customWidth="1"/>
    <col min="12" max="13" width="9.83203125" style="1" customWidth="1"/>
    <col min="14" max="16384" width="10.83203125" style="1"/>
  </cols>
  <sheetData>
    <row r="1" spans="1:13">
      <c r="A1" s="52" t="s">
        <v>75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>
      <c r="B2" s="55">
        <v>2016</v>
      </c>
      <c r="C2" s="55"/>
      <c r="D2" s="55"/>
      <c r="E2" s="55">
        <v>2017</v>
      </c>
      <c r="F2" s="55"/>
      <c r="G2" s="55"/>
      <c r="H2" s="55">
        <v>2018</v>
      </c>
      <c r="I2" s="55"/>
      <c r="J2" s="55"/>
      <c r="K2" s="55">
        <v>2019</v>
      </c>
      <c r="L2" s="55"/>
      <c r="M2" s="55"/>
    </row>
    <row r="3" spans="1:13">
      <c r="A3" s="2"/>
      <c r="B3" s="6" t="s">
        <v>0</v>
      </c>
      <c r="C3" s="6" t="s">
        <v>1</v>
      </c>
      <c r="D3" s="6" t="s">
        <v>2</v>
      </c>
      <c r="E3" s="6" t="s">
        <v>0</v>
      </c>
      <c r="F3" s="6" t="s">
        <v>1</v>
      </c>
      <c r="G3" s="6" t="s">
        <v>2</v>
      </c>
      <c r="H3" s="6" t="s">
        <v>0</v>
      </c>
      <c r="I3" s="6" t="s">
        <v>1</v>
      </c>
      <c r="J3" s="6" t="s">
        <v>2</v>
      </c>
      <c r="K3" s="6" t="s">
        <v>0</v>
      </c>
      <c r="L3" s="6" t="s">
        <v>1</v>
      </c>
      <c r="M3" s="6" t="s">
        <v>2</v>
      </c>
    </row>
    <row r="4" spans="1:13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3">
      <c r="A5" s="15" t="s">
        <v>4</v>
      </c>
      <c r="B5" s="8">
        <v>258.65447221793141</v>
      </c>
      <c r="C5" s="8">
        <v>0</v>
      </c>
      <c r="D5" s="8">
        <v>2472.862060546875</v>
      </c>
      <c r="E5" s="8">
        <v>307.08520253912201</v>
      </c>
      <c r="F5" s="8">
        <v>9.0966978073120117</v>
      </c>
      <c r="G5" s="8">
        <v>2377.54833984375</v>
      </c>
      <c r="H5" s="8">
        <v>325.18893806655677</v>
      </c>
      <c r="I5" s="8">
        <v>18.19339561462402</v>
      </c>
      <c r="J5" s="8">
        <v>3939.634521484375</v>
      </c>
      <c r="K5" s="8">
        <v>427.95696870382727</v>
      </c>
      <c r="L5" s="8">
        <v>18.19339561462402</v>
      </c>
      <c r="M5" s="8">
        <v>5792.95751953125</v>
      </c>
    </row>
    <row r="6" spans="1:13">
      <c r="A6" s="15" t="s">
        <v>5</v>
      </c>
      <c r="B6" s="38">
        <v>30.383028959299061</v>
      </c>
      <c r="C6" s="38">
        <v>0</v>
      </c>
      <c r="D6" s="38">
        <v>196.6181640625</v>
      </c>
      <c r="E6" s="38">
        <v>30.666626800190318</v>
      </c>
      <c r="F6" s="38">
        <v>0</v>
      </c>
      <c r="G6" s="38">
        <v>232.98915100097659</v>
      </c>
      <c r="H6" s="38">
        <v>29.1248898877726</v>
      </c>
      <c r="I6" s="38">
        <v>0</v>
      </c>
      <c r="J6" s="38">
        <v>243.5795593261719</v>
      </c>
      <c r="K6" s="38">
        <v>34.572450823598103</v>
      </c>
      <c r="L6" s="38">
        <v>0</v>
      </c>
      <c r="M6" s="38">
        <v>232.98915100097659</v>
      </c>
    </row>
    <row r="7" spans="1:13">
      <c r="A7" s="7" t="s">
        <v>6</v>
      </c>
    </row>
    <row r="8" spans="1:13">
      <c r="A8" s="15" t="s">
        <v>7</v>
      </c>
      <c r="B8" s="8">
        <v>97.754667727978202</v>
      </c>
      <c r="C8" s="8">
        <v>0</v>
      </c>
      <c r="D8" s="8">
        <v>2149.8544921875</v>
      </c>
      <c r="E8" s="8">
        <v>95.863000617398839</v>
      </c>
      <c r="F8" s="8">
        <v>0</v>
      </c>
      <c r="G8" s="8">
        <v>1572.6767578125</v>
      </c>
      <c r="H8" s="8">
        <v>103.9322906933822</v>
      </c>
      <c r="I8" s="8">
        <v>0</v>
      </c>
      <c r="J8" s="8">
        <v>1979.058471679688</v>
      </c>
      <c r="K8" s="8">
        <v>132.43043835286969</v>
      </c>
      <c r="L8" s="8">
        <v>0</v>
      </c>
      <c r="M8" s="8">
        <v>2441.0908203125</v>
      </c>
    </row>
    <row r="9" spans="1:13">
      <c r="A9" s="15" t="s">
        <v>8</v>
      </c>
      <c r="B9" s="8">
        <v>50.062480768600068</v>
      </c>
      <c r="C9" s="8">
        <v>0</v>
      </c>
      <c r="D9" s="8">
        <v>1376.754028320313</v>
      </c>
      <c r="E9" s="8">
        <v>43.839460128313533</v>
      </c>
      <c r="F9" s="8">
        <v>0</v>
      </c>
      <c r="G9" s="8">
        <v>1021.97509765625</v>
      </c>
      <c r="H9" s="8">
        <v>49.01123796500169</v>
      </c>
      <c r="I9" s="8">
        <v>0</v>
      </c>
      <c r="J9" s="8">
        <v>963.72784423828125</v>
      </c>
      <c r="K9" s="8">
        <v>61.888744389856022</v>
      </c>
      <c r="L9" s="8">
        <v>0</v>
      </c>
      <c r="M9" s="8">
        <v>2043.9501953125</v>
      </c>
    </row>
    <row r="10" spans="1:13">
      <c r="A10" s="15" t="s">
        <v>9</v>
      </c>
      <c r="B10" s="8">
        <v>9.9103404639603259</v>
      </c>
      <c r="C10" s="8">
        <v>0</v>
      </c>
      <c r="D10" s="8">
        <v>157.29454040527341</v>
      </c>
      <c r="E10" s="8">
        <v>11.803869125130889</v>
      </c>
      <c r="F10" s="8">
        <v>0</v>
      </c>
      <c r="G10" s="8">
        <v>117.9709014892578</v>
      </c>
      <c r="H10" s="8">
        <v>14.63059972633015</v>
      </c>
      <c r="I10" s="8">
        <v>0</v>
      </c>
      <c r="J10" s="8">
        <v>148.26582336425781</v>
      </c>
      <c r="K10" s="8">
        <v>21.837750430230969</v>
      </c>
      <c r="L10" s="8">
        <v>0</v>
      </c>
      <c r="M10" s="8">
        <v>190.62748718261719</v>
      </c>
    </row>
    <row r="11" spans="1:13">
      <c r="A11" s="15" t="s">
        <v>10</v>
      </c>
      <c r="B11" s="8">
        <v>2.84781505380358</v>
      </c>
      <c r="C11" s="8">
        <v>0</v>
      </c>
      <c r="D11" s="8">
        <v>180.03706359863281</v>
      </c>
      <c r="E11" s="8">
        <v>1.6004423336549241</v>
      </c>
      <c r="F11" s="8">
        <v>0</v>
      </c>
      <c r="G11" s="8">
        <v>42.361663818359382</v>
      </c>
      <c r="H11" s="8">
        <v>2.7402708391090491</v>
      </c>
      <c r="I11" s="8">
        <v>0</v>
      </c>
      <c r="J11" s="8">
        <v>84.72332763671875</v>
      </c>
      <c r="K11" s="8">
        <v>2.781085015891434</v>
      </c>
      <c r="L11" s="8">
        <v>0</v>
      </c>
      <c r="M11" s="8">
        <v>74.132911682128906</v>
      </c>
    </row>
    <row r="12" spans="1:13">
      <c r="A12" s="7" t="s">
        <v>11</v>
      </c>
    </row>
    <row r="13" spans="1:13">
      <c r="A13" s="15" t="s">
        <v>12</v>
      </c>
      <c r="B13" s="8">
        <v>10827.140158913349</v>
      </c>
      <c r="C13" s="8">
        <v>2819.976318359375</v>
      </c>
      <c r="D13" s="8">
        <v>36610.3046875</v>
      </c>
      <c r="E13" s="8">
        <v>10724.06431044541</v>
      </c>
      <c r="F13" s="8">
        <v>2501.592041015625</v>
      </c>
      <c r="G13" s="8">
        <v>34713.79296875</v>
      </c>
      <c r="H13" s="8">
        <v>10717.69933606433</v>
      </c>
      <c r="I13" s="8">
        <v>2310.561279296875</v>
      </c>
      <c r="J13" s="8">
        <v>35552.5078125</v>
      </c>
      <c r="K13" s="8">
        <v>10460.426164899551</v>
      </c>
      <c r="L13" s="8">
        <v>2437.9150390625</v>
      </c>
      <c r="M13" s="8">
        <v>35627.2109375</v>
      </c>
    </row>
    <row r="14" spans="1:13" ht="16" thickBot="1">
      <c r="A14" s="17" t="s">
        <v>13</v>
      </c>
      <c r="B14" s="9">
        <v>35.381670252069249</v>
      </c>
      <c r="C14" s="9">
        <v>0</v>
      </c>
      <c r="D14" s="9">
        <v>707.82537841796875</v>
      </c>
      <c r="E14" s="9">
        <v>43.987913741693873</v>
      </c>
      <c r="F14" s="9">
        <v>0</v>
      </c>
      <c r="G14" s="9">
        <v>1101.061767578125</v>
      </c>
      <c r="H14" s="9">
        <v>34.419229831014363</v>
      </c>
      <c r="I14" s="9">
        <v>0</v>
      </c>
      <c r="J14" s="9">
        <v>460.15274047851562</v>
      </c>
      <c r="K14" s="9">
        <v>50.873498261748971</v>
      </c>
      <c r="L14" s="9">
        <v>0</v>
      </c>
      <c r="M14" s="14">
        <v>1145.442993164063</v>
      </c>
    </row>
    <row r="15" spans="1:13" ht="16" thickTop="1"/>
    <row r="17" spans="1:1">
      <c r="A17" s="12"/>
    </row>
    <row r="18" spans="1:1">
      <c r="A18" s="15"/>
    </row>
    <row r="19" spans="1:1">
      <c r="A19" s="15"/>
    </row>
    <row r="20" spans="1:1">
      <c r="A20" s="7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  <row r="25" spans="1:1">
      <c r="A25" s="7"/>
    </row>
    <row r="26" spans="1:1">
      <c r="A26" s="15"/>
    </row>
    <row r="27" spans="1:1">
      <c r="A27" s="15"/>
    </row>
  </sheetData>
  <mergeCells count="5">
    <mergeCell ref="B2:D2"/>
    <mergeCell ref="E2:G2"/>
    <mergeCell ref="H2:J2"/>
    <mergeCell ref="K2:M2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showGridLines="0" workbookViewId="0">
      <selection sqref="A1:U17"/>
    </sheetView>
  </sheetViews>
  <sheetFormatPr defaultColWidth="10.83203125" defaultRowHeight="15.5"/>
  <cols>
    <col min="1" max="1" width="31.6640625" style="1" customWidth="1"/>
    <col min="2" max="21" width="5.83203125" style="1" customWidth="1"/>
    <col min="22" max="16384" width="10.83203125" style="1"/>
  </cols>
  <sheetData>
    <row r="1" spans="1:21">
      <c r="A1" s="52" t="s">
        <v>76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1">
      <c r="B2" s="55">
        <v>2016</v>
      </c>
      <c r="C2" s="55"/>
      <c r="D2" s="55"/>
      <c r="E2" s="55"/>
      <c r="F2" s="55"/>
      <c r="G2" s="55">
        <v>2017</v>
      </c>
      <c r="H2" s="55"/>
      <c r="I2" s="55"/>
      <c r="J2" s="55"/>
      <c r="K2" s="55"/>
      <c r="L2" s="55">
        <v>2018</v>
      </c>
      <c r="M2" s="55"/>
      <c r="N2" s="55"/>
      <c r="O2" s="55"/>
      <c r="P2" s="55"/>
      <c r="Q2" s="55">
        <v>2019</v>
      </c>
      <c r="R2" s="55"/>
      <c r="S2" s="55"/>
      <c r="T2" s="55"/>
      <c r="U2" s="55"/>
    </row>
    <row r="3" spans="1:21">
      <c r="A3" s="2"/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29</v>
      </c>
      <c r="H3" s="20" t="s">
        <v>30</v>
      </c>
      <c r="I3" s="20" t="s">
        <v>31</v>
      </c>
      <c r="J3" s="20" t="s">
        <v>32</v>
      </c>
      <c r="K3" s="20" t="s">
        <v>33</v>
      </c>
      <c r="L3" s="20" t="s">
        <v>29</v>
      </c>
      <c r="M3" s="20" t="s">
        <v>30</v>
      </c>
      <c r="N3" s="20" t="s">
        <v>31</v>
      </c>
      <c r="O3" s="20" t="s">
        <v>32</v>
      </c>
      <c r="P3" s="20" t="s">
        <v>33</v>
      </c>
      <c r="Q3" s="20" t="s">
        <v>29</v>
      </c>
      <c r="R3" s="20" t="s">
        <v>30</v>
      </c>
      <c r="S3" s="20" t="s">
        <v>31</v>
      </c>
      <c r="T3" s="20" t="s">
        <v>32</v>
      </c>
      <c r="U3" s="20" t="s">
        <v>33</v>
      </c>
    </row>
    <row r="4" spans="1:21">
      <c r="A4" s="12" t="s">
        <v>34</v>
      </c>
      <c r="B4" s="13"/>
      <c r="C4" s="13"/>
      <c r="D4" s="13"/>
      <c r="G4" s="13"/>
      <c r="H4" s="13"/>
      <c r="I4" s="13"/>
      <c r="L4" s="13"/>
      <c r="M4" s="13"/>
      <c r="N4" s="13"/>
      <c r="Q4" s="13"/>
      <c r="R4" s="13"/>
      <c r="S4" s="13"/>
    </row>
    <row r="5" spans="1:21">
      <c r="A5" s="15" t="s">
        <v>35</v>
      </c>
      <c r="B5" s="8"/>
      <c r="C5" s="8"/>
      <c r="D5" s="8"/>
      <c r="G5" s="8"/>
      <c r="H5" s="8"/>
      <c r="I5" s="8"/>
      <c r="L5" s="8"/>
      <c r="M5" s="8"/>
      <c r="N5" s="8"/>
      <c r="Q5" s="8"/>
      <c r="R5" s="8"/>
      <c r="S5" s="8"/>
    </row>
    <row r="6" spans="1:21">
      <c r="A6" s="18" t="s">
        <v>36</v>
      </c>
      <c r="B6" s="16">
        <v>0.40349070008546523</v>
      </c>
      <c r="C6" s="16">
        <v>1</v>
      </c>
      <c r="D6" s="16">
        <v>0.1038807554913334</v>
      </c>
      <c r="E6" s="16">
        <v>-5.7422503051039184</v>
      </c>
      <c r="F6" s="16">
        <v>9.34265842467E-9</v>
      </c>
      <c r="G6" s="16">
        <v>0.43334602392559701</v>
      </c>
      <c r="H6" s="16">
        <v>1</v>
      </c>
      <c r="I6" s="16">
        <v>9.4061740129216698E-2</v>
      </c>
      <c r="J6" s="16">
        <v>-6.0242769833512089</v>
      </c>
      <c r="K6" s="16">
        <v>1.6986725359700001E-9</v>
      </c>
      <c r="L6" s="16">
        <v>0.41260303408028892</v>
      </c>
      <c r="M6" s="16">
        <v>1</v>
      </c>
      <c r="N6" s="16">
        <v>0.1134534690643217</v>
      </c>
      <c r="O6" s="16">
        <v>-5.177426223844158</v>
      </c>
      <c r="P6" s="16">
        <v>2.24967860118E-7</v>
      </c>
      <c r="Q6" s="16">
        <v>0.47108627702343869</v>
      </c>
      <c r="R6" s="16">
        <v>1</v>
      </c>
      <c r="S6" s="16">
        <v>0.12265458488734531</v>
      </c>
      <c r="T6" s="16">
        <v>-4.3122213773121754</v>
      </c>
      <c r="U6" s="16">
        <v>1.61622487127E-5</v>
      </c>
    </row>
    <row r="7" spans="1:21">
      <c r="A7" s="18" t="s">
        <v>37</v>
      </c>
      <c r="B7" s="16">
        <v>0.5265075509697914</v>
      </c>
      <c r="C7" s="16">
        <v>-1.3157894736842099E-2</v>
      </c>
      <c r="D7" s="16">
        <v>6.4405686604986204E-2</v>
      </c>
      <c r="E7" s="16">
        <v>8.3791583345196941</v>
      </c>
      <c r="F7" s="16">
        <v>0</v>
      </c>
      <c r="G7" s="16">
        <v>0.51251159078378117</v>
      </c>
      <c r="H7" s="16">
        <v>-1.3157894736842099E-2</v>
      </c>
      <c r="I7" s="16">
        <v>6.7456568211526305E-2</v>
      </c>
      <c r="J7" s="16">
        <v>7.7927101757127657</v>
      </c>
      <c r="K7" s="16">
        <v>6.6613381477499997E-15</v>
      </c>
      <c r="L7" s="16">
        <v>0.49749502322790312</v>
      </c>
      <c r="M7" s="16">
        <v>-1.3157894736842099E-2</v>
      </c>
      <c r="N7" s="16">
        <v>6.0971015017242398E-2</v>
      </c>
      <c r="O7" s="16">
        <v>8.3753389675460426</v>
      </c>
      <c r="P7" s="16">
        <v>0</v>
      </c>
      <c r="Q7" s="16">
        <v>0.42241363819704852</v>
      </c>
      <c r="R7" s="16">
        <v>-1.3157894736842099E-2</v>
      </c>
      <c r="S7" s="16">
        <v>5.7164661709209003E-2</v>
      </c>
      <c r="T7" s="16">
        <v>7.6195943422109282</v>
      </c>
      <c r="U7" s="16">
        <v>2.5535129566400001E-14</v>
      </c>
    </row>
    <row r="8" spans="1:21">
      <c r="A8" s="15" t="s">
        <v>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1">
      <c r="A9" s="18" t="s">
        <v>36</v>
      </c>
      <c r="B9" s="16">
        <v>0.60838598685037804</v>
      </c>
      <c r="C9" s="16">
        <v>1</v>
      </c>
      <c r="D9" s="16">
        <v>9.8750990721903603E-2</v>
      </c>
      <c r="E9" s="16">
        <v>-3.9656717394609329</v>
      </c>
      <c r="F9" s="16">
        <v>7.3189531725199996E-5</v>
      </c>
      <c r="G9" s="16">
        <v>0.50224176634967233</v>
      </c>
      <c r="H9" s="16">
        <v>1</v>
      </c>
      <c r="I9" s="16">
        <v>0.1043545051296464</v>
      </c>
      <c r="J9" s="16">
        <v>-4.7698777645673287</v>
      </c>
      <c r="K9" s="16">
        <v>1.8433774304800001E-6</v>
      </c>
      <c r="L9" s="16">
        <v>0.42752704748706039</v>
      </c>
      <c r="M9" s="16">
        <v>1</v>
      </c>
      <c r="N9" s="16">
        <v>0.10604728102696689</v>
      </c>
      <c r="O9" s="16">
        <v>-5.398280342212308</v>
      </c>
      <c r="P9" s="16">
        <v>6.7282677207500004E-8</v>
      </c>
      <c r="Q9" s="16">
        <v>0.53005205056387672</v>
      </c>
      <c r="R9" s="16">
        <v>1</v>
      </c>
      <c r="S9" s="16">
        <v>9.5688811854825501E-2</v>
      </c>
      <c r="T9" s="16">
        <v>-4.9112110426149496</v>
      </c>
      <c r="U9" s="16">
        <v>9.0515601480800001E-7</v>
      </c>
    </row>
    <row r="10" spans="1:21">
      <c r="A10" s="18" t="s">
        <v>37</v>
      </c>
      <c r="B10" s="16">
        <v>0.32315291368859111</v>
      </c>
      <c r="C10" s="16">
        <v>-1.3157894736842099E-2</v>
      </c>
      <c r="D10" s="16">
        <v>6.6054853607283803E-2</v>
      </c>
      <c r="E10" s="16">
        <v>5.091386780219108</v>
      </c>
      <c r="F10" s="16">
        <v>3.5545409882200001E-7</v>
      </c>
      <c r="G10" s="16">
        <v>0.42610576352305529</v>
      </c>
      <c r="H10" s="16">
        <v>-1.3157894736842099E-2</v>
      </c>
      <c r="I10" s="16">
        <v>6.4246969667054302E-2</v>
      </c>
      <c r="J10" s="16">
        <v>6.8371109257959413</v>
      </c>
      <c r="K10" s="16">
        <v>8.0806472624299994E-12</v>
      </c>
      <c r="L10" s="16">
        <v>0.50131130316517403</v>
      </c>
      <c r="M10" s="16">
        <v>-1.3157894736842099E-2</v>
      </c>
      <c r="N10" s="16">
        <v>6.3670658063568003E-2</v>
      </c>
      <c r="O10" s="16">
        <v>8.0801614676006093</v>
      </c>
      <c r="P10" s="16">
        <v>6.6613381477499995E-16</v>
      </c>
      <c r="Q10" s="16">
        <v>0.40773152595861178</v>
      </c>
      <c r="R10" s="16">
        <v>-1.3157894736842099E-2</v>
      </c>
      <c r="S10" s="16">
        <v>6.6981225058637905E-2</v>
      </c>
      <c r="T10" s="16">
        <v>6.2836924873647986</v>
      </c>
      <c r="U10" s="16">
        <v>3.3062441673300001E-10</v>
      </c>
    </row>
    <row r="11" spans="1:21">
      <c r="A11" s="12" t="s">
        <v>39</v>
      </c>
      <c r="B11" s="13"/>
      <c r="C11" s="13"/>
      <c r="D11" s="13"/>
      <c r="G11" s="13"/>
      <c r="H11" s="13"/>
      <c r="I11" s="13"/>
      <c r="L11" s="13"/>
      <c r="M11" s="13"/>
      <c r="N11" s="13"/>
      <c r="Q11" s="13"/>
      <c r="R11" s="13"/>
      <c r="S11" s="13"/>
    </row>
    <row r="12" spans="1:21">
      <c r="A12" s="15" t="s">
        <v>35</v>
      </c>
      <c r="B12" s="8"/>
      <c r="C12" s="8"/>
      <c r="D12" s="8"/>
      <c r="G12" s="8"/>
      <c r="H12" s="8"/>
      <c r="I12" s="8"/>
      <c r="L12" s="8"/>
      <c r="M12" s="8"/>
      <c r="N12" s="8"/>
      <c r="Q12" s="8"/>
      <c r="R12" s="8"/>
      <c r="S12" s="8"/>
    </row>
    <row r="13" spans="1:21">
      <c r="A13" s="18" t="s">
        <v>36</v>
      </c>
      <c r="B13" s="16">
        <v>0.54829875152452989</v>
      </c>
      <c r="C13" s="16">
        <v>1</v>
      </c>
      <c r="D13" s="16">
        <v>0.57733969484303294</v>
      </c>
      <c r="E13" s="16">
        <v>-0.78238384180093246</v>
      </c>
      <c r="F13" s="16">
        <v>0.43398902693514563</v>
      </c>
      <c r="G13" s="16">
        <v>0.54380619144124254</v>
      </c>
      <c r="H13" s="16">
        <v>1</v>
      </c>
      <c r="I13" s="16">
        <v>0.46720471881677489</v>
      </c>
      <c r="J13" s="16">
        <v>-0.97643236505422448</v>
      </c>
      <c r="K13" s="16">
        <v>0.32885024939576862</v>
      </c>
      <c r="L13" s="16">
        <v>0.53053478666792064</v>
      </c>
      <c r="M13" s="16">
        <v>1</v>
      </c>
      <c r="N13" s="16">
        <v>0.67562100318140261</v>
      </c>
      <c r="O13" s="16">
        <v>-0.69486474091455841</v>
      </c>
      <c r="P13" s="16">
        <v>0.48714007101132578</v>
      </c>
      <c r="Q13" s="16">
        <v>0.51959411840456304</v>
      </c>
      <c r="R13" s="16">
        <v>1</v>
      </c>
      <c r="S13" s="16">
        <v>0.76488598506733996</v>
      </c>
      <c r="T13" s="16">
        <v>-0.62807515234200861</v>
      </c>
      <c r="U13" s="16">
        <v>0.52995470963643054</v>
      </c>
    </row>
    <row r="14" spans="1:21">
      <c r="A14" s="18" t="s">
        <v>37</v>
      </c>
      <c r="B14" s="16">
        <v>5.4937663037214597E-2</v>
      </c>
      <c r="C14" s="16">
        <v>-1.3157894736842099E-2</v>
      </c>
      <c r="D14" s="16">
        <v>2.9880921771217199E-2</v>
      </c>
      <c r="E14" s="16">
        <v>2.2788974950448062</v>
      </c>
      <c r="F14" s="16">
        <v>2.2673159370314701E-2</v>
      </c>
      <c r="G14" s="16">
        <v>7.6365477040296795E-2</v>
      </c>
      <c r="H14" s="16">
        <v>-1.3157894736842099E-2</v>
      </c>
      <c r="I14" s="16">
        <v>2.96266611120913E-2</v>
      </c>
      <c r="J14" s="16">
        <v>3.0217165356038862</v>
      </c>
      <c r="K14" s="16">
        <v>2.5134579889146001E-3</v>
      </c>
      <c r="L14" s="16">
        <v>5.4574359588931101E-2</v>
      </c>
      <c r="M14" s="16">
        <v>-1.3157894736842099E-2</v>
      </c>
      <c r="N14" s="16">
        <v>3.0150712806933801E-2</v>
      </c>
      <c r="O14" s="16">
        <v>2.2464561537728129</v>
      </c>
      <c r="P14" s="16">
        <v>2.46748049959289E-2</v>
      </c>
      <c r="Q14" s="16">
        <v>4.6718871899951102E-2</v>
      </c>
      <c r="R14" s="16">
        <v>-1.3157894736842099E-2</v>
      </c>
      <c r="S14" s="16">
        <v>3.0429878655224701E-2</v>
      </c>
      <c r="T14" s="16">
        <v>1.967696529953548</v>
      </c>
      <c r="U14" s="16">
        <v>4.9102965339180099E-2</v>
      </c>
    </row>
    <row r="15" spans="1:21">
      <c r="A15" s="15" t="s">
        <v>38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1">
      <c r="A16" s="18" t="s">
        <v>36</v>
      </c>
      <c r="B16" s="16">
        <v>0.56644100544886755</v>
      </c>
      <c r="C16" s="16">
        <v>1</v>
      </c>
      <c r="D16" s="16">
        <v>0.52134090075699324</v>
      </c>
      <c r="E16" s="16">
        <v>-0.83162282859756365</v>
      </c>
      <c r="F16" s="16">
        <v>0.40562187233346991</v>
      </c>
      <c r="G16" s="16">
        <v>0.57852511222503999</v>
      </c>
      <c r="H16" s="16">
        <v>1</v>
      </c>
      <c r="I16" s="16">
        <v>0.58237466982626196</v>
      </c>
      <c r="J16" s="16">
        <v>-0.72371775355665335</v>
      </c>
      <c r="K16" s="16">
        <v>0.46923903147028923</v>
      </c>
      <c r="L16" s="16">
        <v>0.54275711270985327</v>
      </c>
      <c r="M16" s="16">
        <v>1</v>
      </c>
      <c r="N16" s="16">
        <v>0.60020112918273716</v>
      </c>
      <c r="O16" s="16">
        <v>-0.76181610639878461</v>
      </c>
      <c r="P16" s="16">
        <v>0.44616976612244402</v>
      </c>
      <c r="Q16" s="16">
        <v>0.60797700084619999</v>
      </c>
      <c r="R16" s="16">
        <v>1</v>
      </c>
      <c r="S16" s="16">
        <v>0.48636848653962939</v>
      </c>
      <c r="T16" s="16">
        <v>-0.80602055849245058</v>
      </c>
      <c r="U16" s="16">
        <v>0.4202309952054808</v>
      </c>
    </row>
    <row r="17" spans="1:21">
      <c r="A17" s="19" t="s">
        <v>37</v>
      </c>
      <c r="B17" s="39">
        <v>4.6203198807764703E-2</v>
      </c>
      <c r="C17" s="39">
        <v>-1.3157894736842099E-2</v>
      </c>
      <c r="D17" s="39">
        <v>2.97452114779421E-2</v>
      </c>
      <c r="E17" s="39">
        <v>1.9956520930646831</v>
      </c>
      <c r="F17" s="39">
        <v>4.5971805055087203E-2</v>
      </c>
      <c r="G17" s="39">
        <v>5.8533373139623097E-2</v>
      </c>
      <c r="H17" s="39">
        <v>-1.3157894736842099E-2</v>
      </c>
      <c r="I17" s="39">
        <v>2.9893769617069001E-2</v>
      </c>
      <c r="J17" s="39">
        <v>2.398200989530952</v>
      </c>
      <c r="K17" s="39">
        <v>1.64758219935635E-2</v>
      </c>
      <c r="L17" s="39">
        <v>6.1744746339390699E-2</v>
      </c>
      <c r="M17" s="39">
        <v>-1.3157894736842099E-2</v>
      </c>
      <c r="N17" s="39">
        <v>2.9940108571862301E-2</v>
      </c>
      <c r="O17" s="39">
        <v>2.5017491468493289</v>
      </c>
      <c r="P17" s="39">
        <v>1.2358145414575099E-2</v>
      </c>
      <c r="Q17" s="39">
        <v>6.3938259182743096E-2</v>
      </c>
      <c r="R17" s="39">
        <v>-1.3157894736842099E-2</v>
      </c>
      <c r="S17" s="39">
        <v>2.9667195586342499E-2</v>
      </c>
      <c r="T17" s="39">
        <v>2.5987004297459428</v>
      </c>
      <c r="U17" s="39">
        <v>9.3577397943778E-3</v>
      </c>
    </row>
    <row r="20" spans="1:21">
      <c r="A20" s="12"/>
    </row>
    <row r="21" spans="1:21">
      <c r="A21" s="15"/>
    </row>
    <row r="22" spans="1:21">
      <c r="A22" s="15"/>
    </row>
    <row r="23" spans="1:21">
      <c r="A23" s="7"/>
    </row>
    <row r="24" spans="1:21">
      <c r="A24" s="15"/>
    </row>
    <row r="25" spans="1:21">
      <c r="A25" s="15"/>
    </row>
    <row r="26" spans="1:21">
      <c r="A26" s="15"/>
    </row>
    <row r="27" spans="1:21">
      <c r="A27" s="15"/>
    </row>
    <row r="28" spans="1:21">
      <c r="A28" s="7"/>
    </row>
    <row r="29" spans="1:21">
      <c r="A29" s="15"/>
    </row>
    <row r="30" spans="1:21">
      <c r="A30" s="15"/>
    </row>
  </sheetData>
  <mergeCells count="5">
    <mergeCell ref="G2:K2"/>
    <mergeCell ref="L2:P2"/>
    <mergeCell ref="Q2:U2"/>
    <mergeCell ref="A1:U1"/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showGridLines="0" workbookViewId="0">
      <selection sqref="A1:L55"/>
    </sheetView>
  </sheetViews>
  <sheetFormatPr defaultColWidth="10.83203125" defaultRowHeight="15.5"/>
  <cols>
    <col min="1" max="1" width="31.6640625" style="1" customWidth="1"/>
    <col min="2" max="3" width="5.83203125" style="1" customWidth="1"/>
    <col min="4" max="4" width="2.33203125" style="1" customWidth="1"/>
    <col min="5" max="6" width="5.83203125" style="1" customWidth="1"/>
    <col min="7" max="7" width="2.1640625" style="1" customWidth="1"/>
    <col min="8" max="9" width="5.83203125" style="1" customWidth="1"/>
    <col min="10" max="10" width="3.5" style="1" customWidth="1"/>
    <col min="11" max="12" width="5.83203125" style="1" customWidth="1"/>
    <col min="13" max="16384" width="10.83203125" style="1"/>
  </cols>
  <sheetData>
    <row r="1" spans="1:12" ht="32" customHeight="1">
      <c r="A1" s="56" t="s">
        <v>77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>
      <c r="B2" s="55">
        <v>2016</v>
      </c>
      <c r="C2" s="55"/>
      <c r="D2" s="11"/>
      <c r="E2" s="55">
        <v>2017</v>
      </c>
      <c r="F2" s="55"/>
      <c r="G2" s="11"/>
      <c r="H2" s="55">
        <v>2018</v>
      </c>
      <c r="I2" s="55"/>
      <c r="J2" s="11"/>
      <c r="K2" s="55">
        <v>2019</v>
      </c>
      <c r="L2" s="55"/>
    </row>
    <row r="3" spans="1:12">
      <c r="A3" s="2"/>
      <c r="B3" s="22" t="s">
        <v>29</v>
      </c>
      <c r="C3" s="20" t="s">
        <v>33</v>
      </c>
      <c r="D3" s="24"/>
      <c r="E3" s="22" t="s">
        <v>29</v>
      </c>
      <c r="F3" s="20" t="s">
        <v>33</v>
      </c>
      <c r="G3" s="24"/>
      <c r="H3" s="22" t="s">
        <v>29</v>
      </c>
      <c r="I3" s="20" t="s">
        <v>33</v>
      </c>
      <c r="J3" s="24"/>
      <c r="K3" s="22" t="s">
        <v>29</v>
      </c>
      <c r="L3" s="20" t="s">
        <v>33</v>
      </c>
    </row>
    <row r="4" spans="1:12">
      <c r="A4" s="12" t="s">
        <v>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>
      <c r="A5" s="15" t="s">
        <v>35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>
      <c r="A6" s="21" t="s">
        <v>40</v>
      </c>
      <c r="B6" s="16">
        <v>1.028610892504034</v>
      </c>
      <c r="C6" s="16">
        <v>0.30366255738252113</v>
      </c>
      <c r="D6" s="16"/>
      <c r="E6" s="16">
        <v>1.4862424740834801</v>
      </c>
      <c r="F6" s="16">
        <v>0.13721499657473823</v>
      </c>
      <c r="G6" s="16"/>
      <c r="H6" s="16">
        <v>-0.91506674277427236</v>
      </c>
      <c r="I6" s="16">
        <v>1.6398434071185444</v>
      </c>
      <c r="J6" s="16"/>
      <c r="K6" s="16">
        <v>-1.797824984230364</v>
      </c>
      <c r="L6" s="16">
        <v>1.9277952532086799</v>
      </c>
    </row>
    <row r="7" spans="1:12">
      <c r="A7" s="21" t="s">
        <v>41</v>
      </c>
      <c r="B7" s="16">
        <v>0.37509114661775028</v>
      </c>
      <c r="C7" s="16">
        <v>0.54024215156073674</v>
      </c>
      <c r="D7" s="16"/>
      <c r="E7" s="16">
        <v>1.0475563520935101</v>
      </c>
      <c r="F7" s="16">
        <v>0.30607055289385243</v>
      </c>
      <c r="G7" s="16"/>
      <c r="H7" s="16">
        <v>1.6518751416634889</v>
      </c>
      <c r="I7" s="16">
        <v>0.19870390633801827</v>
      </c>
      <c r="J7" s="16"/>
      <c r="K7" s="16">
        <v>4.2782681085050678</v>
      </c>
      <c r="L7" s="16">
        <v>3.860266259767859E-2</v>
      </c>
    </row>
    <row r="8" spans="1:12">
      <c r="A8" s="21" t="s">
        <v>42</v>
      </c>
      <c r="B8" s="16">
        <v>4.8711555875368617</v>
      </c>
      <c r="C8" s="16">
        <v>2.7309207231704376E-2</v>
      </c>
      <c r="D8" s="16"/>
      <c r="E8" s="16">
        <v>0.6297872221604397</v>
      </c>
      <c r="F8" s="16">
        <v>0.42743337293707118</v>
      </c>
      <c r="G8" s="16"/>
      <c r="H8" s="16">
        <v>21.711527616689612</v>
      </c>
      <c r="I8" s="16">
        <v>3.1688135825929247E-6</v>
      </c>
      <c r="J8" s="16"/>
      <c r="K8" s="16">
        <v>12.09556803015105</v>
      </c>
      <c r="L8" s="16">
        <v>5.0541815315803594E-4</v>
      </c>
    </row>
    <row r="9" spans="1:12">
      <c r="A9" s="21" t="s">
        <v>43</v>
      </c>
      <c r="B9" s="16">
        <v>19.295047983237321</v>
      </c>
      <c r="C9" s="16">
        <v>1.119964428237099E-5</v>
      </c>
      <c r="D9" s="16"/>
      <c r="E9" s="16">
        <v>9.9447074603984493</v>
      </c>
      <c r="F9" s="16">
        <v>1.6131250330176754E-3</v>
      </c>
      <c r="G9" s="16"/>
      <c r="H9" s="16">
        <v>9.7886289075597048</v>
      </c>
      <c r="I9" s="16">
        <v>1.755943442582887E-3</v>
      </c>
      <c r="J9" s="16"/>
      <c r="K9" s="16">
        <v>0.92056658409793757</v>
      </c>
      <c r="L9" s="16">
        <v>0.33732624975493641</v>
      </c>
    </row>
    <row r="10" spans="1:12">
      <c r="A10" s="21" t="s">
        <v>44</v>
      </c>
      <c r="B10" s="16">
        <v>23.791112424156442</v>
      </c>
      <c r="C10" s="16">
        <v>1.0737712099148954E-6</v>
      </c>
      <c r="D10" s="16"/>
      <c r="E10" s="16">
        <v>9.5269383304653523</v>
      </c>
      <c r="F10" s="16">
        <v>2.0247762191591833E-3</v>
      </c>
      <c r="G10" s="16"/>
      <c r="H10" s="16">
        <v>29.848281382585821</v>
      </c>
      <c r="I10" s="16">
        <v>4.6721084621324202E-8</v>
      </c>
      <c r="J10" s="16"/>
      <c r="K10" s="16">
        <v>8.7378665057439129</v>
      </c>
      <c r="L10" s="16">
        <v>3.1166896896960383E-3</v>
      </c>
    </row>
    <row r="11" spans="1:12">
      <c r="A11" s="15" t="s">
        <v>38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>
      <c r="A12" s="21" t="s">
        <v>40</v>
      </c>
      <c r="B12" s="16">
        <v>2.4632792201257172</v>
      </c>
      <c r="C12" s="16">
        <v>1.3767265478032975E-2</v>
      </c>
      <c r="D12" s="16"/>
      <c r="E12" s="16">
        <v>-0.19533393918531849</v>
      </c>
      <c r="F12" s="16">
        <v>1.154868470851226</v>
      </c>
      <c r="G12" s="16"/>
      <c r="H12" s="16">
        <v>-0.35416704722896353</v>
      </c>
      <c r="I12" s="16">
        <v>1.2767863023917507</v>
      </c>
      <c r="J12" s="16"/>
      <c r="K12" s="16">
        <v>-9.2766976561426406E-2</v>
      </c>
      <c r="L12" s="16">
        <v>1.0739113132682874</v>
      </c>
    </row>
    <row r="13" spans="1:12">
      <c r="A13" s="21" t="s">
        <v>41</v>
      </c>
      <c r="B13" s="16">
        <v>3.9042403462055728</v>
      </c>
      <c r="C13" s="16">
        <v>4.8164397590032625E-2</v>
      </c>
      <c r="D13" s="16"/>
      <c r="E13" s="16">
        <v>0.32795579270668679</v>
      </c>
      <c r="F13" s="16">
        <v>0.56686527788347429</v>
      </c>
      <c r="G13" s="16"/>
      <c r="H13" s="16">
        <v>0.57377114158189413</v>
      </c>
      <c r="I13" s="16">
        <v>0.44876424458592301</v>
      </c>
      <c r="J13" s="16"/>
      <c r="K13" s="16">
        <v>0.2058639674557689</v>
      </c>
      <c r="L13" s="16">
        <v>0.65002868109788781</v>
      </c>
    </row>
    <row r="14" spans="1:12">
      <c r="A14" s="21" t="s">
        <v>42</v>
      </c>
      <c r="B14" s="16">
        <v>3.6548101433676949</v>
      </c>
      <c r="C14" s="16">
        <v>5.5907526679320467E-2</v>
      </c>
      <c r="D14" s="16"/>
      <c r="E14" s="16">
        <v>1.753759345382162</v>
      </c>
      <c r="F14" s="16">
        <v>0.18540482743140607</v>
      </c>
      <c r="G14" s="16"/>
      <c r="H14" s="16">
        <v>18.10007685367145</v>
      </c>
      <c r="I14" s="16">
        <v>2.0959297132653619E-5</v>
      </c>
      <c r="J14" s="16"/>
      <c r="K14" s="16">
        <v>1.471920333801505</v>
      </c>
      <c r="L14" s="16">
        <v>0.2250429525513703</v>
      </c>
    </row>
    <row r="15" spans="1:12">
      <c r="A15" s="21" t="s">
        <v>43</v>
      </c>
      <c r="B15" s="16">
        <v>0.50696919844861021</v>
      </c>
      <c r="C15" s="16">
        <v>0.47645381845118018</v>
      </c>
      <c r="D15" s="16"/>
      <c r="E15" s="16">
        <v>0.48420806478283013</v>
      </c>
      <c r="F15" s="16">
        <v>0.48652239368095895</v>
      </c>
      <c r="G15" s="16"/>
      <c r="H15" s="16">
        <v>9.8598093416223271</v>
      </c>
      <c r="I15" s="16">
        <v>1.6892861147632422E-3</v>
      </c>
      <c r="J15" s="16"/>
      <c r="K15" s="16">
        <v>0.66459192044352633</v>
      </c>
      <c r="L15" s="16">
        <v>0.4149434881113</v>
      </c>
    </row>
    <row r="16" spans="1:12" ht="17" customHeight="1">
      <c r="A16" s="21" t="s">
        <v>44</v>
      </c>
      <c r="B16" s="16">
        <v>0.25753899561073179</v>
      </c>
      <c r="C16" s="16">
        <v>0.61181596130238125</v>
      </c>
      <c r="D16" s="16"/>
      <c r="E16" s="16">
        <v>1.9100116174583039</v>
      </c>
      <c r="F16" s="16">
        <v>0.16696196817922693</v>
      </c>
      <c r="G16" s="16"/>
      <c r="H16" s="16">
        <v>27.38611505371189</v>
      </c>
      <c r="I16" s="16">
        <v>1.6662332501641916E-7</v>
      </c>
      <c r="J16" s="16"/>
      <c r="K16" s="16">
        <v>1.930648286789264</v>
      </c>
      <c r="L16" s="16">
        <v>0.16468753651471058</v>
      </c>
    </row>
    <row r="17" spans="1:12">
      <c r="A17" s="12" t="s">
        <v>45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>
      <c r="A18" s="15" t="s">
        <v>35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21" t="s">
        <v>40</v>
      </c>
      <c r="B19" s="16">
        <v>1.456889077856675</v>
      </c>
      <c r="C19" s="16">
        <v>0.14514700144722426</v>
      </c>
      <c r="D19" s="16"/>
      <c r="E19" s="16">
        <v>0.68944349122977333</v>
      </c>
      <c r="F19" s="16">
        <v>0.49054422248097662</v>
      </c>
      <c r="G19" s="16"/>
      <c r="H19" s="16">
        <v>-2.2276867849803592</v>
      </c>
      <c r="I19" s="16">
        <v>1.974098591135371</v>
      </c>
      <c r="J19" s="16"/>
      <c r="K19" s="16">
        <v>-0.2781442761712471</v>
      </c>
      <c r="L19" s="16">
        <v>1.2190983913024063</v>
      </c>
    </row>
    <row r="20" spans="1:12">
      <c r="A20" s="21" t="s">
        <v>41</v>
      </c>
      <c r="B20" s="16">
        <v>1.0598558222805761</v>
      </c>
      <c r="C20" s="16">
        <v>0.30324807084562999</v>
      </c>
      <c r="D20" s="16"/>
      <c r="E20" s="16">
        <v>7.7015608303637698E-2</v>
      </c>
      <c r="F20" s="16">
        <v>0.78138326063153085</v>
      </c>
      <c r="G20" s="16"/>
      <c r="H20" s="16">
        <v>6.4121771777063481</v>
      </c>
      <c r="I20" s="16">
        <v>1.1334036008138213E-2</v>
      </c>
      <c r="J20" s="16"/>
      <c r="K20" s="16">
        <v>0.35145110455342321</v>
      </c>
      <c r="L20" s="16">
        <v>0.55329284222302677</v>
      </c>
    </row>
    <row r="21" spans="1:12">
      <c r="A21" s="21" t="s">
        <v>42</v>
      </c>
      <c r="B21" s="16">
        <v>6.9138764943446409</v>
      </c>
      <c r="C21" s="16">
        <v>8.5529363955653501E-3</v>
      </c>
      <c r="D21" s="16"/>
      <c r="E21" s="16">
        <v>3.0065017015184932</v>
      </c>
      <c r="F21" s="16">
        <v>8.2931094830007435E-2</v>
      </c>
      <c r="G21" s="16"/>
      <c r="H21" s="16">
        <v>17.81110804469979</v>
      </c>
      <c r="I21" s="16">
        <v>2.4395486393919193E-5</v>
      </c>
      <c r="J21" s="16"/>
      <c r="K21" s="16">
        <v>6.3016351727892097</v>
      </c>
      <c r="L21" s="16">
        <v>1.2062665321851946E-2</v>
      </c>
    </row>
    <row r="22" spans="1:12">
      <c r="A22" s="21" t="s">
        <v>43</v>
      </c>
      <c r="B22" s="16">
        <v>21.46061125352416</v>
      </c>
      <c r="C22" s="16">
        <v>3.6117178286837199E-6</v>
      </c>
      <c r="D22" s="16"/>
      <c r="E22" s="16">
        <v>10.339894376734231</v>
      </c>
      <c r="F22" s="16">
        <v>1.3018546138127173E-3</v>
      </c>
      <c r="G22" s="16"/>
      <c r="H22" s="16">
        <v>5.528210899930091</v>
      </c>
      <c r="I22" s="16">
        <v>1.8712229723378333E-2</v>
      </c>
      <c r="J22" s="16"/>
      <c r="K22" s="16">
        <v>16.50173227649449</v>
      </c>
      <c r="L22" s="16">
        <v>4.8605646225551111E-5</v>
      </c>
    </row>
    <row r="23" spans="1:12">
      <c r="A23" s="21" t="s">
        <v>44</v>
      </c>
      <c r="B23" s="16">
        <v>27.314631925588149</v>
      </c>
      <c r="C23" s="16">
        <v>1.7289810844910395E-7</v>
      </c>
      <c r="D23" s="16"/>
      <c r="E23" s="16">
        <v>13.269380469949059</v>
      </c>
      <c r="F23" s="16">
        <v>2.6977634418523793E-4</v>
      </c>
      <c r="G23" s="16"/>
      <c r="H23" s="16">
        <v>16.92714176692353</v>
      </c>
      <c r="I23" s="16">
        <v>3.8842212895626074E-5</v>
      </c>
      <c r="J23" s="16"/>
      <c r="K23" s="16">
        <v>22.451916344730432</v>
      </c>
      <c r="L23" s="16">
        <v>2.154704101890757E-6</v>
      </c>
    </row>
    <row r="24" spans="1:12">
      <c r="A24" s="15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>
      <c r="A25" s="21" t="s">
        <v>40</v>
      </c>
      <c r="B25" s="16">
        <v>2.2506575754922791</v>
      </c>
      <c r="C25" s="16">
        <v>2.4407233743411361E-2</v>
      </c>
      <c r="D25" s="16"/>
      <c r="E25" s="16">
        <v>-6.4623680527481797E-2</v>
      </c>
      <c r="F25" s="16">
        <v>1.0515263702178805</v>
      </c>
      <c r="G25" s="16"/>
      <c r="H25" s="16">
        <v>-0.78197189006347689</v>
      </c>
      <c r="I25" s="16">
        <v>1.5657689062607638</v>
      </c>
      <c r="J25" s="16"/>
      <c r="K25" s="16">
        <v>0.920796635177069</v>
      </c>
      <c r="L25" s="16">
        <v>0.35715661207170601</v>
      </c>
    </row>
    <row r="26" spans="1:12">
      <c r="A26" s="21" t="s">
        <v>41</v>
      </c>
      <c r="B26" s="16">
        <v>3.1822553211375229</v>
      </c>
      <c r="C26" s="16">
        <v>7.4441915200735564E-2</v>
      </c>
      <c r="D26" s="16"/>
      <c r="E26" s="16">
        <v>0.19223087281504411</v>
      </c>
      <c r="F26" s="16">
        <v>0.66106633130836756</v>
      </c>
      <c r="G26" s="16"/>
      <c r="H26" s="16">
        <v>1.3714116606704461</v>
      </c>
      <c r="I26" s="16">
        <v>0.24156948890471497</v>
      </c>
      <c r="J26" s="16"/>
      <c r="K26" s="16">
        <v>0.29665398213034733</v>
      </c>
      <c r="L26" s="16">
        <v>0.5859877172410678</v>
      </c>
    </row>
    <row r="27" spans="1:12">
      <c r="A27" s="21" t="s">
        <v>42</v>
      </c>
      <c r="B27" s="16">
        <v>1.852928227408897</v>
      </c>
      <c r="C27" s="16">
        <v>0.17344320791200807</v>
      </c>
      <c r="D27" s="16"/>
      <c r="E27" s="16">
        <v>0.87979439731412135</v>
      </c>
      <c r="F27" s="16">
        <v>0.34825799850384132</v>
      </c>
      <c r="G27" s="16"/>
      <c r="H27" s="16">
        <v>10.65919800138486</v>
      </c>
      <c r="I27" s="16">
        <v>1.095248732773488E-3</v>
      </c>
      <c r="J27" s="16"/>
      <c r="K27" s="16">
        <v>0.34171035106578079</v>
      </c>
      <c r="L27" s="16">
        <v>0.55884363471900333</v>
      </c>
    </row>
    <row r="28" spans="1:12">
      <c r="A28" s="21" t="s">
        <v>43</v>
      </c>
      <c r="B28" s="16">
        <v>1.3614990184816449</v>
      </c>
      <c r="C28" s="16">
        <v>0.24327785749213993</v>
      </c>
      <c r="D28" s="16"/>
      <c r="E28" s="16">
        <v>0.38037239933739869</v>
      </c>
      <c r="F28" s="16">
        <v>0.53740400190412119</v>
      </c>
      <c r="G28" s="16"/>
      <c r="H28" s="16">
        <v>5.3141478416207217</v>
      </c>
      <c r="I28" s="16">
        <v>2.1152936878659295E-2</v>
      </c>
      <c r="J28" s="16"/>
      <c r="K28" s="16">
        <v>2.8499412911272008</v>
      </c>
      <c r="L28" s="16">
        <v>9.1377273537791126E-2</v>
      </c>
    </row>
    <row r="29" spans="1:12" ht="17" customHeight="1">
      <c r="A29" s="21" t="s">
        <v>44</v>
      </c>
      <c r="B29" s="16">
        <v>3.2171924753024897E-2</v>
      </c>
      <c r="C29" s="16">
        <v>0.85765084565127836</v>
      </c>
      <c r="D29" s="16"/>
      <c r="E29" s="16">
        <v>1.067935923836477</v>
      </c>
      <c r="F29" s="16">
        <v>0.30141213752939389</v>
      </c>
      <c r="G29" s="16"/>
      <c r="H29" s="16">
        <v>14.60193418233513</v>
      </c>
      <c r="I29" s="16">
        <v>1.3277819337703886E-4</v>
      </c>
      <c r="J29" s="16"/>
      <c r="K29" s="16">
        <v>2.8949976600626259</v>
      </c>
      <c r="L29" s="16">
        <v>8.8854904422698056E-2</v>
      </c>
    </row>
    <row r="30" spans="1:12">
      <c r="A30" s="12" t="s">
        <v>46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>
      <c r="A31" s="15" t="s">
        <v>35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21" t="s">
        <v>40</v>
      </c>
      <c r="B32" s="16">
        <v>8.4102601390903242</v>
      </c>
      <c r="C32" s="16">
        <v>0</v>
      </c>
      <c r="D32" s="16"/>
      <c r="E32" s="16">
        <v>6.5363126723974583</v>
      </c>
      <c r="F32" s="16">
        <v>6.3054006460561141E-11</v>
      </c>
      <c r="G32" s="16"/>
      <c r="H32" s="16">
        <v>4.7358655281095903</v>
      </c>
      <c r="I32" s="16">
        <v>2.1812218515826487E-6</v>
      </c>
      <c r="J32" s="16"/>
      <c r="K32" s="16">
        <v>6.0943887555935854</v>
      </c>
      <c r="L32" s="16">
        <v>1.098563906509753E-9</v>
      </c>
    </row>
    <row r="33" spans="1:12">
      <c r="A33" s="21" t="s">
        <v>41</v>
      </c>
      <c r="B33" s="16">
        <v>59.029412315774493</v>
      </c>
      <c r="C33" s="16">
        <v>1.5533268449202472E-14</v>
      </c>
      <c r="D33" s="16"/>
      <c r="E33" s="16">
        <v>34.734149403356</v>
      </c>
      <c r="F33" s="16">
        <v>3.7794337075475363E-9</v>
      </c>
      <c r="G33" s="16"/>
      <c r="H33" s="16">
        <v>16.711777156081791</v>
      </c>
      <c r="I33" s="16">
        <v>4.3510054935730039E-5</v>
      </c>
      <c r="J33" s="16"/>
      <c r="K33" s="16">
        <v>29.940730954477729</v>
      </c>
      <c r="L33" s="16">
        <v>4.4545624505249442E-8</v>
      </c>
    </row>
    <row r="34" spans="1:12">
      <c r="A34" s="21" t="s">
        <v>42</v>
      </c>
      <c r="B34" s="16">
        <v>19.00769100563501</v>
      </c>
      <c r="C34" s="16">
        <v>1.3019263000076575E-5</v>
      </c>
      <c r="D34" s="16"/>
      <c r="E34" s="16">
        <v>9.6992620088406198</v>
      </c>
      <c r="F34" s="16">
        <v>1.8434202944039547E-3</v>
      </c>
      <c r="G34" s="16"/>
      <c r="H34" s="16">
        <v>4.0245268768599998E-5</v>
      </c>
      <c r="I34" s="16">
        <v>0.99493832141098992</v>
      </c>
      <c r="J34" s="16"/>
      <c r="K34" s="16">
        <v>14.2375888694019</v>
      </c>
      <c r="L34" s="16">
        <v>1.6111983951281374E-4</v>
      </c>
    </row>
    <row r="35" spans="1:12">
      <c r="A35" s="21" t="s">
        <v>43</v>
      </c>
      <c r="B35" s="16">
        <v>40.219648055028429</v>
      </c>
      <c r="C35" s="16">
        <v>2.2695414224375899E-10</v>
      </c>
      <c r="D35" s="16"/>
      <c r="E35" s="16">
        <v>25.977026316889521</v>
      </c>
      <c r="F35" s="16">
        <v>3.4550448939501947E-7</v>
      </c>
      <c r="G35" s="16"/>
      <c r="H35" s="16">
        <v>27.578439470688519</v>
      </c>
      <c r="I35" s="16">
        <v>1.5085093128196088E-7</v>
      </c>
      <c r="J35" s="16"/>
      <c r="K35" s="16">
        <v>15.937920153773851</v>
      </c>
      <c r="L35" s="16">
        <v>6.5454156254616383E-5</v>
      </c>
    </row>
    <row r="36" spans="1:12">
      <c r="A36" s="21" t="s">
        <v>44</v>
      </c>
      <c r="B36" s="16">
        <v>0.19792674488888271</v>
      </c>
      <c r="C36" s="16">
        <v>0.65639954792989008</v>
      </c>
      <c r="D36" s="16"/>
      <c r="E36" s="16">
        <v>0.94213892237418517</v>
      </c>
      <c r="F36" s="16">
        <v>0.33172837195902827</v>
      </c>
      <c r="G36" s="16"/>
      <c r="H36" s="16">
        <v>10.86670255987557</v>
      </c>
      <c r="I36" s="16">
        <v>9.7908699727813648E-4</v>
      </c>
      <c r="J36" s="16"/>
      <c r="K36" s="16">
        <v>0.23477806869798151</v>
      </c>
      <c r="L36" s="16">
        <v>0.62800337402143436</v>
      </c>
    </row>
    <row r="37" spans="1:12">
      <c r="A37" s="15" t="s">
        <v>38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>
      <c r="A38" s="21" t="s">
        <v>40</v>
      </c>
      <c r="B38" s="16">
        <v>5.7017203679415331</v>
      </c>
      <c r="C38" s="16">
        <v>1.1860427751031466E-8</v>
      </c>
      <c r="D38" s="16"/>
      <c r="E38" s="16">
        <v>4.4090259409778954</v>
      </c>
      <c r="F38" s="16">
        <v>1.038365882477521E-5</v>
      </c>
      <c r="G38" s="16"/>
      <c r="H38" s="16">
        <v>4.5092764821739628</v>
      </c>
      <c r="I38" s="16">
        <v>6.5049088870949845E-6</v>
      </c>
      <c r="J38" s="16"/>
      <c r="K38" s="16">
        <v>4.4272226949959057</v>
      </c>
      <c r="L38" s="16">
        <v>9.5454169568576219E-6</v>
      </c>
    </row>
    <row r="39" spans="1:12">
      <c r="A39" s="21" t="s">
        <v>41</v>
      </c>
      <c r="B39" s="16">
        <v>26.041152364470118</v>
      </c>
      <c r="C39" s="16">
        <v>3.3421692888963617E-7</v>
      </c>
      <c r="D39" s="16"/>
      <c r="E39" s="16">
        <v>14.932191620323559</v>
      </c>
      <c r="F39" s="16">
        <v>1.1144501605803014E-4</v>
      </c>
      <c r="G39" s="16"/>
      <c r="H39" s="16">
        <v>15.006248762558091</v>
      </c>
      <c r="I39" s="16">
        <v>1.0715576940730652E-4</v>
      </c>
      <c r="J39" s="16"/>
      <c r="K39" s="16">
        <v>15.090196542285581</v>
      </c>
      <c r="L39" s="16">
        <v>1.0249418893657386E-4</v>
      </c>
    </row>
    <row r="40" spans="1:12">
      <c r="A40" s="21" t="s">
        <v>42</v>
      </c>
      <c r="B40" s="16">
        <v>13.97664682189272</v>
      </c>
      <c r="C40" s="16">
        <v>1.8509544381154936E-4</v>
      </c>
      <c r="D40" s="16"/>
      <c r="E40" s="16">
        <v>4.6706540476291636</v>
      </c>
      <c r="F40" s="16">
        <v>3.0682240648486153E-2</v>
      </c>
      <c r="G40" s="16"/>
      <c r="H40" s="16">
        <v>0.1198150554359608</v>
      </c>
      <c r="I40" s="16">
        <v>0.7292351634237968</v>
      </c>
      <c r="J40" s="16"/>
      <c r="K40" s="16">
        <v>10.76454345519706</v>
      </c>
      <c r="L40" s="16">
        <v>1.0346308284188319E-3</v>
      </c>
    </row>
    <row r="41" spans="1:12">
      <c r="A41" s="21" t="s">
        <v>43</v>
      </c>
      <c r="B41" s="16">
        <v>12.15569539768283</v>
      </c>
      <c r="C41" s="16">
        <v>4.8938193394968115E-4</v>
      </c>
      <c r="D41" s="16"/>
      <c r="E41" s="16">
        <v>10.296475115706579</v>
      </c>
      <c r="F41" s="16">
        <v>1.3328456371070757E-3</v>
      </c>
      <c r="G41" s="16"/>
      <c r="H41" s="16">
        <v>25.051691340927061</v>
      </c>
      <c r="I41" s="16">
        <v>5.5813776522118072E-7</v>
      </c>
      <c r="J41" s="16"/>
      <c r="K41" s="16">
        <v>4.6234287041504079</v>
      </c>
      <c r="L41" s="16">
        <v>3.1538135750976248E-2</v>
      </c>
    </row>
    <row r="42" spans="1:12" ht="17" customHeight="1">
      <c r="A42" s="21" t="s">
        <v>44</v>
      </c>
      <c r="B42" s="16">
        <v>9.1189855105400106E-2</v>
      </c>
      <c r="C42" s="16">
        <v>0.76266991616905977</v>
      </c>
      <c r="D42" s="16"/>
      <c r="E42" s="16">
        <v>3.49375430122007E-2</v>
      </c>
      <c r="F42" s="16">
        <v>0.85172659486539415</v>
      </c>
      <c r="G42" s="16"/>
      <c r="H42" s="16">
        <v>10.165257633804989</v>
      </c>
      <c r="I42" s="16">
        <v>1.4311191547358617E-3</v>
      </c>
      <c r="J42" s="16"/>
      <c r="K42" s="16">
        <v>0.2977756170618796</v>
      </c>
      <c r="L42" s="16">
        <v>0.58528028110470154</v>
      </c>
    </row>
    <row r="43" spans="1:12">
      <c r="A43" s="12" t="s">
        <v>47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>
      <c r="A44" s="15" t="s">
        <v>35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21" t="s">
        <v>40</v>
      </c>
      <c r="B45" s="16">
        <v>5.3162056733069214</v>
      </c>
      <c r="C45" s="16">
        <v>1.0595338384433717E-7</v>
      </c>
      <c r="D45" s="16"/>
      <c r="E45" s="16">
        <v>5.3512203182342102</v>
      </c>
      <c r="F45" s="16">
        <v>8.7363079881441763E-8</v>
      </c>
      <c r="G45" s="16"/>
      <c r="H45" s="16">
        <v>4.6024179652299289</v>
      </c>
      <c r="I45" s="16">
        <v>4.1761407183482646E-6</v>
      </c>
      <c r="J45" s="16"/>
      <c r="K45" s="16">
        <v>5.7092716382215736</v>
      </c>
      <c r="L45" s="16">
        <v>1.1346068085060779E-8</v>
      </c>
    </row>
    <row r="46" spans="1:12">
      <c r="A46" s="21" t="s">
        <v>41</v>
      </c>
      <c r="B46" s="16">
        <v>23.15138667682422</v>
      </c>
      <c r="C46" s="16">
        <v>1.4973518690045918E-6</v>
      </c>
      <c r="D46" s="16"/>
      <c r="E46" s="16">
        <v>23.511545001414341</v>
      </c>
      <c r="F46" s="16">
        <v>1.2416645191581237E-6</v>
      </c>
      <c r="G46" s="16"/>
      <c r="H46" s="16">
        <v>15.95588558653945</v>
      </c>
      <c r="I46" s="16">
        <v>6.4835876145222601E-5</v>
      </c>
      <c r="J46" s="16"/>
      <c r="K46" s="16">
        <v>27.026242381454239</v>
      </c>
      <c r="L46" s="16">
        <v>2.007119640781871E-7</v>
      </c>
    </row>
    <row r="47" spans="1:12">
      <c r="A47" s="21" t="s">
        <v>42</v>
      </c>
      <c r="B47" s="16">
        <v>0.39741959949913891</v>
      </c>
      <c r="C47" s="16">
        <v>0.5284249009499149</v>
      </c>
      <c r="D47" s="16"/>
      <c r="E47" s="16">
        <v>1.0839223799362809</v>
      </c>
      <c r="F47" s="16">
        <v>0.29782174705798636</v>
      </c>
      <c r="G47" s="16"/>
      <c r="H47" s="16">
        <v>1.392835073317233</v>
      </c>
      <c r="I47" s="16">
        <v>0.23792690654554516</v>
      </c>
      <c r="J47" s="16"/>
      <c r="K47" s="16">
        <v>2.350809953416392</v>
      </c>
      <c r="L47" s="16">
        <v>0.12521793229020683</v>
      </c>
    </row>
    <row r="48" spans="1:12">
      <c r="A48" s="21" t="s">
        <v>43</v>
      </c>
      <c r="B48" s="16">
        <v>38.084548029684527</v>
      </c>
      <c r="C48" s="16">
        <v>6.7744504361628785E-10</v>
      </c>
      <c r="D48" s="16"/>
      <c r="E48" s="16">
        <v>28.450000643733411</v>
      </c>
      <c r="F48" s="16">
        <v>9.6149734648996021E-8</v>
      </c>
      <c r="G48" s="16"/>
      <c r="H48" s="16">
        <v>39.071106294642583</v>
      </c>
      <c r="I48" s="16">
        <v>4.0864728197737035E-10</v>
      </c>
      <c r="J48" s="16"/>
      <c r="K48" s="16">
        <v>28.507549535724351</v>
      </c>
      <c r="L48" s="16">
        <v>9.3333848879582463E-8</v>
      </c>
    </row>
    <row r="49" spans="1:12">
      <c r="A49" s="21" t="s">
        <v>44</v>
      </c>
      <c r="B49" s="16">
        <v>15.33058095235935</v>
      </c>
      <c r="C49" s="16">
        <v>9.0243757249800567E-5</v>
      </c>
      <c r="D49" s="16"/>
      <c r="E49" s="16">
        <v>6.0223780222553263</v>
      </c>
      <c r="F49" s="16">
        <v>1.4125600874336258E-2</v>
      </c>
      <c r="G49" s="16"/>
      <c r="H49" s="16">
        <v>24.508055781420371</v>
      </c>
      <c r="I49" s="16">
        <v>7.3999797560557845E-7</v>
      </c>
      <c r="J49" s="16"/>
      <c r="K49" s="16">
        <v>3.832117107686503</v>
      </c>
      <c r="L49" s="16">
        <v>5.0279386519694852E-2</v>
      </c>
    </row>
    <row r="50" spans="1:12">
      <c r="A50" s="15" t="s">
        <v>38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>
      <c r="A51" s="21" t="s">
        <v>40</v>
      </c>
      <c r="B51" s="16">
        <v>3.9696575120084749</v>
      </c>
      <c r="C51" s="16">
        <v>7.1976013759522672E-5</v>
      </c>
      <c r="D51" s="16"/>
      <c r="E51" s="16">
        <v>4.6205966673847492</v>
      </c>
      <c r="F51" s="16">
        <v>3.826380066351831E-6</v>
      </c>
      <c r="G51" s="16"/>
      <c r="H51" s="16">
        <v>4.4225186913562711</v>
      </c>
      <c r="I51" s="16">
        <v>9.7556906522022757E-6</v>
      </c>
      <c r="J51" s="16"/>
      <c r="K51" s="16">
        <v>4.8656441830969754</v>
      </c>
      <c r="L51" s="16">
        <v>1.1408460485196059E-6</v>
      </c>
    </row>
    <row r="52" spans="1:12">
      <c r="A52" s="21" t="s">
        <v>41</v>
      </c>
      <c r="B52" s="16">
        <v>12.39723999472006</v>
      </c>
      <c r="C52" s="16">
        <v>4.2996889787507304E-4</v>
      </c>
      <c r="D52" s="16"/>
      <c r="E52" s="16">
        <v>17.204951395709099</v>
      </c>
      <c r="F52" s="16">
        <v>3.3556061960495249E-5</v>
      </c>
      <c r="G52" s="16"/>
      <c r="H52" s="16">
        <v>14.624011205170881</v>
      </c>
      <c r="I52" s="16">
        <v>1.3123181018205522E-4</v>
      </c>
      <c r="J52" s="16"/>
      <c r="K52" s="16">
        <v>19.282522243239249</v>
      </c>
      <c r="L52" s="16">
        <v>1.1273359192681611E-5</v>
      </c>
    </row>
    <row r="53" spans="1:12">
      <c r="A53" s="21" t="s">
        <v>42</v>
      </c>
      <c r="B53" s="16">
        <v>2.6590105500742691</v>
      </c>
      <c r="C53" s="16">
        <v>0.10296476683300604</v>
      </c>
      <c r="D53" s="16"/>
      <c r="E53" s="16">
        <v>0.73894963023164517</v>
      </c>
      <c r="F53" s="16">
        <v>0.38999755687194482</v>
      </c>
      <c r="G53" s="16"/>
      <c r="H53" s="16">
        <v>1.471243110206228</v>
      </c>
      <c r="I53" s="16">
        <v>0.22514966130599423</v>
      </c>
      <c r="J53" s="16"/>
      <c r="K53" s="16">
        <v>7.9663580440648847</v>
      </c>
      <c r="L53" s="16">
        <v>4.765472371745046E-3</v>
      </c>
    </row>
    <row r="54" spans="1:12">
      <c r="A54" s="21" t="s">
        <v>43</v>
      </c>
      <c r="B54" s="16">
        <v>11.194254892596859</v>
      </c>
      <c r="C54" s="16">
        <v>8.2050979014135954E-4</v>
      </c>
      <c r="D54" s="16"/>
      <c r="E54" s="16">
        <v>20.84113769669661</v>
      </c>
      <c r="F54" s="16">
        <v>4.9899578016690741E-6</v>
      </c>
      <c r="G54" s="16"/>
      <c r="H54" s="16">
        <v>30.732687913756081</v>
      </c>
      <c r="I54" s="16">
        <v>2.9613411823699294E-8</v>
      </c>
      <c r="J54" s="16"/>
      <c r="K54" s="16">
        <v>11.425635781200359</v>
      </c>
      <c r="L54" s="16">
        <v>7.2437633683944196E-4</v>
      </c>
    </row>
    <row r="55" spans="1:12" ht="17" customHeight="1">
      <c r="A55" s="23" t="s">
        <v>44</v>
      </c>
      <c r="B55" s="39">
        <v>1.4560254479510979</v>
      </c>
      <c r="C55" s="39">
        <v>0.22756357379423653</v>
      </c>
      <c r="D55" s="39"/>
      <c r="E55" s="39">
        <v>4.3751359312191509</v>
      </c>
      <c r="F55" s="39">
        <v>3.6466921629187236E-2</v>
      </c>
      <c r="G55" s="39"/>
      <c r="H55" s="39">
        <v>17.579919818791389</v>
      </c>
      <c r="I55" s="39">
        <v>2.7548193067887122E-5</v>
      </c>
      <c r="J55" s="39"/>
      <c r="K55" s="39">
        <v>0.1094715820259944</v>
      </c>
      <c r="L55" s="39">
        <v>0.7407465358735188</v>
      </c>
    </row>
    <row r="56" spans="1:12" ht="17" customHeight="1">
      <c r="A56" s="2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9" spans="1:12">
      <c r="A59" s="12"/>
    </row>
    <row r="60" spans="1:12">
      <c r="A60" s="15"/>
    </row>
    <row r="61" spans="1:12">
      <c r="A61" s="15"/>
    </row>
    <row r="62" spans="1:12">
      <c r="A62" s="7"/>
    </row>
    <row r="63" spans="1:12">
      <c r="A63" s="15"/>
    </row>
    <row r="64" spans="1:12">
      <c r="A64" s="15"/>
    </row>
    <row r="65" spans="1:1">
      <c r="A65" s="15"/>
    </row>
    <row r="66" spans="1:1">
      <c r="A66" s="15"/>
    </row>
    <row r="67" spans="1:1">
      <c r="A67" s="7"/>
    </row>
    <row r="68" spans="1:1">
      <c r="A68" s="15"/>
    </row>
    <row r="69" spans="1:1">
      <c r="A69" s="15"/>
    </row>
  </sheetData>
  <mergeCells count="5">
    <mergeCell ref="E2:F2"/>
    <mergeCell ref="H2:I2"/>
    <mergeCell ref="K2:L2"/>
    <mergeCell ref="A1:L1"/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sqref="A1:E8"/>
    </sheetView>
  </sheetViews>
  <sheetFormatPr defaultColWidth="10.83203125" defaultRowHeight="15.5"/>
  <cols>
    <col min="1" max="1" width="33.5" style="1" customWidth="1"/>
    <col min="2" max="5" width="8.83203125" style="1" customWidth="1"/>
    <col min="6" max="16384" width="10.83203125" style="1"/>
  </cols>
  <sheetData>
    <row r="1" spans="1:5" ht="38" customHeight="1">
      <c r="A1" s="56" t="s">
        <v>78</v>
      </c>
      <c r="B1" s="56"/>
      <c r="C1" s="56"/>
      <c r="D1" s="56"/>
      <c r="E1" s="56"/>
    </row>
    <row r="2" spans="1:5" ht="31" customHeight="1">
      <c r="B2" s="57" t="s">
        <v>35</v>
      </c>
      <c r="C2" s="57"/>
      <c r="D2" s="57" t="s">
        <v>38</v>
      </c>
      <c r="E2" s="57"/>
    </row>
    <row r="3" spans="1:5">
      <c r="A3" s="2"/>
      <c r="B3" s="20" t="s">
        <v>48</v>
      </c>
      <c r="C3" s="20" t="s">
        <v>49</v>
      </c>
      <c r="D3" s="20" t="s">
        <v>48</v>
      </c>
      <c r="E3" s="20" t="s">
        <v>49</v>
      </c>
    </row>
    <row r="4" spans="1:5">
      <c r="A4" s="7" t="s">
        <v>50</v>
      </c>
      <c r="B4" s="8"/>
      <c r="C4" s="8"/>
      <c r="D4" s="8"/>
      <c r="E4" s="8"/>
    </row>
    <row r="5" spans="1:5">
      <c r="A5" s="15" t="s">
        <v>7</v>
      </c>
      <c r="B5" s="16">
        <v>32.472213957060752</v>
      </c>
      <c r="C5" s="16">
        <v>1.5317486723300001E-6</v>
      </c>
      <c r="D5" s="16">
        <v>100.73123044948331</v>
      </c>
      <c r="E5" s="16">
        <v>6.8732750636500003E-21</v>
      </c>
    </row>
    <row r="6" spans="1:5">
      <c r="A6" s="15" t="s">
        <v>45</v>
      </c>
      <c r="B6" s="16">
        <v>8.4040460880657086</v>
      </c>
      <c r="C6" s="16">
        <v>7.78496834257143E-2</v>
      </c>
      <c r="D6" s="16">
        <v>83.69965175954421</v>
      </c>
      <c r="E6" s="16">
        <v>2.8628633137999998E-17</v>
      </c>
    </row>
    <row r="7" spans="1:5">
      <c r="A7" s="15" t="s">
        <v>46</v>
      </c>
      <c r="B7" s="16">
        <v>-35.616214306686302</v>
      </c>
      <c r="C7" s="16">
        <v>1</v>
      </c>
      <c r="D7" s="16">
        <v>-84.693688835147924</v>
      </c>
      <c r="E7" s="16">
        <v>1</v>
      </c>
    </row>
    <row r="8" spans="1:5">
      <c r="A8" s="17" t="s">
        <v>47</v>
      </c>
      <c r="B8" s="39">
        <v>-33.557302159498668</v>
      </c>
      <c r="C8" s="39">
        <v>1</v>
      </c>
      <c r="D8" s="39">
        <v>-290.00038822265287</v>
      </c>
      <c r="E8" s="39">
        <v>1</v>
      </c>
    </row>
    <row r="11" spans="1:5">
      <c r="A11" s="12"/>
    </row>
    <row r="12" spans="1:5">
      <c r="A12" s="15"/>
    </row>
    <row r="13" spans="1:5">
      <c r="A13" s="15"/>
    </row>
    <row r="14" spans="1:5">
      <c r="A14" s="7"/>
    </row>
    <row r="15" spans="1:5">
      <c r="A15" s="15"/>
    </row>
    <row r="16" spans="1:5">
      <c r="A16" s="15"/>
    </row>
    <row r="17" spans="1:1">
      <c r="A17" s="15"/>
    </row>
    <row r="18" spans="1:1">
      <c r="A18" s="15"/>
    </row>
    <row r="19" spans="1:1">
      <c r="A19" s="7"/>
    </row>
    <row r="20" spans="1:1">
      <c r="A20" s="15"/>
    </row>
    <row r="21" spans="1:1">
      <c r="A21" s="15"/>
    </row>
  </sheetData>
  <mergeCells count="3">
    <mergeCell ref="A1:E1"/>
    <mergeCell ref="B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>
      <selection sqref="A1:J21"/>
    </sheetView>
  </sheetViews>
  <sheetFormatPr defaultColWidth="10.83203125" defaultRowHeight="15.5"/>
  <cols>
    <col min="1" max="1" width="38.33203125" style="1" customWidth="1"/>
    <col min="2" max="3" width="8.83203125" style="10" customWidth="1"/>
    <col min="4" max="5" width="9.33203125" style="10" customWidth="1"/>
    <col min="6" max="6" width="1.33203125" style="10" customWidth="1"/>
    <col min="7" max="8" width="8.83203125" style="10" customWidth="1"/>
    <col min="9" max="10" width="9.33203125" style="10" customWidth="1"/>
    <col min="11" max="16384" width="10.83203125" style="1"/>
  </cols>
  <sheetData>
    <row r="1" spans="1:10" ht="33" customHeight="1">
      <c r="A1" s="56" t="s">
        <v>79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8" customHeight="1">
      <c r="A2" s="33"/>
      <c r="B2" s="58" t="s">
        <v>51</v>
      </c>
      <c r="C2" s="58"/>
      <c r="D2" s="58"/>
      <c r="E2" s="58"/>
      <c r="F2" s="35"/>
      <c r="G2" s="58" t="s">
        <v>52</v>
      </c>
      <c r="H2" s="58"/>
      <c r="I2" s="58"/>
      <c r="J2" s="58"/>
    </row>
    <row r="3" spans="1:10" ht="19" customHeight="1">
      <c r="B3" s="57" t="s">
        <v>53</v>
      </c>
      <c r="C3" s="57"/>
      <c r="D3" s="57" t="s">
        <v>54</v>
      </c>
      <c r="E3" s="57"/>
      <c r="F3" s="11"/>
      <c r="G3" s="57" t="s">
        <v>53</v>
      </c>
      <c r="H3" s="57"/>
      <c r="I3" s="57" t="s">
        <v>54</v>
      </c>
      <c r="J3" s="57"/>
    </row>
    <row r="4" spans="1:10" ht="19" customHeight="1">
      <c r="A4" s="2" t="s">
        <v>55</v>
      </c>
      <c r="B4" s="34" t="s">
        <v>19</v>
      </c>
      <c r="C4" s="34" t="s">
        <v>20</v>
      </c>
      <c r="D4" s="34" t="s">
        <v>19</v>
      </c>
      <c r="E4" s="34" t="s">
        <v>20</v>
      </c>
      <c r="F4" s="11"/>
      <c r="G4" s="34" t="s">
        <v>19</v>
      </c>
      <c r="H4" s="34" t="s">
        <v>20</v>
      </c>
      <c r="I4" s="34" t="s">
        <v>19</v>
      </c>
      <c r="J4" s="34" t="s">
        <v>20</v>
      </c>
    </row>
    <row r="5" spans="1:10">
      <c r="A5" s="36" t="s">
        <v>7</v>
      </c>
      <c r="B5" s="36"/>
      <c r="C5" s="36"/>
      <c r="D5" s="36"/>
      <c r="E5" s="36"/>
      <c r="F5" s="1"/>
      <c r="J5" s="37"/>
    </row>
    <row r="6" spans="1:10">
      <c r="A6" s="4" t="s">
        <v>56</v>
      </c>
      <c r="B6" s="1" t="str">
        <f>"1.648***"</f>
        <v>1.648***</v>
      </c>
      <c r="C6" s="1" t="str">
        <f>"(0.39)"</f>
        <v>(0.39)</v>
      </c>
      <c r="D6" s="1" t="str">
        <f>"-0.0185"</f>
        <v>-0.0185</v>
      </c>
      <c r="E6" s="1" t="str">
        <f>"(0.42)"</f>
        <v>(0.42)</v>
      </c>
      <c r="G6" s="1" t="str">
        <f>"0.959*"</f>
        <v>0.959*</v>
      </c>
      <c r="H6" s="1" t="str">
        <f>"(0.38)"</f>
        <v>(0.38)</v>
      </c>
      <c r="I6" s="1" t="str">
        <f>"0.398"</f>
        <v>0.398</v>
      </c>
      <c r="J6" s="1" t="str">
        <f>"(0.43)"</f>
        <v>(0.43)</v>
      </c>
    </row>
    <row r="7" spans="1:10">
      <c r="A7" s="4" t="s">
        <v>57</v>
      </c>
      <c r="B7" s="1" t="str">
        <f>"2.409*"</f>
        <v>2.409*</v>
      </c>
      <c r="C7" s="1" t="str">
        <f>"(1.00)"</f>
        <v>(1.00)</v>
      </c>
      <c r="D7" s="1" t="str">
        <f>"-0.256"</f>
        <v>-0.256</v>
      </c>
      <c r="E7" s="1" t="str">
        <f>"(0.94)"</f>
        <v>(0.94)</v>
      </c>
      <c r="G7" s="1" t="str">
        <f>"4.624***"</f>
        <v>4.624***</v>
      </c>
      <c r="H7" s="1" t="str">
        <f>"(0.89)"</f>
        <v>(0.89)</v>
      </c>
      <c r="I7" s="1" t="str">
        <f>"4.002***"</f>
        <v>4.002***</v>
      </c>
      <c r="J7" s="1" t="str">
        <f>"(0.95)"</f>
        <v>(0.95)</v>
      </c>
    </row>
    <row r="8" spans="1:10">
      <c r="A8" s="4" t="s">
        <v>58</v>
      </c>
      <c r="B8" s="1" t="str">
        <f>"0.861"</f>
        <v>0.861</v>
      </c>
      <c r="C8" s="1" t="str">
        <f>"(1.19)"</f>
        <v>(1.19)</v>
      </c>
      <c r="D8" s="1" t="str">
        <f>"0.699"</f>
        <v>0.699</v>
      </c>
      <c r="E8" s="1" t="str">
        <f>"(1.05)"</f>
        <v>(1.05)</v>
      </c>
      <c r="F8" s="1"/>
      <c r="G8" s="1" t="str">
        <f>"0.794"</f>
        <v>0.794</v>
      </c>
      <c r="H8" s="1" t="str">
        <f>"(1.13)"</f>
        <v>(1.13)</v>
      </c>
      <c r="I8" s="1" t="str">
        <f>"0.725"</f>
        <v>0.725</v>
      </c>
      <c r="J8" s="1" t="str">
        <f>"(1.10)"</f>
        <v>(1.10)</v>
      </c>
    </row>
    <row r="9" spans="1:10">
      <c r="A9" s="36" t="s">
        <v>46</v>
      </c>
      <c r="B9" s="36"/>
      <c r="C9" s="36"/>
      <c r="D9" s="36"/>
      <c r="E9" s="37"/>
      <c r="J9" s="37"/>
    </row>
    <row r="10" spans="1:10">
      <c r="A10" s="4" t="s">
        <v>56</v>
      </c>
      <c r="B10" s="1" t="str">
        <f>"0.425"</f>
        <v>0.425</v>
      </c>
      <c r="C10" s="1" t="str">
        <f>"(0.22)"</f>
        <v>(0.22)</v>
      </c>
      <c r="D10" s="1" t="str">
        <f>"0.109"</f>
        <v>0.109</v>
      </c>
      <c r="E10" s="1" t="str">
        <f>"(0.26)"</f>
        <v>(0.26)</v>
      </c>
      <c r="G10" s="1" t="str">
        <f>"-0.0342"</f>
        <v>-0.0342</v>
      </c>
      <c r="H10" s="1" t="str">
        <f>"(0.21)"</f>
        <v>(0.21)</v>
      </c>
      <c r="I10" s="1" t="str">
        <f>"-0.190"</f>
        <v>-0.190</v>
      </c>
      <c r="J10" s="1" t="str">
        <f>"(0.24)"</f>
        <v>(0.24)</v>
      </c>
    </row>
    <row r="11" spans="1:10">
      <c r="A11" s="4" t="s">
        <v>57</v>
      </c>
      <c r="B11" s="1" t="str">
        <f>"-0.167"</f>
        <v>-0.167</v>
      </c>
      <c r="C11" s="1" t="str">
        <f>"(0.26)"</f>
        <v>(0.26)</v>
      </c>
      <c r="D11" s="1" t="str">
        <f>"-0.439"</f>
        <v>-0.439</v>
      </c>
      <c r="E11" s="1" t="str">
        <f>"(0.27)"</f>
        <v>(0.27)</v>
      </c>
      <c r="G11" s="1" t="str">
        <f>"-0.127"</f>
        <v>-0.127</v>
      </c>
      <c r="H11" s="1" t="str">
        <f>"(0.24)"</f>
        <v>(0.24)</v>
      </c>
      <c r="I11" s="1" t="str">
        <f>"-0.220"</f>
        <v>-0.220</v>
      </c>
      <c r="J11" s="1" t="str">
        <f>"(0.25)"</f>
        <v>(0.25)</v>
      </c>
    </row>
    <row r="12" spans="1:10">
      <c r="A12" s="4" t="s">
        <v>58</v>
      </c>
      <c r="B12" s="1" t="str">
        <f>"-0.140"</f>
        <v>-0.140</v>
      </c>
      <c r="C12" s="1" t="str">
        <f>"(0.18)"</f>
        <v>(0.18)</v>
      </c>
      <c r="D12" s="1" t="str">
        <f>"-0.148"</f>
        <v>-0.148</v>
      </c>
      <c r="E12" s="1" t="str">
        <f>"(0.18)"</f>
        <v>(0.18)</v>
      </c>
      <c r="F12" s="1"/>
      <c r="G12" s="1" t="str">
        <f>"-0.203"</f>
        <v>-0.203</v>
      </c>
      <c r="H12" s="1" t="str">
        <f>"(0.17)"</f>
        <v>(0.17)</v>
      </c>
      <c r="I12" s="1" t="str">
        <f>"-0.208"</f>
        <v>-0.208</v>
      </c>
      <c r="J12" s="1" t="str">
        <f>"(0.17)"</f>
        <v>(0.17)</v>
      </c>
    </row>
    <row r="13" spans="1:10">
      <c r="A13" s="36" t="s">
        <v>59</v>
      </c>
      <c r="B13" s="36"/>
      <c r="C13" s="36"/>
      <c r="D13" s="36"/>
      <c r="E13" s="37"/>
      <c r="J13" s="37"/>
    </row>
    <row r="14" spans="1:10">
      <c r="A14" s="4" t="s">
        <v>56</v>
      </c>
      <c r="B14" s="1" t="str">
        <f>"2.125**"</f>
        <v>2.125**</v>
      </c>
      <c r="C14" s="1" t="str">
        <f>"(0.77)"</f>
        <v>(0.77)</v>
      </c>
      <c r="D14" s="1" t="str">
        <f>"1.668*"</f>
        <v>1.668*</v>
      </c>
      <c r="E14" s="1" t="str">
        <f>"(0.78)"</f>
        <v>(0.78)</v>
      </c>
      <c r="G14" s="1" t="str">
        <f>"1.281"</f>
        <v>1.281</v>
      </c>
      <c r="H14" s="1" t="str">
        <f>"(0.92)"</f>
        <v>(0.92)</v>
      </c>
      <c r="I14" s="1" t="str">
        <f>"1.105"</f>
        <v>1.105</v>
      </c>
      <c r="J14" s="1" t="str">
        <f>"(0.94)"</f>
        <v>(0.94)</v>
      </c>
    </row>
    <row r="15" spans="1:10">
      <c r="A15" s="4" t="s">
        <v>57</v>
      </c>
      <c r="B15" s="1" t="str">
        <f>"-3.232**"</f>
        <v>-3.232**</v>
      </c>
      <c r="C15" s="1" t="str">
        <f>"(1.04)"</f>
        <v>(1.04)</v>
      </c>
      <c r="D15" s="1" t="str">
        <f>"-3.254**"</f>
        <v>-3.254**</v>
      </c>
      <c r="E15" s="1" t="str">
        <f>"(1.03)"</f>
        <v>(1.03)</v>
      </c>
      <c r="G15" s="1" t="str">
        <f>"1.958"</f>
        <v>1.958</v>
      </c>
      <c r="H15" s="1" t="str">
        <f>"(1.22)"</f>
        <v>(1.22)</v>
      </c>
      <c r="I15" s="1" t="str">
        <f>"2.084"</f>
        <v>2.084</v>
      </c>
      <c r="J15" s="1" t="str">
        <f>"(1.22)"</f>
        <v>(1.22)</v>
      </c>
    </row>
    <row r="16" spans="1:10">
      <c r="A16" s="4" t="s">
        <v>58</v>
      </c>
      <c r="B16" s="1" t="str">
        <f>"-0.597"</f>
        <v>-0.597</v>
      </c>
      <c r="C16" s="1" t="str">
        <f>"(1.22)"</f>
        <v>(1.22)</v>
      </c>
      <c r="D16" s="1" t="str">
        <f>"-1.153"</f>
        <v>-1.153</v>
      </c>
      <c r="E16" s="1" t="str">
        <f>"(1.22)"</f>
        <v>(1.22)</v>
      </c>
      <c r="F16" s="1"/>
      <c r="G16" s="1" t="str">
        <f>"1.149"</f>
        <v>1.149</v>
      </c>
      <c r="H16" s="1" t="str">
        <f>"(1.44)"</f>
        <v>(1.44)</v>
      </c>
      <c r="I16" s="1" t="str">
        <f>"0.993"</f>
        <v>0.993</v>
      </c>
      <c r="J16" s="1" t="str">
        <f>"(1.45)"</f>
        <v>(1.45)</v>
      </c>
    </row>
    <row r="17" spans="1:10">
      <c r="A17" s="36" t="s">
        <v>60</v>
      </c>
      <c r="B17" s="36"/>
      <c r="C17" s="36"/>
      <c r="D17" s="36"/>
      <c r="E17" s="37"/>
      <c r="J17" s="37"/>
    </row>
    <row r="18" spans="1:10">
      <c r="A18" s="4" t="s">
        <v>56</v>
      </c>
      <c r="B18" s="1" t="str">
        <f>"0.522"</f>
        <v>0.522</v>
      </c>
      <c r="C18" s="1" t="str">
        <f>"(0.48)"</f>
        <v>(0.48)</v>
      </c>
      <c r="D18" s="1" t="str">
        <f>"0.523"</f>
        <v>0.523</v>
      </c>
      <c r="E18" s="1" t="str">
        <f>"(0.49)"</f>
        <v>(0.49)</v>
      </c>
      <c r="G18" s="1" t="str">
        <f>"0.724"</f>
        <v>0.724</v>
      </c>
      <c r="H18" s="1" t="str">
        <f>"(0.47)"</f>
        <v>(0.47)</v>
      </c>
      <c r="I18" s="1" t="str">
        <f>"0.780"</f>
        <v>0.780</v>
      </c>
      <c r="J18" s="1" t="str">
        <f>"(0.48)"</f>
        <v>(0.48)</v>
      </c>
    </row>
    <row r="19" spans="1:10">
      <c r="A19" s="4" t="s">
        <v>57</v>
      </c>
      <c r="B19" s="1" t="str">
        <f>"0.582"</f>
        <v>0.582</v>
      </c>
      <c r="C19" s="1" t="str">
        <f>"(0.44)"</f>
        <v>(0.44)</v>
      </c>
      <c r="D19" s="1" t="str">
        <f>"0.582"</f>
        <v>0.582</v>
      </c>
      <c r="E19" s="1" t="str">
        <f>"(0.44)"</f>
        <v>(0.44)</v>
      </c>
      <c r="G19" s="1" t="str">
        <f>"1.213**"</f>
        <v>1.213**</v>
      </c>
      <c r="H19" s="1" t="str">
        <f>"(0.43)"</f>
        <v>(0.43)</v>
      </c>
      <c r="I19" s="1" t="str">
        <f>"1.257**"</f>
        <v>1.257**</v>
      </c>
      <c r="J19" s="1" t="str">
        <f>"(0.43)"</f>
        <v>(0.43)</v>
      </c>
    </row>
    <row r="20" spans="1:10">
      <c r="A20" s="4" t="s">
        <v>58</v>
      </c>
      <c r="B20" s="1" t="str">
        <f>"0.212"</f>
        <v>0.212</v>
      </c>
      <c r="C20" s="1" t="str">
        <f>"(0.18)"</f>
        <v>(0.18)</v>
      </c>
      <c r="D20" s="1" t="str">
        <f>"0.212"</f>
        <v>0.212</v>
      </c>
      <c r="E20" s="1" t="str">
        <f>"(0.18)"</f>
        <v>(0.18)</v>
      </c>
      <c r="F20" s="1"/>
      <c r="G20" s="1" t="str">
        <f>"0.212"</f>
        <v>0.212</v>
      </c>
      <c r="H20" s="1" t="str">
        <f>"(0.18)"</f>
        <v>(0.18)</v>
      </c>
      <c r="I20" s="1" t="str">
        <f>"0.214"</f>
        <v>0.214</v>
      </c>
      <c r="J20" s="1" t="str">
        <f>"(0.18)"</f>
        <v>(0.18)</v>
      </c>
    </row>
    <row r="21" spans="1:10" ht="50" customHeight="1">
      <c r="A21" s="53" t="s">
        <v>61</v>
      </c>
      <c r="B21" s="53"/>
      <c r="C21" s="53"/>
      <c r="D21" s="53"/>
      <c r="E21" s="53"/>
      <c r="F21" s="53"/>
      <c r="G21" s="53"/>
      <c r="H21" s="53"/>
      <c r="I21" s="53"/>
      <c r="J21" s="53"/>
    </row>
  </sheetData>
  <mergeCells count="8">
    <mergeCell ref="A21:J21"/>
    <mergeCell ref="A1:J1"/>
    <mergeCell ref="B2:E2"/>
    <mergeCell ref="G2:J2"/>
    <mergeCell ref="B3:C3"/>
    <mergeCell ref="D3:E3"/>
    <mergeCell ref="G3:H3"/>
    <mergeCell ref="I3:J3"/>
  </mergeCells>
  <pageMargins left="0.7" right="0.7" top="0.75" bottom="0.75" header="0.3" footer="0.3"/>
  <ignoredErrors>
    <ignoredError sqref="C11:J11 C12:J12 C13:J15 C16:J16 C17:J19 C20:J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workbookViewId="0">
      <selection activeCell="A17" sqref="A17:XFD17"/>
    </sheetView>
  </sheetViews>
  <sheetFormatPr defaultColWidth="11" defaultRowHeight="15.5"/>
  <cols>
    <col min="1" max="1" width="41.33203125" style="1" customWidth="1"/>
    <col min="2" max="2" width="9.33203125" style="5" customWidth="1"/>
    <col min="3" max="3" width="7.83203125" style="5" customWidth="1"/>
    <col min="4" max="4" width="9.33203125" style="5" customWidth="1"/>
    <col min="5" max="5" width="7.83203125" style="1" customWidth="1"/>
    <col min="6" max="6" width="9.33203125" style="5" customWidth="1"/>
    <col min="7" max="7" width="7.83203125" style="1" customWidth="1"/>
    <col min="8" max="8" width="2.33203125" style="1" customWidth="1"/>
    <col min="9" max="9" width="9.33203125" style="5" customWidth="1"/>
    <col min="10" max="10" width="7.83203125" style="5" customWidth="1"/>
    <col min="11" max="11" width="9.33203125" style="5" customWidth="1"/>
    <col min="12" max="12" width="7.83203125" style="1" customWidth="1"/>
    <col min="13" max="13" width="9.33203125" style="5" customWidth="1"/>
    <col min="14" max="14" width="7.83203125" style="1" customWidth="1"/>
    <col min="15" max="16384" width="11" style="1"/>
  </cols>
  <sheetData>
    <row r="1" spans="1:14">
      <c r="A1" s="52" t="s">
        <v>80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10"/>
      <c r="B2" s="55" t="s">
        <v>14</v>
      </c>
      <c r="C2" s="55"/>
      <c r="D2" s="55"/>
      <c r="E2" s="55"/>
      <c r="F2" s="55"/>
      <c r="G2" s="55"/>
      <c r="I2" s="55" t="s">
        <v>15</v>
      </c>
      <c r="J2" s="55"/>
      <c r="K2" s="55"/>
      <c r="L2" s="55"/>
      <c r="M2" s="55"/>
      <c r="N2" s="55"/>
    </row>
    <row r="3" spans="1:14">
      <c r="B3" s="54" t="s">
        <v>16</v>
      </c>
      <c r="C3" s="54"/>
      <c r="D3" s="54" t="s">
        <v>17</v>
      </c>
      <c r="E3" s="54"/>
      <c r="F3" s="54" t="s">
        <v>18</v>
      </c>
      <c r="G3" s="54"/>
      <c r="I3" s="54" t="s">
        <v>16</v>
      </c>
      <c r="J3" s="54"/>
      <c r="K3" s="54" t="s">
        <v>17</v>
      </c>
      <c r="L3" s="54"/>
      <c r="M3" s="54" t="s">
        <v>18</v>
      </c>
      <c r="N3" s="54"/>
    </row>
    <row r="4" spans="1:14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I4" s="3" t="s">
        <v>19</v>
      </c>
      <c r="J4" s="3" t="s">
        <v>20</v>
      </c>
      <c r="K4" s="3" t="s">
        <v>19</v>
      </c>
      <c r="L4" s="3" t="s">
        <v>20</v>
      </c>
      <c r="M4" s="3" t="s">
        <v>19</v>
      </c>
      <c r="N4" s="3" t="s">
        <v>20</v>
      </c>
    </row>
    <row r="5" spans="1:14">
      <c r="A5" s="40" t="s">
        <v>26</v>
      </c>
      <c r="B5" s="11"/>
      <c r="C5" s="11"/>
      <c r="D5" s="11"/>
      <c r="E5" s="11"/>
      <c r="F5" s="11"/>
      <c r="G5" s="11"/>
      <c r="I5" s="11"/>
      <c r="J5" s="11"/>
      <c r="K5" s="11"/>
      <c r="L5" s="11"/>
      <c r="M5" s="11"/>
      <c r="N5" s="11"/>
    </row>
    <row r="6" spans="1:14">
      <c r="A6" s="43" t="s">
        <v>27</v>
      </c>
    </row>
    <row r="7" spans="1:14">
      <c r="A7" s="42" t="s">
        <v>21</v>
      </c>
      <c r="B7" s="1" t="str">
        <f>"1.987***"</f>
        <v>1.987***</v>
      </c>
      <c r="C7" s="1" t="str">
        <f>"(0.10)"</f>
        <v>(0.10)</v>
      </c>
      <c r="D7" s="1" t="str">
        <f>"2.078***"</f>
        <v>2.078***</v>
      </c>
      <c r="E7" s="1" t="str">
        <f>"(0.11)"</f>
        <v>(0.11)</v>
      </c>
      <c r="F7" s="1" t="str">
        <f>"1.980***"</f>
        <v>1.980***</v>
      </c>
      <c r="G7" s="1" t="str">
        <f>"(0.10)"</f>
        <v>(0.10)</v>
      </c>
      <c r="I7" s="1" t="str">
        <f>"1.118***"</f>
        <v>1.118***</v>
      </c>
      <c r="J7" s="1" t="str">
        <f>"(0.18)"</f>
        <v>(0.18)</v>
      </c>
      <c r="K7" s="1" t="str">
        <f>"1.519***"</f>
        <v>1.519***</v>
      </c>
      <c r="L7" s="1" t="str">
        <f>"(0.15)"</f>
        <v>(0.15)</v>
      </c>
      <c r="M7" s="1" t="str">
        <f>"1.126***"</f>
        <v>1.126***</v>
      </c>
      <c r="N7" s="1" t="str">
        <f>"(0.18)"</f>
        <v>(0.18)</v>
      </c>
    </row>
    <row r="8" spans="1:14">
      <c r="A8" s="42" t="s">
        <v>22</v>
      </c>
      <c r="B8" s="1" t="str">
        <f>"1.798**"</f>
        <v>1.798**</v>
      </c>
      <c r="C8" s="1" t="str">
        <f>"(0.55)"</f>
        <v>(0.55)</v>
      </c>
      <c r="D8" s="1" t="str">
        <f>""</f>
        <v/>
      </c>
      <c r="E8" s="1" t="str">
        <f>""</f>
        <v/>
      </c>
      <c r="F8" s="1" t="str">
        <f>"1.661**"</f>
        <v>1.661**</v>
      </c>
      <c r="G8" s="1" t="str">
        <f>"(0.53)"</f>
        <v>(0.53)</v>
      </c>
      <c r="I8" s="1" t="str">
        <f>"2.677***"</f>
        <v>2.677***</v>
      </c>
      <c r="J8" s="1" t="str">
        <f>"(0.58)"</f>
        <v>(0.58)</v>
      </c>
      <c r="K8" s="1" t="str">
        <f>""</f>
        <v/>
      </c>
      <c r="L8" s="1" t="str">
        <f>""</f>
        <v/>
      </c>
      <c r="M8" s="1" t="str">
        <f>"2.623***"</f>
        <v>2.623***</v>
      </c>
      <c r="N8" s="1" t="str">
        <f>"(0.58)"</f>
        <v>(0.58)</v>
      </c>
    </row>
    <row r="9" spans="1:14">
      <c r="A9" s="42" t="s">
        <v>23</v>
      </c>
      <c r="D9" s="1" t="str">
        <f>"1.670"</f>
        <v>1.670</v>
      </c>
      <c r="E9" s="1" t="str">
        <f>"(1.48)"</f>
        <v>(1.48)</v>
      </c>
      <c r="F9" s="1" t="str">
        <f>"1.511"</f>
        <v>1.511</v>
      </c>
      <c r="G9" s="1" t="str">
        <f>"(1.36)"</f>
        <v>(1.36)</v>
      </c>
      <c r="K9" s="1" t="str">
        <f>"-2.787"</f>
        <v>-2.787</v>
      </c>
      <c r="L9" s="1" t="str">
        <f>"(2.33)"</f>
        <v>(2.33)</v>
      </c>
      <c r="M9" s="1" t="str">
        <f>"-0.919"</f>
        <v>-0.919</v>
      </c>
      <c r="N9" s="1" t="str">
        <f>"(2.39)"</f>
        <v>(2.39)</v>
      </c>
    </row>
    <row r="10" spans="1:14">
      <c r="A10" s="43" t="s">
        <v>28</v>
      </c>
    </row>
    <row r="11" spans="1:14">
      <c r="A11" s="42" t="s">
        <v>21</v>
      </c>
      <c r="B11" s="1" t="str">
        <f>"0.844***"</f>
        <v>0.844***</v>
      </c>
      <c r="C11" s="1" t="str">
        <f>"(0.18)"</f>
        <v>(0.18)</v>
      </c>
      <c r="D11" s="1" t="str">
        <f>"0.785***"</f>
        <v>0.785***</v>
      </c>
      <c r="E11" s="1" t="str">
        <f>"(0.14)"</f>
        <v>(0.14)</v>
      </c>
      <c r="F11" s="1" t="str">
        <f>"0.756***"</f>
        <v>0.756***</v>
      </c>
      <c r="G11" s="1" t="str">
        <f>"(0.14)"</f>
        <v>(0.14)</v>
      </c>
      <c r="I11" s="1" t="str">
        <f>"0.795***"</f>
        <v>0.795***</v>
      </c>
      <c r="J11" s="1" t="str">
        <f>"(0.19)"</f>
        <v>(0.19)</v>
      </c>
      <c r="K11" s="1" t="str">
        <f>"0.655***"</f>
        <v>0.655***</v>
      </c>
      <c r="L11" s="1" t="str">
        <f>"(0.13)"</f>
        <v>(0.13)</v>
      </c>
      <c r="M11" s="1" t="str">
        <f>"0.672***"</f>
        <v>0.672***</v>
      </c>
      <c r="N11" s="1" t="str">
        <f>"(0.14)"</f>
        <v>(0.14)</v>
      </c>
    </row>
    <row r="12" spans="1:14">
      <c r="A12" s="42" t="s">
        <v>22</v>
      </c>
      <c r="B12" s="1" t="str">
        <f>"0.106"</f>
        <v>0.106</v>
      </c>
      <c r="C12" s="1" t="str">
        <f>"(0.71)"</f>
        <v>(0.71)</v>
      </c>
      <c r="D12" s="1" t="str">
        <f>""</f>
        <v/>
      </c>
      <c r="E12" s="1" t="str">
        <f>""</f>
        <v/>
      </c>
      <c r="F12" s="1" t="str">
        <f>"-0.306"</f>
        <v>-0.306</v>
      </c>
      <c r="G12" s="1" t="str">
        <f>"(0.40)"</f>
        <v>(0.40)</v>
      </c>
      <c r="I12" s="1" t="str">
        <f>"1.076"</f>
        <v>1.076</v>
      </c>
      <c r="J12" s="1" t="str">
        <f>"(0.89)"</f>
        <v>(0.89)</v>
      </c>
      <c r="K12" s="1" t="str">
        <f>""</f>
        <v/>
      </c>
      <c r="L12" s="1" t="str">
        <f>""</f>
        <v/>
      </c>
      <c r="M12" s="1" t="str">
        <f>"0.253"</f>
        <v>0.253</v>
      </c>
      <c r="N12" s="1" t="str">
        <f>"(0.53)"</f>
        <v>(0.53)</v>
      </c>
    </row>
    <row r="13" spans="1:14">
      <c r="A13" s="42" t="s">
        <v>23</v>
      </c>
      <c r="D13" s="1" t="str">
        <f>"1.727*"</f>
        <v>1.727*</v>
      </c>
      <c r="E13" s="1" t="str">
        <f>"(0.87)"</f>
        <v>(0.87)</v>
      </c>
      <c r="F13" s="1" t="str">
        <f>"1.399"</f>
        <v>1.399</v>
      </c>
      <c r="G13" s="1" t="str">
        <f>"(0.94)"</f>
        <v>(0.94)</v>
      </c>
      <c r="K13" s="1" t="str">
        <f>"2.202**"</f>
        <v>2.202**</v>
      </c>
      <c r="L13" s="1" t="str">
        <f>"(0.81)"</f>
        <v>(0.81)</v>
      </c>
      <c r="M13" s="1" t="str">
        <f>"2.360**"</f>
        <v>2.360**</v>
      </c>
      <c r="N13" s="1" t="str">
        <f>"(0.91)"</f>
        <v>(0.91)</v>
      </c>
    </row>
    <row r="14" spans="1:14">
      <c r="A14" s="41" t="s">
        <v>62</v>
      </c>
      <c r="D14" s="1"/>
      <c r="F14" s="1"/>
      <c r="K14" s="1"/>
      <c r="M14" s="1"/>
    </row>
    <row r="15" spans="1:14">
      <c r="A15" s="43" t="s">
        <v>27</v>
      </c>
    </row>
    <row r="16" spans="1:14">
      <c r="A16" s="42" t="s">
        <v>21</v>
      </c>
      <c r="B16" s="1" t="str">
        <f>"1.595***"</f>
        <v>1.595***</v>
      </c>
      <c r="C16" s="1" t="str">
        <f>"(0.09)"</f>
        <v>(0.09)</v>
      </c>
      <c r="D16" s="1" t="str">
        <f>"1.567***"</f>
        <v>1.567***</v>
      </c>
      <c r="E16" s="1" t="str">
        <f>"(0.11)"</f>
        <v>(0.11)</v>
      </c>
      <c r="F16" s="1" t="str">
        <f>"1.586***"</f>
        <v>1.586***</v>
      </c>
      <c r="G16" s="1" t="str">
        <f>"(0.09)"</f>
        <v>(0.09)</v>
      </c>
      <c r="I16" s="1" t="str">
        <f>"1.026***"</f>
        <v>1.026***</v>
      </c>
      <c r="J16" s="1" t="str">
        <f>"(0.13)"</f>
        <v>(0.13)</v>
      </c>
      <c r="K16" s="1" t="str">
        <f>"1.180***"</f>
        <v>1.180***</v>
      </c>
      <c r="L16" s="1" t="str">
        <f>"(0.13)"</f>
        <v>(0.13)</v>
      </c>
      <c r="M16" s="1" t="str">
        <f>"1.013***"</f>
        <v>1.013***</v>
      </c>
      <c r="N16" s="1" t="str">
        <f>"(0.13)"</f>
        <v>(0.13)</v>
      </c>
    </row>
    <row r="17" spans="1:14">
      <c r="A17" s="42" t="s">
        <v>22</v>
      </c>
      <c r="B17" s="1" t="str">
        <f>"2.621***"</f>
        <v>2.621***</v>
      </c>
      <c r="C17" s="1" t="str">
        <f>"(0.47)"</f>
        <v>(0.47)</v>
      </c>
      <c r="D17" s="1" t="str">
        <f>""</f>
        <v/>
      </c>
      <c r="E17" s="1" t="str">
        <f>""</f>
        <v/>
      </c>
      <c r="F17" s="1" t="str">
        <f>"2.527***"</f>
        <v>2.527***</v>
      </c>
      <c r="G17" s="1" t="str">
        <f>"(0.47)"</f>
        <v>(0.47)</v>
      </c>
      <c r="I17" s="1" t="str">
        <f>"2.643***"</f>
        <v>2.643***</v>
      </c>
      <c r="J17" s="1" t="str">
        <f>"(0.48)"</f>
        <v>(0.48)</v>
      </c>
      <c r="K17" s="1" t="str">
        <f>""</f>
        <v/>
      </c>
      <c r="L17" s="1" t="str">
        <f>""</f>
        <v/>
      </c>
      <c r="M17" s="1" t="str">
        <f>"2.498***"</f>
        <v>2.498***</v>
      </c>
      <c r="N17" s="1" t="str">
        <f>"(0.47)"</f>
        <v>(0.47)</v>
      </c>
    </row>
    <row r="18" spans="1:14">
      <c r="A18" s="42" t="s">
        <v>23</v>
      </c>
      <c r="D18" s="1" t="str">
        <f>"3.178"</f>
        <v>3.178</v>
      </c>
      <c r="E18" s="1" t="str">
        <f>"(2.83)"</f>
        <v>(2.83)</v>
      </c>
      <c r="F18" s="1" t="str">
        <f>"1.094"</f>
        <v>1.094</v>
      </c>
      <c r="G18" s="1" t="str">
        <f>"(2.41)"</f>
        <v>(2.41)</v>
      </c>
      <c r="K18" s="1" t="str">
        <f>"4.630"</f>
        <v>4.630</v>
      </c>
      <c r="L18" s="1" t="str">
        <f>"(3.55)"</f>
        <v>(3.55)</v>
      </c>
      <c r="M18" s="1" t="str">
        <f>"2.396"</f>
        <v>2.396</v>
      </c>
      <c r="N18" s="1" t="str">
        <f>"(3.45)"</f>
        <v>(3.45)</v>
      </c>
    </row>
    <row r="19" spans="1:14">
      <c r="A19" s="43" t="s">
        <v>28</v>
      </c>
    </row>
    <row r="20" spans="1:14">
      <c r="A20" s="42" t="s">
        <v>21</v>
      </c>
      <c r="B20" s="1" t="str">
        <f>"2.440***"</f>
        <v>2.440***</v>
      </c>
      <c r="C20" s="1" t="str">
        <f>"(0.66)"</f>
        <v>(0.66)</v>
      </c>
      <c r="D20" s="1" t="str">
        <f>"1.466***"</f>
        <v>1.466***</v>
      </c>
      <c r="E20" s="1" t="str">
        <f>"(0.43)"</f>
        <v>(0.43)</v>
      </c>
      <c r="F20" s="1" t="str">
        <f>"1.709***"</f>
        <v>1.709***</v>
      </c>
      <c r="G20" s="1" t="str">
        <f>"(0.47)"</f>
        <v>(0.47)</v>
      </c>
      <c r="I20" s="1" t="str">
        <f>"1.517**"</f>
        <v>1.517**</v>
      </c>
      <c r="J20" s="1" t="str">
        <f>"(0.54)"</f>
        <v>(0.54)</v>
      </c>
      <c r="K20" s="1" t="str">
        <f>"0.816"</f>
        <v>0.816</v>
      </c>
      <c r="L20" s="1" t="str">
        <f>"(0.42)"</f>
        <v>(0.42)</v>
      </c>
      <c r="M20" s="1" t="str">
        <f>"0.992*"</f>
        <v>0.992*</v>
      </c>
      <c r="N20" s="1" t="str">
        <f>"(0.46)"</f>
        <v>(0.46)</v>
      </c>
    </row>
    <row r="21" spans="1:14">
      <c r="A21" s="42" t="s">
        <v>22</v>
      </c>
      <c r="B21" s="1" t="str">
        <f>"4.719*"</f>
        <v>4.719*</v>
      </c>
      <c r="C21" s="1" t="str">
        <f>"(2.18)"</f>
        <v>(2.18)</v>
      </c>
      <c r="D21" s="1" t="str">
        <f>""</f>
        <v/>
      </c>
      <c r="E21" s="1" t="str">
        <f>""</f>
        <v/>
      </c>
      <c r="F21" s="1" t="str">
        <f>"1.980"</f>
        <v>1.980</v>
      </c>
      <c r="G21" s="1" t="str">
        <f>"(1.49)"</f>
        <v>(1.49)</v>
      </c>
      <c r="I21" s="1" t="str">
        <f>"3.462"</f>
        <v>3.462</v>
      </c>
      <c r="J21" s="1" t="str">
        <f>"(1.78)"</f>
        <v>(1.78)</v>
      </c>
      <c r="K21" s="1" t="str">
        <f>""</f>
        <v/>
      </c>
      <c r="L21" s="1" t="str">
        <f>""</f>
        <v/>
      </c>
      <c r="M21" s="1" t="str">
        <f>"1.597"</f>
        <v>1.597</v>
      </c>
      <c r="N21" s="1" t="str">
        <f>"(1.43)"</f>
        <v>(1.43)</v>
      </c>
    </row>
    <row r="22" spans="1:14">
      <c r="A22" s="42" t="s">
        <v>23</v>
      </c>
      <c r="D22" s="1" t="str">
        <f>"-0.218"</f>
        <v>-0.218</v>
      </c>
      <c r="E22" s="1" t="str">
        <f>"(3.11)"</f>
        <v>(3.11)</v>
      </c>
      <c r="F22" s="1" t="str">
        <f>"-0.905"</f>
        <v>-0.905</v>
      </c>
      <c r="G22" s="1" t="str">
        <f>"(3.20)"</f>
        <v>(3.20)</v>
      </c>
      <c r="K22" s="1" t="str">
        <f>"-2.160"</f>
        <v>-2.160</v>
      </c>
      <c r="L22" s="1" t="str">
        <f>"(3.02)"</f>
        <v>(3.02)</v>
      </c>
      <c r="M22" s="1" t="str">
        <f>"-2.422"</f>
        <v>-2.422</v>
      </c>
      <c r="N22" s="1" t="str">
        <f>"(3.07)"</f>
        <v>(3.07)</v>
      </c>
    </row>
    <row r="23" spans="1:14" ht="32" customHeight="1">
      <c r="A23" s="53" t="s">
        <v>63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>
      <c r="A24" s="10"/>
    </row>
    <row r="25" spans="1:14">
      <c r="A25" s="10"/>
    </row>
  </sheetData>
  <mergeCells count="10">
    <mergeCell ref="A23:N23"/>
    <mergeCell ref="A1:N1"/>
    <mergeCell ref="B2:G2"/>
    <mergeCell ref="I2:N2"/>
    <mergeCell ref="B3:C3"/>
    <mergeCell ref="D3:E3"/>
    <mergeCell ref="F3:G3"/>
    <mergeCell ref="I3:J3"/>
    <mergeCell ref="K3:L3"/>
    <mergeCell ref="M3:N3"/>
  </mergeCells>
  <pageMargins left="0.7" right="0.7" top="0.75" bottom="0.75" header="0.3" footer="0.3"/>
  <ignoredErrors>
    <ignoredError sqref="H7 H8 H9:J9 D19:J19 H11 H12 H13:J13 D10:J10 H22:J22 H20 H21 K10:N10 K19:N19 K20:N22 K11:N13 F11 K16:M1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workbookViewId="0">
      <selection sqref="A1:N65"/>
    </sheetView>
  </sheetViews>
  <sheetFormatPr defaultColWidth="9" defaultRowHeight="15.5"/>
  <cols>
    <col min="1" max="1" width="19.6640625" customWidth="1"/>
    <col min="8" max="8" width="2" customWidth="1"/>
  </cols>
  <sheetData>
    <row r="1" spans="1:19">
      <c r="A1" s="60" t="s">
        <v>81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26"/>
      <c r="P1" s="26"/>
      <c r="Q1" s="26"/>
      <c r="R1" s="26"/>
      <c r="S1" s="26"/>
    </row>
    <row r="2" spans="1:19">
      <c r="A2" s="25"/>
      <c r="B2" s="61" t="s">
        <v>51</v>
      </c>
      <c r="C2" s="61"/>
      <c r="D2" s="61"/>
      <c r="E2" s="61"/>
      <c r="F2" s="61"/>
      <c r="G2" s="61"/>
      <c r="H2" s="28"/>
      <c r="I2" s="61" t="s">
        <v>52</v>
      </c>
      <c r="J2" s="61"/>
      <c r="K2" s="61"/>
      <c r="L2" s="61"/>
      <c r="M2" s="61"/>
      <c r="N2" s="61"/>
      <c r="O2" s="26"/>
      <c r="P2" s="26"/>
      <c r="Q2" s="26"/>
      <c r="R2" s="26"/>
      <c r="S2" s="26"/>
    </row>
    <row r="3" spans="1:19">
      <c r="A3" s="29"/>
      <c r="B3" s="62" t="s">
        <v>64</v>
      </c>
      <c r="C3" s="62"/>
      <c r="D3" s="62" t="s">
        <v>53</v>
      </c>
      <c r="E3" s="62"/>
      <c r="F3" s="62" t="s">
        <v>54</v>
      </c>
      <c r="G3" s="62"/>
      <c r="H3" s="30"/>
      <c r="I3" s="62" t="s">
        <v>64</v>
      </c>
      <c r="J3" s="62"/>
      <c r="K3" s="62" t="s">
        <v>53</v>
      </c>
      <c r="L3" s="62"/>
      <c r="M3" s="62" t="s">
        <v>54</v>
      </c>
      <c r="N3" s="62"/>
      <c r="O3" s="26"/>
      <c r="P3" s="26"/>
      <c r="Q3" s="26"/>
      <c r="R3" s="26"/>
      <c r="S3" s="26"/>
    </row>
    <row r="4" spans="1:19">
      <c r="A4" s="26"/>
      <c r="B4" s="49" t="s">
        <v>19</v>
      </c>
      <c r="C4" s="49" t="s">
        <v>20</v>
      </c>
      <c r="D4" s="49" t="s">
        <v>19</v>
      </c>
      <c r="E4" s="49" t="s">
        <v>20</v>
      </c>
      <c r="F4" s="49" t="s">
        <v>19</v>
      </c>
      <c r="G4" s="27" t="s">
        <v>20</v>
      </c>
      <c r="H4" s="30"/>
      <c r="I4" s="27" t="s">
        <v>19</v>
      </c>
      <c r="J4" s="27" t="s">
        <v>20</v>
      </c>
      <c r="K4" s="27" t="s">
        <v>19</v>
      </c>
      <c r="L4" s="27" t="s">
        <v>20</v>
      </c>
      <c r="M4" s="27" t="s">
        <v>19</v>
      </c>
      <c r="N4" s="27" t="s">
        <v>20</v>
      </c>
      <c r="O4" s="26"/>
      <c r="P4" s="26"/>
      <c r="Q4" s="26"/>
      <c r="R4" s="26"/>
      <c r="S4" s="26"/>
    </row>
    <row r="5" spans="1:19">
      <c r="A5" s="50" t="s">
        <v>70</v>
      </c>
      <c r="B5" s="50"/>
      <c r="C5" s="50"/>
      <c r="D5" s="50"/>
      <c r="E5" s="50"/>
      <c r="F5" s="50"/>
      <c r="G5" s="47"/>
      <c r="H5" s="31"/>
      <c r="I5" s="48"/>
      <c r="J5" s="48"/>
      <c r="K5" s="48"/>
      <c r="L5" s="48"/>
      <c r="M5" s="48"/>
      <c r="N5" s="47"/>
      <c r="O5" s="26"/>
      <c r="P5" s="26"/>
      <c r="Q5" s="26"/>
      <c r="R5" s="26"/>
      <c r="S5" s="26"/>
    </row>
    <row r="6" spans="1:19">
      <c r="A6" s="44" t="s">
        <v>65</v>
      </c>
      <c r="B6" s="45" t="str">
        <f>"0.400***"</f>
        <v>0.400***</v>
      </c>
      <c r="C6" s="45" t="str">
        <f>"(0.08)"</f>
        <v>(0.08)</v>
      </c>
      <c r="D6" s="45" t="str">
        <f>"0.377***"</f>
        <v>0.377***</v>
      </c>
      <c r="E6" s="45" t="str">
        <f>"(0.08)"</f>
        <v>(0.08)</v>
      </c>
      <c r="F6" s="45" t="str">
        <f>"0.398***"</f>
        <v>0.398***</v>
      </c>
      <c r="G6" s="45" t="str">
        <f>"(0.08)"</f>
        <v>(0.08)</v>
      </c>
      <c r="H6" s="31"/>
      <c r="I6" s="48" t="str">
        <f>"-0.102"</f>
        <v>-0.102</v>
      </c>
      <c r="J6" s="48" t="str">
        <f>"(0.08)"</f>
        <v>(0.08)</v>
      </c>
      <c r="K6" s="48" t="str">
        <f>"-0.0761"</f>
        <v>-0.0761</v>
      </c>
      <c r="L6" s="48" t="str">
        <f>"(0.07)"</f>
        <v>(0.07)</v>
      </c>
      <c r="M6" s="48" t="str">
        <f>"-0.0914"</f>
        <v>-0.0914</v>
      </c>
      <c r="N6" s="48" t="str">
        <f>"(0.07)"</f>
        <v>(0.07)</v>
      </c>
      <c r="O6" s="26"/>
      <c r="P6" s="26"/>
      <c r="Q6" s="26"/>
      <c r="R6" s="26"/>
      <c r="S6" s="26"/>
    </row>
    <row r="7" spans="1:19">
      <c r="A7" s="44" t="s">
        <v>66</v>
      </c>
      <c r="B7" s="45" t="str">
        <f>"1.649***"</f>
        <v>1.649***</v>
      </c>
      <c r="C7" s="45" t="str">
        <f>"(0.18)"</f>
        <v>(0.18)</v>
      </c>
      <c r="D7" s="45" t="str">
        <f>""</f>
        <v/>
      </c>
      <c r="E7" s="45" t="str">
        <f>""</f>
        <v/>
      </c>
      <c r="F7" s="45" t="str">
        <f>"1.695***"</f>
        <v>1.695***</v>
      </c>
      <c r="G7" s="45" t="str">
        <f>"(0.19)"</f>
        <v>(0.19)</v>
      </c>
      <c r="H7" s="31"/>
      <c r="I7" s="48" t="str">
        <f>"0.584***"</f>
        <v>0.584***</v>
      </c>
      <c r="J7" s="48" t="str">
        <f>"(0.17)"</f>
        <v>(0.17)</v>
      </c>
      <c r="K7" s="48" t="str">
        <f>""</f>
        <v/>
      </c>
      <c r="L7" s="48" t="str">
        <f>""</f>
        <v/>
      </c>
      <c r="M7" s="48" t="str">
        <f>"0.352*"</f>
        <v>0.352*</v>
      </c>
      <c r="N7" s="48" t="str">
        <f>"(0.17)"</f>
        <v>(0.17)</v>
      </c>
      <c r="O7" s="26"/>
      <c r="P7" s="26"/>
      <c r="Q7" s="26"/>
      <c r="R7" s="26"/>
      <c r="S7" s="26"/>
    </row>
    <row r="8" spans="1:19">
      <c r="A8" s="44" t="s">
        <v>67</v>
      </c>
      <c r="B8" s="48"/>
      <c r="C8" s="48"/>
      <c r="D8" s="45" t="str">
        <f>"2.169*"</f>
        <v>2.169*</v>
      </c>
      <c r="E8" s="45" t="str">
        <f>"(0.97)"</f>
        <v>(0.97)</v>
      </c>
      <c r="F8" s="45" t="str">
        <f>"-0.683"</f>
        <v>-0.683</v>
      </c>
      <c r="G8" s="45" t="str">
        <f>"(0.90)"</f>
        <v>(0.90)</v>
      </c>
      <c r="H8" s="31"/>
      <c r="I8" s="48"/>
      <c r="J8" s="48"/>
      <c r="K8" s="48" t="str">
        <f>"4.329***"</f>
        <v>4.329***</v>
      </c>
      <c r="L8" s="48" t="str">
        <f>"(0.88)"</f>
        <v>(0.88)</v>
      </c>
      <c r="M8" s="48" t="str">
        <f>"3.639***"</f>
        <v>3.639***</v>
      </c>
      <c r="N8" s="48" t="str">
        <f>"(0.94)"</f>
        <v>(0.94)</v>
      </c>
      <c r="O8" s="26"/>
      <c r="P8" s="26"/>
      <c r="Q8" s="26"/>
      <c r="R8" s="26"/>
      <c r="S8" s="26"/>
    </row>
    <row r="9" spans="1:19">
      <c r="A9" s="44" t="s">
        <v>24</v>
      </c>
      <c r="B9" s="45" t="str">
        <f>"11.50"</f>
        <v>11.50</v>
      </c>
      <c r="C9" s="45" t="str">
        <f>""</f>
        <v/>
      </c>
      <c r="D9" s="45" t="str">
        <f>"85.39"</f>
        <v>85.39</v>
      </c>
      <c r="E9" s="45" t="str">
        <f>""</f>
        <v/>
      </c>
      <c r="F9" s="45" t="str">
        <f>"12.92"</f>
        <v>12.92</v>
      </c>
      <c r="G9" s="45"/>
      <c r="H9" s="48"/>
      <c r="I9" s="45" t="str">
        <f>"47.25"</f>
        <v>47.25</v>
      </c>
      <c r="J9" s="45" t="str">
        <f>""</f>
        <v/>
      </c>
      <c r="K9" s="45" t="str">
        <f>"37.37"</f>
        <v>37.37</v>
      </c>
      <c r="L9" s="45" t="str">
        <f>""</f>
        <v/>
      </c>
      <c r="M9" s="45" t="str">
        <f>"35.25"</f>
        <v>35.25</v>
      </c>
      <c r="N9" s="48"/>
      <c r="O9" s="26"/>
      <c r="P9" s="26"/>
      <c r="Q9" s="26"/>
      <c r="R9" s="26"/>
      <c r="S9" s="26"/>
    </row>
    <row r="10" spans="1:19">
      <c r="A10" s="44" t="s">
        <v>25</v>
      </c>
      <c r="B10" s="45" t="str">
        <f>"37.61"</f>
        <v>37.61</v>
      </c>
      <c r="C10" s="45" t="str">
        <f>""</f>
        <v/>
      </c>
      <c r="D10" s="45" t="str">
        <f>"111.5"</f>
        <v>111.5</v>
      </c>
      <c r="E10" s="45" t="str">
        <f>""</f>
        <v/>
      </c>
      <c r="F10" s="45" t="str">
        <f>"42.76"</f>
        <v>42.76</v>
      </c>
      <c r="G10" s="45"/>
      <c r="H10" s="48"/>
      <c r="I10" s="45" t="str">
        <f>"77.09"</f>
        <v>77.09</v>
      </c>
      <c r="J10" s="45" t="str">
        <f>""</f>
        <v/>
      </c>
      <c r="K10" s="45" t="str">
        <f>"67.21"</f>
        <v>67.21</v>
      </c>
      <c r="L10" s="45" t="str">
        <f>""</f>
        <v/>
      </c>
      <c r="M10" s="45" t="str">
        <f>"68.82"</f>
        <v>68.82</v>
      </c>
      <c r="N10" s="48"/>
      <c r="O10" s="26"/>
      <c r="P10" s="26"/>
      <c r="Q10" s="26"/>
      <c r="R10" s="26"/>
      <c r="S10" s="26"/>
    </row>
    <row r="11" spans="1:19">
      <c r="A11" s="50" t="s">
        <v>7</v>
      </c>
      <c r="B11" s="50"/>
      <c r="C11" s="50"/>
      <c r="D11" s="50"/>
      <c r="E11" s="50"/>
      <c r="F11" s="50"/>
      <c r="G11" s="47"/>
      <c r="H11" s="48"/>
      <c r="I11" s="48"/>
      <c r="J11" s="48"/>
      <c r="K11" s="48"/>
      <c r="L11" s="48"/>
      <c r="M11" s="48"/>
      <c r="N11" s="47"/>
      <c r="O11" s="26"/>
      <c r="P11" s="26"/>
      <c r="Q11" s="26"/>
      <c r="R11" s="26"/>
      <c r="S11" s="26"/>
    </row>
    <row r="12" spans="1:19">
      <c r="A12" s="44" t="s">
        <v>65</v>
      </c>
      <c r="B12" s="45" t="str">
        <f>"0.360***"</f>
        <v>0.360***</v>
      </c>
      <c r="C12" s="45" t="str">
        <f>"(0.08)"</f>
        <v>(0.08)</v>
      </c>
      <c r="D12" s="45" t="str">
        <f>"0.318***"</f>
        <v>0.318***</v>
      </c>
      <c r="E12" s="45" t="str">
        <f>"(0.08)"</f>
        <v>(0.08)</v>
      </c>
      <c r="F12" s="45" t="str">
        <f>"0.359***"</f>
        <v>0.359***</v>
      </c>
      <c r="G12" s="45" t="str">
        <f>"(0.08)"</f>
        <v>(0.08)</v>
      </c>
      <c r="H12" s="48"/>
      <c r="I12" s="48" t="str">
        <f>"-0.151*"</f>
        <v>-0.151*</v>
      </c>
      <c r="J12" s="48" t="str">
        <f>"(0.08)"</f>
        <v>(0.08)</v>
      </c>
      <c r="K12" s="48" t="str">
        <f>"-0.128"</f>
        <v>-0.128</v>
      </c>
      <c r="L12" s="48" t="str">
        <f>"(0.07)"</f>
        <v>(0.07)</v>
      </c>
      <c r="M12" s="48" t="str">
        <f>"-0.134"</f>
        <v>-0.134</v>
      </c>
      <c r="N12" s="48" t="str">
        <f>"(0.07)"</f>
        <v>(0.07)</v>
      </c>
      <c r="O12" s="26"/>
      <c r="P12" s="26"/>
      <c r="Q12" s="26"/>
      <c r="R12" s="26"/>
      <c r="S12" s="26"/>
    </row>
    <row r="13" spans="1:19">
      <c r="A13" s="44" t="s">
        <v>66</v>
      </c>
      <c r="B13" s="45" t="str">
        <f>"1.620***"</f>
        <v>1.620***</v>
      </c>
      <c r="C13" s="45" t="str">
        <f>"(0.18)"</f>
        <v>(0.18)</v>
      </c>
      <c r="D13" s="45" t="str">
        <f>""</f>
        <v/>
      </c>
      <c r="E13" s="45" t="str">
        <f>""</f>
        <v/>
      </c>
      <c r="F13" s="45" t="str">
        <f>"1.636***"</f>
        <v>1.636***</v>
      </c>
      <c r="G13" s="45" t="str">
        <f>"(0.19)"</f>
        <v>(0.19)</v>
      </c>
      <c r="H13" s="48"/>
      <c r="I13" s="48" t="str">
        <f>"0.550**"</f>
        <v>0.550**</v>
      </c>
      <c r="J13" s="48" t="str">
        <f>"(0.17)"</f>
        <v>(0.17)</v>
      </c>
      <c r="K13" s="48" t="str">
        <f>""</f>
        <v/>
      </c>
      <c r="L13" s="48" t="str">
        <f>""</f>
        <v/>
      </c>
      <c r="M13" s="48" t="str">
        <f>"0.304"</f>
        <v>0.304</v>
      </c>
      <c r="N13" s="48" t="str">
        <f>"(0.17)"</f>
        <v>(0.17)</v>
      </c>
      <c r="O13" s="26"/>
      <c r="P13" s="26"/>
      <c r="Q13" s="26"/>
      <c r="R13" s="26"/>
      <c r="S13" s="26"/>
    </row>
    <row r="14" spans="1:19">
      <c r="A14" s="44" t="s">
        <v>67</v>
      </c>
      <c r="B14" s="48"/>
      <c r="C14" s="48"/>
      <c r="D14" s="45" t="str">
        <f>"2.409*"</f>
        <v>2.409*</v>
      </c>
      <c r="E14" s="45" t="str">
        <f>"(1.00)"</f>
        <v>(1.00)</v>
      </c>
      <c r="F14" s="45" t="str">
        <f>"-0.256"</f>
        <v>-0.256</v>
      </c>
      <c r="G14" s="45" t="str">
        <f>"(0.94)"</f>
        <v>(0.94)</v>
      </c>
      <c r="H14" s="48"/>
      <c r="I14" s="48"/>
      <c r="J14" s="48"/>
      <c r="K14" s="48" t="str">
        <f>"4.510***"</f>
        <v>4.510***</v>
      </c>
      <c r="L14" s="48" t="str">
        <f>"(0.89)"</f>
        <v>(0.89)</v>
      </c>
      <c r="M14" s="48" t="str">
        <f>"3.922***"</f>
        <v>3.922***</v>
      </c>
      <c r="N14" s="48" t="str">
        <f>"(0.95)"</f>
        <v>(0.95)</v>
      </c>
      <c r="O14" s="26"/>
      <c r="P14" s="26"/>
      <c r="Q14" s="26"/>
      <c r="R14" s="26"/>
      <c r="S14" s="26"/>
    </row>
    <row r="15" spans="1:19">
      <c r="A15" s="44" t="s">
        <v>24</v>
      </c>
      <c r="B15" s="45" t="str">
        <f>"24.34"</f>
        <v>24.34</v>
      </c>
      <c r="C15" s="45" t="str">
        <f>""</f>
        <v/>
      </c>
      <c r="D15" s="45" t="str">
        <f>"90.99"</f>
        <v>90.99</v>
      </c>
      <c r="E15" s="45" t="str">
        <f>""</f>
        <v/>
      </c>
      <c r="F15" s="45" t="str">
        <f>"26.26"</f>
        <v>26.26</v>
      </c>
      <c r="G15" s="45"/>
      <c r="H15" s="48"/>
      <c r="I15" s="45" t="str">
        <f>"46.49"</f>
        <v>46.49</v>
      </c>
      <c r="J15" s="45" t="str">
        <f>""</f>
        <v/>
      </c>
      <c r="K15" s="45" t="str">
        <f>"33.78"</f>
        <v>33.78</v>
      </c>
      <c r="L15" s="45" t="str">
        <f>""</f>
        <v/>
      </c>
      <c r="M15" s="45" t="str">
        <f>"32.77"</f>
        <v>32.77</v>
      </c>
      <c r="N15" s="48"/>
      <c r="O15" s="26"/>
      <c r="P15" s="26"/>
      <c r="Q15" s="26"/>
      <c r="R15" s="26"/>
      <c r="S15" s="26"/>
    </row>
    <row r="16" spans="1:19">
      <c r="A16" s="44" t="s">
        <v>25</v>
      </c>
      <c r="B16" s="45" t="str">
        <f>"50.45"</f>
        <v>50.45</v>
      </c>
      <c r="C16" s="45" t="str">
        <f>""</f>
        <v/>
      </c>
      <c r="D16" s="45" t="str">
        <f>"117.1"</f>
        <v>117.1</v>
      </c>
      <c r="E16" s="45" t="str">
        <f>""</f>
        <v/>
      </c>
      <c r="F16" s="45" t="str">
        <f>"56.10"</f>
        <v>56.10</v>
      </c>
      <c r="G16" s="45"/>
      <c r="H16" s="48"/>
      <c r="I16" s="45" t="str">
        <f>"76.33"</f>
        <v>76.33</v>
      </c>
      <c r="J16" s="45" t="str">
        <f>""</f>
        <v/>
      </c>
      <c r="K16" s="45" t="str">
        <f>"63.62"</f>
        <v>63.62</v>
      </c>
      <c r="L16" s="45" t="str">
        <f>""</f>
        <v/>
      </c>
      <c r="M16" s="45" t="str">
        <f>"66.34"</f>
        <v>66.34</v>
      </c>
      <c r="N16" s="48"/>
      <c r="O16" s="26"/>
      <c r="P16" s="26"/>
      <c r="Q16" s="26"/>
      <c r="R16" s="26"/>
      <c r="S16" s="26"/>
    </row>
    <row r="17" spans="1:19">
      <c r="A17" s="50" t="s">
        <v>46</v>
      </c>
      <c r="B17" s="50"/>
      <c r="C17" s="50"/>
      <c r="D17" s="50"/>
      <c r="E17" s="50"/>
      <c r="F17" s="50"/>
      <c r="G17" s="47"/>
      <c r="H17" s="48"/>
      <c r="I17" s="48"/>
      <c r="J17" s="48"/>
      <c r="K17" s="48"/>
      <c r="L17" s="48"/>
      <c r="M17" s="48"/>
      <c r="N17" s="47"/>
      <c r="O17" s="26"/>
      <c r="P17" s="26"/>
      <c r="Q17" s="26"/>
      <c r="R17" s="26"/>
      <c r="S17" s="26"/>
    </row>
    <row r="18" spans="1:19">
      <c r="A18" s="44" t="s">
        <v>65</v>
      </c>
      <c r="B18" s="45" t="str">
        <f>"0.129***"</f>
        <v>0.129***</v>
      </c>
      <c r="C18" s="45" t="str">
        <f>"(0.03)"</f>
        <v>(0.03)</v>
      </c>
      <c r="D18" s="45" t="str">
        <f>"0.158***"</f>
        <v>0.158***</v>
      </c>
      <c r="E18" s="45" t="str">
        <f>"(0.03)"</f>
        <v>(0.03)</v>
      </c>
      <c r="F18" s="45" t="str">
        <f>"0.134***"</f>
        <v>0.134***</v>
      </c>
      <c r="G18" s="45" t="str">
        <f>"(0.03)"</f>
        <v>(0.03)</v>
      </c>
      <c r="H18" s="48"/>
      <c r="I18" s="48" t="str">
        <f>"0.132***"</f>
        <v>0.132***</v>
      </c>
      <c r="J18" s="48" t="str">
        <f>"(0.03)"</f>
        <v>(0.03)</v>
      </c>
      <c r="K18" s="48" t="str">
        <f>"0.141***"</f>
        <v>0.141***</v>
      </c>
      <c r="L18" s="48" t="str">
        <f>"(0.03)"</f>
        <v>(0.03)</v>
      </c>
      <c r="M18" s="48" t="str">
        <f>"0.134***"</f>
        <v>0.134***</v>
      </c>
      <c r="N18" s="48" t="str">
        <f>"(0.03)"</f>
        <v>(0.03)</v>
      </c>
      <c r="O18" s="26"/>
      <c r="P18" s="26"/>
      <c r="Q18" s="26"/>
      <c r="R18" s="26"/>
      <c r="S18" s="26"/>
    </row>
    <row r="19" spans="1:19">
      <c r="A19" s="44" t="s">
        <v>66</v>
      </c>
      <c r="B19" s="45" t="str">
        <f>"0.182**"</f>
        <v>0.182**</v>
      </c>
      <c r="C19" s="45" t="str">
        <f>"(0.06)"</f>
        <v>(0.06)</v>
      </c>
      <c r="D19" s="45" t="str">
        <f>""</f>
        <v/>
      </c>
      <c r="E19" s="45" t="str">
        <f>""</f>
        <v/>
      </c>
      <c r="F19" s="45" t="str">
        <f>"0.212***"</f>
        <v>0.212***</v>
      </c>
      <c r="G19" s="45" t="str">
        <f>"(0.06)"</f>
        <v>(0.06)</v>
      </c>
      <c r="H19" s="48"/>
      <c r="I19" s="48" t="str">
        <f>"0.0478"</f>
        <v>0.0478</v>
      </c>
      <c r="J19" s="48" t="str">
        <f>"(0.06)"</f>
        <v>(0.06)</v>
      </c>
      <c r="K19" s="48" t="str">
        <f>""</f>
        <v/>
      </c>
      <c r="L19" s="48" t="str">
        <f>""</f>
        <v/>
      </c>
      <c r="M19" s="48" t="str">
        <f>"0.0636"</f>
        <v>0.0636</v>
      </c>
      <c r="N19" s="48" t="str">
        <f>"(0.06)"</f>
        <v>(0.06)</v>
      </c>
      <c r="O19" s="26"/>
      <c r="P19" s="26"/>
      <c r="Q19" s="26"/>
      <c r="R19" s="26"/>
      <c r="S19" s="26"/>
    </row>
    <row r="20" spans="1:19">
      <c r="A20" s="44" t="s">
        <v>67</v>
      </c>
      <c r="B20" s="48"/>
      <c r="C20" s="48"/>
      <c r="D20" s="45" t="str">
        <f>"-0.167"</f>
        <v>-0.167</v>
      </c>
      <c r="E20" s="45" t="str">
        <f>"(0.26)"</f>
        <v>(0.26)</v>
      </c>
      <c r="F20" s="45" t="str">
        <f>"-0.439"</f>
        <v>-0.439</v>
      </c>
      <c r="G20" s="45" t="str">
        <f>"(0.27)"</f>
        <v>(0.27)</v>
      </c>
      <c r="H20" s="48"/>
      <c r="I20" s="48"/>
      <c r="J20" s="48"/>
      <c r="K20" s="48" t="str">
        <f>"-0.138"</f>
        <v>-0.138</v>
      </c>
      <c r="L20" s="48" t="str">
        <f>"(0.24)"</f>
        <v>(0.24)</v>
      </c>
      <c r="M20" s="48" t="str">
        <f>"-0.219"</f>
        <v>-0.219</v>
      </c>
      <c r="N20" s="48" t="str">
        <f>"(0.25)"</f>
        <v>(0.25)</v>
      </c>
      <c r="O20" s="26"/>
      <c r="P20" s="26"/>
      <c r="Q20" s="26"/>
      <c r="R20" s="26"/>
      <c r="S20" s="26"/>
    </row>
    <row r="21" spans="1:19">
      <c r="A21" s="44" t="s">
        <v>24</v>
      </c>
      <c r="B21" s="45" t="str">
        <f>"70.80"</f>
        <v>70.80</v>
      </c>
      <c r="C21" s="45" t="str">
        <f>""</f>
        <v/>
      </c>
      <c r="D21" s="45" t="str">
        <f>"79.76"</f>
        <v>79.76</v>
      </c>
      <c r="E21" s="45" t="str">
        <f>""</f>
        <v/>
      </c>
      <c r="F21" s="45" t="str">
        <f>"70.13"</f>
        <v>70.13</v>
      </c>
      <c r="G21" s="45"/>
      <c r="H21" s="48"/>
      <c r="I21" s="45" t="str">
        <f>"29.36"</f>
        <v>29.36</v>
      </c>
      <c r="J21" s="45" t="str">
        <f>""</f>
        <v/>
      </c>
      <c r="K21" s="45" t="str">
        <f>"31.74"</f>
        <v>31.74</v>
      </c>
      <c r="L21" s="45" t="str">
        <f>""</f>
        <v/>
      </c>
      <c r="M21" s="45" t="str">
        <f>"32.61"</f>
        <v>32.61</v>
      </c>
      <c r="N21" s="48"/>
      <c r="O21" s="26"/>
      <c r="P21" s="26"/>
      <c r="Q21" s="26"/>
      <c r="R21" s="26"/>
      <c r="S21" s="26"/>
    </row>
    <row r="22" spans="1:19">
      <c r="A22" s="44" t="s">
        <v>25</v>
      </c>
      <c r="B22" s="45" t="str">
        <f>"96.92"</f>
        <v>96.92</v>
      </c>
      <c r="C22" s="45" t="str">
        <f>""</f>
        <v/>
      </c>
      <c r="D22" s="45" t="str">
        <f>"105.9"</f>
        <v>105.9</v>
      </c>
      <c r="E22" s="45" t="str">
        <f>""</f>
        <v/>
      </c>
      <c r="F22" s="45" t="str">
        <f>"99.97"</f>
        <v>99.97</v>
      </c>
      <c r="G22" s="45"/>
      <c r="H22" s="48"/>
      <c r="I22" s="45" t="str">
        <f>"55.47"</f>
        <v>55.47</v>
      </c>
      <c r="J22" s="45" t="str">
        <f>""</f>
        <v/>
      </c>
      <c r="K22" s="45" t="str">
        <f>"61.58"</f>
        <v>61.58</v>
      </c>
      <c r="L22" s="45" t="str">
        <f>""</f>
        <v/>
      </c>
      <c r="M22" s="45" t="str">
        <f>"66.18"</f>
        <v>66.18</v>
      </c>
      <c r="N22" s="48"/>
      <c r="O22" s="26"/>
      <c r="P22" s="26"/>
      <c r="Q22" s="26"/>
      <c r="R22" s="26"/>
      <c r="S22" s="26"/>
    </row>
    <row r="23" spans="1:19">
      <c r="A23" s="50" t="s">
        <v>69</v>
      </c>
      <c r="B23" s="50"/>
      <c r="C23" s="50"/>
      <c r="D23" s="50"/>
      <c r="E23" s="50"/>
      <c r="F23" s="50"/>
      <c r="G23" s="47"/>
      <c r="H23" s="48"/>
      <c r="I23" s="48"/>
      <c r="J23" s="48"/>
      <c r="K23" s="48"/>
      <c r="L23" s="48"/>
      <c r="M23" s="48"/>
      <c r="N23" s="47"/>
      <c r="O23" s="26"/>
      <c r="P23" s="26"/>
      <c r="Q23" s="26"/>
      <c r="R23" s="26"/>
      <c r="S23" s="26"/>
    </row>
    <row r="24" spans="1:19">
      <c r="A24" s="44" t="s">
        <v>65</v>
      </c>
      <c r="B24" s="45" t="str">
        <f>"0.633***"</f>
        <v>0.633***</v>
      </c>
      <c r="C24" s="45" t="str">
        <f>"(0.06)"</f>
        <v>(0.06)</v>
      </c>
      <c r="D24" s="45" t="str">
        <f>"0.610***"</f>
        <v>0.610***</v>
      </c>
      <c r="E24" s="45" t="str">
        <f>"(0.06)"</f>
        <v>(0.06)</v>
      </c>
      <c r="F24" s="45" t="str">
        <f>"0.630***"</f>
        <v>0.630***</v>
      </c>
      <c r="G24" s="45" t="str">
        <f>"(0.06)"</f>
        <v>(0.06)</v>
      </c>
      <c r="H24" s="48"/>
      <c r="I24" s="48" t="str">
        <f>"-0.0775"</f>
        <v>-0.0775</v>
      </c>
      <c r="J24" s="48" t="str">
        <f>"(0.06)"</f>
        <v>(0.06)</v>
      </c>
      <c r="K24" s="48" t="str">
        <f>"-0.0664"</f>
        <v>-0.0664</v>
      </c>
      <c r="L24" s="48" t="str">
        <f>"(0.06)"</f>
        <v>(0.06)</v>
      </c>
      <c r="M24" s="48" t="str">
        <f>"-0.0651"</f>
        <v>-0.0651</v>
      </c>
      <c r="N24" s="48" t="str">
        <f>"(0.06)"</f>
        <v>(0.06)</v>
      </c>
      <c r="O24" s="26"/>
      <c r="P24" s="26"/>
      <c r="Q24" s="26"/>
      <c r="R24" s="26"/>
      <c r="S24" s="26"/>
    </row>
    <row r="25" spans="1:19">
      <c r="A25" s="44" t="s">
        <v>66</v>
      </c>
      <c r="B25" s="45" t="str">
        <f>"0.659***"</f>
        <v>0.659***</v>
      </c>
      <c r="C25" s="45" t="str">
        <f>"(0.17)"</f>
        <v>(0.17)</v>
      </c>
      <c r="D25" s="45" t="str">
        <f>""</f>
        <v/>
      </c>
      <c r="E25" s="45" t="str">
        <f>""</f>
        <v/>
      </c>
      <c r="F25" s="45" t="str">
        <f>"0.683***"</f>
        <v>0.683***</v>
      </c>
      <c r="G25" s="45" t="str">
        <f>"(0.17)"</f>
        <v>(0.17)</v>
      </c>
      <c r="H25" s="48"/>
      <c r="I25" s="48" t="str">
        <f>"0.132"</f>
        <v>0.132</v>
      </c>
      <c r="J25" s="48" t="str">
        <f>"(0.17)"</f>
        <v>(0.17)</v>
      </c>
      <c r="K25" s="48" t="str">
        <f>""</f>
        <v/>
      </c>
      <c r="L25" s="48" t="str">
        <f>""</f>
        <v/>
      </c>
      <c r="M25" s="48" t="str">
        <f>"0.166"</f>
        <v>0.166</v>
      </c>
      <c r="N25" s="48" t="str">
        <f>"(0.17)"</f>
        <v>(0.17)</v>
      </c>
      <c r="O25" s="26"/>
      <c r="P25" s="26"/>
      <c r="Q25" s="26"/>
      <c r="R25" s="26"/>
      <c r="S25" s="26"/>
    </row>
    <row r="26" spans="1:19">
      <c r="A26" s="44" t="s">
        <v>67</v>
      </c>
      <c r="B26" s="48"/>
      <c r="C26" s="48"/>
      <c r="D26" s="45" t="str">
        <f>"-3.264**"</f>
        <v>-3.264**</v>
      </c>
      <c r="E26" s="45" t="str">
        <f>"(1.04)"</f>
        <v>(1.04)</v>
      </c>
      <c r="F26" s="45" t="str">
        <f>"-3.452***"</f>
        <v>-3.452***</v>
      </c>
      <c r="G26" s="45" t="str">
        <f>"(1.03)"</f>
        <v>(1.03)</v>
      </c>
      <c r="H26" s="48"/>
      <c r="I26" s="48"/>
      <c r="J26" s="48"/>
      <c r="K26" s="48" t="str">
        <f>"1.686"</f>
        <v>1.686</v>
      </c>
      <c r="L26" s="48" t="str">
        <f>"(1.25)"</f>
        <v>(1.25)</v>
      </c>
      <c r="M26" s="48" t="str">
        <f>"1.889"</f>
        <v>1.889</v>
      </c>
      <c r="N26" s="48" t="str">
        <f>"(1.21)"</f>
        <v>(1.21)</v>
      </c>
      <c r="O26" s="26"/>
      <c r="P26" s="26"/>
      <c r="Q26" s="26"/>
      <c r="R26" s="26"/>
      <c r="S26" s="26"/>
    </row>
    <row r="27" spans="1:19">
      <c r="A27" s="44" t="s">
        <v>24</v>
      </c>
      <c r="B27" s="45" t="str">
        <f>"2.635"</f>
        <v>2.635</v>
      </c>
      <c r="C27" s="45" t="str">
        <f>""</f>
        <v/>
      </c>
      <c r="D27" s="45" t="str">
        <f>"7.432"</f>
        <v>7.432</v>
      </c>
      <c r="E27" s="45" t="str">
        <f>""</f>
        <v/>
      </c>
      <c r="F27" s="45" t="str">
        <f>"-6.482"</f>
        <v>-6.482</v>
      </c>
      <c r="G27" s="45"/>
      <c r="H27" s="48"/>
      <c r="I27" s="45" t="str">
        <f>"58.28"</f>
        <v>58.28</v>
      </c>
      <c r="J27" s="45" t="str">
        <f>""</f>
        <v/>
      </c>
      <c r="K27" s="45" t="str">
        <f>"57.46"</f>
        <v>57.46</v>
      </c>
      <c r="L27" s="45" t="str">
        <f>""</f>
        <v/>
      </c>
      <c r="M27" s="45" t="str">
        <f>"58.57"</f>
        <v>58.57</v>
      </c>
      <c r="N27" s="48"/>
      <c r="O27" s="26"/>
      <c r="P27" s="26"/>
      <c r="Q27" s="26"/>
      <c r="R27" s="26"/>
      <c r="S27" s="26"/>
    </row>
    <row r="28" spans="1:19">
      <c r="A28" s="44" t="s">
        <v>25</v>
      </c>
      <c r="B28" s="45" t="str">
        <f>"28.75"</f>
        <v>28.75</v>
      </c>
      <c r="C28" s="45" t="str">
        <f>""</f>
        <v/>
      </c>
      <c r="D28" s="45" t="str">
        <f>"33.54"</f>
        <v>33.54</v>
      </c>
      <c r="E28" s="45" t="str">
        <f>""</f>
        <v/>
      </c>
      <c r="F28" s="45" t="str">
        <f>"23.36"</f>
        <v>23.36</v>
      </c>
      <c r="G28" s="45"/>
      <c r="H28" s="48"/>
      <c r="I28" s="45" t="str">
        <f>"88.12"</f>
        <v>88.12</v>
      </c>
      <c r="J28" s="45" t="str">
        <f>""</f>
        <v/>
      </c>
      <c r="K28" s="45" t="str">
        <f>"87.30"</f>
        <v>87.30</v>
      </c>
      <c r="L28" s="45" t="str">
        <f>""</f>
        <v/>
      </c>
      <c r="M28" s="45" t="str">
        <f>"92.14"</f>
        <v>92.14</v>
      </c>
      <c r="N28" s="48"/>
      <c r="O28" s="26"/>
      <c r="P28" s="26"/>
      <c r="Q28" s="26"/>
      <c r="R28" s="26"/>
      <c r="S28" s="26"/>
    </row>
    <row r="29" spans="1:19">
      <c r="A29" s="50" t="s">
        <v>59</v>
      </c>
      <c r="B29" s="50"/>
      <c r="C29" s="50"/>
      <c r="D29" s="50"/>
      <c r="E29" s="50"/>
      <c r="F29" s="50"/>
      <c r="G29" s="47"/>
      <c r="H29" s="48"/>
      <c r="I29" s="48"/>
      <c r="J29" s="48"/>
      <c r="K29" s="48"/>
      <c r="L29" s="48"/>
      <c r="M29" s="48"/>
      <c r="N29" s="47"/>
      <c r="O29" s="26"/>
      <c r="P29" s="26"/>
      <c r="Q29" s="26"/>
      <c r="R29" s="26"/>
      <c r="S29" s="26"/>
    </row>
    <row r="30" spans="1:19">
      <c r="A30" s="44" t="s">
        <v>65</v>
      </c>
      <c r="B30" s="45" t="str">
        <f>"0.669***"</f>
        <v>0.669***</v>
      </c>
      <c r="C30" s="45" t="str">
        <f>"(0.06)"</f>
        <v>(0.06)</v>
      </c>
      <c r="D30" s="45" t="str">
        <f>"0.645***"</f>
        <v>0.645***</v>
      </c>
      <c r="E30" s="45" t="str">
        <f>"(0.05)"</f>
        <v>(0.05)</v>
      </c>
      <c r="F30" s="45" t="str">
        <f>"0.659***"</f>
        <v>0.659***</v>
      </c>
      <c r="G30" s="45" t="str">
        <f>"(0.05)"</f>
        <v>(0.05)</v>
      </c>
      <c r="H30" s="48"/>
      <c r="I30" s="48" t="str">
        <f>"-0.0668"</f>
        <v>-0.0668</v>
      </c>
      <c r="J30" s="48" t="str">
        <f>"(0.07)"</f>
        <v>(0.07)</v>
      </c>
      <c r="K30" s="48" t="str">
        <f>"-0.0543"</f>
        <v>-0.0543</v>
      </c>
      <c r="L30" s="48" t="str">
        <f>"(0.06)"</f>
        <v>(0.06)</v>
      </c>
      <c r="M30" s="48" t="str">
        <f>"-0.0542"</f>
        <v>-0.0542</v>
      </c>
      <c r="N30" s="48" t="str">
        <f>"(0.06)"</f>
        <v>(0.06)</v>
      </c>
      <c r="O30" s="26"/>
      <c r="P30" s="26"/>
      <c r="Q30" s="26"/>
      <c r="R30" s="26"/>
      <c r="S30" s="26"/>
    </row>
    <row r="31" spans="1:19">
      <c r="A31" s="44" t="s">
        <v>66</v>
      </c>
      <c r="B31" s="45" t="str">
        <f>"0.599***"</f>
        <v>0.599***</v>
      </c>
      <c r="C31" s="45" t="str">
        <f>"(0.17)"</f>
        <v>(0.17)</v>
      </c>
      <c r="D31" s="45" t="str">
        <f>""</f>
        <v/>
      </c>
      <c r="E31" s="45" t="str">
        <f>""</f>
        <v/>
      </c>
      <c r="F31" s="45" t="str">
        <f>"0.600***"</f>
        <v>0.600***</v>
      </c>
      <c r="G31" s="45" t="str">
        <f>"(0.16)"</f>
        <v>(0.16)</v>
      </c>
      <c r="H31" s="48"/>
      <c r="I31" s="48" t="str">
        <f>"0.146"</f>
        <v>0.146</v>
      </c>
      <c r="J31" s="48" t="str">
        <f>"(0.17)"</f>
        <v>(0.17)</v>
      </c>
      <c r="K31" s="48" t="str">
        <f>""</f>
        <v/>
      </c>
      <c r="L31" s="48" t="str">
        <f>""</f>
        <v/>
      </c>
      <c r="M31" s="48" t="str">
        <f>"0.179"</f>
        <v>0.179</v>
      </c>
      <c r="N31" s="48" t="str">
        <f>"(0.17)"</f>
        <v>(0.17)</v>
      </c>
      <c r="O31" s="26"/>
      <c r="P31" s="26"/>
      <c r="Q31" s="26"/>
      <c r="R31" s="26"/>
      <c r="S31" s="26"/>
    </row>
    <row r="32" spans="1:19">
      <c r="A32" s="44" t="s">
        <v>67</v>
      </c>
      <c r="B32" s="48"/>
      <c r="C32" s="48"/>
      <c r="D32" s="45" t="str">
        <f>"-3.232**"</f>
        <v>-3.232**</v>
      </c>
      <c r="E32" s="45" t="str">
        <f>"(1.04)"</f>
        <v>(1.04)</v>
      </c>
      <c r="F32" s="45" t="str">
        <f>"-3.254**"</f>
        <v>-3.254**</v>
      </c>
      <c r="G32" s="45" t="str">
        <f>"(1.03)"</f>
        <v>(1.03)</v>
      </c>
      <c r="H32" s="48"/>
      <c r="I32" s="48"/>
      <c r="J32" s="48"/>
      <c r="K32" s="48" t="str">
        <f>"1.253"</f>
        <v>1.253</v>
      </c>
      <c r="L32" s="48" t="str">
        <f>"(1.25)"</f>
        <v>(1.25)</v>
      </c>
      <c r="M32" s="48" t="str">
        <f>"1.525"</f>
        <v>1.525</v>
      </c>
      <c r="N32" s="48" t="str">
        <f>"(1.30)"</f>
        <v>(1.30)</v>
      </c>
      <c r="O32" s="26"/>
      <c r="P32" s="26"/>
      <c r="Q32" s="26"/>
      <c r="R32" s="26"/>
      <c r="S32" s="26"/>
    </row>
    <row r="33" spans="1:19">
      <c r="A33" s="44" t="s">
        <v>24</v>
      </c>
      <c r="B33" s="45" t="str">
        <f>"-16.57"</f>
        <v>-16.57</v>
      </c>
      <c r="C33" s="45" t="str">
        <f>""</f>
        <v/>
      </c>
      <c r="D33" s="45" t="str">
        <f>"-12.94"</f>
        <v>-12.94</v>
      </c>
      <c r="E33" s="45" t="str">
        <f>""</f>
        <v/>
      </c>
      <c r="F33" s="45" t="str">
        <f>"-24.41"</f>
        <v>-24.41</v>
      </c>
      <c r="G33" s="45"/>
      <c r="H33" s="48"/>
      <c r="I33" s="45" t="str">
        <f>"58.52"</f>
        <v>58.52</v>
      </c>
      <c r="J33" s="45" t="str">
        <f>""</f>
        <v/>
      </c>
      <c r="K33" s="45" t="str">
        <f>"58.46"</f>
        <v>58.46</v>
      </c>
      <c r="L33" s="45" t="str">
        <f>""</f>
        <v/>
      </c>
      <c r="M33" s="45" t="str">
        <f>"59.38"</f>
        <v>59.38</v>
      </c>
      <c r="N33" s="48"/>
      <c r="O33" s="26"/>
      <c r="P33" s="26"/>
      <c r="Q33" s="26"/>
      <c r="R33" s="26"/>
      <c r="S33" s="26"/>
    </row>
    <row r="34" spans="1:19">
      <c r="A34" s="44" t="s">
        <v>25</v>
      </c>
      <c r="B34" s="45" t="str">
        <f>"9.540"</f>
        <v>9.540</v>
      </c>
      <c r="C34" s="45" t="str">
        <f>""</f>
        <v/>
      </c>
      <c r="D34" s="45" t="str">
        <f>"13.17"</f>
        <v>13.17</v>
      </c>
      <c r="E34" s="45" t="str">
        <f>""</f>
        <v/>
      </c>
      <c r="F34" s="45" t="str">
        <f>"5.430"</f>
        <v>5.430</v>
      </c>
      <c r="G34" s="45"/>
      <c r="H34" s="48"/>
      <c r="I34" s="45" t="str">
        <f>"88.36"</f>
        <v>88.36</v>
      </c>
      <c r="J34" s="45" t="str">
        <f>""</f>
        <v/>
      </c>
      <c r="K34" s="45" t="str">
        <f>"88.30"</f>
        <v>88.30</v>
      </c>
      <c r="L34" s="45" t="str">
        <f>""</f>
        <v/>
      </c>
      <c r="M34" s="45" t="str">
        <f>"92.95"</f>
        <v>92.95</v>
      </c>
      <c r="N34" s="48"/>
      <c r="O34" s="26"/>
      <c r="P34" s="26"/>
      <c r="Q34" s="26"/>
      <c r="R34" s="26"/>
      <c r="S34" s="26"/>
    </row>
    <row r="35" spans="1:19">
      <c r="A35" s="50" t="s">
        <v>60</v>
      </c>
      <c r="B35" s="50"/>
      <c r="C35" s="50"/>
      <c r="D35" s="50"/>
      <c r="E35" s="50"/>
      <c r="F35" s="50"/>
      <c r="G35" s="47"/>
      <c r="H35" s="48"/>
      <c r="I35" s="48"/>
      <c r="J35" s="48"/>
      <c r="K35" s="48"/>
      <c r="L35" s="48"/>
      <c r="M35" s="48"/>
      <c r="N35" s="47"/>
      <c r="O35" s="26"/>
      <c r="P35" s="26"/>
      <c r="Q35" s="26"/>
      <c r="R35" s="26"/>
      <c r="S35" s="26"/>
    </row>
    <row r="36" spans="1:19">
      <c r="A36" s="44" t="s">
        <v>65</v>
      </c>
      <c r="B36" s="45" t="str">
        <f>"-0.116***"</f>
        <v>-0.116***</v>
      </c>
      <c r="C36" s="45" t="str">
        <f>"(0.03)"</f>
        <v>(0.03)</v>
      </c>
      <c r="D36" s="45" t="str">
        <f>"-0.118***"</f>
        <v>-0.118***</v>
      </c>
      <c r="E36" s="45" t="str">
        <f>"(0.03)"</f>
        <v>(0.03)</v>
      </c>
      <c r="F36" s="45" t="str">
        <f>"-0.118***"</f>
        <v>-0.118***</v>
      </c>
      <c r="G36" s="45" t="str">
        <f>"(0.03)"</f>
        <v>(0.03)</v>
      </c>
      <c r="H36" s="48"/>
      <c r="I36" s="48" t="str">
        <f>"-0.0431"</f>
        <v>-0.0431</v>
      </c>
      <c r="J36" s="48" t="str">
        <f>"(0.03)"</f>
        <v>(0.03)</v>
      </c>
      <c r="K36" s="48" t="str">
        <f>"-0.0432"</f>
        <v>-0.0432</v>
      </c>
      <c r="L36" s="48" t="str">
        <f>"(0.03)"</f>
        <v>(0.03)</v>
      </c>
      <c r="M36" s="48" t="str">
        <f>"-0.0445"</f>
        <v>-0.0445</v>
      </c>
      <c r="N36" s="48" t="str">
        <f>"(0.03)"</f>
        <v>(0.03)</v>
      </c>
      <c r="O36" s="26"/>
      <c r="P36" s="26"/>
      <c r="Q36" s="26"/>
      <c r="R36" s="26"/>
      <c r="S36" s="26"/>
    </row>
    <row r="37" spans="1:19">
      <c r="A37" s="44" t="s">
        <v>66</v>
      </c>
      <c r="B37" s="45" t="str">
        <f>"0.0142"</f>
        <v>0.0142</v>
      </c>
      <c r="C37" s="45" t="str">
        <f>"(0.08)"</f>
        <v>(0.08)</v>
      </c>
      <c r="D37" s="48"/>
      <c r="E37" s="48"/>
      <c r="F37" s="45" t="str">
        <f>"0.000403"</f>
        <v>0.000403</v>
      </c>
      <c r="G37" s="45" t="str">
        <f>"(0.08)"</f>
        <v>(0.08)</v>
      </c>
      <c r="H37" s="48"/>
      <c r="I37" s="48" t="str">
        <f>"-0.0406"</f>
        <v>-0.0406</v>
      </c>
      <c r="J37" s="48" t="str">
        <f>"(0.08)"</f>
        <v>(0.08)</v>
      </c>
      <c r="K37" s="48" t="str">
        <f>""</f>
        <v/>
      </c>
      <c r="L37" s="48" t="str">
        <f>""</f>
        <v/>
      </c>
      <c r="M37" s="48" t="str">
        <f>"-0.0569"</f>
        <v>-0.0569</v>
      </c>
      <c r="N37" s="48" t="str">
        <f>"(0.08)"</f>
        <v>(0.08)</v>
      </c>
      <c r="O37" s="26"/>
      <c r="P37" s="26"/>
      <c r="Q37" s="26"/>
      <c r="R37" s="26"/>
      <c r="S37" s="26"/>
    </row>
    <row r="38" spans="1:19">
      <c r="A38" s="44" t="s">
        <v>67</v>
      </c>
      <c r="B38" s="48"/>
      <c r="C38" s="48"/>
      <c r="D38" s="45" t="str">
        <f>"0.582"</f>
        <v>0.582</v>
      </c>
      <c r="E38" s="45" t="str">
        <f>"(0.44)"</f>
        <v>(0.44)</v>
      </c>
      <c r="F38" s="45" t="str">
        <f>"0.582"</f>
        <v>0.582</v>
      </c>
      <c r="G38" s="45" t="str">
        <f>"(0.44)"</f>
        <v>(0.44)</v>
      </c>
      <c r="H38" s="48"/>
      <c r="I38" s="48"/>
      <c r="J38" s="48"/>
      <c r="K38" s="48" t="str">
        <f>"1.456**"</f>
        <v>1.456**</v>
      </c>
      <c r="L38" s="48" t="str">
        <f>"(0.48)"</f>
        <v>(0.48)</v>
      </c>
      <c r="M38" s="48" t="str">
        <f>"1.497**"</f>
        <v>1.497**</v>
      </c>
      <c r="N38" s="48" t="str">
        <f>"(0.48)"</f>
        <v>(0.48)</v>
      </c>
      <c r="O38" s="26"/>
      <c r="P38" s="26"/>
      <c r="Q38" s="26"/>
      <c r="R38" s="26"/>
      <c r="S38" s="26"/>
    </row>
    <row r="39" spans="1:19">
      <c r="A39" s="44" t="s">
        <v>24</v>
      </c>
      <c r="B39" s="45" t="str">
        <f>"93.56"</f>
        <v>93.56</v>
      </c>
      <c r="C39" s="45" t="str">
        <f>""</f>
        <v/>
      </c>
      <c r="D39" s="45" t="str">
        <f>"91.81"</f>
        <v>91.81</v>
      </c>
      <c r="E39" s="45" t="str">
        <f>""</f>
        <v/>
      </c>
      <c r="F39" s="45" t="str">
        <f>"93.81"</f>
        <v>93.81</v>
      </c>
      <c r="G39" s="45"/>
      <c r="H39" s="48"/>
      <c r="I39" s="45" t="str">
        <f>"57.61"</f>
        <v>57.61</v>
      </c>
      <c r="J39" s="45" t="str">
        <f>""</f>
        <v/>
      </c>
      <c r="K39" s="45" t="str">
        <f>"52.24"</f>
        <v>52.24</v>
      </c>
      <c r="L39" s="45" t="str">
        <f>""</f>
        <v/>
      </c>
      <c r="M39" s="45" t="str">
        <f>"53.68"</f>
        <v>53.68</v>
      </c>
      <c r="N39" s="48"/>
      <c r="O39" s="26"/>
      <c r="P39" s="26"/>
      <c r="Q39" s="26"/>
      <c r="R39" s="26"/>
      <c r="S39" s="26"/>
    </row>
    <row r="40" spans="1:19">
      <c r="A40" s="44" t="s">
        <v>25</v>
      </c>
      <c r="B40" s="45" t="str">
        <f>"119.7"</f>
        <v>119.7</v>
      </c>
      <c r="C40" s="45" t="str">
        <f>""</f>
        <v/>
      </c>
      <c r="D40" s="45" t="str">
        <f>"117.9"</f>
        <v>117.9</v>
      </c>
      <c r="E40" s="45" t="str">
        <f>""</f>
        <v/>
      </c>
      <c r="F40" s="45" t="str">
        <f>"123.7"</f>
        <v>123.7</v>
      </c>
      <c r="G40" s="45"/>
      <c r="H40" s="48"/>
      <c r="I40" s="45" t="str">
        <f>"87.45"</f>
        <v>87.45</v>
      </c>
      <c r="J40" s="45" t="str">
        <f>""</f>
        <v/>
      </c>
      <c r="K40" s="45" t="str">
        <f>"82.08"</f>
        <v>82.08</v>
      </c>
      <c r="L40" s="45" t="str">
        <f>""</f>
        <v/>
      </c>
      <c r="M40" s="45" t="str">
        <f>"87.25"</f>
        <v>87.25</v>
      </c>
      <c r="N40" s="48"/>
      <c r="O40" s="26"/>
      <c r="P40" s="26"/>
      <c r="Q40" s="26"/>
      <c r="R40" s="26"/>
      <c r="S40" s="26"/>
    </row>
    <row r="41" spans="1:19">
      <c r="A41" s="51" t="s">
        <v>68</v>
      </c>
      <c r="B41" s="51"/>
      <c r="C41" s="51"/>
      <c r="D41" s="51"/>
      <c r="E41" s="51"/>
      <c r="F41" s="51"/>
      <c r="G41" s="46"/>
      <c r="H41" s="48"/>
      <c r="I41" s="48"/>
      <c r="J41" s="48"/>
      <c r="K41" s="48"/>
      <c r="L41" s="48"/>
      <c r="M41" s="48"/>
      <c r="N41" s="46"/>
      <c r="O41" s="26"/>
      <c r="P41" s="26"/>
      <c r="Q41" s="26"/>
      <c r="R41" s="26"/>
      <c r="S41" s="26"/>
    </row>
    <row r="42" spans="1:19">
      <c r="A42" s="44" t="s">
        <v>65</v>
      </c>
      <c r="B42" s="45" t="str">
        <f>"0.624***"</f>
        <v>0.624***</v>
      </c>
      <c r="C42" s="45" t="str">
        <f>"(0.07)"</f>
        <v>(0.07)</v>
      </c>
      <c r="D42" s="45" t="str">
        <f>"0.596***"</f>
        <v>0.596***</v>
      </c>
      <c r="E42" s="45" t="str">
        <f>"(0.08)"</f>
        <v>(0.08)</v>
      </c>
      <c r="F42" s="45" t="str">
        <f>"0.622***"</f>
        <v>0.622***</v>
      </c>
      <c r="G42" s="45" t="str">
        <f>"(0.07)"</f>
        <v>(0.07)</v>
      </c>
      <c r="H42" s="48"/>
      <c r="I42" s="48" t="str">
        <f>"-0.117"</f>
        <v>-0.117</v>
      </c>
      <c r="J42" s="48" t="str">
        <f>"(0.08)"</f>
        <v>(0.08)</v>
      </c>
      <c r="K42" s="48" t="str">
        <f>"-0.0720"</f>
        <v>-0.0720</v>
      </c>
      <c r="L42" s="48" t="str">
        <f>"(0.08)"</f>
        <v>(0.08)</v>
      </c>
      <c r="M42" s="48" t="str">
        <f>"-0.0895"</f>
        <v>-0.0895</v>
      </c>
      <c r="N42" s="48" t="str">
        <f>"(0.08)"</f>
        <v>(0.08)</v>
      </c>
      <c r="O42" s="26"/>
      <c r="P42" s="26"/>
      <c r="Q42" s="26"/>
      <c r="R42" s="26"/>
      <c r="S42" s="26"/>
    </row>
    <row r="43" spans="1:19">
      <c r="A43" s="44" t="s">
        <v>66</v>
      </c>
      <c r="B43" s="45" t="str">
        <f>"1.594***"</f>
        <v>1.594***</v>
      </c>
      <c r="C43" s="45" t="str">
        <f>"(0.19)"</f>
        <v>(0.19)</v>
      </c>
      <c r="D43" s="45" t="str">
        <f>""</f>
        <v/>
      </c>
      <c r="E43" s="45" t="str">
        <f>""</f>
        <v/>
      </c>
      <c r="F43" s="45" t="str">
        <f>"1.649***"</f>
        <v>1.649***</v>
      </c>
      <c r="G43" s="45" t="str">
        <f>"(0.20)"</f>
        <v>(0.20)</v>
      </c>
      <c r="H43" s="48"/>
      <c r="I43" s="48" t="str">
        <f>"0.510**"</f>
        <v>0.510**</v>
      </c>
      <c r="J43" s="48" t="str">
        <f>"(0.18)"</f>
        <v>(0.18)</v>
      </c>
      <c r="K43" s="48" t="str">
        <f>""</f>
        <v/>
      </c>
      <c r="L43" s="48" t="str">
        <f>""</f>
        <v/>
      </c>
      <c r="M43" s="48" t="str">
        <f>"0.336"</f>
        <v>0.336</v>
      </c>
      <c r="N43" s="48" t="str">
        <f>"(0.18)"</f>
        <v>(0.18)</v>
      </c>
      <c r="O43" s="26"/>
      <c r="P43" s="26"/>
      <c r="Q43" s="26"/>
      <c r="R43" s="26"/>
      <c r="S43" s="26"/>
    </row>
    <row r="44" spans="1:19">
      <c r="A44" s="44" t="s">
        <v>67</v>
      </c>
      <c r="B44" s="48"/>
      <c r="C44" s="48"/>
      <c r="D44" s="45" t="str">
        <f>"1.192"</f>
        <v>1.192</v>
      </c>
      <c r="E44" s="45" t="str">
        <f>"(1.15)"</f>
        <v>(1.15)</v>
      </c>
      <c r="F44" s="45" t="str">
        <f>"-1.190"</f>
        <v>-1.190</v>
      </c>
      <c r="G44" s="45" t="str">
        <f>"(1.06)"</f>
        <v>(1.06)</v>
      </c>
      <c r="H44" s="48"/>
      <c r="I44" s="48"/>
      <c r="J44" s="48"/>
      <c r="K44" s="48" t="str">
        <f>"5.724***"</f>
        <v>5.724***</v>
      </c>
      <c r="L44" s="48" t="str">
        <f>"(1.16)"</f>
        <v>(1.16)</v>
      </c>
      <c r="M44" s="48" t="str">
        <f>"5.173***"</f>
        <v>5.173***</v>
      </c>
      <c r="N44" s="48" t="str">
        <f>"(1.17)"</f>
        <v>(1.17)</v>
      </c>
      <c r="O44" s="26"/>
      <c r="P44" s="26"/>
      <c r="Q44" s="26"/>
      <c r="R44" s="26"/>
      <c r="S44" s="26"/>
    </row>
    <row r="45" spans="1:19">
      <c r="A45" s="44" t="s">
        <v>24</v>
      </c>
      <c r="B45" s="45" t="str">
        <f>"-4.440"</f>
        <v>-4.440</v>
      </c>
      <c r="C45" s="45" t="str">
        <f>""</f>
        <v/>
      </c>
      <c r="D45" s="45" t="str">
        <f>"58.82"</f>
        <v>58.82</v>
      </c>
      <c r="E45" s="45" t="str">
        <f>""</f>
        <v/>
      </c>
      <c r="F45" s="45" t="str">
        <f>"-3.690"</f>
        <v>-3.690</v>
      </c>
      <c r="G45" s="45"/>
      <c r="H45" s="48"/>
      <c r="I45" s="45" t="str">
        <f>"50.97"</f>
        <v>50.97</v>
      </c>
      <c r="J45" s="45" t="str">
        <f>""</f>
        <v/>
      </c>
      <c r="K45" s="45" t="str">
        <f>"37.95"</f>
        <v>37.95</v>
      </c>
      <c r="L45" s="45" t="str">
        <f>""</f>
        <v/>
      </c>
      <c r="M45" s="45" t="str">
        <f>"36.44"</f>
        <v>36.44</v>
      </c>
      <c r="N45" s="48"/>
      <c r="O45" s="26"/>
      <c r="P45" s="26"/>
      <c r="Q45" s="26"/>
      <c r="R45" s="26"/>
      <c r="S45" s="26"/>
    </row>
    <row r="46" spans="1:19">
      <c r="A46" s="44" t="s">
        <v>25</v>
      </c>
      <c r="B46" s="45" t="str">
        <f>"21.67"</f>
        <v>21.67</v>
      </c>
      <c r="C46" s="45" t="str">
        <f>""</f>
        <v/>
      </c>
      <c r="D46" s="45" t="str">
        <f>"84.93"</f>
        <v>84.93</v>
      </c>
      <c r="E46" s="45" t="str">
        <f>""</f>
        <v/>
      </c>
      <c r="F46" s="45" t="str">
        <f>"26.15"</f>
        <v>26.15</v>
      </c>
      <c r="G46" s="45"/>
      <c r="H46" s="48"/>
      <c r="I46" s="45" t="str">
        <f>"80.81"</f>
        <v>80.81</v>
      </c>
      <c r="J46" s="45" t="str">
        <f>""</f>
        <v/>
      </c>
      <c r="K46" s="45" t="str">
        <f>"67.79"</f>
        <v>67.79</v>
      </c>
      <c r="L46" s="45" t="str">
        <f>""</f>
        <v/>
      </c>
      <c r="M46" s="45" t="str">
        <f>"70.01"</f>
        <v>70.01</v>
      </c>
      <c r="N46" s="48"/>
      <c r="O46" s="26"/>
      <c r="P46" s="26"/>
      <c r="Q46" s="26"/>
      <c r="R46" s="26"/>
      <c r="S46" s="26"/>
    </row>
    <row r="47" spans="1:19">
      <c r="A47" s="51" t="s">
        <v>71</v>
      </c>
      <c r="B47" s="51"/>
      <c r="C47" s="51"/>
      <c r="D47" s="51"/>
      <c r="E47" s="51"/>
      <c r="F47" s="51"/>
      <c r="G47" s="46"/>
      <c r="H47" s="48"/>
      <c r="I47" s="48"/>
      <c r="J47" s="48"/>
      <c r="K47" s="48"/>
      <c r="L47" s="48"/>
      <c r="M47" s="48"/>
      <c r="N47" s="46"/>
      <c r="O47" s="26"/>
      <c r="P47" s="26"/>
      <c r="Q47" s="26"/>
      <c r="R47" s="26"/>
      <c r="S47" s="26"/>
    </row>
    <row r="48" spans="1:19">
      <c r="A48" s="44" t="s">
        <v>65</v>
      </c>
      <c r="B48" s="45" t="str">
        <f>"0.611***"</f>
        <v>0.611***</v>
      </c>
      <c r="C48" s="45" t="str">
        <f>"(0.08)"</f>
        <v>(0.08)</v>
      </c>
      <c r="D48" s="45" t="str">
        <f>"0.591***"</f>
        <v>0.591***</v>
      </c>
      <c r="E48" s="45" t="str">
        <f>"(0.08)"</f>
        <v>(0.08)</v>
      </c>
      <c r="F48" s="45" t="str">
        <f>"0.608***"</f>
        <v>0.608***</v>
      </c>
      <c r="G48" s="45" t="str">
        <f>"(0.08)"</f>
        <v>(0.08)</v>
      </c>
      <c r="H48" s="48"/>
      <c r="I48" s="48" t="str">
        <f>"-0.157*"</f>
        <v>-0.157*</v>
      </c>
      <c r="J48" s="48" t="str">
        <f>"(0.08)"</f>
        <v>(0.08)</v>
      </c>
      <c r="K48" s="48" t="str">
        <f>"-0.101"</f>
        <v>-0.101</v>
      </c>
      <c r="L48" s="48" t="str">
        <f>"(0.08)"</f>
        <v>(0.08)</v>
      </c>
      <c r="M48" s="48" t="str">
        <f>"-0.117"</f>
        <v>-0.117</v>
      </c>
      <c r="N48" s="48" t="str">
        <f>"(0.08)"</f>
        <v>(0.08)</v>
      </c>
      <c r="O48" s="26"/>
      <c r="P48" s="26"/>
      <c r="Q48" s="26"/>
      <c r="R48" s="26"/>
      <c r="S48" s="26"/>
    </row>
    <row r="49" spans="1:19">
      <c r="A49" s="44" t="s">
        <v>66</v>
      </c>
      <c r="B49" s="45" t="str">
        <f>"1.523***"</f>
        <v>1.523***</v>
      </c>
      <c r="C49" s="45" t="str">
        <f>"(0.20)"</f>
        <v>(0.20)</v>
      </c>
      <c r="D49" s="45" t="str">
        <f>""</f>
        <v/>
      </c>
      <c r="E49" s="45" t="str">
        <f>""</f>
        <v/>
      </c>
      <c r="F49" s="45" t="str">
        <f>"1.554***"</f>
        <v>1.554***</v>
      </c>
      <c r="G49" s="45" t="str">
        <f>"(0.20)"</f>
        <v>(0.20)</v>
      </c>
      <c r="H49" s="48"/>
      <c r="I49" s="48" t="str">
        <f>"0.493**"</f>
        <v>0.493**</v>
      </c>
      <c r="J49" s="48" t="str">
        <f>"(0.18)"</f>
        <v>(0.18)</v>
      </c>
      <c r="K49" s="48" t="str">
        <f>""</f>
        <v/>
      </c>
      <c r="L49" s="48" t="str">
        <f>""</f>
        <v/>
      </c>
      <c r="M49" s="48" t="str">
        <f>"0.315"</f>
        <v>0.315</v>
      </c>
      <c r="N49" s="48" t="str">
        <f>"(0.18)"</f>
        <v>(0.18)</v>
      </c>
      <c r="O49" s="26"/>
      <c r="P49" s="26"/>
      <c r="Q49" s="26"/>
      <c r="R49" s="26"/>
      <c r="S49" s="26"/>
    </row>
    <row r="50" spans="1:19">
      <c r="A50" s="44" t="s">
        <v>67</v>
      </c>
      <c r="B50" s="48"/>
      <c r="C50" s="48"/>
      <c r="D50" s="45" t="str">
        <f>"1.489"</f>
        <v>1.489</v>
      </c>
      <c r="E50" s="45" t="str">
        <f>"(1.19)"</f>
        <v>(1.19)</v>
      </c>
      <c r="F50" s="45" t="str">
        <f>"-0.722"</f>
        <v>-0.722</v>
      </c>
      <c r="G50" s="45" t="str">
        <f>"(1.11)"</f>
        <v>(1.11)</v>
      </c>
      <c r="H50" s="45"/>
      <c r="I50" s="48"/>
      <c r="J50" s="48"/>
      <c r="K50" s="48" t="str">
        <f>"5.815***"</f>
        <v>5.815***</v>
      </c>
      <c r="L50" s="48" t="str">
        <f>"(1.16)"</f>
        <v>(1.16)</v>
      </c>
      <c r="M50" s="48" t="str">
        <f>"5.286***"</f>
        <v>5.286***</v>
      </c>
      <c r="N50" s="48" t="str">
        <f>"(1.21)"</f>
        <v>(1.21)</v>
      </c>
      <c r="O50" s="26"/>
      <c r="P50" s="26"/>
      <c r="Q50" s="26"/>
      <c r="R50" s="26"/>
      <c r="S50" s="26"/>
    </row>
    <row r="51" spans="1:19">
      <c r="A51" s="44" t="s">
        <v>24</v>
      </c>
      <c r="B51" s="45" t="str">
        <f>"3.903"</f>
        <v>3.903</v>
      </c>
      <c r="C51" s="45" t="str">
        <f>""</f>
        <v/>
      </c>
      <c r="D51" s="45" t="str">
        <f>"60.35"</f>
        <v>60.35</v>
      </c>
      <c r="E51" s="45" t="str">
        <f>""</f>
        <v/>
      </c>
      <c r="F51" s="45" t="str">
        <f>"5.484"</f>
        <v>5.484</v>
      </c>
      <c r="G51" s="45"/>
      <c r="H51" s="45"/>
      <c r="I51" s="45" t="str">
        <f>"50.04"</f>
        <v>50.04</v>
      </c>
      <c r="J51" s="45" t="str">
        <f>""</f>
        <v/>
      </c>
      <c r="K51" s="45" t="str">
        <f>"36.50"</f>
        <v>36.50</v>
      </c>
      <c r="L51" s="45" t="str">
        <f>""</f>
        <v/>
      </c>
      <c r="M51" s="45" t="str">
        <f>"35.47"</f>
        <v>35.47</v>
      </c>
      <c r="N51" s="48"/>
      <c r="O51" s="26"/>
      <c r="P51" s="26"/>
      <c r="Q51" s="26"/>
      <c r="R51" s="26"/>
      <c r="S51" s="26"/>
    </row>
    <row r="52" spans="1:19">
      <c r="A52" s="44" t="s">
        <v>25</v>
      </c>
      <c r="B52" s="45" t="str">
        <f>"30.01"</f>
        <v>30.01</v>
      </c>
      <c r="C52" s="45" t="str">
        <f>""</f>
        <v/>
      </c>
      <c r="D52" s="45" t="str">
        <f>"86.46"</f>
        <v>86.46</v>
      </c>
      <c r="E52" s="45" t="str">
        <f>""</f>
        <v/>
      </c>
      <c r="F52" s="45" t="str">
        <f>"35.32"</f>
        <v>35.32</v>
      </c>
      <c r="G52" s="45"/>
      <c r="H52" s="45"/>
      <c r="I52" s="45" t="str">
        <f>"79.88"</f>
        <v>79.88</v>
      </c>
      <c r="J52" s="45" t="str">
        <f>""</f>
        <v/>
      </c>
      <c r="K52" s="45" t="str">
        <f>"66.34"</f>
        <v>66.34</v>
      </c>
      <c r="L52" s="45" t="str">
        <f>""</f>
        <v/>
      </c>
      <c r="M52" s="45" t="str">
        <f>"69.04"</f>
        <v>69.04</v>
      </c>
      <c r="N52" s="48"/>
      <c r="O52" s="26"/>
      <c r="P52" s="26"/>
      <c r="Q52" s="26"/>
      <c r="R52" s="26"/>
      <c r="S52" s="26"/>
    </row>
    <row r="53" spans="1:19">
      <c r="A53" s="51" t="s">
        <v>72</v>
      </c>
      <c r="B53" s="51"/>
      <c r="C53" s="51"/>
      <c r="D53" s="51"/>
      <c r="E53" s="51"/>
      <c r="F53" s="51"/>
      <c r="G53" s="46"/>
      <c r="H53" s="48"/>
      <c r="I53" s="48"/>
      <c r="J53" s="48"/>
      <c r="K53" s="48"/>
      <c r="L53" s="48"/>
      <c r="M53" s="48"/>
      <c r="N53" s="46"/>
      <c r="O53" s="26"/>
      <c r="P53" s="26"/>
      <c r="Q53" s="26"/>
      <c r="R53" s="26"/>
      <c r="S53" s="26"/>
    </row>
    <row r="54" spans="1:19">
      <c r="A54" s="44" t="s">
        <v>65</v>
      </c>
      <c r="B54" s="45" t="str">
        <f>"0.0819*"</f>
        <v>0.0819*</v>
      </c>
      <c r="C54" s="45" t="str">
        <f>"(0.03)"</f>
        <v>(0.03)</v>
      </c>
      <c r="D54" s="45" t="str">
        <f>"0.0992**"</f>
        <v>0.0992**</v>
      </c>
      <c r="E54" s="45" t="str">
        <f>"(0.03)"</f>
        <v>(0.03)</v>
      </c>
      <c r="F54" s="45" t="str">
        <f>"0.0904**"</f>
        <v>0.0904**</v>
      </c>
      <c r="G54" s="45" t="str">
        <f>"(0.03)"</f>
        <v>(0.03)</v>
      </c>
      <c r="H54" s="48"/>
      <c r="I54" s="48" t="str">
        <f>"0.116***"</f>
        <v>0.116***</v>
      </c>
      <c r="J54" s="48" t="str">
        <f>"(0.03)"</f>
        <v>(0.03)</v>
      </c>
      <c r="K54" s="48" t="str">
        <f>"0.122***"</f>
        <v>0.122***</v>
      </c>
      <c r="L54" s="48" t="str">
        <f>"(0.03)"</f>
        <v>(0.03)</v>
      </c>
      <c r="M54" s="48" t="str">
        <f>"0.118***"</f>
        <v>0.118***</v>
      </c>
      <c r="N54" s="48" t="str">
        <f>"(0.03)"</f>
        <v>(0.03)</v>
      </c>
      <c r="O54" s="26"/>
      <c r="P54" s="26"/>
      <c r="Q54" s="26"/>
      <c r="R54" s="26"/>
      <c r="S54" s="26"/>
    </row>
    <row r="55" spans="1:19">
      <c r="A55" s="44" t="s">
        <v>66</v>
      </c>
      <c r="B55" s="45" t="str">
        <f>"0.267***"</f>
        <v>0.267***</v>
      </c>
      <c r="C55" s="45" t="str">
        <f>"(0.07)"</f>
        <v>(0.07)</v>
      </c>
      <c r="D55" s="45" t="str">
        <f>""</f>
        <v/>
      </c>
      <c r="E55" s="45" t="str">
        <f>""</f>
        <v/>
      </c>
      <c r="F55" s="45" t="str">
        <f>"0.305***"</f>
        <v>0.305***</v>
      </c>
      <c r="G55" s="45" t="str">
        <f>"(0.08)"</f>
        <v>(0.08)</v>
      </c>
      <c r="H55" s="48"/>
      <c r="I55" s="48" t="str">
        <f>"0.0999"</f>
        <v>0.0999</v>
      </c>
      <c r="J55" s="48" t="str">
        <f>"(0.07)"</f>
        <v>(0.07)</v>
      </c>
      <c r="K55" s="48" t="str">
        <f>""</f>
        <v/>
      </c>
      <c r="L55" s="48" t="str">
        <f>""</f>
        <v/>
      </c>
      <c r="M55" s="48" t="str">
        <f>"0.109"</f>
        <v>0.109</v>
      </c>
      <c r="N55" s="48" t="str">
        <f>"(0.07)"</f>
        <v>(0.07)</v>
      </c>
      <c r="O55" s="26"/>
      <c r="P55" s="26"/>
      <c r="Q55" s="26"/>
      <c r="R55" s="26"/>
      <c r="S55" s="26"/>
    </row>
    <row r="56" spans="1:19">
      <c r="A56" s="44" t="s">
        <v>67</v>
      </c>
      <c r="B56" s="48"/>
      <c r="C56" s="48"/>
      <c r="D56" s="45" t="str">
        <f>"0.0313"</f>
        <v>0.0313</v>
      </c>
      <c r="E56" s="45" t="str">
        <f>"(0.34)"</f>
        <v>(0.34)</v>
      </c>
      <c r="F56" s="45" t="str">
        <f>"-0.493"</f>
        <v>-0.493</v>
      </c>
      <c r="G56" s="45" t="str">
        <f>"(0.35)"</f>
        <v>(0.35)</v>
      </c>
      <c r="H56" s="45"/>
      <c r="I56" s="48"/>
      <c r="J56" s="48"/>
      <c r="K56" s="48" t="str">
        <f>"0.0429"</f>
        <v>0.0429</v>
      </c>
      <c r="L56" s="48" t="str">
        <f>"(0.31)"</f>
        <v>(0.31)</v>
      </c>
      <c r="M56" s="48" t="str">
        <f>"-0.128"</f>
        <v>-0.128</v>
      </c>
      <c r="N56" s="48" t="str">
        <f>"(0.33)"</f>
        <v>(0.33)</v>
      </c>
      <c r="O56" s="26"/>
      <c r="P56" s="26"/>
      <c r="Q56" s="26"/>
      <c r="R56" s="26"/>
      <c r="S56" s="26"/>
    </row>
    <row r="57" spans="1:19">
      <c r="A57" s="44" t="s">
        <v>24</v>
      </c>
      <c r="B57" s="45" t="str">
        <f>"86.74"</f>
        <v>86.74</v>
      </c>
      <c r="C57" s="45" t="str">
        <f>""</f>
        <v/>
      </c>
      <c r="D57" s="45" t="str">
        <f>"101.1"</f>
        <v>101.1</v>
      </c>
      <c r="E57" s="45" t="str">
        <f>""</f>
        <v/>
      </c>
      <c r="F57" s="45" t="str">
        <f>"86.81"</f>
        <v>86.81</v>
      </c>
      <c r="G57" s="45"/>
      <c r="H57" s="45"/>
      <c r="I57" s="45" t="str">
        <f>"42.25"</f>
        <v>42.25</v>
      </c>
      <c r="J57" s="45" t="str">
        <f>""</f>
        <v/>
      </c>
      <c r="K57" s="45" t="str">
        <f>"44.48"</f>
        <v>44.48</v>
      </c>
      <c r="L57" s="45" t="str">
        <f>""</f>
        <v/>
      </c>
      <c r="M57" s="45" t="str">
        <f>"44.10"</f>
        <v>44.10</v>
      </c>
      <c r="N57" s="48"/>
      <c r="O57" s="26"/>
      <c r="P57" s="26"/>
      <c r="Q57" s="26"/>
      <c r="R57" s="26"/>
      <c r="S57" s="26"/>
    </row>
    <row r="58" spans="1:19">
      <c r="A58" s="44" t="s">
        <v>25</v>
      </c>
      <c r="B58" s="45" t="str">
        <f>"112.9"</f>
        <v>112.9</v>
      </c>
      <c r="C58" s="45" t="str">
        <f>""</f>
        <v/>
      </c>
      <c r="D58" s="45" t="str">
        <f>"127.3"</f>
        <v>127.3</v>
      </c>
      <c r="E58" s="45" t="str">
        <f>""</f>
        <v/>
      </c>
      <c r="F58" s="45" t="str">
        <f>"116.6"</f>
        <v>116.6</v>
      </c>
      <c r="G58" s="45"/>
      <c r="H58" s="45"/>
      <c r="I58" s="45" t="str">
        <f>"72.09"</f>
        <v>72.09</v>
      </c>
      <c r="J58" s="45" t="str">
        <f>""</f>
        <v/>
      </c>
      <c r="K58" s="45" t="str">
        <f>"74.32"</f>
        <v>74.32</v>
      </c>
      <c r="L58" s="45" t="str">
        <f>""</f>
        <v/>
      </c>
      <c r="M58" s="45" t="str">
        <f>"77.67"</f>
        <v>77.67</v>
      </c>
      <c r="N58" s="48"/>
      <c r="O58" s="26"/>
      <c r="P58" s="26"/>
      <c r="Q58" s="26"/>
      <c r="R58" s="26"/>
      <c r="S58" s="26"/>
    </row>
    <row r="59" spans="1:19">
      <c r="A59" s="51" t="s">
        <v>74</v>
      </c>
      <c r="B59" s="51"/>
      <c r="C59" s="51"/>
      <c r="D59" s="51"/>
      <c r="E59" s="51"/>
      <c r="F59" s="51"/>
      <c r="G59" s="46"/>
      <c r="H59" s="48"/>
      <c r="I59" s="48"/>
      <c r="J59" s="48"/>
      <c r="K59" s="48"/>
      <c r="L59" s="48"/>
      <c r="M59" s="48"/>
      <c r="N59" s="46"/>
      <c r="O59" s="26"/>
      <c r="P59" s="26"/>
      <c r="Q59" s="26"/>
      <c r="R59" s="26"/>
      <c r="S59" s="32"/>
    </row>
    <row r="60" spans="1:19">
      <c r="A60" s="44" t="s">
        <v>65</v>
      </c>
      <c r="B60" s="45" t="str">
        <f>"0.602***"</f>
        <v>0.602***</v>
      </c>
      <c r="C60" s="45" t="str">
        <f>"(0.09)"</f>
        <v>(0.09)</v>
      </c>
      <c r="D60" s="45" t="str">
        <f>"0.605***"</f>
        <v>0.605***</v>
      </c>
      <c r="E60" s="45" t="str">
        <f>"(0.09)"</f>
        <v>(0.09)</v>
      </c>
      <c r="F60" s="45" t="str">
        <f>"0.612***"</f>
        <v>0.612***</v>
      </c>
      <c r="G60" s="45" t="str">
        <f>"(0.09)"</f>
        <v>(0.09)</v>
      </c>
      <c r="H60" s="48"/>
      <c r="I60" s="48" t="str">
        <f>"-0.00492"</f>
        <v>-0.00492</v>
      </c>
      <c r="J60" s="48" t="str">
        <f>"(0.09)"</f>
        <v>(0.09)</v>
      </c>
      <c r="K60" s="48" t="str">
        <f>"0.0520"</f>
        <v>0.0520</v>
      </c>
      <c r="L60" s="48" t="str">
        <f>"(0.09)"</f>
        <v>(0.09)</v>
      </c>
      <c r="M60" s="48" t="str">
        <f>"0.0349"</f>
        <v>0.0349</v>
      </c>
      <c r="N60" s="48" t="str">
        <f>"(0.09)"</f>
        <v>(0.09)</v>
      </c>
      <c r="O60" s="26"/>
      <c r="P60" s="26"/>
      <c r="Q60" s="26"/>
      <c r="R60" s="26"/>
      <c r="S60" s="26"/>
    </row>
    <row r="61" spans="1:19">
      <c r="A61" s="44" t="s">
        <v>66</v>
      </c>
      <c r="B61" s="45" t="str">
        <f>"1.265***"</f>
        <v>1.265***</v>
      </c>
      <c r="C61" s="45" t="str">
        <f>"(0.20)"</f>
        <v>(0.20)</v>
      </c>
      <c r="D61" s="45" t="str">
        <f>""</f>
        <v/>
      </c>
      <c r="E61" s="45" t="str">
        <f>""</f>
        <v/>
      </c>
      <c r="F61" s="45" t="str">
        <f>"1.456***"</f>
        <v>1.456***</v>
      </c>
      <c r="G61" s="45" t="str">
        <f>"(0.21)"</f>
        <v>(0.21)</v>
      </c>
      <c r="H61" s="48"/>
      <c r="I61" s="48" t="str">
        <f>"0.618**"</f>
        <v>0.618**</v>
      </c>
      <c r="J61" s="48" t="str">
        <f>"(0.20)"</f>
        <v>(0.20)</v>
      </c>
      <c r="K61" s="48" t="str">
        <f>""</f>
        <v/>
      </c>
      <c r="L61" s="48" t="str">
        <f>""</f>
        <v/>
      </c>
      <c r="M61" s="48" t="str">
        <f>"0.532**"</f>
        <v>0.532**</v>
      </c>
      <c r="N61" s="48" t="str">
        <f>"(0.20)"</f>
        <v>(0.20)</v>
      </c>
      <c r="O61" s="26"/>
      <c r="P61" s="26"/>
      <c r="Q61" s="26"/>
      <c r="R61" s="26"/>
      <c r="S61" s="26"/>
    </row>
    <row r="62" spans="1:19">
      <c r="A62" s="44" t="s">
        <v>67</v>
      </c>
      <c r="B62" s="48"/>
      <c r="C62" s="48"/>
      <c r="D62" s="45" t="str">
        <f>"-0.000877"</f>
        <v>-0.000877</v>
      </c>
      <c r="E62" s="45" t="str">
        <f>"(0.62)"</f>
        <v>(0.62)</v>
      </c>
      <c r="F62" s="45" t="str">
        <f>"-1.549*"</f>
        <v>-1.549*</v>
      </c>
      <c r="G62" s="45" t="str">
        <f>"(0.62)"</f>
        <v>(0.62)</v>
      </c>
      <c r="H62" s="48"/>
      <c r="I62" s="48"/>
      <c r="J62" s="48"/>
      <c r="K62" s="48" t="str">
        <f>"2.745***"</f>
        <v>2.745***</v>
      </c>
      <c r="L62" s="48" t="str">
        <f>"(0.61)"</f>
        <v>(0.61)</v>
      </c>
      <c r="M62" s="48" t="str">
        <f>"2.358***"</f>
        <v>2.358***</v>
      </c>
      <c r="N62" s="48" t="str">
        <f>"(0.64)"</f>
        <v>(0.64)</v>
      </c>
      <c r="O62" s="26"/>
      <c r="P62" s="26"/>
      <c r="Q62" s="26"/>
      <c r="R62" s="26"/>
      <c r="S62" s="26"/>
    </row>
    <row r="63" spans="1:19">
      <c r="A63" s="44" t="s">
        <v>24</v>
      </c>
      <c r="B63" s="45" t="str">
        <f>"32.22"</f>
        <v>32.22</v>
      </c>
      <c r="C63" s="45" t="str">
        <f>""</f>
        <v/>
      </c>
      <c r="D63" s="45" t="str">
        <f>"70.63"</f>
        <v>70.63</v>
      </c>
      <c r="E63" s="45" t="str">
        <f>""</f>
        <v/>
      </c>
      <c r="F63" s="45" t="str">
        <f>"28.03"</f>
        <v>28.03</v>
      </c>
      <c r="G63" s="45"/>
      <c r="H63" s="48"/>
      <c r="I63" s="45" t="str">
        <f>"50.70"</f>
        <v>50.70</v>
      </c>
      <c r="J63" s="45" t="str">
        <f>""</f>
        <v/>
      </c>
      <c r="K63" s="45" t="str">
        <f>"48.89"</f>
        <v>48.89</v>
      </c>
      <c r="L63" s="45" t="str">
        <f>""</f>
        <v/>
      </c>
      <c r="M63" s="45" t="str">
        <f>"45.74"</f>
        <v>45.74</v>
      </c>
      <c r="N63" s="48"/>
      <c r="O63" s="26"/>
      <c r="P63" s="26"/>
      <c r="Q63" s="26"/>
      <c r="R63" s="26"/>
      <c r="S63" s="26"/>
    </row>
    <row r="64" spans="1:19">
      <c r="A64" s="44" t="s">
        <v>25</v>
      </c>
      <c r="B64" s="45" t="str">
        <f>"58.33"</f>
        <v>58.33</v>
      </c>
      <c r="C64" s="45" t="str">
        <f>""</f>
        <v/>
      </c>
      <c r="D64" s="45" t="str">
        <f>"96.74"</f>
        <v>96.74</v>
      </c>
      <c r="E64" s="45" t="str">
        <f>""</f>
        <v/>
      </c>
      <c r="F64" s="45" t="str">
        <f>"57.87"</f>
        <v>57.87</v>
      </c>
      <c r="G64" s="45"/>
      <c r="H64" s="48"/>
      <c r="I64" s="45" t="str">
        <f>"80.54"</f>
        <v>80.54</v>
      </c>
      <c r="J64" s="45" t="str">
        <f>""</f>
        <v/>
      </c>
      <c r="K64" s="45" t="str">
        <f>"75.00"</f>
        <v>75.00</v>
      </c>
      <c r="L64" s="45" t="str">
        <f>""</f>
        <v/>
      </c>
      <c r="M64" s="45" t="str">
        <f>"79.31"</f>
        <v>79.31</v>
      </c>
      <c r="N64" s="48"/>
      <c r="O64" s="26"/>
      <c r="P64" s="26"/>
      <c r="Q64" s="26"/>
      <c r="R64" s="26"/>
      <c r="S64" s="26"/>
    </row>
    <row r="65" spans="1:19" ht="28.5" customHeight="1">
      <c r="A65" s="59" t="s">
        <v>73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26"/>
      <c r="P65" s="26"/>
      <c r="Q65" s="26"/>
      <c r="R65" s="26"/>
      <c r="S65" s="26"/>
    </row>
    <row r="66" spans="1:19">
      <c r="A66" s="26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26"/>
      <c r="P66" s="26"/>
      <c r="Q66" s="26"/>
      <c r="R66" s="26"/>
      <c r="S66" s="26"/>
    </row>
    <row r="67" spans="1:19"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26"/>
      <c r="P67" s="26"/>
      <c r="Q67" s="26"/>
      <c r="R67" s="26"/>
      <c r="S67" s="26"/>
    </row>
    <row r="68" spans="1:19">
      <c r="A68" s="26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26"/>
      <c r="P68" s="26"/>
      <c r="Q68" s="26"/>
      <c r="R68" s="26"/>
      <c r="S68" s="26"/>
    </row>
    <row r="69" spans="1:19">
      <c r="A69" s="26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26"/>
      <c r="P69" s="26"/>
      <c r="Q69" s="26"/>
      <c r="R69" s="26"/>
      <c r="S69" s="26"/>
    </row>
  </sheetData>
  <mergeCells count="10">
    <mergeCell ref="A65:N65"/>
    <mergeCell ref="A1:N1"/>
    <mergeCell ref="B2:G2"/>
    <mergeCell ref="I2:N2"/>
    <mergeCell ref="B3:C3"/>
    <mergeCell ref="D3:E3"/>
    <mergeCell ref="F3:G3"/>
    <mergeCell ref="I3:J3"/>
    <mergeCell ref="K3:L3"/>
    <mergeCell ref="M3:N3"/>
  </mergeCells>
  <pageMargins left="0.7" right="0.7" top="0.75" bottom="0.75" header="0.3" footer="0.3"/>
  <pageSetup paperSize="9" orientation="portrait"/>
  <ignoredErrors>
    <ignoredError sqref="A6:N10 A12:N64 A11 G11:N11" formula="1"/>
  </ignoredErrors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TA1. Desc Year</vt:lpstr>
      <vt:lpstr>TA2. Spatial AutoCorr</vt:lpstr>
      <vt:lpstr>TA3. Spatial Tests</vt:lpstr>
      <vt:lpstr>TA4. Hausman Tests</vt:lpstr>
      <vt:lpstr>TA5. Altern Com Defs</vt:lpstr>
      <vt:lpstr>TA6. 2020 Difference</vt:lpstr>
      <vt:lpstr>TA7_Summary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Evans</dc:creator>
  <cp:keywords/>
  <dc:description/>
  <cp:lastModifiedBy>Rhalf Dagunton</cp:lastModifiedBy>
  <cp:revision/>
  <dcterms:created xsi:type="dcterms:W3CDTF">2021-04-20T18:13:43Z</dcterms:created>
  <dcterms:modified xsi:type="dcterms:W3CDTF">2025-05-27T02:59:54Z</dcterms:modified>
  <cp:category/>
  <cp:contentStatus/>
</cp:coreProperties>
</file>