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-15" yWindow="5970" windowWidth="15375" windowHeight="2175" tabRatio="405"/>
  </bookViews>
  <sheets>
    <sheet name="calculations" sheetId="1" r:id="rId1"/>
    <sheet name="Sheet1" sheetId="2" r:id="rId2"/>
  </sheets>
  <calcPr calcId="145621"/>
  <customWorkbookViews>
    <customWorkbookView name="Dorothee Kottmeier - Persönliche Ansicht" guid="{450BA114-F55A-4005-81D2-705DE5125121}" mergeInterval="0" personalView="1" maximized="1" windowWidth="1676" windowHeight="825" tabRatio="405" activeSheetId="1"/>
  </customWorkbookViews>
</workbook>
</file>

<file path=xl/calcChain.xml><?xml version="1.0" encoding="utf-8"?>
<calcChain xmlns="http://schemas.openxmlformats.org/spreadsheetml/2006/main">
  <c r="C74" i="1" l="1"/>
  <c r="F67" i="1" l="1"/>
  <c r="C38" i="1" l="1"/>
  <c r="C48" i="1"/>
  <c r="F34" i="1"/>
  <c r="F73" i="1" l="1"/>
  <c r="F75" i="1"/>
  <c r="F76" i="1" s="1"/>
  <c r="C73" i="1" s="1"/>
  <c r="C68" i="1"/>
  <c r="F74" i="1"/>
  <c r="C75" i="1" l="1"/>
  <c r="C76" i="1" s="1"/>
  <c r="F43" i="1" s="1"/>
  <c r="F35" i="1" s="1"/>
  <c r="F69" i="1"/>
  <c r="F68" i="1" s="1"/>
  <c r="F66" i="1"/>
  <c r="C69" i="1"/>
  <c r="C66" i="1"/>
  <c r="C70" i="1"/>
  <c r="C62" i="1" s="1"/>
  <c r="C59" i="1"/>
  <c r="C61" i="1"/>
  <c r="C60" i="1"/>
  <c r="N31" i="1" l="1"/>
  <c r="F80" i="1"/>
  <c r="C43" i="1"/>
  <c r="C46" i="1" s="1"/>
  <c r="N35" i="1"/>
  <c r="C34" i="1"/>
  <c r="C37" i="1" l="1"/>
  <c r="C36" i="1"/>
  <c r="C40" i="1" s="1"/>
  <c r="C35" i="1"/>
  <c r="C67" i="1"/>
  <c r="N41" i="1"/>
  <c r="N44" i="1"/>
  <c r="C41" i="1" l="1"/>
  <c r="C39" i="1"/>
  <c r="F61" i="1"/>
  <c r="C47" i="1"/>
  <c r="C50" i="1" s="1"/>
  <c r="C45" i="1"/>
  <c r="C49" i="1" s="1"/>
  <c r="F59" i="1"/>
  <c r="F60" i="1"/>
  <c r="C27" i="1" l="1"/>
  <c r="C51" i="1"/>
  <c r="C26" i="1"/>
  <c r="F47" i="1" l="1"/>
  <c r="C53" i="1" l="1"/>
  <c r="F36" i="1"/>
  <c r="F44" i="1"/>
  <c r="F48" i="1" s="1"/>
  <c r="F49" i="1" s="1"/>
  <c r="C56" i="1" l="1"/>
  <c r="C57" i="1"/>
  <c r="C55" i="1"/>
  <c r="F45" i="1"/>
  <c r="F51" i="1"/>
  <c r="C54" i="1" s="1"/>
  <c r="C28" i="1" l="1"/>
  <c r="C29" i="1"/>
  <c r="K53" i="1" s="1"/>
  <c r="F55" i="1"/>
  <c r="N56" i="1" s="1"/>
  <c r="F54" i="1" l="1"/>
  <c r="M53" i="1" s="1"/>
  <c r="J61" i="1"/>
  <c r="N58" i="1"/>
  <c r="N57" i="1"/>
  <c r="N50" i="1"/>
  <c r="N49" i="1"/>
  <c r="N52" i="1"/>
  <c r="N59" i="1"/>
  <c r="N61" i="1"/>
  <c r="N54" i="1"/>
  <c r="N53" i="1"/>
  <c r="N55" i="1"/>
  <c r="N60" i="1"/>
  <c r="N51" i="1"/>
  <c r="K59" i="1"/>
  <c r="K61" i="1"/>
  <c r="K49" i="1"/>
  <c r="K54" i="1"/>
  <c r="K51" i="1"/>
  <c r="K55" i="1"/>
  <c r="K52" i="1"/>
  <c r="K56" i="1"/>
  <c r="K50" i="1"/>
  <c r="K57" i="1"/>
  <c r="K60" i="1"/>
  <c r="K58" i="1"/>
  <c r="M54" i="1" l="1"/>
  <c r="M51" i="1"/>
  <c r="M56" i="1"/>
  <c r="M52" i="1"/>
  <c r="M49" i="1"/>
  <c r="M57" i="1"/>
  <c r="M59" i="1"/>
  <c r="M50" i="1"/>
  <c r="M55" i="1"/>
  <c r="J54" i="1"/>
  <c r="L54" i="1" s="1"/>
  <c r="M58" i="1"/>
  <c r="M61" i="1"/>
  <c r="M60" i="1"/>
  <c r="J55" i="1"/>
  <c r="L55" i="1" s="1"/>
  <c r="J59" i="1"/>
  <c r="L59" i="1" s="1"/>
  <c r="J51" i="1"/>
  <c r="L51" i="1" s="1"/>
  <c r="J57" i="1"/>
  <c r="L57" i="1" s="1"/>
  <c r="J49" i="1"/>
  <c r="L49" i="1" s="1"/>
  <c r="J58" i="1"/>
  <c r="L58" i="1" s="1"/>
  <c r="J53" i="1"/>
  <c r="L53" i="1" s="1"/>
  <c r="L61" i="1"/>
  <c r="J60" i="1"/>
  <c r="L60" i="1" s="1"/>
  <c r="J56" i="1"/>
  <c r="L56" i="1" s="1"/>
  <c r="J52" i="1"/>
  <c r="L52" i="1" s="1"/>
  <c r="J50" i="1"/>
  <c r="L50" i="1" s="1"/>
</calcChain>
</file>

<file path=xl/sharedStrings.xml><?xml version="1.0" encoding="utf-8"?>
<sst xmlns="http://schemas.openxmlformats.org/spreadsheetml/2006/main" count="138" uniqueCount="130">
  <si>
    <t>time</t>
  </si>
  <si>
    <t>g</t>
  </si>
  <si>
    <t>h</t>
  </si>
  <si>
    <t>(Zeebe and Wolf-Gladrow 2007)</t>
  </si>
  <si>
    <t>(Espie &amp; Colman 1986)</t>
  </si>
  <si>
    <t xml:space="preserve"> (Harned and Davis, 1943; Harned and Scholes, 1941)</t>
  </si>
  <si>
    <t>Experimental conditions:</t>
  </si>
  <si>
    <t>Conversion factors:</t>
  </si>
  <si>
    <t>Theoretical incorporation curves:</t>
  </si>
  <si>
    <t>(dp. on biomass &amp; activity)</t>
  </si>
  <si>
    <t>for calculations below:</t>
  </si>
  <si>
    <t>Final slope (dpm s-1)</t>
  </si>
  <si>
    <t>Espie GS, Colman B (1986) Inorganic carbon uptake during photosynthesis - A theoretical analysis using the isotopic disequilibrium technique. Plant Physiol 80:863-869</t>
  </si>
  <si>
    <t xml:space="preserve">Johnson KS (1982) Carbon dioxide hydration and dehydration kinetics in seawater. Limnol Oceanogr 27:849-855 </t>
  </si>
  <si>
    <t>Dickson AG, Goyet C (1994) Handbook of methods for the analysis of the various parameters of the carbon dioxide system in sea water. Carbon Dioxide Information Analysis Center, Oak Ridge National Laboratory, Oak Ridge</t>
  </si>
  <si>
    <r>
      <t>K</t>
    </r>
    <r>
      <rPr>
        <b/>
        <i/>
        <vertAlign val="subscript"/>
        <sz val="11"/>
        <color theme="1"/>
        <rFont val="Calibri"/>
        <family val="2"/>
        <scheme val="minor"/>
      </rPr>
      <t>1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</si>
  <si>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>pK</t>
    </r>
    <r>
      <rPr>
        <b/>
        <i/>
        <vertAlign val="subscript"/>
        <sz val="11"/>
        <color theme="1"/>
        <rFont val="Calibri"/>
        <family val="2"/>
        <scheme val="minor"/>
      </rPr>
      <t>1</t>
    </r>
  </si>
  <si>
    <r>
      <t>K</t>
    </r>
    <r>
      <rPr>
        <b/>
        <i/>
        <vertAlign val="subscript"/>
        <sz val="11"/>
        <color theme="1"/>
        <rFont val="Calibri"/>
        <family val="2"/>
        <scheme val="minor"/>
      </rPr>
      <t>2</t>
    </r>
  </si>
  <si>
    <r>
      <t>pK</t>
    </r>
    <r>
      <rPr>
        <b/>
        <i/>
        <vertAlign val="subscript"/>
        <sz val="11"/>
        <color theme="1"/>
        <rFont val="Calibri"/>
        <family val="2"/>
        <scheme val="minor"/>
      </rPr>
      <t>2</t>
    </r>
  </si>
  <si>
    <r>
      <t>Harned HS, Scholes Jr SR (1941) The ionization constant of HCO</t>
    </r>
    <r>
      <rPr>
        <i/>
        <vertAlign val="subscript"/>
        <sz val="11"/>
        <rFont val="Calibri"/>
        <family val="2"/>
        <scheme val="minor"/>
      </rPr>
      <t>3</t>
    </r>
    <r>
      <rPr>
        <i/>
        <vertAlign val="superscript"/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>from 0 to 50. Journal of the American Chemical Society 63 (6):1706-1709</t>
    </r>
  </si>
  <si>
    <r>
      <t>Zeebe RE, Wolf-Gladrow DA (2007) CO</t>
    </r>
    <r>
      <rPr>
        <i/>
        <vertAlign val="subscript"/>
        <sz val="11"/>
        <rFont val="Calibri"/>
        <family val="2"/>
        <scheme val="minor"/>
      </rPr>
      <t>2</t>
    </r>
    <r>
      <rPr>
        <i/>
        <sz val="11"/>
        <rFont val="Calibri"/>
        <family val="2"/>
        <scheme val="minor"/>
      </rPr>
      <t xml:space="preserve"> in seawater: equilibrium, kinetics, isotopes. Elsevier Science B.V., Amsterdam</t>
    </r>
  </si>
  <si>
    <r>
      <t>K</t>
    </r>
    <r>
      <rPr>
        <b/>
        <i/>
        <vertAlign val="subscript"/>
        <sz val="11"/>
        <color theme="1"/>
        <rFont val="Calibri"/>
        <family val="2"/>
        <scheme val="minor"/>
      </rPr>
      <t>W</t>
    </r>
    <r>
      <rPr>
        <b/>
        <sz val="11"/>
        <color theme="1"/>
        <rFont val="Calibri"/>
        <family val="2"/>
        <scheme val="minor"/>
      </rPr>
      <t xml:space="preserve"> (mol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kg</t>
    </r>
    <r>
      <rPr>
        <b/>
        <vertAlign val="superscript"/>
        <sz val="11"/>
        <color theme="1"/>
        <rFont val="Calibri"/>
        <family val="2"/>
        <scheme val="minor"/>
      </rPr>
      <t>-2</t>
    </r>
    <r>
      <rPr>
        <b/>
        <sz val="11"/>
        <color theme="1"/>
        <rFont val="Calibri"/>
        <family val="2"/>
        <scheme val="minor"/>
      </rPr>
      <t>)</t>
    </r>
  </si>
  <si>
    <t>DIC background MilliQ</t>
  </si>
  <si>
    <t xml:space="preserve">DIC buffer (mol) </t>
  </si>
  <si>
    <r>
      <t>H</t>
    </r>
    <r>
      <rPr>
        <b/>
        <vertAlign val="superscript"/>
        <sz val="11"/>
        <rFont val="Calibri"/>
        <family val="2"/>
        <scheme val="minor"/>
      </rPr>
      <t>+</t>
    </r>
    <r>
      <rPr>
        <b/>
        <sz val="11"/>
        <rFont val="Calibri"/>
        <family val="2"/>
        <scheme val="minor"/>
      </rPr>
      <t xml:space="preserve"> conc. (mol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</si>
  <si>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rPr>
        <b/>
        <vertAlign val="superscript"/>
        <sz val="11"/>
        <rFont val="Calibri"/>
        <family val="2"/>
        <scheme val="minor"/>
      </rPr>
      <t>12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buffer (mol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</si>
  <si>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H</t>
    </r>
    <r>
      <rPr>
        <b/>
        <vertAlign val="superscript"/>
        <sz val="11"/>
        <rFont val="Calibri"/>
        <family val="2"/>
        <scheme val="minor"/>
      </rPr>
      <t>12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3</t>
    </r>
    <r>
      <rPr>
        <b/>
        <vertAlign val="superscript"/>
        <sz val="11"/>
        <rFont val="Calibri"/>
        <family val="2"/>
        <scheme val="minor"/>
      </rPr>
      <t>-</t>
    </r>
    <r>
      <rPr>
        <b/>
        <sz val="11"/>
        <rFont val="Calibri"/>
        <family val="2"/>
        <scheme val="minor"/>
      </rPr>
      <t xml:space="preserve"> buffer (mol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</si>
  <si>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rPr>
        <b/>
        <vertAlign val="superscript"/>
        <sz val="11"/>
        <rFont val="Calibri"/>
        <family val="2"/>
        <scheme val="minor"/>
      </rPr>
      <t>12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3</t>
    </r>
    <r>
      <rPr>
        <b/>
        <vertAlign val="superscript"/>
        <sz val="11"/>
        <rFont val="Calibri"/>
        <family val="2"/>
        <scheme val="minor"/>
      </rPr>
      <t>2-</t>
    </r>
    <r>
      <rPr>
        <b/>
        <sz val="11"/>
        <rFont val="Calibri"/>
        <family val="2"/>
        <scheme val="minor"/>
      </rPr>
      <t xml:space="preserve"> (mol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</si>
  <si>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rPr>
        <b/>
        <vertAlign val="superscript"/>
        <sz val="11"/>
        <rFont val="Calibri"/>
        <family val="2"/>
        <scheme val="minor"/>
      </rPr>
      <t>12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buffer (mol)</t>
    </r>
  </si>
  <si>
    <r>
      <t>H</t>
    </r>
    <r>
      <rPr>
        <b/>
        <vertAlign val="superscript"/>
        <sz val="11"/>
        <rFont val="Calibri"/>
        <family val="2"/>
        <scheme val="minor"/>
      </rPr>
      <t>12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3</t>
    </r>
    <r>
      <rPr>
        <b/>
        <vertAlign val="superscript"/>
        <sz val="11"/>
        <rFont val="Calibri"/>
        <family val="2"/>
        <scheme val="minor"/>
      </rPr>
      <t>-</t>
    </r>
    <r>
      <rPr>
        <b/>
        <sz val="11"/>
        <rFont val="Calibri"/>
        <family val="2"/>
        <scheme val="minor"/>
      </rPr>
      <t xml:space="preserve"> buffer (mol)</t>
    </r>
  </si>
  <si>
    <r>
      <t>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/DIC buffer</t>
    </r>
  </si>
  <si>
    <r>
      <t>DI</t>
    </r>
    <r>
      <rPr>
        <b/>
        <vertAlign val="superscript"/>
        <sz val="11"/>
        <rFont val="Calibri"/>
        <family val="2"/>
        <scheme val="minor"/>
      </rPr>
      <t>12</t>
    </r>
    <r>
      <rPr>
        <b/>
        <sz val="11"/>
        <rFont val="Calibri"/>
        <family val="2"/>
        <scheme val="minor"/>
      </rPr>
      <t>C + DI</t>
    </r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  (mol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</si>
  <si>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DI</t>
    </r>
    <r>
      <rPr>
        <b/>
        <vertAlign val="superscript"/>
        <sz val="11"/>
        <rFont val="Calibri"/>
        <family val="2"/>
        <scheme val="minor"/>
      </rPr>
      <t>12</t>
    </r>
    <r>
      <rPr>
        <b/>
        <sz val="11"/>
        <rFont val="Calibri"/>
        <family val="2"/>
        <scheme val="minor"/>
      </rPr>
      <t>C + DI</t>
    </r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 (mol)</t>
    </r>
  </si>
  <si>
    <r>
      <t>DI</t>
    </r>
    <r>
      <rPr>
        <b/>
        <vertAlign val="superscript"/>
        <sz val="11"/>
        <rFont val="Calibri"/>
        <family val="2"/>
      </rPr>
      <t>12</t>
    </r>
    <r>
      <rPr>
        <b/>
        <sz val="11"/>
        <rFont val="Calibri"/>
        <family val="2"/>
      </rPr>
      <t>C  (mol L</t>
    </r>
    <r>
      <rPr>
        <b/>
        <vertAlign val="superscript"/>
        <sz val="11"/>
        <rFont val="Calibri"/>
        <family val="2"/>
      </rPr>
      <t>-1</t>
    </r>
    <r>
      <rPr>
        <b/>
        <sz val="11"/>
        <rFont val="Calibri"/>
        <family val="2"/>
      </rPr>
      <t>)</t>
    </r>
  </si>
  <si>
    <r>
      <t xml:space="preserve"> DI</t>
    </r>
    <r>
      <rPr>
        <b/>
        <vertAlign val="superscript"/>
        <sz val="11"/>
        <rFont val="Calibri"/>
        <family val="2"/>
      </rPr>
      <t>14</t>
    </r>
    <r>
      <rPr>
        <b/>
        <sz val="11"/>
        <rFont val="Calibri"/>
        <family val="2"/>
      </rPr>
      <t>C (mol L</t>
    </r>
    <r>
      <rPr>
        <b/>
        <vertAlign val="superscript"/>
        <sz val="11"/>
        <rFont val="Calibri"/>
        <family val="2"/>
      </rPr>
      <t>-1</t>
    </r>
    <r>
      <rPr>
        <b/>
        <sz val="11"/>
        <rFont val="Calibri"/>
        <family val="2"/>
      </rPr>
      <t>)</t>
    </r>
  </si>
  <si>
    <r>
      <t>DI</t>
    </r>
    <r>
      <rPr>
        <b/>
        <vertAlign val="superscript"/>
        <sz val="11"/>
        <rFont val="Calibri"/>
        <family val="2"/>
      </rPr>
      <t>12</t>
    </r>
    <r>
      <rPr>
        <b/>
        <sz val="11"/>
        <rFont val="Calibri"/>
        <family val="2"/>
      </rPr>
      <t>C  (mol)</t>
    </r>
  </si>
  <si>
    <r>
      <t xml:space="preserve"> DI</t>
    </r>
    <r>
      <rPr>
        <b/>
        <vertAlign val="superscript"/>
        <sz val="11"/>
        <rFont val="Calibri"/>
        <family val="2"/>
      </rPr>
      <t>14</t>
    </r>
    <r>
      <rPr>
        <b/>
        <sz val="11"/>
        <rFont val="Calibri"/>
        <family val="2"/>
      </rPr>
      <t>C (mol)</t>
    </r>
  </si>
  <si>
    <r>
      <t>H</t>
    </r>
    <r>
      <rPr>
        <b/>
        <vertAlign val="superscript"/>
        <sz val="11"/>
        <rFont val="Calibri"/>
        <family val="2"/>
        <scheme val="minor"/>
      </rPr>
      <t xml:space="preserve">+ </t>
    </r>
    <r>
      <rPr>
        <b/>
        <sz val="11"/>
        <rFont val="Calibri"/>
        <family val="2"/>
        <scheme val="minor"/>
      </rPr>
      <t>conc. (mol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</si>
  <si>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12</t>
    </r>
    <r>
      <rPr>
        <b/>
        <sz val="11"/>
        <rFont val="Calibri"/>
        <family val="2"/>
      </rPr>
      <t>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spike (mol L</t>
    </r>
    <r>
      <rPr>
        <b/>
        <vertAlign val="superscript"/>
        <sz val="11"/>
        <rFont val="Calibri"/>
        <family val="2"/>
      </rPr>
      <t>-1</t>
    </r>
    <r>
      <rPr>
        <b/>
        <sz val="11"/>
        <rFont val="Calibri"/>
        <family val="2"/>
      </rPr>
      <t>)</t>
    </r>
  </si>
  <si>
    <r>
      <t>H</t>
    </r>
    <r>
      <rPr>
        <b/>
        <vertAlign val="superscript"/>
        <sz val="11"/>
        <rFont val="Calibri"/>
        <family val="2"/>
      </rPr>
      <t>12</t>
    </r>
    <r>
      <rPr>
        <b/>
        <sz val="11"/>
        <rFont val="Calibri"/>
        <family val="2"/>
      </rPr>
      <t>CO</t>
    </r>
    <r>
      <rPr>
        <b/>
        <vertAlign val="subscript"/>
        <sz val="11"/>
        <rFont val="Calibri"/>
        <family val="2"/>
      </rPr>
      <t>3</t>
    </r>
    <r>
      <rPr>
        <b/>
        <vertAlign val="superscript"/>
        <sz val="11"/>
        <rFont val="Calibri"/>
        <family val="2"/>
      </rPr>
      <t>-</t>
    </r>
    <r>
      <rPr>
        <b/>
        <sz val="11"/>
        <rFont val="Calibri"/>
        <family val="2"/>
      </rPr>
      <t xml:space="preserve"> spike (mol L</t>
    </r>
    <r>
      <rPr>
        <b/>
        <vertAlign val="superscript"/>
        <sz val="11"/>
        <rFont val="Calibri"/>
        <family val="2"/>
      </rPr>
      <t>-1</t>
    </r>
    <r>
      <rPr>
        <b/>
        <sz val="11"/>
        <rFont val="Calibri"/>
        <family val="2"/>
      </rPr>
      <t>)</t>
    </r>
  </si>
  <si>
    <r>
      <rPr>
        <b/>
        <vertAlign val="superscript"/>
        <sz val="11"/>
        <rFont val="Calibri"/>
        <family val="2"/>
      </rPr>
      <t>12</t>
    </r>
    <r>
      <rPr>
        <b/>
        <sz val="11"/>
        <rFont val="Calibri"/>
        <family val="2"/>
      </rPr>
      <t>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spike (mol)</t>
    </r>
  </si>
  <si>
    <r>
      <t>H</t>
    </r>
    <r>
      <rPr>
        <b/>
        <vertAlign val="superscript"/>
        <sz val="11"/>
        <rFont val="Calibri"/>
        <family val="2"/>
      </rPr>
      <t>12</t>
    </r>
    <r>
      <rPr>
        <b/>
        <sz val="11"/>
        <rFont val="Calibri"/>
        <family val="2"/>
      </rPr>
      <t>CO</t>
    </r>
    <r>
      <rPr>
        <b/>
        <vertAlign val="subscript"/>
        <sz val="11"/>
        <rFont val="Calibri"/>
        <family val="2"/>
      </rPr>
      <t>3</t>
    </r>
    <r>
      <rPr>
        <b/>
        <vertAlign val="superscript"/>
        <sz val="11"/>
        <rFont val="Calibri"/>
        <family val="2"/>
      </rPr>
      <t>-</t>
    </r>
    <r>
      <rPr>
        <b/>
        <sz val="11"/>
        <rFont val="Calibri"/>
        <family val="2"/>
      </rPr>
      <t xml:space="preserve"> + </t>
    </r>
    <r>
      <rPr>
        <b/>
        <vertAlign val="superscript"/>
        <sz val="11"/>
        <rFont val="Calibri"/>
        <family val="2"/>
      </rPr>
      <t>12</t>
    </r>
    <r>
      <rPr>
        <b/>
        <sz val="11"/>
        <rFont val="Calibri"/>
        <family val="2"/>
      </rPr>
      <t>CO</t>
    </r>
    <r>
      <rPr>
        <b/>
        <vertAlign val="subscript"/>
        <sz val="11"/>
        <rFont val="Calibri"/>
        <family val="2"/>
      </rPr>
      <t>3</t>
    </r>
    <r>
      <rPr>
        <b/>
        <vertAlign val="superscript"/>
        <sz val="11"/>
        <rFont val="Calibri"/>
        <family val="2"/>
      </rPr>
      <t>2-</t>
    </r>
    <r>
      <rPr>
        <b/>
        <sz val="11"/>
        <rFont val="Calibri"/>
        <family val="2"/>
      </rPr>
      <t xml:space="preserve"> spike (mol)</t>
    </r>
  </si>
  <si>
    <r>
      <rPr>
        <b/>
        <vertAlign val="superscript"/>
        <sz val="11"/>
        <rFont val="Calibri"/>
        <family val="2"/>
        <scheme val="minor"/>
      </rPr>
      <t>12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/DI</t>
    </r>
    <r>
      <rPr>
        <b/>
        <vertAlign val="superscript"/>
        <sz val="11"/>
        <rFont val="Calibri"/>
        <family val="2"/>
        <scheme val="minor"/>
      </rPr>
      <t>12</t>
    </r>
    <r>
      <rPr>
        <b/>
        <sz val="11"/>
        <rFont val="Calibri"/>
        <family val="2"/>
        <scheme val="minor"/>
      </rPr>
      <t>C spike</t>
    </r>
  </si>
  <si>
    <r>
      <t xml:space="preserve"> </t>
    </r>
    <r>
      <rPr>
        <b/>
        <vertAlign val="superscript"/>
        <sz val="11"/>
        <rFont val="Calibri"/>
        <family val="2"/>
      </rPr>
      <t>14</t>
    </r>
    <r>
      <rPr>
        <b/>
        <sz val="11"/>
        <rFont val="Calibri"/>
        <family val="2"/>
      </rPr>
      <t>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(mol L</t>
    </r>
    <r>
      <rPr>
        <b/>
        <vertAlign val="superscript"/>
        <sz val="11"/>
        <rFont val="Calibri"/>
        <family val="2"/>
      </rPr>
      <t>-1</t>
    </r>
    <r>
      <rPr>
        <b/>
        <sz val="11"/>
        <rFont val="Calibri"/>
        <family val="2"/>
      </rPr>
      <t>)</t>
    </r>
  </si>
  <si>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/DI</t>
    </r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 spike</t>
    </r>
  </si>
  <si>
    <r>
      <t xml:space="preserve"> </t>
    </r>
    <r>
      <rPr>
        <b/>
        <vertAlign val="superscript"/>
        <sz val="11"/>
        <rFont val="Calibri"/>
        <family val="2"/>
      </rPr>
      <t>14</t>
    </r>
    <r>
      <rPr>
        <b/>
        <sz val="11"/>
        <rFont val="Calibri"/>
        <family val="2"/>
      </rPr>
      <t>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(mol)</t>
    </r>
  </si>
  <si>
    <r>
      <t>SA</t>
    </r>
    <r>
      <rPr>
        <b/>
        <vertAlign val="subscript"/>
        <sz val="11"/>
        <rFont val="Calibri"/>
        <family val="2"/>
        <scheme val="minor"/>
      </rPr>
      <t xml:space="preserve">CO2 </t>
    </r>
    <r>
      <rPr>
        <b/>
        <sz val="11"/>
        <rFont val="Calibri"/>
        <family val="2"/>
        <scheme val="minor"/>
      </rPr>
      <t>t</t>
    </r>
    <r>
      <rPr>
        <b/>
        <vertAlign val="subscript"/>
        <sz val="11"/>
        <rFont val="Calibri"/>
        <family val="2"/>
        <scheme val="minor"/>
      </rPr>
      <t>0</t>
    </r>
    <r>
      <rPr>
        <b/>
        <sz val="11"/>
        <rFont val="Calibri"/>
        <family val="2"/>
        <scheme val="minor"/>
      </rPr>
      <t xml:space="preserve">
 (dpm (mol)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</si>
  <si>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SA</t>
    </r>
    <r>
      <rPr>
        <b/>
        <vertAlign val="subscript"/>
        <sz val="11"/>
        <rFont val="Calibri"/>
        <family val="2"/>
        <scheme val="minor"/>
      </rPr>
      <t xml:space="preserve"> HCO3 </t>
    </r>
    <r>
      <rPr>
        <b/>
        <sz val="11"/>
        <rFont val="Calibri"/>
        <family val="2"/>
        <scheme val="minor"/>
      </rPr>
      <t>t</t>
    </r>
    <r>
      <rPr>
        <b/>
        <vertAlign val="subscript"/>
        <sz val="11"/>
        <rFont val="Calibri"/>
        <family val="2"/>
        <scheme val="minor"/>
      </rPr>
      <t>0</t>
    </r>
    <r>
      <rPr>
        <b/>
        <sz val="11"/>
        <rFont val="Calibri"/>
        <family val="2"/>
        <scheme val="minor"/>
      </rPr>
      <t xml:space="preserve">
(dpm (mol)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</si>
  <si>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SA</t>
    </r>
    <r>
      <rPr>
        <b/>
        <vertAlign val="subscript"/>
        <sz val="11"/>
        <rFont val="Calibri"/>
        <family val="2"/>
        <scheme val="minor"/>
      </rPr>
      <t>CO2</t>
    </r>
    <r>
      <rPr>
        <b/>
        <sz val="11"/>
        <rFont val="Calibri"/>
        <family val="2"/>
        <scheme val="minor"/>
      </rPr>
      <t xml:space="preserve"> t</t>
    </r>
    <r>
      <rPr>
        <b/>
        <vertAlign val="subscript"/>
        <sz val="11"/>
        <rFont val="Calibri"/>
        <family val="2"/>
        <scheme val="minor"/>
      </rPr>
      <t>fin</t>
    </r>
    <r>
      <rPr>
        <b/>
        <sz val="11"/>
        <rFont val="Calibri"/>
        <family val="2"/>
        <scheme val="minor"/>
      </rPr>
      <t xml:space="preserve"> 
(dpm (mol)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</si>
  <si>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SA</t>
    </r>
    <r>
      <rPr>
        <b/>
        <vertAlign val="subscript"/>
        <sz val="11"/>
        <rFont val="Calibri"/>
        <family val="2"/>
        <scheme val="minor"/>
      </rPr>
      <t>HCO3</t>
    </r>
    <r>
      <rPr>
        <b/>
        <sz val="11"/>
        <rFont val="Calibri"/>
        <family val="2"/>
        <scheme val="minor"/>
      </rPr>
      <t xml:space="preserve"> t</t>
    </r>
    <r>
      <rPr>
        <b/>
        <vertAlign val="subscript"/>
        <sz val="11"/>
        <rFont val="Calibri"/>
        <family val="2"/>
        <scheme val="minor"/>
      </rPr>
      <t>fin</t>
    </r>
    <r>
      <rPr>
        <b/>
        <sz val="11"/>
        <rFont val="Calibri"/>
        <family val="2"/>
        <scheme val="minor"/>
      </rPr>
      <t xml:space="preserve">
(dpm (mol)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</si>
  <si>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used for plot:</t>
  </si>
  <si>
    <r>
      <t>k</t>
    </r>
    <r>
      <rPr>
        <b/>
        <i/>
        <vertAlign val="subscript"/>
        <sz val="11"/>
        <rFont val="Calibri"/>
        <family val="2"/>
        <scheme val="minor"/>
      </rPr>
      <t>-1</t>
    </r>
  </si>
  <si>
    <r>
      <t>k</t>
    </r>
    <r>
      <rPr>
        <b/>
        <i/>
        <vertAlign val="subscript"/>
        <sz val="11"/>
        <rFont val="Calibri"/>
        <family val="2"/>
        <scheme val="minor"/>
      </rPr>
      <t>-3</t>
    </r>
  </si>
  <si>
    <r>
      <t>k</t>
    </r>
    <r>
      <rPr>
        <b/>
        <i/>
        <vertAlign val="subscript"/>
        <sz val="11"/>
        <rFont val="Calibri"/>
        <family val="2"/>
        <scheme val="minor"/>
      </rPr>
      <t>1</t>
    </r>
  </si>
  <si>
    <r>
      <t>k</t>
    </r>
    <r>
      <rPr>
        <b/>
        <i/>
        <vertAlign val="subscript"/>
        <sz val="11"/>
        <rFont val="Calibri"/>
        <family val="2"/>
        <scheme val="minor"/>
      </rPr>
      <t>3</t>
    </r>
    <r>
      <rPr>
        <b/>
        <i/>
        <sz val="11"/>
        <color rgb="FFFF0000"/>
        <rFont val="Calibri"/>
        <family val="2"/>
        <scheme val="minor"/>
      </rPr>
      <t/>
    </r>
  </si>
  <si>
    <r>
      <t>C</t>
    </r>
    <r>
      <rPr>
        <b/>
        <i/>
        <vertAlign val="subscript"/>
        <sz val="11"/>
        <rFont val="Calibri"/>
        <family val="2"/>
        <scheme val="minor"/>
      </rPr>
      <t>b</t>
    </r>
  </si>
  <si>
    <t>Seawater:</t>
  </si>
  <si>
    <t>Freshwater:</t>
  </si>
  <si>
    <r>
      <t>Vtf CO</t>
    </r>
    <r>
      <rPr>
        <b/>
        <vertAlign val="subscript"/>
        <sz val="11"/>
        <color theme="1" tint="0.499984740745262"/>
        <rFont val="Calibri"/>
        <family val="2"/>
        <scheme val="minor"/>
      </rPr>
      <t>2</t>
    </r>
  </si>
  <si>
    <r>
      <t>Vt(1-f) HCO</t>
    </r>
    <r>
      <rPr>
        <b/>
        <vertAlign val="subscript"/>
        <sz val="11"/>
        <color theme="1" tint="0.499984740745262"/>
        <rFont val="Calibri"/>
        <family val="2"/>
        <scheme val="minor"/>
      </rPr>
      <t>3</t>
    </r>
  </si>
  <si>
    <r>
      <rPr>
        <b/>
        <vertAlign val="superscript"/>
        <sz val="11"/>
        <color indexed="8"/>
        <rFont val="Calibri"/>
        <family val="2"/>
      </rPr>
      <t>14</t>
    </r>
    <r>
      <rPr>
        <b/>
        <sz val="11"/>
        <color indexed="8"/>
        <rFont val="Calibri"/>
        <family val="2"/>
      </rPr>
      <t>CO</t>
    </r>
    <r>
      <rPr>
        <b/>
        <vertAlign val="sub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uptake</t>
    </r>
  </si>
  <si>
    <r>
      <t>H</t>
    </r>
    <r>
      <rPr>
        <b/>
        <vertAlign val="superscript"/>
        <sz val="11"/>
        <color indexed="8"/>
        <rFont val="Calibri"/>
        <family val="2"/>
      </rPr>
      <t>14</t>
    </r>
    <r>
      <rPr>
        <b/>
        <sz val="11"/>
        <color indexed="8"/>
        <rFont val="Calibri"/>
        <family val="2"/>
      </rPr>
      <t>CO</t>
    </r>
    <r>
      <rPr>
        <b/>
        <vertAlign val="subscript"/>
        <sz val="11"/>
        <color indexed="8"/>
        <rFont val="Calibri"/>
        <family val="2"/>
      </rPr>
      <t>3</t>
    </r>
    <r>
      <rPr>
        <b/>
        <vertAlign val="superscript"/>
        <sz val="11"/>
        <color indexed="8"/>
        <rFont val="Calibri"/>
        <family val="2"/>
      </rPr>
      <t>-</t>
    </r>
    <r>
      <rPr>
        <b/>
        <sz val="11"/>
        <color indexed="8"/>
        <rFont val="Calibri"/>
        <family val="2"/>
      </rPr>
      <t xml:space="preserve"> uptake</t>
    </r>
  </si>
  <si>
    <r>
      <t xml:space="preserve">Total </t>
    </r>
    <r>
      <rPr>
        <b/>
        <vertAlign val="superscript"/>
        <sz val="11"/>
        <color theme="1"/>
        <rFont val="Calibri"/>
        <family val="2"/>
        <scheme val="minor"/>
      </rPr>
      <t>14</t>
    </r>
    <r>
      <rPr>
        <b/>
        <sz val="11"/>
        <color theme="1"/>
        <rFont val="Calibri"/>
        <family val="2"/>
        <scheme val="minor"/>
      </rPr>
      <t>C uptake</t>
    </r>
  </si>
  <si>
    <r>
      <t>SA</t>
    </r>
    <r>
      <rPr>
        <b/>
        <vertAlign val="subscript"/>
        <sz val="11"/>
        <color theme="1"/>
        <rFont val="Calibri"/>
        <family val="2"/>
        <scheme val="minor"/>
      </rPr>
      <t>CO2</t>
    </r>
  </si>
  <si>
    <r>
      <t>SA</t>
    </r>
    <r>
      <rPr>
        <b/>
        <vertAlign val="subscript"/>
        <sz val="11"/>
        <color theme="1"/>
        <rFont val="Calibri"/>
        <family val="2"/>
        <scheme val="minor"/>
      </rPr>
      <t>HCO3-</t>
    </r>
  </si>
  <si>
    <r>
      <t xml:space="preserve"> (dpm mol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</si>
  <si>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(dpm mol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</si>
  <si>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(dpm s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</si>
  <si>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(Elzenga 2000)</t>
  </si>
  <si>
    <r>
      <t>Activity per Vol. (mCi mL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</si>
  <si>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Ci -&gt; dpm (dpm/µCi)</t>
  </si>
  <si>
    <r>
      <t>DI</t>
    </r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 (mol)</t>
    </r>
  </si>
  <si>
    <r>
      <t>DI</t>
    </r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 Spike-mix (mol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</si>
  <si>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mCi -&gt; kBq (kBq mCi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</si>
  <si>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Total Activity (GBq):</t>
  </si>
  <si>
    <t>Assay media</t>
  </si>
  <si>
    <r>
      <rPr>
        <b/>
        <vertAlign val="superscript"/>
        <sz val="14"/>
        <rFont val="Calibri"/>
        <family val="2"/>
        <scheme val="minor"/>
      </rPr>
      <t>14</t>
    </r>
    <r>
      <rPr>
        <b/>
        <sz val="14"/>
        <rFont val="Calibri"/>
        <family val="2"/>
        <scheme val="minor"/>
      </rPr>
      <t>C stock solution</t>
    </r>
  </si>
  <si>
    <t>Specific Activities</t>
  </si>
  <si>
    <t>Rate constants</t>
  </si>
  <si>
    <t>Properties of the buffered spike solution</t>
  </si>
  <si>
    <r>
      <t>SA</t>
    </r>
    <r>
      <rPr>
        <b/>
        <vertAlign val="subscript"/>
        <sz val="11"/>
        <rFont val="Calibri"/>
        <family val="2"/>
        <scheme val="minor"/>
      </rPr>
      <t xml:space="preserve">DIC  </t>
    </r>
    <r>
      <rPr>
        <b/>
        <sz val="11"/>
        <rFont val="Calibri"/>
        <family val="2"/>
        <scheme val="minor"/>
      </rPr>
      <t>(dpm (mol DIC)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</si>
  <si>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DSA</t>
    </r>
    <r>
      <rPr>
        <b/>
        <i/>
        <vertAlign val="subscript"/>
        <sz val="11"/>
        <rFont val="Calibri"/>
        <family val="2"/>
        <scheme val="minor"/>
      </rPr>
      <t>CO2</t>
    </r>
    <r>
      <rPr>
        <b/>
        <i/>
        <sz val="11"/>
        <rFont val="Calibri"/>
        <family val="2"/>
        <scheme val="minor"/>
      </rPr>
      <t>(dpm mol-1)</t>
    </r>
  </si>
  <si>
    <r>
      <t>DSA</t>
    </r>
    <r>
      <rPr>
        <b/>
        <i/>
        <vertAlign val="subscript"/>
        <sz val="11"/>
        <rFont val="Calibri"/>
        <family val="2"/>
        <scheme val="minor"/>
      </rPr>
      <t xml:space="preserve">HCO3- </t>
    </r>
    <r>
      <rPr>
        <b/>
        <i/>
        <sz val="11"/>
        <rFont val="Calibri"/>
        <family val="2"/>
        <scheme val="minor"/>
      </rPr>
      <t>(dpm mol-1)</t>
    </r>
  </si>
  <si>
    <t>Equilibrium constants</t>
  </si>
  <si>
    <r>
      <rPr>
        <b/>
        <i/>
        <vertAlign val="superscript"/>
        <sz val="14"/>
        <rFont val="Calibri"/>
        <family val="2"/>
        <scheme val="minor"/>
      </rPr>
      <t>14</t>
    </r>
    <r>
      <rPr>
        <b/>
        <i/>
        <sz val="14"/>
        <rFont val="Calibri"/>
        <family val="2"/>
        <scheme val="minor"/>
      </rPr>
      <t>C stock solution:</t>
    </r>
  </si>
  <si>
    <t>Activity (µCi)</t>
  </si>
  <si>
    <t>Activity (kBq)</t>
  </si>
  <si>
    <r>
      <t>Activity per Vol. (mCi mL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 xml:space="preserve">) after </t>
    </r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CO2 loss through outgassing</t>
    </r>
  </si>
  <si>
    <t>BOX 5: REFERENCES</t>
  </si>
  <si>
    <t>BOX 4: VISUALISATION</t>
  </si>
  <si>
    <t>(Terminology according to Espie &amp; Colman 1986, 
calculations according to Johnson 1982)</t>
  </si>
  <si>
    <t>(DOE, 1994; s. Zeebe &amp; Wolf-Gladrow, 2007, 
p.255 &amp; 258)</t>
  </si>
  <si>
    <r>
      <t>H</t>
    </r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3</t>
    </r>
    <r>
      <rPr>
        <b/>
        <vertAlign val="superscript"/>
        <sz val="11"/>
        <rFont val="Calibri"/>
        <family val="2"/>
        <scheme val="minor"/>
      </rPr>
      <t>-</t>
    </r>
    <r>
      <rPr>
        <b/>
        <sz val="11"/>
        <rFont val="Calibri"/>
        <family val="2"/>
        <scheme val="minor"/>
      </rPr>
      <t xml:space="preserve"> + </t>
    </r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3</t>
    </r>
    <r>
      <rPr>
        <b/>
        <vertAlign val="superscript"/>
        <sz val="11"/>
        <rFont val="Calibri"/>
        <family val="2"/>
        <scheme val="minor"/>
      </rPr>
      <t>2-</t>
    </r>
    <r>
      <rPr>
        <b/>
        <sz val="11"/>
        <rFont val="Calibri"/>
        <family val="2"/>
        <scheme val="minor"/>
      </rPr>
      <t xml:space="preserve"> spike 
(mol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</si>
  <si>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 xml:space="preserve"> H</t>
    </r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3</t>
    </r>
    <r>
      <rPr>
        <b/>
        <vertAlign val="superscript"/>
        <sz val="11"/>
        <rFont val="Calibri"/>
        <family val="2"/>
        <scheme val="minor"/>
      </rPr>
      <t>-</t>
    </r>
    <r>
      <rPr>
        <b/>
        <sz val="11"/>
        <rFont val="Calibri"/>
        <family val="2"/>
        <scheme val="minor"/>
      </rPr>
      <t xml:space="preserve"> + </t>
    </r>
    <r>
      <rPr>
        <b/>
        <vertAlign val="superscript"/>
        <sz val="11"/>
        <rFont val="Calibri"/>
        <family val="2"/>
        <scheme val="minor"/>
      </rPr>
      <t>14</t>
    </r>
    <r>
      <rPr>
        <b/>
        <sz val="11"/>
        <rFont val="Calibri"/>
        <family val="2"/>
        <scheme val="minor"/>
      </rPr>
      <t>CO</t>
    </r>
    <r>
      <rPr>
        <b/>
        <vertAlign val="subscript"/>
        <sz val="11"/>
        <rFont val="Calibri"/>
        <family val="2"/>
        <scheme val="minor"/>
      </rPr>
      <t>3</t>
    </r>
    <r>
      <rPr>
        <b/>
        <vertAlign val="superscript"/>
        <sz val="11"/>
        <rFont val="Calibri"/>
        <family val="2"/>
        <scheme val="minor"/>
      </rPr>
      <t>2-</t>
    </r>
    <r>
      <rPr>
        <b/>
        <sz val="11"/>
        <rFont val="Calibri"/>
        <family val="2"/>
        <scheme val="minor"/>
      </rPr>
      <t>spike 
(mol)</t>
    </r>
  </si>
  <si>
    <t>Use these values for the fit equation:</t>
  </si>
  <si>
    <r>
      <rPr>
        <b/>
        <vertAlign val="superscript"/>
        <sz val="14"/>
        <rFont val="Calibri"/>
        <family val="2"/>
        <scheme val="minor"/>
      </rPr>
      <t>14</t>
    </r>
    <r>
      <rPr>
        <b/>
        <sz val="14"/>
        <rFont val="Calibri"/>
        <family val="2"/>
        <scheme val="minor"/>
      </rPr>
      <t>C spike solution</t>
    </r>
  </si>
  <si>
    <t>Properties of assay media before spike addition</t>
  </si>
  <si>
    <t>Properties of assay media after spike addition</t>
  </si>
  <si>
    <t>Final Vol (mL)</t>
  </si>
  <si>
    <t>BOX 3: CALCULATIONS - DO NOT CHANGE</t>
  </si>
  <si>
    <r>
      <t>Specific Activity (mCi (mmol DIC)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  <r>
      <rPr>
        <b/>
        <vertAlign val="superscript"/>
        <sz val="11"/>
        <rFont val="Calibri"/>
        <family val="2"/>
        <scheme val="minor"/>
      </rPr>
      <t xml:space="preserve"> </t>
    </r>
  </si>
  <si>
    <t>Total Activity (mCi)</t>
  </si>
  <si>
    <t>Activity after outgassing (%)</t>
  </si>
  <si>
    <t>Volume of assay buffer (mL)</t>
  </si>
  <si>
    <r>
      <t>pH of</t>
    </r>
    <r>
      <rPr>
        <b/>
        <vertAlign val="subscript"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buffered spike solution (NBS)</t>
    </r>
  </si>
  <si>
    <t>Temp. of buffered spike solution (°C)</t>
  </si>
  <si>
    <r>
      <rPr>
        <b/>
        <i/>
        <sz val="14"/>
        <rFont val="Calibri"/>
        <family val="2"/>
      </rPr>
      <t>α</t>
    </r>
    <r>
      <rPr>
        <b/>
        <i/>
        <vertAlign val="subscript"/>
        <sz val="14"/>
        <rFont val="Calibri"/>
        <family val="2"/>
        <scheme val="minor"/>
      </rPr>
      <t>1</t>
    </r>
  </si>
  <si>
    <r>
      <rPr>
        <b/>
        <i/>
        <sz val="14"/>
        <rFont val="Calibri"/>
        <family val="2"/>
      </rPr>
      <t>α</t>
    </r>
    <r>
      <rPr>
        <b/>
        <i/>
        <vertAlign val="subscript"/>
        <sz val="14"/>
        <rFont val="Calibri"/>
        <family val="2"/>
        <scheme val="minor"/>
      </rPr>
      <t>2</t>
    </r>
  </si>
  <si>
    <r>
      <t>DSA</t>
    </r>
    <r>
      <rPr>
        <b/>
        <i/>
        <vertAlign val="subscript"/>
        <sz val="14"/>
        <color theme="1"/>
        <rFont val="Calibri"/>
        <family val="2"/>
        <scheme val="minor"/>
      </rPr>
      <t>CO2</t>
    </r>
    <r>
      <rPr>
        <b/>
        <i/>
        <sz val="14"/>
        <color theme="1"/>
        <rFont val="Calibri"/>
        <family val="2"/>
        <scheme val="minor"/>
      </rPr>
      <t xml:space="preserve"> / SA</t>
    </r>
    <r>
      <rPr>
        <b/>
        <i/>
        <vertAlign val="subscript"/>
        <sz val="14"/>
        <color theme="1"/>
        <rFont val="Calibri"/>
        <family val="2"/>
        <scheme val="minor"/>
      </rPr>
      <t>DIC</t>
    </r>
  </si>
  <si>
    <r>
      <t>DSA</t>
    </r>
    <r>
      <rPr>
        <b/>
        <i/>
        <vertAlign val="subscript"/>
        <sz val="14"/>
        <color theme="1"/>
        <rFont val="Calibri"/>
        <family val="2"/>
        <scheme val="minor"/>
      </rPr>
      <t>HCO3</t>
    </r>
    <r>
      <rPr>
        <b/>
        <i/>
        <sz val="14"/>
        <color theme="1"/>
        <rFont val="Calibri"/>
        <family val="2"/>
        <scheme val="minor"/>
      </rPr>
      <t xml:space="preserve"> / SA</t>
    </r>
    <r>
      <rPr>
        <b/>
        <i/>
        <vertAlign val="subscript"/>
        <sz val="14"/>
        <color theme="1"/>
        <rFont val="Calibri"/>
        <family val="2"/>
        <scheme val="minor"/>
      </rPr>
      <t>DIC</t>
    </r>
  </si>
  <si>
    <r>
      <t>pH</t>
    </r>
    <r>
      <rPr>
        <b/>
        <vertAlign val="subscript"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of buffered cell susp. (NBS)</t>
    </r>
  </si>
  <si>
    <t>Temp. of buffered cell susp. (°C )</t>
  </si>
  <si>
    <t>Salinity of buffered cell susp. (psu)</t>
  </si>
  <si>
    <r>
      <t>DIC of buffered cell susp. (µmol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</si>
  <si>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Vol. of stock solution used in assay (µL)</t>
  </si>
  <si>
    <t>Vo. of spike solution 
(=Stock solution + buffered MilliQ; µL)</t>
  </si>
  <si>
    <t>in Vol. (mL)</t>
  </si>
  <si>
    <t>Harned HS, Davis Jr R (1943) The ionization constant of carbonic acid in water and the solubility of carbon dioxide in water and aqueous salt solutions from 0 to 50. 
Journal of the American Chemical Society 65 (10):2030-2037</t>
  </si>
  <si>
    <t>Elzenga JTM, Prins HBA, Stefels J (2000) The role of extracellular carbonic anhydrase activity in inorganic carbon utilization of Phaeocystis globosa (Prymnesiophyceae): 
a comparison with other marine algae using the isotopic disequilibrium technique. Limnol Oceanogr 45:372-380</t>
  </si>
  <si>
    <r>
      <t xml:space="preserve">Properties of the </t>
    </r>
    <r>
      <rPr>
        <b/>
        <vertAlign val="superscript"/>
        <sz val="16"/>
        <rFont val="Calibri"/>
        <family val="2"/>
        <scheme val="minor"/>
      </rPr>
      <t>14</t>
    </r>
    <r>
      <rPr>
        <b/>
        <sz val="16"/>
        <rFont val="Calibri"/>
        <family val="2"/>
        <scheme val="minor"/>
      </rPr>
      <t>C solution</t>
    </r>
  </si>
  <si>
    <r>
      <t>Specific Activity (GBq (mmol DIC)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</si>
  <si>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BOX 1: ENTER INPUT HERE</t>
  </si>
  <si>
    <r>
      <t xml:space="preserve">2. User </t>
    </r>
    <r>
      <rPr>
        <b/>
        <sz val="14"/>
        <rFont val="Calibri"/>
        <family val="2"/>
      </rPr>
      <t>input data</t>
    </r>
    <r>
      <rPr>
        <sz val="14"/>
        <rFont val="Calibri"/>
        <family val="2"/>
      </rPr>
      <t xml:space="preserve"> is required in </t>
    </r>
    <r>
      <rPr>
        <b/>
        <sz val="14"/>
        <rFont val="Calibri"/>
        <family val="2"/>
      </rPr>
      <t>Box 1</t>
    </r>
    <r>
      <rPr>
        <sz val="14"/>
        <rFont val="Calibri"/>
        <family val="2"/>
      </rPr>
      <t xml:space="preserve"> that describe chemical properties of the assay media, the buffered radioactive spike-mix and the </t>
    </r>
    <r>
      <rPr>
        <vertAlign val="superscript"/>
        <sz val="14"/>
        <rFont val="Calibri"/>
        <family val="2"/>
      </rPr>
      <t>14</t>
    </r>
    <r>
      <rPr>
        <sz val="14"/>
        <rFont val="Calibri"/>
        <family val="2"/>
      </rPr>
      <t>C stock solution.</t>
    </r>
  </si>
  <si>
    <r>
      <t>4. This sheet accounts for loss of radioactivity caused by outgassing. A correction procedure is incorporated in the calculations (</t>
    </r>
    <r>
      <rPr>
        <b/>
        <sz val="14"/>
        <rFont val="Calibri"/>
        <family val="2"/>
      </rPr>
      <t>Box 1</t>
    </r>
    <r>
      <rPr>
        <sz val="14"/>
        <rFont val="Calibri"/>
        <family val="2"/>
      </rPr>
      <t>)</t>
    </r>
  </si>
  <si>
    <r>
      <t xml:space="preserve">5. Time-dependent specific activities and theoretical uptake curves in dependence of the input parameters are visualised in </t>
    </r>
    <r>
      <rPr>
        <b/>
        <sz val="14"/>
        <rFont val="Calibri"/>
        <family val="2"/>
        <scheme val="minor"/>
      </rPr>
      <t>Box 4</t>
    </r>
  </si>
  <si>
    <r>
      <t>Supplementary Material: Strong shift from HCO</t>
    </r>
    <r>
      <rPr>
        <b/>
        <vertAlign val="subscript"/>
        <sz val="14"/>
        <rFont val="Calibri"/>
        <family val="2"/>
        <scheme val="minor"/>
      </rPr>
      <t>3</t>
    </r>
    <r>
      <rPr>
        <b/>
        <vertAlign val="superscript"/>
        <sz val="14"/>
        <rFont val="Calibri"/>
        <family val="2"/>
        <scheme val="minor"/>
      </rPr>
      <t>-</t>
    </r>
    <r>
      <rPr>
        <b/>
        <sz val="14"/>
        <rFont val="Calibri"/>
        <family val="2"/>
        <scheme val="minor"/>
      </rPr>
      <t xml:space="preserve"> to CO</t>
    </r>
    <r>
      <rPr>
        <b/>
        <vertAlign val="subscript"/>
        <sz val="14"/>
        <rFont val="Calibri"/>
        <family val="2"/>
        <scheme val="minor"/>
      </rPr>
      <t>2</t>
    </r>
    <r>
      <rPr>
        <b/>
        <sz val="14"/>
        <rFont val="Calibri"/>
        <family val="2"/>
        <scheme val="minor"/>
      </rPr>
      <t xml:space="preserve"> uptake in </t>
    </r>
    <r>
      <rPr>
        <b/>
        <i/>
        <sz val="14"/>
        <rFont val="Calibri"/>
        <family val="2"/>
        <scheme val="minor"/>
      </rPr>
      <t>Emiliania huxleyi</t>
    </r>
    <r>
      <rPr>
        <b/>
        <sz val="14"/>
        <rFont val="Calibri"/>
        <family val="2"/>
        <scheme val="minor"/>
      </rPr>
      <t xml:space="preserve"> with acidification: new approach unravels acclimation versus short-term pH effects</t>
    </r>
    <r>
      <rPr>
        <b/>
        <sz val="14"/>
        <rFont val="Calibri"/>
        <family val="2"/>
      </rPr>
      <t>; Photosynthesis Research; Kottmeier et al. 2014</t>
    </r>
  </si>
  <si>
    <r>
      <t>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usage </t>
    </r>
  </si>
  <si>
    <t>BOX 2: OUTPUT PARAMETERS - USE FOR FIT FUNCTION</t>
  </si>
  <si>
    <r>
      <t>1. This sheet calculates fit parameters (</t>
    </r>
    <r>
      <rPr>
        <b/>
        <sz val="14"/>
        <rFont val="Calibri"/>
        <family val="2"/>
      </rPr>
      <t>Box 2</t>
    </r>
    <r>
      <rPr>
        <sz val="14"/>
        <rFont val="Calibri"/>
        <family val="2"/>
      </rPr>
      <t>) for the</t>
    </r>
    <r>
      <rPr>
        <vertAlign val="superscript"/>
        <sz val="14"/>
        <rFont val="Calibri"/>
        <family val="2"/>
      </rPr>
      <t>14</t>
    </r>
    <r>
      <rPr>
        <sz val="14"/>
        <rFont val="Calibri"/>
        <family val="2"/>
      </rPr>
      <t xml:space="preserve">C disequilibrium method (Elzenga 2000; Espie &amp; Colman 1986). </t>
    </r>
  </si>
  <si>
    <r>
      <t xml:space="preserve">3. Fit parameters are calculated in </t>
    </r>
    <r>
      <rPr>
        <b/>
        <sz val="14"/>
        <rFont val="Calibri"/>
        <family val="2"/>
        <scheme val="minor"/>
      </rPr>
      <t xml:space="preserve">Box 3 </t>
    </r>
    <r>
      <rPr>
        <sz val="14"/>
        <rFont val="Calibri"/>
        <family val="2"/>
        <scheme val="minor"/>
      </rPr>
      <t>from the constants of the carbonate system.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</si>
</sst>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_(* #,##0.00_);_(* \(#,##0.00\);_(* &quot;-&quot;??_);_(@_)"/>
    <numFmt numFmtId="165" formatCode="0.0000"/>
    <numFmt numFmtId="166" formatCode="0.0%"/>
    <numFmt numFmtId="167" formatCode="0.00000"/>
    <numFmt numFmtId="168" formatCode="0.000000"/>
    <numFmt numFmtId="169" formatCode="0.00E+000"/>
    <numFmt numFmtId="170" formatCode="0.000"/>
    <numFmt numFmtId="171" formatCode="0.0"/>
    <numFmt numFmtId="172" formatCode="0.000E+00"/>
    <numFmt numFmtId="173" formatCode="0.0E+00"/>
    <numFmt numFmtId="174" formatCode="_(* #,##0.0000_);_(* \(#,##0.0000\);_(* &quot;-&quot;??_);_(@_)"/>
    <numFmt numFmtId="175" formatCode="0.0000000"/>
    <numFmt numFmtId="176" formatCode="0.00.E+00"/>
    <numFmt numFmtId="177" formatCode="0.00000_ ;\-0.00000\ "/>
    <numFmt numFmtId="178" formatCode="0.00000000"/>
    <numFmt numFmtId="179" formatCode="0.0000000_ ;\-0.0000000\ "/>
  </numFmts>
  <fonts count="66">
    <font>
      <sz val="10"/>
      <name val="Geneva"/>
      <family val="2"/>
    </font>
    <font>
      <sz val="10"/>
      <name val="Geneva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name val="Geneva"/>
      <family val="2"/>
    </font>
    <font>
      <i/>
      <sz val="11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color theme="6" tint="0.59999389629810485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6" tint="-0.499984740745262"/>
      <name val="Geneva"/>
      <family val="2"/>
    </font>
    <font>
      <i/>
      <sz val="11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vertAlign val="subscript"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</font>
    <font>
      <b/>
      <vertAlign val="subscript"/>
      <sz val="11"/>
      <name val="Calibri"/>
      <family val="2"/>
    </font>
    <font>
      <b/>
      <i/>
      <vertAlign val="subscript"/>
      <sz val="11"/>
      <name val="Calibri"/>
      <family val="2"/>
      <scheme val="minor"/>
    </font>
    <font>
      <b/>
      <vertAlign val="subscript"/>
      <sz val="11"/>
      <color theme="1" tint="0.49998474074526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vertAlign val="subscript"/>
      <sz val="11"/>
      <color indexed="8"/>
      <name val="Calibri"/>
      <family val="2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vertAlign val="superscript"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name val="Calibri"/>
      <family val="2"/>
      <scheme val="minor"/>
    </font>
    <font>
      <b/>
      <i/>
      <sz val="14"/>
      <name val="Calibri"/>
      <family val="2"/>
    </font>
    <font>
      <b/>
      <i/>
      <vertAlign val="subscript"/>
      <sz val="14"/>
      <name val="Calibri"/>
      <family val="2"/>
      <scheme val="minor"/>
    </font>
    <font>
      <b/>
      <i/>
      <vertAlign val="subscript"/>
      <sz val="14"/>
      <color theme="1"/>
      <name val="Calibri"/>
      <family val="2"/>
      <scheme val="minor"/>
    </font>
    <font>
      <b/>
      <vertAlign val="superscript"/>
      <sz val="16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  <font>
      <vertAlign val="superscript"/>
      <sz val="14"/>
      <name val="Calibri"/>
      <family val="2"/>
    </font>
    <font>
      <sz val="14"/>
      <name val="Geneva"/>
      <family val="2"/>
    </font>
    <font>
      <sz val="14"/>
      <name val="Calibri"/>
      <family val="2"/>
      <scheme val="minor"/>
    </font>
    <font>
      <b/>
      <vertAlign val="subscript"/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164" fontId="1" fillId="0" borderId="0" applyFont="0" applyFill="0" applyBorder="0" applyAlignment="0" applyProtection="0"/>
    <xf numFmtId="0" fontId="10" fillId="6" borderId="0" applyNumberFormat="0" applyBorder="0" applyAlignment="0" applyProtection="0"/>
    <xf numFmtId="9" fontId="1" fillId="0" borderId="0" applyFill="0" applyBorder="0" applyAlignment="0" applyProtection="0"/>
    <xf numFmtId="0" fontId="11" fillId="7" borderId="0" applyNumberFormat="0" applyBorder="0" applyAlignment="0" applyProtection="0"/>
  </cellStyleXfs>
  <cellXfs count="366">
    <xf numFmtId="0" fontId="0" fillId="0" borderId="0" xfId="0"/>
    <xf numFmtId="0" fontId="19" fillId="0" borderId="0" xfId="8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168" fontId="19" fillId="0" borderId="0" xfId="8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165" fontId="10" fillId="0" borderId="0" xfId="6" applyNumberFormat="1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4" fontId="14" fillId="0" borderId="0" xfId="5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9" fontId="9" fillId="0" borderId="0" xfId="4" applyNumberFormat="1" applyFont="1" applyFill="1" applyBorder="1" applyAlignment="1">
      <alignment horizontal="center" vertical="center"/>
    </xf>
    <xf numFmtId="9" fontId="10" fillId="0" borderId="0" xfId="6" applyNumberFormat="1" applyFont="1" applyFill="1" applyBorder="1" applyAlignment="1">
      <alignment horizontal="center" vertical="center"/>
    </xf>
    <xf numFmtId="16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  <xf numFmtId="10" fontId="14" fillId="0" borderId="0" xfId="7" applyNumberFormat="1" applyFont="1" applyFill="1" applyAlignment="1">
      <alignment horizontal="center" vertical="center"/>
    </xf>
    <xf numFmtId="9" fontId="14" fillId="0" borderId="0" xfId="7" applyFont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9" fontId="14" fillId="0" borderId="0" xfId="0" applyNumberFormat="1" applyFont="1" applyFill="1" applyBorder="1" applyAlignment="1">
      <alignment horizontal="left" vertical="center"/>
    </xf>
    <xf numFmtId="11" fontId="14" fillId="0" borderId="0" xfId="0" applyNumberFormat="1" applyFont="1" applyFill="1" applyBorder="1" applyAlignment="1">
      <alignment horizontal="center" vertical="center"/>
    </xf>
    <xf numFmtId="178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NumberFormat="1" applyFont="1" applyAlignment="1">
      <alignment horizontal="center" vertical="center"/>
    </xf>
    <xf numFmtId="0" fontId="46" fillId="8" borderId="6" xfId="0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/>
    </xf>
    <xf numFmtId="0" fontId="46" fillId="8" borderId="0" xfId="0" applyFont="1" applyFill="1" applyBorder="1" applyAlignment="1">
      <alignment horizontal="left" vertical="center"/>
    </xf>
    <xf numFmtId="11" fontId="15" fillId="8" borderId="6" xfId="4" applyNumberFormat="1" applyFont="1" applyFill="1" applyBorder="1" applyAlignment="1">
      <alignment horizontal="left" vertical="center"/>
    </xf>
    <xf numFmtId="165" fontId="14" fillId="8" borderId="0" xfId="5" applyNumberFormat="1" applyFont="1" applyFill="1" applyBorder="1" applyAlignment="1">
      <alignment horizontal="center" vertical="center"/>
    </xf>
    <xf numFmtId="173" fontId="14" fillId="8" borderId="0" xfId="5" applyNumberFormat="1" applyFont="1" applyFill="1" applyBorder="1" applyAlignment="1">
      <alignment horizontal="center" vertical="center"/>
    </xf>
    <xf numFmtId="11" fontId="14" fillId="8" borderId="0" xfId="0" applyNumberFormat="1" applyFont="1" applyFill="1" applyBorder="1" applyAlignment="1">
      <alignment horizontal="center" vertical="center"/>
    </xf>
    <xf numFmtId="177" fontId="14" fillId="8" borderId="0" xfId="6" applyNumberFormat="1" applyFont="1" applyFill="1" applyBorder="1" applyAlignment="1">
      <alignment horizontal="center" vertical="center"/>
    </xf>
    <xf numFmtId="2" fontId="15" fillId="8" borderId="0" xfId="0" applyNumberFormat="1" applyFont="1" applyFill="1" applyBorder="1" applyAlignment="1">
      <alignment horizontal="center" vertical="center"/>
    </xf>
    <xf numFmtId="175" fontId="14" fillId="8" borderId="0" xfId="0" applyNumberFormat="1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left" vertical="center"/>
    </xf>
    <xf numFmtId="0" fontId="15" fillId="8" borderId="6" xfId="4" applyFont="1" applyFill="1" applyBorder="1" applyAlignment="1">
      <alignment horizontal="left" vertical="center"/>
    </xf>
    <xf numFmtId="0" fontId="21" fillId="8" borderId="0" xfId="0" applyFont="1" applyFill="1" applyBorder="1" applyAlignment="1">
      <alignment horizontal="center" vertical="center"/>
    </xf>
    <xf numFmtId="0" fontId="16" fillId="8" borderId="10" xfId="0" applyFont="1" applyFill="1" applyBorder="1" applyAlignment="1">
      <alignment horizontal="center" vertical="center"/>
    </xf>
    <xf numFmtId="0" fontId="15" fillId="8" borderId="6" xfId="6" applyFont="1" applyFill="1" applyBorder="1" applyAlignment="1">
      <alignment horizontal="left" vertical="center"/>
    </xf>
    <xf numFmtId="11" fontId="14" fillId="8" borderId="0" xfId="6" applyNumberFormat="1" applyFont="1" applyFill="1" applyBorder="1" applyAlignment="1">
      <alignment horizontal="center" vertical="center"/>
    </xf>
    <xf numFmtId="11" fontId="14" fillId="8" borderId="0" xfId="5" applyNumberFormat="1" applyFont="1" applyFill="1" applyBorder="1" applyAlignment="1">
      <alignment horizontal="center" vertical="center"/>
    </xf>
    <xf numFmtId="176" fontId="14" fillId="8" borderId="0" xfId="5" applyNumberFormat="1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4" fillId="8" borderId="0" xfId="0" applyNumberFormat="1" applyFont="1" applyFill="1" applyBorder="1" applyAlignment="1">
      <alignment horizontal="center" vertical="center"/>
    </xf>
    <xf numFmtId="2" fontId="15" fillId="8" borderId="0" xfId="8" applyNumberFormat="1" applyFont="1" applyFill="1" applyBorder="1" applyAlignment="1">
      <alignment horizontal="center" vertical="center" wrapText="1"/>
    </xf>
    <xf numFmtId="0" fontId="16" fillId="8" borderId="0" xfId="4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left" vertical="center"/>
    </xf>
    <xf numFmtId="11" fontId="6" fillId="8" borderId="0" xfId="2" applyNumberFormat="1" applyFont="1" applyFill="1" applyBorder="1" applyAlignment="1">
      <alignment horizontal="center" vertical="center"/>
    </xf>
    <xf numFmtId="0" fontId="22" fillId="8" borderId="0" xfId="2" applyFont="1" applyFill="1" applyBorder="1" applyAlignment="1">
      <alignment horizontal="center" vertical="center"/>
    </xf>
    <xf numFmtId="0" fontId="34" fillId="8" borderId="0" xfId="2" applyFont="1" applyFill="1" applyBorder="1" applyAlignment="1">
      <alignment horizontal="center" vertical="center"/>
    </xf>
    <xf numFmtId="11" fontId="6" fillId="8" borderId="0" xfId="5" applyNumberFormat="1" applyFont="1" applyFill="1" applyBorder="1" applyAlignment="1">
      <alignment horizontal="center" vertical="center"/>
    </xf>
    <xf numFmtId="49" fontId="22" fillId="8" borderId="0" xfId="2" applyNumberFormat="1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/>
    </xf>
    <xf numFmtId="0" fontId="9" fillId="8" borderId="0" xfId="4" applyFont="1" applyFill="1" applyBorder="1" applyAlignment="1">
      <alignment horizontal="center" vertical="center"/>
    </xf>
    <xf numFmtId="2" fontId="14" fillId="8" borderId="0" xfId="0" applyNumberFormat="1" applyFont="1" applyFill="1" applyBorder="1" applyAlignment="1">
      <alignment horizontal="center" vertical="center"/>
    </xf>
    <xf numFmtId="2" fontId="15" fillId="8" borderId="0" xfId="0" applyNumberFormat="1" applyFont="1" applyFill="1" applyBorder="1" applyAlignment="1">
      <alignment horizontal="left" vertical="center"/>
    </xf>
    <xf numFmtId="0" fontId="14" fillId="8" borderId="9" xfId="0" applyFont="1" applyFill="1" applyBorder="1" applyAlignment="1">
      <alignment horizontal="left" vertical="center"/>
    </xf>
    <xf numFmtId="166" fontId="14" fillId="8" borderId="0" xfId="7" applyNumberFormat="1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17" fillId="8" borderId="0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horizontal="left" vertical="center"/>
    </xf>
    <xf numFmtId="11" fontId="14" fillId="8" borderId="0" xfId="0" applyNumberFormat="1" applyFont="1" applyFill="1" applyBorder="1" applyAlignment="1">
      <alignment horizontal="left" vertical="center"/>
    </xf>
    <xf numFmtId="11" fontId="14" fillId="8" borderId="10" xfId="0" applyNumberFormat="1" applyFont="1" applyFill="1" applyBorder="1" applyAlignment="1">
      <alignment horizontal="left" vertical="center"/>
    </xf>
    <xf numFmtId="11" fontId="6" fillId="8" borderId="0" xfId="2" applyNumberFormat="1" applyFont="1" applyFill="1" applyBorder="1" applyAlignment="1">
      <alignment horizontal="left" vertical="center"/>
    </xf>
    <xf numFmtId="0" fontId="14" fillId="8" borderId="10" xfId="0" applyFont="1" applyFill="1" applyBorder="1" applyAlignment="1">
      <alignment horizontal="left" vertical="center"/>
    </xf>
    <xf numFmtId="2" fontId="14" fillId="8" borderId="0" xfId="0" applyNumberFormat="1" applyFont="1" applyFill="1" applyBorder="1" applyAlignment="1">
      <alignment horizontal="left" vertical="center"/>
    </xf>
    <xf numFmtId="0" fontId="18" fillId="8" borderId="0" xfId="0" applyFont="1" applyFill="1" applyBorder="1" applyAlignment="1">
      <alignment horizontal="left" vertical="center"/>
    </xf>
    <xf numFmtId="0" fontId="18" fillId="8" borderId="0" xfId="0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11" fontId="14" fillId="8" borderId="0" xfId="0" applyNumberFormat="1" applyFont="1" applyFill="1" applyAlignment="1">
      <alignment horizontal="center" vertical="center"/>
    </xf>
    <xf numFmtId="0" fontId="15" fillId="8" borderId="0" xfId="0" applyFont="1" applyFill="1" applyBorder="1" applyAlignment="1">
      <alignment horizontal="left" vertical="center"/>
    </xf>
    <xf numFmtId="49" fontId="15" fillId="8" borderId="0" xfId="0" applyNumberFormat="1" applyFont="1" applyFill="1" applyBorder="1" applyAlignment="1">
      <alignment horizontal="left" vertical="center"/>
    </xf>
    <xf numFmtId="0" fontId="18" fillId="8" borderId="7" xfId="0" applyFont="1" applyFill="1" applyBorder="1" applyAlignment="1">
      <alignment horizontal="center" vertical="center"/>
    </xf>
    <xf numFmtId="0" fontId="14" fillId="8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2" fontId="54" fillId="8" borderId="6" xfId="0" applyNumberFormat="1" applyFont="1" applyFill="1" applyBorder="1" applyAlignment="1">
      <alignment horizontal="left" vertical="center"/>
    </xf>
    <xf numFmtId="11" fontId="14" fillId="8" borderId="0" xfId="0" applyNumberFormat="1" applyFont="1" applyFill="1" applyAlignment="1">
      <alignment horizontal="left" vertical="center"/>
    </xf>
    <xf numFmtId="165" fontId="15" fillId="8" borderId="10" xfId="6" applyNumberFormat="1" applyFont="1" applyFill="1" applyBorder="1" applyAlignment="1">
      <alignment horizontal="left" vertical="center" wrapText="1"/>
    </xf>
    <xf numFmtId="0" fontId="14" fillId="8" borderId="7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left" vertical="center"/>
    </xf>
    <xf numFmtId="0" fontId="14" fillId="9" borderId="5" xfId="0" applyFont="1" applyFill="1" applyBorder="1" applyAlignment="1">
      <alignment horizontal="center" vertical="center"/>
    </xf>
    <xf numFmtId="0" fontId="48" fillId="9" borderId="3" xfId="0" applyFont="1" applyFill="1" applyBorder="1" applyAlignment="1">
      <alignment horizontal="left" vertical="center"/>
    </xf>
    <xf numFmtId="2" fontId="14" fillId="9" borderId="4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/>
    </xf>
    <xf numFmtId="11" fontId="14" fillId="8" borderId="7" xfId="0" applyNumberFormat="1" applyFont="1" applyFill="1" applyBorder="1" applyAlignment="1">
      <alignment horizontal="left" vertical="center"/>
    </xf>
    <xf numFmtId="11" fontId="14" fillId="8" borderId="8" xfId="0" applyNumberFormat="1" applyFont="1" applyFill="1" applyBorder="1" applyAlignment="1">
      <alignment horizontal="left" vertical="center"/>
    </xf>
    <xf numFmtId="0" fontId="15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2" fontId="14" fillId="8" borderId="0" xfId="0" applyNumberFormat="1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49" fontId="15" fillId="8" borderId="0" xfId="0" applyNumberFormat="1" applyFont="1" applyFill="1" applyBorder="1" applyAlignment="1">
      <alignment horizontal="center" vertical="center" wrapText="1"/>
    </xf>
    <xf numFmtId="170" fontId="14" fillId="8" borderId="0" xfId="0" applyNumberFormat="1" applyFont="1" applyFill="1" applyBorder="1" applyAlignment="1">
      <alignment horizontal="center" vertical="center"/>
    </xf>
    <xf numFmtId="171" fontId="14" fillId="8" borderId="0" xfId="0" applyNumberFormat="1" applyFont="1" applyFill="1" applyBorder="1" applyAlignment="1">
      <alignment horizontal="center" vertical="center"/>
    </xf>
    <xf numFmtId="167" fontId="15" fillId="8" borderId="0" xfId="0" applyNumberFormat="1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165" fontId="15" fillId="8" borderId="0" xfId="0" applyNumberFormat="1" applyFont="1" applyFill="1" applyBorder="1" applyAlignment="1">
      <alignment horizontal="center" vertical="center"/>
    </xf>
    <xf numFmtId="168" fontId="14" fillId="8" borderId="0" xfId="0" applyNumberFormat="1" applyFont="1" applyFill="1" applyBorder="1" applyAlignment="1">
      <alignment horizontal="center" vertical="center"/>
    </xf>
    <xf numFmtId="0" fontId="8" fillId="8" borderId="0" xfId="2" applyFont="1" applyFill="1" applyBorder="1" applyAlignment="1">
      <alignment horizontal="center" vertical="center"/>
    </xf>
    <xf numFmtId="170" fontId="6" fillId="8" borderId="0" xfId="2" applyNumberFormat="1" applyFont="1" applyFill="1" applyBorder="1" applyAlignment="1">
      <alignment horizontal="center" vertical="center"/>
    </xf>
    <xf numFmtId="0" fontId="6" fillId="8" borderId="0" xfId="2" applyFont="1" applyFill="1" applyBorder="1" applyAlignment="1">
      <alignment horizontal="center" vertical="center"/>
    </xf>
    <xf numFmtId="2" fontId="16" fillId="8" borderId="0" xfId="0" applyNumberFormat="1" applyFont="1" applyFill="1" applyBorder="1" applyAlignment="1">
      <alignment horizontal="center" vertical="center"/>
    </xf>
    <xf numFmtId="2" fontId="16" fillId="8" borderId="0" xfId="0" applyNumberFormat="1" applyFont="1" applyFill="1" applyAlignment="1">
      <alignment horizontal="center" vertical="center"/>
    </xf>
    <xf numFmtId="0" fontId="16" fillId="8" borderId="0" xfId="0" applyFont="1" applyFill="1" applyAlignment="1">
      <alignment horizontal="left" vertical="center"/>
    </xf>
    <xf numFmtId="11" fontId="17" fillId="8" borderId="0" xfId="0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2" fontId="14" fillId="8" borderId="1" xfId="0" applyNumberFormat="1" applyFont="1" applyFill="1" applyBorder="1" applyAlignment="1">
      <alignment horizontal="center" vertical="center"/>
    </xf>
    <xf numFmtId="2" fontId="14" fillId="8" borderId="1" xfId="0" applyNumberFormat="1" applyFont="1" applyFill="1" applyBorder="1" applyAlignment="1">
      <alignment horizontal="left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2" fontId="24" fillId="8" borderId="7" xfId="0" applyNumberFormat="1" applyFont="1" applyFill="1" applyBorder="1" applyAlignment="1">
      <alignment horizontal="left" vertical="center"/>
    </xf>
    <xf numFmtId="2" fontId="14" fillId="8" borderId="7" xfId="0" applyNumberFormat="1" applyFont="1" applyFill="1" applyBorder="1" applyAlignment="1">
      <alignment horizontal="center" vertical="center"/>
    </xf>
    <xf numFmtId="11" fontId="18" fillId="8" borderId="0" xfId="0" applyNumberFormat="1" applyFont="1" applyFill="1" applyBorder="1" applyAlignment="1">
      <alignment horizontal="center" vertical="center"/>
    </xf>
    <xf numFmtId="0" fontId="24" fillId="8" borderId="7" xfId="0" applyFont="1" applyFill="1" applyBorder="1" applyAlignment="1">
      <alignment horizontal="left" vertical="center"/>
    </xf>
    <xf numFmtId="0" fontId="12" fillId="8" borderId="0" xfId="8" applyFont="1" applyFill="1" applyBorder="1" applyAlignment="1">
      <alignment horizontal="left" vertical="center"/>
    </xf>
    <xf numFmtId="167" fontId="14" fillId="8" borderId="7" xfId="0" applyNumberFormat="1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left" vertical="center"/>
    </xf>
    <xf numFmtId="0" fontId="14" fillId="8" borderId="1" xfId="0" applyNumberFormat="1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25" fillId="8" borderId="0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2" fontId="27" fillId="8" borderId="7" xfId="2" applyNumberFormat="1" applyFont="1" applyFill="1" applyBorder="1" applyAlignment="1">
      <alignment horizontal="center" vertical="center"/>
    </xf>
    <xf numFmtId="2" fontId="28" fillId="8" borderId="7" xfId="2" applyNumberFormat="1" applyFont="1" applyFill="1" applyBorder="1" applyAlignment="1">
      <alignment horizontal="center" vertical="center"/>
    </xf>
    <xf numFmtId="2" fontId="28" fillId="8" borderId="7" xfId="3" applyNumberFormat="1" applyFont="1" applyFill="1" applyBorder="1" applyAlignment="1">
      <alignment horizontal="center" vertical="center"/>
    </xf>
    <xf numFmtId="2" fontId="14" fillId="8" borderId="6" xfId="0" applyNumberFormat="1" applyFont="1" applyFill="1" applyBorder="1" applyAlignment="1">
      <alignment horizontal="center" vertical="center"/>
    </xf>
    <xf numFmtId="0" fontId="8" fillId="8" borderId="6" xfId="1" applyFont="1" applyFill="1" applyBorder="1" applyAlignment="1">
      <alignment horizontal="center" vertical="center"/>
    </xf>
    <xf numFmtId="0" fontId="3" fillId="8" borderId="0" xfId="1" applyFont="1" applyFill="1" applyBorder="1" applyAlignment="1">
      <alignment horizontal="center" vertical="center"/>
    </xf>
    <xf numFmtId="0" fontId="8" fillId="8" borderId="0" xfId="1" applyFont="1" applyFill="1" applyBorder="1" applyAlignment="1">
      <alignment horizontal="center" vertical="center"/>
    </xf>
    <xf numFmtId="0" fontId="8" fillId="8" borderId="7" xfId="1" applyFont="1" applyFill="1" applyBorder="1" applyAlignment="1">
      <alignment horizontal="center" vertical="center"/>
    </xf>
    <xf numFmtId="1" fontId="14" fillId="8" borderId="6" xfId="1" applyNumberFormat="1" applyFont="1" applyFill="1" applyBorder="1" applyAlignment="1">
      <alignment horizontal="center" vertical="center"/>
    </xf>
    <xf numFmtId="1" fontId="14" fillId="8" borderId="0" xfId="1" applyNumberFormat="1" applyFont="1" applyFill="1" applyBorder="1" applyAlignment="1">
      <alignment horizontal="center" vertical="center"/>
    </xf>
    <xf numFmtId="172" fontId="6" fillId="8" borderId="0" xfId="1" applyNumberFormat="1" applyFont="1" applyFill="1" applyBorder="1" applyAlignment="1">
      <alignment horizontal="center" vertical="center"/>
    </xf>
    <xf numFmtId="172" fontId="6" fillId="8" borderId="7" xfId="1" applyNumberFormat="1" applyFont="1" applyFill="1" applyBorder="1" applyAlignment="1">
      <alignment horizontal="center" vertical="center"/>
    </xf>
    <xf numFmtId="1" fontId="6" fillId="8" borderId="6" xfId="1" applyNumberFormat="1" applyFont="1" applyFill="1" applyBorder="1" applyAlignment="1">
      <alignment horizontal="center" vertical="center"/>
    </xf>
    <xf numFmtId="1" fontId="6" fillId="8" borderId="0" xfId="1" applyNumberFormat="1" applyFont="1" applyFill="1" applyBorder="1" applyAlignment="1">
      <alignment horizontal="center" vertical="center"/>
    </xf>
    <xf numFmtId="0" fontId="20" fillId="8" borderId="0" xfId="0" applyFont="1" applyFill="1" applyBorder="1" applyAlignment="1">
      <alignment vertical="center"/>
    </xf>
    <xf numFmtId="0" fontId="14" fillId="8" borderId="0" xfId="0" applyFont="1" applyFill="1" applyBorder="1" applyAlignment="1">
      <alignment vertical="center"/>
    </xf>
    <xf numFmtId="174" fontId="14" fillId="8" borderId="0" xfId="5" applyNumberFormat="1" applyFont="1" applyFill="1" applyBorder="1" applyAlignment="1">
      <alignment horizontal="center" vertical="center"/>
    </xf>
    <xf numFmtId="170" fontId="14" fillId="8" borderId="0" xfId="0" applyNumberFormat="1" applyFont="1" applyFill="1" applyBorder="1" applyAlignment="1">
      <alignment horizontal="left" vertical="center"/>
    </xf>
    <xf numFmtId="171" fontId="14" fillId="8" borderId="0" xfId="0" applyNumberFormat="1" applyFont="1" applyFill="1" applyBorder="1" applyAlignment="1">
      <alignment horizontal="left" vertical="center"/>
    </xf>
    <xf numFmtId="0" fontId="15" fillId="8" borderId="0" xfId="0" applyFont="1" applyFill="1" applyBorder="1" applyAlignment="1">
      <alignment vertical="center"/>
    </xf>
    <xf numFmtId="165" fontId="14" fillId="8" borderId="0" xfId="0" applyNumberFormat="1" applyFont="1" applyFill="1" applyBorder="1" applyAlignment="1">
      <alignment horizontal="center" vertical="center"/>
    </xf>
    <xf numFmtId="167" fontId="15" fillId="8" borderId="0" xfId="0" applyNumberFormat="1" applyFont="1" applyFill="1" applyBorder="1" applyAlignment="1">
      <alignment horizontal="left" vertical="center"/>
    </xf>
    <xf numFmtId="0" fontId="29" fillId="8" borderId="0" xfId="6" quotePrefix="1" applyFont="1" applyFill="1" applyBorder="1" applyAlignment="1">
      <alignment horizontal="center" vertical="center"/>
    </xf>
    <xf numFmtId="11" fontId="30" fillId="8" borderId="0" xfId="6" applyNumberFormat="1" applyFont="1" applyFill="1" applyBorder="1" applyAlignment="1">
      <alignment horizontal="center" vertical="center"/>
    </xf>
    <xf numFmtId="165" fontId="15" fillId="8" borderId="0" xfId="0" applyNumberFormat="1" applyFont="1" applyFill="1" applyBorder="1" applyAlignment="1">
      <alignment horizontal="left" vertical="center"/>
    </xf>
    <xf numFmtId="168" fontId="14" fillId="8" borderId="0" xfId="0" applyNumberFormat="1" applyFont="1" applyFill="1" applyBorder="1" applyAlignment="1">
      <alignment horizontal="left" vertical="center"/>
    </xf>
    <xf numFmtId="0" fontId="8" fillId="8" borderId="0" xfId="2" applyFont="1" applyFill="1" applyBorder="1" applyAlignment="1">
      <alignment horizontal="left" vertical="center"/>
    </xf>
    <xf numFmtId="170" fontId="6" fillId="8" borderId="0" xfId="2" applyNumberFormat="1" applyFont="1" applyFill="1" applyBorder="1" applyAlignment="1">
      <alignment horizontal="left" vertical="center"/>
    </xf>
    <xf numFmtId="0" fontId="6" fillId="8" borderId="0" xfId="2" applyFont="1" applyFill="1" applyBorder="1" applyAlignment="1">
      <alignment horizontal="left" vertical="center"/>
    </xf>
    <xf numFmtId="0" fontId="55" fillId="8" borderId="0" xfId="0" applyNumberFormat="1" applyFont="1" applyFill="1" applyBorder="1" applyAlignment="1">
      <alignment horizontal="left" vertical="center"/>
    </xf>
    <xf numFmtId="1" fontId="55" fillId="8" borderId="0" xfId="0" applyNumberFormat="1" applyFont="1" applyFill="1" applyBorder="1" applyAlignment="1">
      <alignment horizontal="left" vertical="center"/>
    </xf>
    <xf numFmtId="2" fontId="55" fillId="8" borderId="0" xfId="4" applyNumberFormat="1" applyFont="1" applyFill="1" applyBorder="1" applyAlignment="1">
      <alignment horizontal="left" vertical="center"/>
    </xf>
    <xf numFmtId="171" fontId="55" fillId="8" borderId="0" xfId="4" applyNumberFormat="1" applyFont="1" applyFill="1" applyBorder="1" applyAlignment="1">
      <alignment horizontal="left" vertical="center"/>
    </xf>
    <xf numFmtId="1" fontId="55" fillId="8" borderId="0" xfId="4" applyNumberFormat="1" applyFont="1" applyFill="1" applyBorder="1" applyAlignment="1">
      <alignment horizontal="left" vertical="center"/>
    </xf>
    <xf numFmtId="171" fontId="55" fillId="8" borderId="0" xfId="5" applyNumberFormat="1" applyFont="1" applyFill="1" applyBorder="1" applyAlignment="1">
      <alignment horizontal="left" vertical="center"/>
    </xf>
    <xf numFmtId="0" fontId="55" fillId="8" borderId="0" xfId="0" applyFont="1" applyFill="1" applyBorder="1" applyAlignment="1">
      <alignment horizontal="left" vertical="center"/>
    </xf>
    <xf numFmtId="0" fontId="48" fillId="8" borderId="0" xfId="0" applyFont="1" applyFill="1" applyBorder="1" applyAlignment="1">
      <alignment horizontal="left" vertical="center"/>
    </xf>
    <xf numFmtId="2" fontId="55" fillId="8" borderId="0" xfId="6" applyNumberFormat="1" applyFont="1" applyFill="1" applyBorder="1" applyAlignment="1">
      <alignment horizontal="left" vertical="center"/>
    </xf>
    <xf numFmtId="1" fontId="55" fillId="8" borderId="0" xfId="6" applyNumberFormat="1" applyFont="1" applyFill="1" applyBorder="1" applyAlignment="1">
      <alignment horizontal="left" vertical="center"/>
    </xf>
    <xf numFmtId="0" fontId="16" fillId="8" borderId="10" xfId="4" applyFont="1" applyFill="1" applyBorder="1" applyAlignment="1">
      <alignment horizontal="center" vertical="center" textRotation="90" wrapText="1"/>
    </xf>
    <xf numFmtId="2" fontId="51" fillId="8" borderId="6" xfId="4" applyNumberFormat="1" applyFont="1" applyFill="1" applyBorder="1" applyAlignment="1">
      <alignment vertical="center"/>
    </xf>
    <xf numFmtId="0" fontId="53" fillId="8" borderId="6" xfId="8" applyFont="1" applyFill="1" applyBorder="1" applyAlignment="1">
      <alignment vertical="center" wrapText="1"/>
    </xf>
    <xf numFmtId="0" fontId="47" fillId="10" borderId="3" xfId="0" applyFont="1" applyFill="1" applyBorder="1" applyAlignment="1">
      <alignment horizontal="left" vertical="center"/>
    </xf>
    <xf numFmtId="11" fontId="14" fillId="10" borderId="4" xfId="0" applyNumberFormat="1" applyFont="1" applyFill="1" applyBorder="1" applyAlignment="1">
      <alignment horizontal="left" vertical="center"/>
    </xf>
    <xf numFmtId="0" fontId="14" fillId="10" borderId="5" xfId="0" applyFont="1" applyFill="1" applyBorder="1" applyAlignment="1">
      <alignment horizontal="left" vertical="center"/>
    </xf>
    <xf numFmtId="0" fontId="47" fillId="12" borderId="3" xfId="0" applyFont="1" applyFill="1" applyBorder="1" applyAlignment="1">
      <alignment horizontal="left" vertical="center"/>
    </xf>
    <xf numFmtId="0" fontId="49" fillId="12" borderId="4" xfId="0" applyFont="1" applyFill="1" applyBorder="1" applyAlignment="1">
      <alignment horizontal="left" vertical="center"/>
    </xf>
    <xf numFmtId="0" fontId="18" fillId="12" borderId="4" xfId="0" applyFont="1" applyFill="1" applyBorder="1" applyAlignment="1">
      <alignment horizontal="left" vertical="center"/>
    </xf>
    <xf numFmtId="0" fontId="18" fillId="12" borderId="5" xfId="0" applyFont="1" applyFill="1" applyBorder="1" applyAlignment="1">
      <alignment horizontal="left" vertical="center"/>
    </xf>
    <xf numFmtId="9" fontId="14" fillId="8" borderId="7" xfId="3" applyNumberFormat="1" applyFont="1" applyFill="1" applyBorder="1" applyAlignment="1" applyProtection="1">
      <alignment horizontal="center" vertical="center"/>
    </xf>
    <xf numFmtId="11" fontId="15" fillId="8" borderId="7" xfId="3" applyNumberFormat="1" applyFont="1" applyFill="1" applyBorder="1" applyAlignment="1">
      <alignment horizontal="center" vertical="center"/>
    </xf>
    <xf numFmtId="2" fontId="14" fillId="8" borderId="7" xfId="5" applyNumberFormat="1" applyFont="1" applyFill="1" applyBorder="1" applyAlignment="1">
      <alignment horizontal="center" vertical="center"/>
    </xf>
    <xf numFmtId="11" fontId="14" fillId="8" borderId="7" xfId="3" applyNumberFormat="1" applyFont="1" applyFill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2" fontId="7" fillId="0" borderId="7" xfId="5" applyNumberFormat="1" applyFont="1" applyFill="1" applyBorder="1" applyAlignment="1">
      <alignment horizontal="center" vertical="center"/>
    </xf>
    <xf numFmtId="0" fontId="47" fillId="8" borderId="11" xfId="0" applyFont="1" applyFill="1" applyBorder="1" applyAlignment="1">
      <alignment horizontal="left" vertical="center"/>
    </xf>
    <xf numFmtId="0" fontId="15" fillId="8" borderId="6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4" fillId="8" borderId="10" xfId="0" applyNumberFormat="1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6" fillId="8" borderId="0" xfId="0" applyFont="1" applyFill="1" applyAlignment="1">
      <alignment horizontal="left" vertical="center"/>
    </xf>
    <xf numFmtId="0" fontId="16" fillId="8" borderId="0" xfId="0" applyFont="1" applyFill="1" applyBorder="1" applyAlignment="1">
      <alignment horizontal="center" vertical="center" wrapText="1"/>
    </xf>
    <xf numFmtId="49" fontId="15" fillId="11" borderId="4" xfId="0" applyNumberFormat="1" applyFont="1" applyFill="1" applyBorder="1" applyAlignment="1" applyProtection="1">
      <alignment horizontal="left" vertical="center" wrapText="1"/>
    </xf>
    <xf numFmtId="2" fontId="14" fillId="11" borderId="4" xfId="0" applyNumberFormat="1" applyFont="1" applyFill="1" applyBorder="1" applyAlignment="1" applyProtection="1">
      <alignment horizontal="left" vertical="center"/>
    </xf>
    <xf numFmtId="49" fontId="15" fillId="11" borderId="5" xfId="0" applyNumberFormat="1" applyFont="1" applyFill="1" applyBorder="1" applyAlignment="1" applyProtection="1">
      <alignment horizontal="left" vertical="center" wrapText="1"/>
    </xf>
    <xf numFmtId="0" fontId="47" fillId="9" borderId="3" xfId="0" applyFont="1" applyFill="1" applyBorder="1" applyAlignment="1" applyProtection="1">
      <alignment horizontal="left" vertical="center"/>
    </xf>
    <xf numFmtId="0" fontId="14" fillId="9" borderId="4" xfId="0" applyFont="1" applyFill="1" applyBorder="1" applyAlignment="1" applyProtection="1">
      <alignment horizontal="left" vertical="center"/>
    </xf>
    <xf numFmtId="0" fontId="47" fillId="9" borderId="4" xfId="0" applyFont="1" applyFill="1" applyBorder="1" applyAlignment="1" applyProtection="1">
      <alignment horizontal="left" vertical="center"/>
    </xf>
    <xf numFmtId="0" fontId="14" fillId="9" borderId="5" xfId="0" applyFont="1" applyFill="1" applyBorder="1" applyAlignment="1" applyProtection="1">
      <alignment horizontal="left" vertical="center"/>
    </xf>
    <xf numFmtId="11" fontId="15" fillId="8" borderId="6" xfId="4" applyNumberFormat="1" applyFont="1" applyFill="1" applyBorder="1" applyAlignment="1" applyProtection="1">
      <alignment horizontal="left" vertical="center"/>
    </xf>
    <xf numFmtId="11" fontId="14" fillId="8" borderId="0" xfId="4" applyNumberFormat="1" applyFont="1" applyFill="1" applyBorder="1" applyAlignment="1" applyProtection="1">
      <alignment horizontal="left" vertical="center"/>
    </xf>
    <xf numFmtId="0" fontId="15" fillId="8" borderId="0" xfId="4" applyFont="1" applyFill="1" applyBorder="1" applyAlignment="1" applyProtection="1">
      <alignment horizontal="left" vertical="center"/>
    </xf>
    <xf numFmtId="2" fontId="14" fillId="8" borderId="0" xfId="5" applyNumberFormat="1" applyFont="1" applyFill="1" applyBorder="1" applyAlignment="1" applyProtection="1">
      <alignment horizontal="left" vertical="center"/>
    </xf>
    <xf numFmtId="165" fontId="14" fillId="8" borderId="7" xfId="5" applyNumberFormat="1" applyFont="1" applyFill="1" applyBorder="1" applyAlignment="1" applyProtection="1">
      <alignment horizontal="left" vertical="center"/>
    </xf>
    <xf numFmtId="173" fontId="14" fillId="8" borderId="0" xfId="5" applyNumberFormat="1" applyFont="1" applyFill="1" applyBorder="1" applyAlignment="1" applyProtection="1">
      <alignment horizontal="left" vertical="center"/>
    </xf>
    <xf numFmtId="0" fontId="15" fillId="8" borderId="0" xfId="6" applyFont="1" applyFill="1" applyBorder="1" applyAlignment="1" applyProtection="1">
      <alignment horizontal="left" vertical="center"/>
    </xf>
    <xf numFmtId="179" fontId="14" fillId="8" borderId="0" xfId="6" applyNumberFormat="1" applyFont="1" applyFill="1" applyBorder="1" applyAlignment="1" applyProtection="1">
      <alignment horizontal="left" vertical="center"/>
    </xf>
    <xf numFmtId="177" fontId="14" fillId="8" borderId="7" xfId="6" applyNumberFormat="1" applyFont="1" applyFill="1" applyBorder="1" applyAlignment="1" applyProtection="1">
      <alignment horizontal="left" vertical="center"/>
    </xf>
    <xf numFmtId="173" fontId="14" fillId="8" borderId="0" xfId="4" applyNumberFormat="1" applyFont="1" applyFill="1" applyBorder="1" applyAlignment="1" applyProtection="1">
      <alignment horizontal="left" vertical="center"/>
    </xf>
    <xf numFmtId="2" fontId="15" fillId="8" borderId="0" xfId="0" applyNumberFormat="1" applyFont="1" applyFill="1" applyBorder="1" applyAlignment="1" applyProtection="1">
      <alignment horizontal="left" vertical="center"/>
    </xf>
    <xf numFmtId="175" fontId="14" fillId="8" borderId="0" xfId="0" applyNumberFormat="1" applyFont="1" applyFill="1" applyBorder="1" applyAlignment="1" applyProtection="1">
      <alignment horizontal="left" vertical="center"/>
    </xf>
    <xf numFmtId="175" fontId="14" fillId="8" borderId="7" xfId="0" applyNumberFormat="1" applyFont="1" applyFill="1" applyBorder="1" applyAlignment="1" applyProtection="1">
      <alignment horizontal="left" vertical="center"/>
    </xf>
    <xf numFmtId="0" fontId="15" fillId="8" borderId="6" xfId="0" applyFont="1" applyFill="1" applyBorder="1" applyAlignment="1" applyProtection="1">
      <alignment horizontal="left" vertical="center"/>
    </xf>
    <xf numFmtId="173" fontId="14" fillId="8" borderId="0" xfId="0" applyNumberFormat="1" applyFont="1" applyFill="1" applyBorder="1" applyAlignment="1" applyProtection="1">
      <alignment horizontal="left" vertical="center"/>
    </xf>
    <xf numFmtId="11" fontId="14" fillId="8" borderId="0" xfId="0" applyNumberFormat="1" applyFont="1" applyFill="1" applyBorder="1" applyAlignment="1" applyProtection="1">
      <alignment horizontal="left" vertical="center"/>
    </xf>
    <xf numFmtId="11" fontId="14" fillId="8" borderId="7" xfId="0" applyNumberFormat="1" applyFont="1" applyFill="1" applyBorder="1" applyAlignment="1" applyProtection="1">
      <alignment horizontal="left" vertical="center"/>
    </xf>
    <xf numFmtId="0" fontId="15" fillId="8" borderId="6" xfId="4" applyFont="1" applyFill="1" applyBorder="1" applyAlignment="1" applyProtection="1">
      <alignment horizontal="left" vertical="center"/>
    </xf>
    <xf numFmtId="0" fontId="21" fillId="8" borderId="0" xfId="0" applyFont="1" applyFill="1" applyBorder="1" applyAlignment="1" applyProtection="1">
      <alignment horizontal="left" vertical="center"/>
    </xf>
    <xf numFmtId="0" fontId="21" fillId="8" borderId="7" xfId="0" applyFont="1" applyFill="1" applyBorder="1" applyAlignment="1" applyProtection="1">
      <alignment horizontal="left" vertical="center"/>
    </xf>
    <xf numFmtId="0" fontId="4" fillId="8" borderId="0" xfId="0" applyFont="1" applyFill="1" applyBorder="1" applyAlignment="1" applyProtection="1">
      <alignment horizontal="left" vertical="center"/>
    </xf>
    <xf numFmtId="166" fontId="14" fillId="8" borderId="0" xfId="7" applyNumberFormat="1" applyFont="1" applyFill="1" applyBorder="1" applyAlignment="1" applyProtection="1">
      <alignment horizontal="left" vertical="center"/>
    </xf>
    <xf numFmtId="2" fontId="14" fillId="8" borderId="0" xfId="0" applyNumberFormat="1" applyFont="1" applyFill="1" applyBorder="1" applyAlignment="1" applyProtection="1">
      <alignment horizontal="left" vertical="center"/>
    </xf>
    <xf numFmtId="0" fontId="16" fillId="8" borderId="0" xfId="0" applyFont="1" applyFill="1" applyBorder="1" applyAlignment="1" applyProtection="1">
      <alignment horizontal="left" vertical="center"/>
    </xf>
    <xf numFmtId="0" fontId="16" fillId="8" borderId="7" xfId="0" applyFont="1" applyFill="1" applyBorder="1" applyAlignment="1" applyProtection="1">
      <alignment horizontal="left" vertical="center"/>
    </xf>
    <xf numFmtId="11" fontId="14" fillId="9" borderId="4" xfId="0" applyNumberFormat="1" applyFont="1" applyFill="1" applyBorder="1" applyAlignment="1" applyProtection="1">
      <alignment horizontal="left" vertical="center"/>
    </xf>
    <xf numFmtId="0" fontId="17" fillId="9" borderId="4" xfId="0" applyFont="1" applyFill="1" applyBorder="1" applyAlignment="1" applyProtection="1">
      <alignment horizontal="left" vertical="center"/>
    </xf>
    <xf numFmtId="0" fontId="17" fillId="9" borderId="5" xfId="0" applyFont="1" applyFill="1" applyBorder="1" applyAlignment="1" applyProtection="1">
      <alignment horizontal="left" vertical="center"/>
    </xf>
    <xf numFmtId="0" fontId="15" fillId="8" borderId="6" xfId="6" applyFont="1" applyFill="1" applyBorder="1" applyAlignment="1" applyProtection="1">
      <alignment horizontal="left" vertical="center"/>
    </xf>
    <xf numFmtId="11" fontId="14" fillId="8" borderId="0" xfId="6" applyNumberFormat="1" applyFont="1" applyFill="1" applyBorder="1" applyAlignment="1" applyProtection="1">
      <alignment horizontal="left" vertical="center"/>
    </xf>
    <xf numFmtId="11" fontId="14" fillId="8" borderId="0" xfId="5" applyNumberFormat="1" applyFont="1" applyFill="1" applyBorder="1" applyAlignment="1" applyProtection="1">
      <alignment horizontal="left" vertical="center"/>
    </xf>
    <xf numFmtId="173" fontId="14" fillId="8" borderId="7" xfId="5" applyNumberFormat="1" applyFont="1" applyFill="1" applyBorder="1" applyAlignment="1" applyProtection="1">
      <alignment horizontal="left" vertical="center"/>
    </xf>
    <xf numFmtId="11" fontId="40" fillId="8" borderId="6" xfId="6" applyNumberFormat="1" applyFont="1" applyFill="1" applyBorder="1" applyAlignment="1" applyProtection="1">
      <alignment horizontal="left" vertical="center"/>
    </xf>
    <xf numFmtId="11" fontId="14" fillId="8" borderId="7" xfId="5" applyNumberFormat="1" applyFont="1" applyFill="1" applyBorder="1" applyAlignment="1" applyProtection="1">
      <alignment horizontal="left" vertical="center"/>
    </xf>
    <xf numFmtId="11" fontId="15" fillId="8" borderId="6" xfId="6" applyNumberFormat="1" applyFont="1" applyFill="1" applyBorder="1" applyAlignment="1" applyProtection="1">
      <alignment horizontal="left" vertical="center"/>
    </xf>
    <xf numFmtId="11" fontId="14" fillId="8" borderId="7" xfId="6" applyNumberFormat="1" applyFont="1" applyFill="1" applyBorder="1" applyAlignment="1" applyProtection="1">
      <alignment horizontal="left" vertical="center"/>
    </xf>
    <xf numFmtId="176" fontId="14" fillId="8" borderId="0" xfId="5" applyNumberFormat="1" applyFont="1" applyFill="1" applyBorder="1" applyAlignment="1" applyProtection="1">
      <alignment horizontal="left" vertical="center"/>
    </xf>
    <xf numFmtId="11" fontId="2" fillId="8" borderId="6" xfId="6" applyNumberFormat="1" applyFont="1" applyFill="1" applyBorder="1" applyAlignment="1" applyProtection="1">
      <alignment horizontal="left" vertical="center"/>
    </xf>
    <xf numFmtId="176" fontId="14" fillId="8" borderId="7" xfId="5" applyNumberFormat="1" applyFont="1" applyFill="1" applyBorder="1" applyAlignment="1" applyProtection="1">
      <alignment horizontal="left" vertical="center"/>
    </xf>
    <xf numFmtId="11" fontId="15" fillId="8" borderId="6" xfId="6" applyNumberFormat="1" applyFont="1" applyFill="1" applyBorder="1" applyAlignment="1" applyProtection="1">
      <alignment horizontal="left" vertical="center" wrapText="1"/>
    </xf>
    <xf numFmtId="11" fontId="15" fillId="8" borderId="9" xfId="6" applyNumberFormat="1" applyFont="1" applyFill="1" applyBorder="1" applyAlignment="1" applyProtection="1">
      <alignment horizontal="left" vertical="center"/>
    </xf>
    <xf numFmtId="166" fontId="14" fillId="8" borderId="10" xfId="7" applyNumberFormat="1" applyFont="1" applyFill="1" applyBorder="1" applyAlignment="1" applyProtection="1">
      <alignment horizontal="left" vertical="center"/>
    </xf>
    <xf numFmtId="11" fontId="15" fillId="8" borderId="10" xfId="6" applyNumberFormat="1" applyFont="1" applyFill="1" applyBorder="1" applyAlignment="1" applyProtection="1">
      <alignment horizontal="left" vertical="center"/>
    </xf>
    <xf numFmtId="166" fontId="14" fillId="8" borderId="8" xfId="7" applyNumberFormat="1" applyFont="1" applyFill="1" applyBorder="1" applyAlignment="1" applyProtection="1">
      <alignment horizontal="left" vertical="center"/>
    </xf>
    <xf numFmtId="0" fontId="47" fillId="9" borderId="6" xfId="0" applyFont="1" applyFill="1" applyBorder="1" applyAlignment="1" applyProtection="1">
      <alignment horizontal="left" vertical="center"/>
    </xf>
    <xf numFmtId="0" fontId="14" fillId="9" borderId="0" xfId="0" applyFont="1" applyFill="1" applyBorder="1" applyAlignment="1" applyProtection="1">
      <alignment horizontal="left" vertical="center"/>
    </xf>
    <xf numFmtId="11" fontId="14" fillId="9" borderId="0" xfId="0" applyNumberFormat="1" applyFont="1" applyFill="1" applyBorder="1" applyAlignment="1" applyProtection="1">
      <alignment horizontal="left" vertical="center"/>
    </xf>
    <xf numFmtId="11" fontId="14" fillId="9" borderId="7" xfId="0" applyNumberFormat="1" applyFont="1" applyFill="1" applyBorder="1" applyAlignment="1" applyProtection="1">
      <alignment horizontal="left" vertical="center"/>
    </xf>
    <xf numFmtId="2" fontId="15" fillId="8" borderId="6" xfId="8" applyNumberFormat="1" applyFont="1" applyFill="1" applyBorder="1" applyAlignment="1" applyProtection="1">
      <alignment horizontal="left" vertical="center" wrapText="1"/>
    </xf>
    <xf numFmtId="0" fontId="14" fillId="8" borderId="0" xfId="0" applyFont="1" applyFill="1" applyBorder="1" applyAlignment="1" applyProtection="1">
      <alignment horizontal="left" vertical="center"/>
    </xf>
    <xf numFmtId="2" fontId="34" fillId="8" borderId="0" xfId="0" applyNumberFormat="1" applyFont="1" applyFill="1" applyBorder="1" applyAlignment="1" applyProtection="1">
      <alignment horizontal="left" vertical="center"/>
    </xf>
    <xf numFmtId="11" fontId="47" fillId="8" borderId="0" xfId="0" applyNumberFormat="1" applyFont="1" applyFill="1" applyBorder="1" applyAlignment="1" applyProtection="1">
      <alignment horizontal="left" vertical="center"/>
    </xf>
    <xf numFmtId="11" fontId="47" fillId="8" borderId="7" xfId="0" applyNumberFormat="1" applyFont="1" applyFill="1" applyBorder="1" applyAlignment="1" applyProtection="1">
      <alignment horizontal="left" vertical="center"/>
    </xf>
    <xf numFmtId="2" fontId="15" fillId="8" borderId="6" xfId="8" applyNumberFormat="1" applyFont="1" applyFill="1" applyBorder="1" applyAlignment="1" applyProtection="1">
      <alignment horizontal="left" vertical="center"/>
    </xf>
    <xf numFmtId="0" fontId="24" fillId="8" borderId="0" xfId="1" applyFont="1" applyFill="1" applyBorder="1" applyAlignment="1" applyProtection="1">
      <alignment horizontal="left" vertical="center"/>
    </xf>
    <xf numFmtId="0" fontId="14" fillId="8" borderId="7" xfId="0" applyFont="1" applyFill="1" applyBorder="1" applyAlignment="1" applyProtection="1">
      <alignment horizontal="left" vertical="center"/>
    </xf>
    <xf numFmtId="2" fontId="15" fillId="8" borderId="0" xfId="8" applyNumberFormat="1" applyFont="1" applyFill="1" applyBorder="1" applyAlignment="1" applyProtection="1">
      <alignment horizontal="left" vertical="center"/>
    </xf>
    <xf numFmtId="2" fontId="15" fillId="8" borderId="7" xfId="8" applyNumberFormat="1" applyFont="1" applyFill="1" applyBorder="1" applyAlignment="1" applyProtection="1">
      <alignment horizontal="left" vertical="center" wrapText="1"/>
    </xf>
    <xf numFmtId="2" fontId="15" fillId="8" borderId="0" xfId="8" applyNumberFormat="1" applyFont="1" applyFill="1" applyBorder="1" applyAlignment="1" applyProtection="1">
      <alignment horizontal="left" vertical="center" wrapText="1"/>
    </xf>
    <xf numFmtId="172" fontId="14" fillId="9" borderId="4" xfId="0" applyNumberFormat="1" applyFont="1" applyFill="1" applyBorder="1" applyAlignment="1" applyProtection="1">
      <alignment horizontal="left" vertical="center"/>
    </xf>
    <xf numFmtId="11" fontId="14" fillId="9" borderId="5" xfId="0" applyNumberFormat="1" applyFont="1" applyFill="1" applyBorder="1" applyAlignment="1" applyProtection="1">
      <alignment horizontal="left" vertical="center"/>
    </xf>
    <xf numFmtId="2" fontId="24" fillId="8" borderId="3" xfId="4" applyNumberFormat="1" applyFont="1" applyFill="1" applyBorder="1" applyAlignment="1" applyProtection="1">
      <alignment horizontal="left" vertical="center"/>
    </xf>
    <xf numFmtId="11" fontId="14" fillId="8" borderId="4" xfId="4" applyNumberFormat="1" applyFont="1" applyFill="1" applyBorder="1" applyAlignment="1" applyProtection="1">
      <alignment horizontal="left" vertical="center"/>
    </xf>
    <xf numFmtId="0" fontId="16" fillId="8" borderId="4" xfId="4" applyFont="1" applyFill="1" applyBorder="1" applyAlignment="1" applyProtection="1">
      <alignment vertical="center" textRotation="90" wrapText="1"/>
    </xf>
    <xf numFmtId="0" fontId="24" fillId="8" borderId="4" xfId="4" applyFont="1" applyFill="1" applyBorder="1" applyAlignment="1" applyProtection="1">
      <alignment horizontal="left" vertical="center"/>
    </xf>
    <xf numFmtId="2" fontId="24" fillId="8" borderId="6" xfId="4" applyNumberFormat="1" applyFont="1" applyFill="1" applyBorder="1" applyAlignment="1" applyProtection="1">
      <alignment horizontal="left" vertical="center"/>
    </xf>
    <xf numFmtId="0" fontId="16" fillId="8" borderId="0" xfId="4" applyFont="1" applyFill="1" applyBorder="1" applyAlignment="1" applyProtection="1">
      <alignment vertical="center" textRotation="90" wrapText="1"/>
    </xf>
    <xf numFmtId="11" fontId="24" fillId="8" borderId="0" xfId="4" applyNumberFormat="1" applyFont="1" applyFill="1" applyBorder="1" applyAlignment="1" applyProtection="1">
      <alignment horizontal="left" vertical="center"/>
    </xf>
    <xf numFmtId="0" fontId="24" fillId="8" borderId="0" xfId="4" applyFont="1" applyFill="1" applyBorder="1" applyAlignment="1" applyProtection="1">
      <alignment horizontal="left" vertical="center"/>
    </xf>
    <xf numFmtId="11" fontId="14" fillId="8" borderId="0" xfId="0" applyNumberFormat="1" applyFont="1" applyFill="1" applyBorder="1" applyAlignment="1" applyProtection="1">
      <alignment horizontal="center" vertical="center"/>
    </xf>
    <xf numFmtId="0" fontId="23" fillId="8" borderId="0" xfId="0" applyFont="1" applyFill="1" applyBorder="1" applyAlignment="1" applyProtection="1">
      <alignment horizontal="left" vertical="center"/>
    </xf>
    <xf numFmtId="0" fontId="23" fillId="8" borderId="7" xfId="0" applyFont="1" applyFill="1" applyBorder="1" applyAlignment="1" applyProtection="1">
      <alignment horizontal="left" vertical="center"/>
    </xf>
    <xf numFmtId="0" fontId="16" fillId="8" borderId="10" xfId="4" applyFont="1" applyFill="1" applyBorder="1" applyAlignment="1" applyProtection="1">
      <alignment vertical="center" textRotation="90" wrapText="1"/>
    </xf>
    <xf numFmtId="11" fontId="14" fillId="8" borderId="10" xfId="0" applyNumberFormat="1" applyFont="1" applyFill="1" applyBorder="1" applyAlignment="1" applyProtection="1">
      <alignment horizontal="left" vertical="center"/>
    </xf>
    <xf numFmtId="11" fontId="14" fillId="8" borderId="8" xfId="0" applyNumberFormat="1" applyFont="1" applyFill="1" applyBorder="1" applyAlignment="1" applyProtection="1">
      <alignment horizontal="left" vertical="center"/>
    </xf>
    <xf numFmtId="11" fontId="14" fillId="9" borderId="0" xfId="4" applyNumberFormat="1" applyFont="1" applyFill="1" applyBorder="1" applyAlignment="1" applyProtection="1">
      <alignment horizontal="left" vertical="center"/>
    </xf>
    <xf numFmtId="0" fontId="14" fillId="9" borderId="7" xfId="0" applyFont="1" applyFill="1" applyBorder="1" applyAlignment="1" applyProtection="1">
      <alignment horizontal="left" vertical="center"/>
    </xf>
    <xf numFmtId="0" fontId="51" fillId="8" borderId="6" xfId="0" applyFont="1" applyFill="1" applyBorder="1" applyAlignment="1" applyProtection="1">
      <alignment horizontal="left" vertical="center"/>
    </xf>
    <xf numFmtId="0" fontId="51" fillId="8" borderId="0" xfId="0" applyFont="1" applyFill="1" applyBorder="1" applyAlignment="1" applyProtection="1">
      <alignment horizontal="left" vertical="center"/>
    </xf>
    <xf numFmtId="11" fontId="51" fillId="8" borderId="0" xfId="0" applyNumberFormat="1" applyFont="1" applyFill="1" applyBorder="1" applyAlignment="1" applyProtection="1">
      <alignment horizontal="left" vertical="center"/>
    </xf>
    <xf numFmtId="0" fontId="51" fillId="8" borderId="7" xfId="0" applyFont="1" applyFill="1" applyBorder="1" applyAlignment="1" applyProtection="1">
      <alignment horizontal="left" vertical="center"/>
    </xf>
    <xf numFmtId="0" fontId="34" fillId="8" borderId="6" xfId="2" applyFont="1" applyFill="1" applyBorder="1" applyAlignment="1" applyProtection="1">
      <alignment horizontal="left" vertical="center"/>
    </xf>
    <xf numFmtId="11" fontId="6" fillId="8" borderId="0" xfId="2" applyNumberFormat="1" applyFont="1" applyFill="1" applyBorder="1" applyAlignment="1" applyProtection="1">
      <alignment horizontal="left" vertical="center"/>
    </xf>
    <xf numFmtId="0" fontId="34" fillId="8" borderId="0" xfId="2" applyFont="1" applyFill="1" applyBorder="1" applyAlignment="1" applyProtection="1">
      <alignment horizontal="left" vertical="center"/>
    </xf>
    <xf numFmtId="11" fontId="6" fillId="8" borderId="0" xfId="5" applyNumberFormat="1" applyFont="1" applyFill="1" applyBorder="1" applyAlignment="1" applyProtection="1">
      <alignment horizontal="left" vertical="center"/>
    </xf>
    <xf numFmtId="0" fontId="34" fillId="8" borderId="9" xfId="2" applyFont="1" applyFill="1" applyBorder="1" applyAlignment="1" applyProtection="1">
      <alignment horizontal="left" vertical="center"/>
    </xf>
    <xf numFmtId="11" fontId="6" fillId="8" borderId="10" xfId="2" applyNumberFormat="1" applyFont="1" applyFill="1" applyBorder="1" applyAlignment="1" applyProtection="1">
      <alignment horizontal="left" vertical="center"/>
    </xf>
    <xf numFmtId="2" fontId="14" fillId="8" borderId="10" xfId="0" applyNumberFormat="1" applyFont="1" applyFill="1" applyBorder="1" applyAlignment="1" applyProtection="1">
      <alignment horizontal="left" vertical="center"/>
    </xf>
    <xf numFmtId="49" fontId="47" fillId="9" borderId="3" xfId="0" applyNumberFormat="1" applyFont="1" applyFill="1" applyBorder="1" applyAlignment="1" applyProtection="1">
      <alignment horizontal="left" vertical="center"/>
    </xf>
    <xf numFmtId="0" fontId="0" fillId="9" borderId="4" xfId="0" applyFont="1" applyFill="1" applyBorder="1" applyAlignment="1" applyProtection="1">
      <alignment horizontal="left" vertical="center"/>
    </xf>
    <xf numFmtId="0" fontId="0" fillId="9" borderId="5" xfId="0" applyFont="1" applyFill="1" applyBorder="1" applyAlignment="1" applyProtection="1">
      <alignment horizontal="left" vertical="center"/>
    </xf>
    <xf numFmtId="49" fontId="51" fillId="8" borderId="6" xfId="0" applyNumberFormat="1" applyFont="1" applyFill="1" applyBorder="1" applyAlignment="1" applyProtection="1">
      <alignment horizontal="left" vertical="center"/>
    </xf>
    <xf numFmtId="0" fontId="14" fillId="8" borderId="0" xfId="4" applyFont="1" applyFill="1" applyBorder="1" applyAlignment="1" applyProtection="1">
      <alignment horizontal="left" vertical="center"/>
    </xf>
    <xf numFmtId="0" fontId="9" fillId="8" borderId="7" xfId="4" applyFont="1" applyFill="1" applyBorder="1" applyAlignment="1" applyProtection="1">
      <alignment horizontal="left" vertical="center"/>
    </xf>
    <xf numFmtId="49" fontId="15" fillId="8" borderId="6" xfId="0" applyNumberFormat="1" applyFont="1" applyFill="1" applyBorder="1" applyAlignment="1" applyProtection="1">
      <alignment horizontal="left" vertical="center"/>
    </xf>
    <xf numFmtId="2" fontId="14" fillId="8" borderId="0" xfId="6" applyNumberFormat="1" applyFont="1" applyFill="1" applyBorder="1" applyAlignment="1" applyProtection="1">
      <alignment horizontal="left" vertical="center"/>
    </xf>
    <xf numFmtId="49" fontId="15" fillId="8" borderId="0" xfId="0" applyNumberFormat="1" applyFont="1" applyFill="1" applyBorder="1" applyAlignment="1" applyProtection="1">
      <alignment horizontal="left" vertical="center"/>
    </xf>
    <xf numFmtId="1" fontId="14" fillId="8" borderId="0" xfId="0" applyNumberFormat="1" applyFont="1" applyFill="1" applyBorder="1" applyAlignment="1" applyProtection="1">
      <alignment horizontal="left" vertical="center"/>
    </xf>
    <xf numFmtId="0" fontId="24" fillId="8" borderId="0" xfId="2" applyFont="1" applyFill="1" applyBorder="1" applyAlignment="1" applyProtection="1">
      <alignment horizontal="left" vertical="center"/>
    </xf>
    <xf numFmtId="0" fontId="34" fillId="8" borderId="7" xfId="2" applyFont="1" applyFill="1" applyBorder="1" applyAlignment="1" applyProtection="1">
      <alignment horizontal="left" vertical="center"/>
    </xf>
    <xf numFmtId="11" fontId="14" fillId="8" borderId="0" xfId="2" applyNumberFormat="1" applyFont="1" applyFill="1" applyBorder="1" applyAlignment="1" applyProtection="1">
      <alignment horizontal="left" vertical="center"/>
    </xf>
    <xf numFmtId="11" fontId="6" fillId="8" borderId="7" xfId="2" applyNumberFormat="1" applyFont="1" applyFill="1" applyBorder="1" applyAlignment="1" applyProtection="1">
      <alignment horizontal="left" vertical="center"/>
    </xf>
    <xf numFmtId="0" fontId="16" fillId="8" borderId="0" xfId="2" applyFont="1" applyFill="1" applyBorder="1" applyAlignment="1" applyProtection="1">
      <alignment horizontal="left" vertical="center"/>
    </xf>
    <xf numFmtId="0" fontId="22" fillId="8" borderId="7" xfId="2" applyFont="1" applyFill="1" applyBorder="1" applyAlignment="1" applyProtection="1">
      <alignment horizontal="left" vertical="center"/>
    </xf>
    <xf numFmtId="0" fontId="14" fillId="8" borderId="6" xfId="0" applyFont="1" applyFill="1" applyBorder="1" applyAlignment="1" applyProtection="1">
      <alignment horizontal="left" vertical="center"/>
    </xf>
    <xf numFmtId="11" fontId="6" fillId="8" borderId="7" xfId="5" applyNumberFormat="1" applyFont="1" applyFill="1" applyBorder="1" applyAlignment="1" applyProtection="1">
      <alignment horizontal="left" vertical="center"/>
    </xf>
    <xf numFmtId="0" fontId="14" fillId="8" borderId="9" xfId="0" applyFont="1" applyFill="1" applyBorder="1" applyAlignment="1" applyProtection="1">
      <alignment horizontal="left" vertical="center"/>
    </xf>
    <xf numFmtId="0" fontId="14" fillId="8" borderId="10" xfId="0" applyFont="1" applyFill="1" applyBorder="1" applyAlignment="1" applyProtection="1">
      <alignment horizontal="left" vertical="center"/>
    </xf>
    <xf numFmtId="0" fontId="15" fillId="8" borderId="10" xfId="6" quotePrefix="1" applyFont="1" applyFill="1" applyBorder="1" applyAlignment="1" applyProtection="1">
      <alignment horizontal="left" vertical="center"/>
    </xf>
    <xf numFmtId="49" fontId="22" fillId="8" borderId="8" xfId="2" applyNumberFormat="1" applyFont="1" applyFill="1" applyBorder="1" applyAlignment="1" applyProtection="1">
      <alignment horizontal="left" vertical="center"/>
    </xf>
    <xf numFmtId="0" fontId="47" fillId="11" borderId="3" xfId="0" applyFont="1" applyFill="1" applyBorder="1" applyAlignment="1" applyProtection="1">
      <alignment horizontal="left" vertical="center"/>
    </xf>
    <xf numFmtId="170" fontId="55" fillId="8" borderId="0" xfId="4" applyNumberFormat="1" applyFont="1" applyFill="1" applyBorder="1" applyAlignment="1">
      <alignment horizontal="left" vertical="center"/>
    </xf>
    <xf numFmtId="170" fontId="55" fillId="8" borderId="0" xfId="4" applyNumberFormat="1" applyFont="1" applyFill="1" applyBorder="1" applyAlignment="1">
      <alignment horizontal="left"/>
    </xf>
    <xf numFmtId="2" fontId="55" fillId="8" borderId="0" xfId="5" applyNumberFormat="1" applyFont="1" applyFill="1" applyBorder="1" applyAlignment="1">
      <alignment horizontal="left" vertical="center"/>
    </xf>
    <xf numFmtId="170" fontId="55" fillId="8" borderId="0" xfId="0" applyNumberFormat="1" applyFont="1" applyFill="1" applyBorder="1" applyAlignment="1">
      <alignment horizontal="left" vertical="center"/>
    </xf>
    <xf numFmtId="0" fontId="16" fillId="8" borderId="6" xfId="4" applyFont="1" applyFill="1" applyBorder="1" applyAlignment="1">
      <alignment horizontal="left" vertical="center"/>
    </xf>
    <xf numFmtId="0" fontId="16" fillId="8" borderId="0" xfId="4" applyFont="1" applyFill="1" applyBorder="1" applyAlignment="1">
      <alignment horizontal="left" vertical="center"/>
    </xf>
    <xf numFmtId="0" fontId="16" fillId="8" borderId="7" xfId="4" applyFont="1" applyFill="1" applyBorder="1" applyAlignment="1">
      <alignment horizontal="left" vertical="center"/>
    </xf>
    <xf numFmtId="0" fontId="16" fillId="8" borderId="6" xfId="0" applyFont="1" applyFill="1" applyBorder="1" applyAlignment="1">
      <alignment horizontal="left" vertical="center"/>
    </xf>
    <xf numFmtId="0" fontId="16" fillId="8" borderId="0" xfId="0" applyFont="1" applyFill="1" applyBorder="1" applyAlignment="1">
      <alignment horizontal="left" vertical="center"/>
    </xf>
    <xf numFmtId="0" fontId="16" fillId="8" borderId="7" xfId="0" applyFont="1" applyFill="1" applyBorder="1" applyAlignment="1">
      <alignment horizontal="left" vertical="center"/>
    </xf>
    <xf numFmtId="0" fontId="16" fillId="8" borderId="9" xfId="0" applyFont="1" applyFill="1" applyBorder="1" applyAlignment="1">
      <alignment horizontal="left" vertical="center"/>
    </xf>
    <xf numFmtId="0" fontId="16" fillId="8" borderId="10" xfId="0" applyFont="1" applyFill="1" applyBorder="1" applyAlignment="1">
      <alignment horizontal="left" vertical="center"/>
    </xf>
    <xf numFmtId="0" fontId="16" fillId="8" borderId="8" xfId="0" applyFont="1" applyFill="1" applyBorder="1" applyAlignment="1">
      <alignment horizontal="left" vertical="center"/>
    </xf>
    <xf numFmtId="0" fontId="22" fillId="8" borderId="0" xfId="2" applyFont="1" applyFill="1" applyBorder="1" applyAlignment="1" applyProtection="1">
      <alignment horizontal="center" vertical="center" textRotation="90" wrapText="1"/>
    </xf>
    <xf numFmtId="0" fontId="22" fillId="8" borderId="10" xfId="2" applyFont="1" applyFill="1" applyBorder="1" applyAlignment="1" applyProtection="1">
      <alignment horizontal="center" vertical="center" textRotation="90" wrapText="1"/>
    </xf>
    <xf numFmtId="0" fontId="15" fillId="8" borderId="0" xfId="0" quotePrefix="1" applyFont="1" applyFill="1" applyBorder="1" applyAlignment="1" applyProtection="1">
      <alignment horizontal="left" vertical="center" wrapText="1"/>
    </xf>
    <xf numFmtId="49" fontId="22" fillId="8" borderId="7" xfId="2" applyNumberFormat="1" applyFont="1" applyFill="1" applyBorder="1" applyAlignment="1" applyProtection="1">
      <alignment horizontal="center" vertical="center" textRotation="90" wrapText="1"/>
    </xf>
    <xf numFmtId="49" fontId="22" fillId="8" borderId="8" xfId="2" applyNumberFormat="1" applyFont="1" applyFill="1" applyBorder="1" applyAlignment="1" applyProtection="1">
      <alignment horizontal="center" vertical="center" textRotation="90" wrapText="1"/>
    </xf>
    <xf numFmtId="2" fontId="16" fillId="8" borderId="6" xfId="0" applyNumberFormat="1" applyFont="1" applyFill="1" applyBorder="1" applyAlignment="1">
      <alignment horizontal="left" wrapText="1"/>
    </xf>
    <xf numFmtId="2" fontId="16" fillId="8" borderId="0" xfId="0" applyNumberFormat="1" applyFont="1" applyFill="1" applyBorder="1" applyAlignment="1">
      <alignment horizontal="left" wrapText="1"/>
    </xf>
    <xf numFmtId="2" fontId="16" fillId="8" borderId="7" xfId="0" applyNumberFormat="1" applyFont="1" applyFill="1" applyBorder="1" applyAlignment="1">
      <alignment horizontal="left" wrapText="1"/>
    </xf>
    <xf numFmtId="49" fontId="16" fillId="8" borderId="6" xfId="0" applyNumberFormat="1" applyFont="1" applyFill="1" applyBorder="1" applyAlignment="1">
      <alignment horizontal="left" wrapText="1"/>
    </xf>
    <xf numFmtId="49" fontId="16" fillId="8" borderId="0" xfId="0" applyNumberFormat="1" applyFont="1" applyFill="1" applyBorder="1" applyAlignment="1">
      <alignment horizontal="left" wrapText="1"/>
    </xf>
    <xf numFmtId="49" fontId="16" fillId="8" borderId="7" xfId="0" applyNumberFormat="1" applyFont="1" applyFill="1" applyBorder="1" applyAlignment="1">
      <alignment horizontal="left" wrapText="1"/>
    </xf>
    <xf numFmtId="0" fontId="16" fillId="8" borderId="6" xfId="0" applyFont="1" applyFill="1" applyBorder="1" applyAlignment="1">
      <alignment horizontal="left" vertical="center" wrapText="1"/>
    </xf>
    <xf numFmtId="0" fontId="16" fillId="8" borderId="0" xfId="0" applyFont="1" applyFill="1" applyBorder="1" applyAlignment="1">
      <alignment horizontal="left" vertical="center" wrapText="1"/>
    </xf>
    <xf numFmtId="0" fontId="16" fillId="8" borderId="7" xfId="0" applyFont="1" applyFill="1" applyBorder="1" applyAlignment="1">
      <alignment horizontal="left" vertical="center" wrapText="1"/>
    </xf>
    <xf numFmtId="49" fontId="16" fillId="8" borderId="6" xfId="0" applyNumberFormat="1" applyFont="1" applyFill="1" applyBorder="1" applyAlignment="1">
      <alignment horizontal="left" vertical="center"/>
    </xf>
    <xf numFmtId="49" fontId="16" fillId="8" borderId="0" xfId="0" applyNumberFormat="1" applyFont="1" applyFill="1" applyBorder="1" applyAlignment="1">
      <alignment horizontal="left" vertical="center"/>
    </xf>
    <xf numFmtId="49" fontId="16" fillId="8" borderId="7" xfId="0" applyNumberFormat="1" applyFont="1" applyFill="1" applyBorder="1" applyAlignment="1">
      <alignment horizontal="left" vertical="center"/>
    </xf>
    <xf numFmtId="0" fontId="16" fillId="8" borderId="9" xfId="0" applyFont="1" applyFill="1" applyBorder="1" applyAlignment="1" applyProtection="1">
      <alignment horizontal="center" vertical="center" wrapText="1"/>
    </xf>
    <xf numFmtId="0" fontId="16" fillId="8" borderId="10" xfId="0" applyFont="1" applyFill="1" applyBorder="1" applyAlignment="1" applyProtection="1">
      <alignment horizontal="center" vertical="center" wrapText="1"/>
    </xf>
    <xf numFmtId="0" fontId="16" fillId="8" borderId="0" xfId="0" applyFont="1" applyFill="1" applyBorder="1" applyAlignment="1" applyProtection="1">
      <alignment horizontal="left" vertical="center" textRotation="90" wrapText="1"/>
    </xf>
    <xf numFmtId="0" fontId="16" fillId="8" borderId="10" xfId="0" applyFont="1" applyFill="1" applyBorder="1" applyAlignment="1" applyProtection="1">
      <alignment horizontal="left" vertical="center" textRotation="90" wrapText="1"/>
    </xf>
    <xf numFmtId="165" fontId="15" fillId="8" borderId="6" xfId="6" applyNumberFormat="1" applyFont="1" applyFill="1" applyBorder="1" applyAlignment="1">
      <alignment horizontal="left" vertical="center" wrapText="1"/>
    </xf>
    <xf numFmtId="0" fontId="0" fillId="8" borderId="9" xfId="0" applyFill="1" applyBorder="1" applyAlignment="1">
      <alignment horizontal="left" vertical="center" wrapText="1"/>
    </xf>
    <xf numFmtId="0" fontId="60" fillId="9" borderId="0" xfId="0" applyFont="1" applyFill="1" applyAlignment="1">
      <alignment horizontal="left" vertical="center"/>
    </xf>
    <xf numFmtId="0" fontId="63" fillId="9" borderId="0" xfId="0" applyFont="1" applyFill="1" applyAlignment="1">
      <alignment vertical="center"/>
    </xf>
    <xf numFmtId="49" fontId="60" fillId="9" borderId="0" xfId="0" applyNumberFormat="1" applyFont="1" applyFill="1" applyAlignment="1">
      <alignment horizontal="left" vertical="center"/>
    </xf>
    <xf numFmtId="49" fontId="64" fillId="9" borderId="0" xfId="0" applyNumberFormat="1" applyFont="1" applyFill="1" applyAlignment="1">
      <alignment horizontal="left" vertical="center"/>
    </xf>
    <xf numFmtId="0" fontId="16" fillId="8" borderId="5" xfId="4" applyFont="1" applyFill="1" applyBorder="1" applyAlignment="1" applyProtection="1">
      <alignment horizontal="left" vertical="center" textRotation="90" wrapText="1"/>
    </xf>
    <xf numFmtId="0" fontId="16" fillId="8" borderId="7" xfId="4" applyFont="1" applyFill="1" applyBorder="1" applyAlignment="1" applyProtection="1">
      <alignment horizontal="left" vertical="center" textRotation="90" wrapText="1"/>
    </xf>
    <xf numFmtId="0" fontId="16" fillId="8" borderId="0" xfId="4" applyFont="1" applyFill="1" applyBorder="1" applyAlignment="1">
      <alignment horizontal="center" vertical="center" textRotation="90" wrapText="1"/>
    </xf>
    <xf numFmtId="0" fontId="16" fillId="8" borderId="0" xfId="5" applyNumberFormat="1" applyFont="1" applyFill="1" applyBorder="1" applyAlignment="1" applyProtection="1">
      <alignment horizontal="left" vertical="center" textRotation="90"/>
    </xf>
    <xf numFmtId="11" fontId="15" fillId="8" borderId="0" xfId="6" applyNumberFormat="1" applyFont="1" applyFill="1" applyBorder="1" applyAlignment="1" applyProtection="1">
      <alignment horizontal="left" vertical="center" wrapText="1"/>
    </xf>
  </cellXfs>
  <cellStyles count="9">
    <cellStyle name="40 % - Akzent2" xfId="1" builtinId="35"/>
    <cellStyle name="40 % - Akzent5" xfId="2" builtinId="47"/>
    <cellStyle name="Akzent2" xfId="3" builtinId="33"/>
    <cellStyle name="Gut" xfId="4" builtinId="26"/>
    <cellStyle name="Komma" xfId="5" builtinId="3"/>
    <cellStyle name="Neutral" xfId="6" builtinId="28"/>
    <cellStyle name="Prozent" xfId="7" builtinId="5"/>
    <cellStyle name="Schlecht" xfId="8" builtinId="27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5D9F1"/>
      <color rgb="FFDAEEF3"/>
      <color rgb="FFDCE6F1"/>
      <color rgb="FFF2DCDB"/>
      <color rgb="FF632523"/>
      <color rgb="FFFFFF99"/>
      <color rgb="FF4F6228"/>
      <color rgb="FF21596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82216179077519"/>
          <c:y val="4.7669065430574309E-2"/>
          <c:w val="0.79349342106425158"/>
          <c:h val="0.77143826225897361"/>
        </c:manualLayout>
      </c:layout>
      <c:scatterChart>
        <c:scatterStyle val="smoothMarker"/>
        <c:varyColors val="0"/>
        <c:ser>
          <c:idx val="0"/>
          <c:order val="0"/>
          <c:tx>
            <c:v>SA(HCO3-)</c:v>
          </c:tx>
          <c:spPr>
            <a:ln w="25400"/>
          </c:spPr>
          <c:marker>
            <c:symbol val="diamond"/>
            <c:size val="6"/>
          </c:marker>
          <c:xVal>
            <c:numRef>
              <c:f>calculations!$I$49:$I$61</c:f>
              <c:numCache>
                <c:formatCode>0</c:formatCode>
                <c:ptCount val="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  <c:pt idx="6">
                  <c:v>60</c:v>
                </c:pt>
                <c:pt idx="7">
                  <c:v>120</c:v>
                </c:pt>
                <c:pt idx="8">
                  <c:v>240</c:v>
                </c:pt>
                <c:pt idx="9">
                  <c:v>340</c:v>
                </c:pt>
                <c:pt idx="10">
                  <c:v>440</c:v>
                </c:pt>
                <c:pt idx="11">
                  <c:v>540</c:v>
                </c:pt>
                <c:pt idx="12">
                  <c:v>640</c:v>
                </c:pt>
              </c:numCache>
            </c:numRef>
          </c:xVal>
          <c:yVal>
            <c:numRef>
              <c:f>calculations!$N$49:$N$61</c:f>
              <c:numCache>
                <c:formatCode>0.000E+00</c:formatCode>
                <c:ptCount val="13"/>
                <c:pt idx="0">
                  <c:v>2459089407503.9731</c:v>
                </c:pt>
                <c:pt idx="1">
                  <c:v>2459711579597.8091</c:v>
                </c:pt>
                <c:pt idx="2">
                  <c:v>2460238414865.4619</c:v>
                </c:pt>
                <c:pt idx="3">
                  <c:v>2460684521982.7563</c:v>
                </c:pt>
                <c:pt idx="4">
                  <c:v>2461062271105.3384</c:v>
                </c:pt>
                <c:pt idx="5">
                  <c:v>2461652988908.1421</c:v>
                </c:pt>
                <c:pt idx="6">
                  <c:v>2462597991468.8984</c:v>
                </c:pt>
                <c:pt idx="7">
                  <c:v>2463074755649.9131</c:v>
                </c:pt>
                <c:pt idx="8">
                  <c:v>2463148344117.0845</c:v>
                </c:pt>
                <c:pt idx="9">
                  <c:v>2463149678751.4004</c:v>
                </c:pt>
                <c:pt idx="10">
                  <c:v>2463149726685.9365</c:v>
                </c:pt>
                <c:pt idx="11">
                  <c:v>2463149728407.5464</c:v>
                </c:pt>
                <c:pt idx="12">
                  <c:v>2463149728469.3794</c:v>
                </c:pt>
              </c:numCache>
            </c:numRef>
          </c:yVal>
          <c:smooth val="1"/>
        </c:ser>
        <c:ser>
          <c:idx val="1"/>
          <c:order val="1"/>
          <c:tx>
            <c:v>SA (CO2)</c:v>
          </c:tx>
          <c:spPr>
            <a:ln w="25400">
              <a:solidFill>
                <a:srgbClr val="C5D9F1"/>
              </a:solidFill>
            </a:ln>
          </c:spPr>
          <c:marker>
            <c:symbol val="square"/>
            <c:size val="6"/>
            <c:spPr>
              <a:solidFill>
                <a:srgbClr val="C5D9F1"/>
              </a:solidFill>
              <a:ln>
                <a:solidFill>
                  <a:srgbClr val="C5D9F1"/>
                </a:solidFill>
              </a:ln>
            </c:spPr>
          </c:marker>
          <c:xVal>
            <c:numRef>
              <c:f>calculations!$I$49:$I$61</c:f>
              <c:numCache>
                <c:formatCode>0</c:formatCode>
                <c:ptCount val="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  <c:pt idx="6">
                  <c:v>60</c:v>
                </c:pt>
                <c:pt idx="7">
                  <c:v>120</c:v>
                </c:pt>
                <c:pt idx="8">
                  <c:v>240</c:v>
                </c:pt>
                <c:pt idx="9">
                  <c:v>340</c:v>
                </c:pt>
                <c:pt idx="10">
                  <c:v>440</c:v>
                </c:pt>
                <c:pt idx="11">
                  <c:v>540</c:v>
                </c:pt>
                <c:pt idx="12">
                  <c:v>640</c:v>
                </c:pt>
              </c:numCache>
            </c:numRef>
          </c:xVal>
          <c:yVal>
            <c:numRef>
              <c:f>calculations!$M$49:$M$61</c:f>
              <c:numCache>
                <c:formatCode>0.000E+00</c:formatCode>
                <c:ptCount val="13"/>
                <c:pt idx="0">
                  <c:v>69660346517752.242</c:v>
                </c:pt>
                <c:pt idx="1">
                  <c:v>61198813551950.094</c:v>
                </c:pt>
                <c:pt idx="2">
                  <c:v>53802764617511.266</c:v>
                </c:pt>
                <c:pt idx="3">
                  <c:v>47338032982984.312</c:v>
                </c:pt>
                <c:pt idx="4">
                  <c:v>41687346315424.484</c:v>
                </c:pt>
                <c:pt idx="5">
                  <c:v>32430994271465.719</c:v>
                </c:pt>
                <c:pt idx="6">
                  <c:v>15827869530240.553</c:v>
                </c:pt>
                <c:pt idx="7">
                  <c:v>5121232861610.4463</c:v>
                </c:pt>
                <c:pt idx="8">
                  <c:v>2568294083895.21</c:v>
                </c:pt>
                <c:pt idx="9">
                  <c:v>2470274984360.0088</c:v>
                </c:pt>
                <c:pt idx="10">
                  <c:v>2463632581509.9619</c:v>
                </c:pt>
                <c:pt idx="11">
                  <c:v>2463182449690.4336</c:v>
                </c:pt>
                <c:pt idx="12">
                  <c:v>2463151945871.3301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090816"/>
        <c:axId val="163093120"/>
      </c:scatterChart>
      <c:valAx>
        <c:axId val="163090816"/>
        <c:scaling>
          <c:orientation val="minMax"/>
          <c:max val="65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DE"/>
                  <a:t>time (s)</a:t>
                </a:r>
              </a:p>
            </c:rich>
          </c:tx>
          <c:layout>
            <c:manualLayout>
              <c:xMode val="edge"/>
              <c:yMode val="edge"/>
              <c:x val="0.46892026427731026"/>
              <c:y val="0.9082031970084006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63093120"/>
        <c:crosses val="autoZero"/>
        <c:crossBetween val="midCat"/>
      </c:valAx>
      <c:valAx>
        <c:axId val="1630931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DE" sz="1200" b="0" i="0" u="none" strike="noStrike" baseline="0">
                    <a:solidFill>
                      <a:srgbClr val="000000"/>
                    </a:solidFill>
                    <a:latin typeface="Calibri"/>
                  </a:rPr>
                  <a:t>Specific activity (dpm mol</a:t>
                </a:r>
                <a:r>
                  <a:rPr lang="de-DE" sz="1200" b="0" i="0" u="none" strike="noStrike" baseline="30000">
                    <a:solidFill>
                      <a:srgbClr val="000000"/>
                    </a:solidFill>
                    <a:latin typeface="Calibri"/>
                  </a:rPr>
                  <a:t>-1</a:t>
                </a:r>
                <a:r>
                  <a:rPr lang="de-DE" sz="1200" b="0" i="0" u="none" strike="noStrike" baseline="0">
                    <a:solidFill>
                      <a:srgbClr val="000000"/>
                    </a:solidFill>
                    <a:latin typeface="Calibri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4.2156032220110426E-2"/>
              <c:y val="0.13925087123306912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63090816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54426120010860712"/>
          <c:y val="4.9075922365891554E-2"/>
          <c:w val="0.34948574531631821"/>
          <c:h val="8.0908013588602445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46979661250214"/>
          <c:y val="0.12547446294113043"/>
          <c:w val="0.79620022216324082"/>
          <c:h val="0.68784339457567811"/>
        </c:manualLayout>
      </c:layout>
      <c:scatterChart>
        <c:scatterStyle val="smoothMarker"/>
        <c:varyColors val="0"/>
        <c:ser>
          <c:idx val="1"/>
          <c:order val="0"/>
          <c:tx>
            <c:strRef>
              <c:f>calculations!$J$47</c:f>
              <c:strCache>
                <c:ptCount val="1"/>
                <c:pt idx="0">
                  <c:v>14CO2 uptake</c:v>
                </c:pt>
              </c:strCache>
            </c:strRef>
          </c:tx>
          <c:spPr>
            <a:ln w="25400">
              <a:solidFill>
                <a:srgbClr val="C5D9F1"/>
              </a:solidFill>
            </a:ln>
          </c:spPr>
          <c:marker>
            <c:symbol val="square"/>
            <c:size val="6"/>
            <c:spPr>
              <a:solidFill>
                <a:srgbClr val="C5D9F1"/>
              </a:solidFill>
              <a:ln>
                <a:solidFill>
                  <a:srgbClr val="C5D9F1"/>
                </a:solidFill>
              </a:ln>
            </c:spPr>
          </c:marker>
          <c:xVal>
            <c:numRef>
              <c:f>calculations!$I$49:$I$61</c:f>
              <c:numCache>
                <c:formatCode>0</c:formatCode>
                <c:ptCount val="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  <c:pt idx="6">
                  <c:v>60</c:v>
                </c:pt>
                <c:pt idx="7">
                  <c:v>120</c:v>
                </c:pt>
                <c:pt idx="8">
                  <c:v>240</c:v>
                </c:pt>
                <c:pt idx="9">
                  <c:v>340</c:v>
                </c:pt>
                <c:pt idx="10">
                  <c:v>440</c:v>
                </c:pt>
                <c:pt idx="11">
                  <c:v>540</c:v>
                </c:pt>
                <c:pt idx="12">
                  <c:v>640</c:v>
                </c:pt>
              </c:numCache>
            </c:numRef>
          </c:xVal>
          <c:yVal>
            <c:numRef>
              <c:f>calculations!$J$49:$J$61</c:f>
              <c:numCache>
                <c:formatCode>0</c:formatCode>
                <c:ptCount val="13"/>
                <c:pt idx="0">
                  <c:v>0</c:v>
                </c:pt>
                <c:pt idx="1">
                  <c:v>464.18510505434324</c:v>
                </c:pt>
                <c:pt idx="2">
                  <c:v>872.12320990118576</c:v>
                </c:pt>
                <c:pt idx="3">
                  <c:v>1230.8969886582547</c:v>
                </c:pt>
                <c:pt idx="4">
                  <c:v>1546.6972585891722</c:v>
                </c:pt>
                <c:pt idx="5">
                  <c:v>2070.3409360275596</c:v>
                </c:pt>
                <c:pt idx="6">
                  <c:v>3051.8214212113057</c:v>
                </c:pt>
                <c:pt idx="7">
                  <c:v>3827.0257576399995</c:v>
                </c:pt>
                <c:pt idx="8">
                  <c:v>4381.7956309868123</c:v>
                </c:pt>
                <c:pt idx="9">
                  <c:v>4736.9700682844241</c:v>
                </c:pt>
                <c:pt idx="10">
                  <c:v>5087.3207213430223</c:v>
                </c:pt>
                <c:pt idx="11">
                  <c:v>5437.3444838432579</c:v>
                </c:pt>
                <c:pt idx="12">
                  <c:v>5787.3460941426802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calculations!$K$47</c:f>
              <c:strCache>
                <c:ptCount val="1"/>
                <c:pt idx="0">
                  <c:v>H14CO3- uptake</c:v>
                </c:pt>
              </c:strCache>
            </c:strRef>
          </c:tx>
          <c:spPr>
            <a:ln w="25400"/>
          </c:spPr>
          <c:marker>
            <c:symbol val="diamond"/>
            <c:size val="6"/>
          </c:marker>
          <c:xVal>
            <c:numRef>
              <c:f>calculations!$I$49:$I$61</c:f>
              <c:numCache>
                <c:formatCode>0</c:formatCode>
                <c:ptCount val="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  <c:pt idx="6">
                  <c:v>60</c:v>
                </c:pt>
                <c:pt idx="7">
                  <c:v>120</c:v>
                </c:pt>
                <c:pt idx="8">
                  <c:v>240</c:v>
                </c:pt>
                <c:pt idx="9">
                  <c:v>340</c:v>
                </c:pt>
                <c:pt idx="10">
                  <c:v>440</c:v>
                </c:pt>
                <c:pt idx="11">
                  <c:v>540</c:v>
                </c:pt>
                <c:pt idx="12">
                  <c:v>640</c:v>
                </c:pt>
              </c:numCache>
            </c:numRef>
          </c:xVal>
          <c:yVal>
            <c:numRef>
              <c:f>calculations!$K$49:$K$61</c:f>
              <c:numCache>
                <c:formatCode>0</c:formatCode>
                <c:ptCount val="13"/>
                <c:pt idx="0">
                  <c:v>0</c:v>
                </c:pt>
                <c:pt idx="1">
                  <c:v>17.473423960364833</c:v>
                </c:pt>
                <c:pt idx="2">
                  <c:v>34.950920226923486</c:v>
                </c:pt>
                <c:pt idx="3">
                  <c:v>52.43186479105902</c:v>
                </c:pt>
                <c:pt idx="4">
                  <c:v>69.915729262395246</c:v>
                </c:pt>
                <c:pt idx="5">
                  <c:v>104.8904967907109</c:v>
                </c:pt>
                <c:pt idx="6">
                  <c:v>209.8501310691384</c:v>
                </c:pt>
                <c:pt idx="7">
                  <c:v>419.82976611883475</c:v>
                </c:pt>
                <c:pt idx="8">
                  <c:v>839.82662279235058</c:v>
                </c:pt>
                <c:pt idx="9">
                  <c:v>1189.8265657835345</c:v>
                </c:pt>
                <c:pt idx="10">
                  <c:v>1539.8265637360139</c:v>
                </c:pt>
                <c:pt idx="11">
                  <c:v>1889.8265636624756</c:v>
                </c:pt>
                <c:pt idx="12">
                  <c:v>2239.8265636598344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calculations!$L$47</c:f>
              <c:strCache>
                <c:ptCount val="1"/>
                <c:pt idx="0">
                  <c:v>Total 14C uptake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triangl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calculations!$I$49:$I$61</c:f>
              <c:numCache>
                <c:formatCode>0</c:formatCode>
                <c:ptCount val="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  <c:pt idx="6">
                  <c:v>60</c:v>
                </c:pt>
                <c:pt idx="7">
                  <c:v>120</c:v>
                </c:pt>
                <c:pt idx="8">
                  <c:v>240</c:v>
                </c:pt>
                <c:pt idx="9">
                  <c:v>340</c:v>
                </c:pt>
                <c:pt idx="10">
                  <c:v>440</c:v>
                </c:pt>
                <c:pt idx="11">
                  <c:v>540</c:v>
                </c:pt>
                <c:pt idx="12">
                  <c:v>640</c:v>
                </c:pt>
              </c:numCache>
            </c:numRef>
          </c:xVal>
          <c:yVal>
            <c:numRef>
              <c:f>calculations!$L$49:$L$61</c:f>
              <c:numCache>
                <c:formatCode>0</c:formatCode>
                <c:ptCount val="13"/>
                <c:pt idx="0">
                  <c:v>0</c:v>
                </c:pt>
                <c:pt idx="1">
                  <c:v>481.65852901470805</c:v>
                </c:pt>
                <c:pt idx="2">
                  <c:v>907.07413012810923</c:v>
                </c:pt>
                <c:pt idx="3">
                  <c:v>1283.3288534493138</c:v>
                </c:pt>
                <c:pt idx="4">
                  <c:v>1616.6129878515674</c:v>
                </c:pt>
                <c:pt idx="5">
                  <c:v>2175.2314328182706</c:v>
                </c:pt>
                <c:pt idx="6">
                  <c:v>3261.6715522804443</c:v>
                </c:pt>
                <c:pt idx="7">
                  <c:v>4246.8555237588344</c:v>
                </c:pt>
                <c:pt idx="8">
                  <c:v>5221.6222537791627</c:v>
                </c:pt>
                <c:pt idx="9">
                  <c:v>5926.7966340679586</c:v>
                </c:pt>
                <c:pt idx="10">
                  <c:v>6627.147285079036</c:v>
                </c:pt>
                <c:pt idx="11">
                  <c:v>7327.1710475057334</c:v>
                </c:pt>
                <c:pt idx="12">
                  <c:v>8027.1726578025145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824192"/>
        <c:axId val="162826496"/>
      </c:scatterChart>
      <c:valAx>
        <c:axId val="162824192"/>
        <c:scaling>
          <c:orientation val="minMax"/>
          <c:max val="65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DE" sz="1200" b="0"/>
                  <a:t>time (s)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62826496"/>
        <c:crosses val="autoZero"/>
        <c:crossBetween val="midCat"/>
      </c:valAx>
      <c:valAx>
        <c:axId val="1628264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DE" sz="1200" b="0" i="0" u="none" strike="noStrike" baseline="30000">
                    <a:solidFill>
                      <a:srgbClr val="000000"/>
                    </a:solidFill>
                    <a:latin typeface="Calibri"/>
                  </a:rPr>
                  <a:t>14</a:t>
                </a:r>
                <a:r>
                  <a:rPr lang="de-DE" sz="1200" b="0" i="0" u="none" strike="noStrike" baseline="0">
                    <a:solidFill>
                      <a:srgbClr val="000000"/>
                    </a:solidFill>
                    <a:latin typeface="Calibri"/>
                  </a:rPr>
                  <a:t>C incorporation (dpm)</a:t>
                </a:r>
              </a:p>
            </c:rich>
          </c:tx>
          <c:layout>
            <c:manualLayout>
              <c:xMode val="edge"/>
              <c:yMode val="edge"/>
              <c:x val="6.5369690893842855E-2"/>
              <c:y val="0.2400273588682770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62824192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32391180018160387"/>
          <c:y val="6.1684460260972712E-2"/>
          <c:w val="0.67608819981839618"/>
          <c:h val="8.5802673242357158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Spin" dx="15" fmlaLink="$N$32" max="100" page="10" val="50"/>
</file>

<file path=xl/ctrlProps/ctrlProp2.xml><?xml version="1.0" encoding="utf-8"?>
<formControlPr xmlns="http://schemas.microsoft.com/office/spreadsheetml/2009/9/main" objectType="Spin" dx="15" fmlaLink="#REF!" max="30000" page="10" val="20"/>
</file>

<file path=xl/ctrlProps/ctrlProp3.xml><?xml version="1.0" encoding="utf-8"?>
<formControlPr xmlns="http://schemas.microsoft.com/office/spreadsheetml/2009/9/main" objectType="Spin" dx="15" fmlaLink="$N$36" max="100" page="10" val="7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394607</xdr:colOff>
      <xdr:row>9</xdr:row>
      <xdr:rowOff>36739</xdr:rowOff>
    </xdr:from>
    <xdr:to>
      <xdr:col>13</xdr:col>
      <xdr:colOff>16329</xdr:colOff>
      <xdr:row>26</xdr:row>
      <xdr:rowOff>214992</xdr:rowOff>
    </xdr:to>
    <xdr:graphicFrame macro="">
      <xdr:nvGraphicFramePr>
        <xdr:cNvPr id="112809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371475</xdr:colOff>
      <xdr:row>28</xdr:row>
      <xdr:rowOff>123825</xdr:rowOff>
    </xdr:from>
    <xdr:to>
      <xdr:col>12</xdr:col>
      <xdr:colOff>1171575</xdr:colOff>
      <xdr:row>45</xdr:row>
      <xdr:rowOff>47625</xdr:rowOff>
    </xdr:to>
    <xdr:graphicFrame macro="">
      <xdr:nvGraphicFramePr>
        <xdr:cNvPr id="112810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0</xdr:colOff>
      <xdr:row>72</xdr:row>
      <xdr:rowOff>0</xdr:rowOff>
    </xdr:from>
    <xdr:to>
      <xdr:col>16</xdr:col>
      <xdr:colOff>304800</xdr:colOff>
      <xdr:row>73</xdr:row>
      <xdr:rowOff>60326</xdr:rowOff>
    </xdr:to>
    <xdr:sp macro="" textlink="">
      <xdr:nvSpPr>
        <xdr:cNvPr id="112812" name="AutoShape 1063" descr="imap://dkottmei@imap.awi.de:993/fetch%3EUID%3E/INBOX%3E5911?part=1.2.2&amp;filename=eifjacgb.png"/>
        <xdr:cNvSpPr>
          <a:spLocks noChangeAspect="1" noChangeArrowheads="1"/>
        </xdr:cNvSpPr>
      </xdr:nvSpPr>
      <xdr:spPr bwMode="auto">
        <a:xfrm>
          <a:off x="15801975" y="10820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304800</xdr:colOff>
      <xdr:row>71</xdr:row>
      <xdr:rowOff>297393</xdr:rowOff>
    </xdr:to>
    <xdr:sp macro="" textlink="">
      <xdr:nvSpPr>
        <xdr:cNvPr id="112813" name="AutoShape 1060" descr="imap://dkottmei@imap.awi.de:993/fetch%3EUID%3E/INBOX%3E5911?part=1.2.2&amp;filename=eifjacgb.png"/>
        <xdr:cNvSpPr>
          <a:spLocks noChangeAspect="1" noChangeArrowheads="1"/>
        </xdr:cNvSpPr>
      </xdr:nvSpPr>
      <xdr:spPr bwMode="auto">
        <a:xfrm>
          <a:off x="4019550" y="12125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1066800</xdr:colOff>
          <xdr:row>30</xdr:row>
          <xdr:rowOff>19050</xdr:rowOff>
        </xdr:from>
        <xdr:to>
          <xdr:col>13</xdr:col>
          <xdr:colOff>1314450</xdr:colOff>
          <xdr:row>31</xdr:row>
          <xdr:rowOff>85725</xdr:rowOff>
        </xdr:to>
        <xdr:sp macro="" textlink="">
          <xdr:nvSpPr>
            <xdr:cNvPr id="1032" name="Spinner 15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581025</xdr:colOff>
          <xdr:row>96</xdr:row>
          <xdr:rowOff>0</xdr:rowOff>
        </xdr:from>
        <xdr:to>
          <xdr:col>22</xdr:col>
          <xdr:colOff>742950</xdr:colOff>
          <xdr:row>96</xdr:row>
          <xdr:rowOff>0</xdr:rowOff>
        </xdr:to>
        <xdr:sp macro="" textlink="">
          <xdr:nvSpPr>
            <xdr:cNvPr id="1168" name="Spinner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1066800</xdr:colOff>
          <xdr:row>34</xdr:row>
          <xdr:rowOff>47625</xdr:rowOff>
        </xdr:from>
        <xdr:to>
          <xdr:col>13</xdr:col>
          <xdr:colOff>1314450</xdr:colOff>
          <xdr:row>35</xdr:row>
          <xdr:rowOff>114300</xdr:rowOff>
        </xdr:to>
        <xdr:sp macro="" textlink="">
          <xdr:nvSpPr>
            <xdr:cNvPr id="1652" name="Spinner 628" hidden="1">
              <a:extLst>
                <a:ext uri="{63B3BB69-23CF-44E3-9099-C40C66FF867C}">
                  <a14:compatExt spid="_x0000_s16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41415</xdr:colOff>
      <xdr:row>25</xdr:row>
      <xdr:rowOff>134155</xdr:rowOff>
    </xdr:from>
    <xdr:to>
      <xdr:col>6</xdr:col>
      <xdr:colOff>911088</xdr:colOff>
      <xdr:row>28</xdr:row>
      <xdr:rowOff>57979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7330" y="6855317"/>
          <a:ext cx="3854620" cy="668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36"/>
  <sheetViews>
    <sheetView tabSelected="1" topLeftCell="G64" zoomScale="115" zoomScaleNormal="115" zoomScaleSheetLayoutView="115" workbookViewId="0">
      <selection activeCell="C74" sqref="C74"/>
    </sheetView>
  </sheetViews>
  <sheetFormatPr baseColWidth="10" defaultColWidth="11.42578125" defaultRowHeight="20.100000000000001" customHeight="1"/>
  <cols>
    <col min="1" max="1" width="2.28515625" style="92" customWidth="1"/>
    <col min="2" max="2" width="47.85546875" style="91" customWidth="1"/>
    <col min="3" max="3" width="14.42578125" style="91" customWidth="1"/>
    <col min="4" max="4" width="8.7109375" style="91" customWidth="1"/>
    <col min="5" max="5" width="31.5703125" style="94" customWidth="1"/>
    <col min="6" max="6" width="13.140625" style="94" customWidth="1"/>
    <col min="7" max="7" width="17.140625" style="94" customWidth="1"/>
    <col min="8" max="8" width="3.5703125" style="87" customWidth="1"/>
    <col min="9" max="9" width="42.5703125" style="92" customWidth="1"/>
    <col min="10" max="10" width="27.28515625" style="107" customWidth="1"/>
    <col min="11" max="11" width="29.42578125" style="107" customWidth="1"/>
    <col min="12" max="12" width="29.28515625" style="107" customWidth="1"/>
    <col min="13" max="13" width="13.7109375" style="107" customWidth="1"/>
    <col min="14" max="14" width="25.5703125" style="92" customWidth="1"/>
    <col min="15" max="15" width="16.5703125" style="92" customWidth="1"/>
    <col min="16" max="16" width="16.42578125" style="2" customWidth="1"/>
    <col min="17" max="17" width="18.42578125" style="5" customWidth="1"/>
    <col min="18" max="18" width="19.5703125" style="2" customWidth="1"/>
    <col min="19" max="19" width="19.28515625" style="2" customWidth="1"/>
    <col min="20" max="20" width="24.7109375" style="2" customWidth="1"/>
    <col min="21" max="21" width="18.140625" style="2" customWidth="1"/>
    <col min="22" max="22" width="13.7109375" style="2" customWidth="1"/>
    <col min="23" max="32" width="11.42578125" style="2" customWidth="1"/>
    <col min="33" max="16384" width="11.42578125" style="2"/>
  </cols>
  <sheetData>
    <row r="1" spans="1:23" ht="21" customHeight="1">
      <c r="B1" s="201" t="s">
        <v>125</v>
      </c>
      <c r="F1" s="106"/>
      <c r="G1" s="106"/>
      <c r="H1" s="106"/>
      <c r="O1" s="91"/>
      <c r="P1" s="4"/>
      <c r="Q1" s="2"/>
      <c r="R1" s="5"/>
    </row>
    <row r="2" spans="1:23" ht="6" customHeight="1">
      <c r="B2" s="105"/>
      <c r="F2" s="106"/>
      <c r="G2" s="106"/>
      <c r="H2" s="106"/>
      <c r="O2" s="91"/>
      <c r="P2" s="4"/>
      <c r="Q2" s="2"/>
      <c r="R2" s="5"/>
    </row>
    <row r="3" spans="1:23" s="37" customFormat="1" ht="20.100000000000001" customHeight="1">
      <c r="A3" s="108"/>
      <c r="B3" s="357" t="s">
        <v>128</v>
      </c>
      <c r="C3" s="358"/>
      <c r="D3" s="358"/>
      <c r="E3" s="358"/>
      <c r="F3" s="358"/>
      <c r="G3" s="358"/>
      <c r="H3" s="358"/>
      <c r="I3" s="358"/>
      <c r="J3" s="120"/>
      <c r="K3" s="120"/>
      <c r="L3" s="120"/>
      <c r="M3" s="121"/>
      <c r="N3" s="108"/>
      <c r="O3" s="122"/>
      <c r="P3" s="38"/>
      <c r="R3" s="39"/>
    </row>
    <row r="4" spans="1:23" s="37" customFormat="1" ht="20.100000000000001" customHeight="1">
      <c r="A4" s="108"/>
      <c r="B4" s="359" t="s">
        <v>122</v>
      </c>
      <c r="C4" s="359"/>
      <c r="D4" s="359"/>
      <c r="E4" s="359"/>
      <c r="F4" s="359"/>
      <c r="G4" s="359"/>
      <c r="H4" s="359"/>
      <c r="I4" s="359"/>
      <c r="J4" s="76"/>
      <c r="K4" s="46"/>
      <c r="L4" s="46"/>
      <c r="M4" s="121"/>
      <c r="N4" s="108"/>
      <c r="O4" s="122"/>
      <c r="P4" s="38"/>
      <c r="R4" s="39"/>
    </row>
    <row r="5" spans="1:23" s="37" customFormat="1" ht="20.100000000000001" customHeight="1">
      <c r="A5" s="108"/>
      <c r="B5" s="360" t="s">
        <v>129</v>
      </c>
      <c r="C5" s="360"/>
      <c r="D5" s="360"/>
      <c r="E5" s="360"/>
      <c r="F5" s="360"/>
      <c r="G5" s="360"/>
      <c r="H5" s="360"/>
      <c r="I5" s="360"/>
      <c r="J5" s="77"/>
      <c r="K5" s="123"/>
      <c r="L5" s="77"/>
      <c r="M5" s="121"/>
      <c r="N5" s="108"/>
      <c r="O5" s="122"/>
      <c r="P5" s="38"/>
      <c r="R5" s="39"/>
    </row>
    <row r="6" spans="1:23" s="37" customFormat="1" ht="20.100000000000001" customHeight="1">
      <c r="A6" s="108"/>
      <c r="B6" s="359" t="s">
        <v>123</v>
      </c>
      <c r="C6" s="359"/>
      <c r="D6" s="359"/>
      <c r="E6" s="359"/>
      <c r="F6" s="359"/>
      <c r="G6" s="359"/>
      <c r="H6" s="359"/>
      <c r="I6" s="359"/>
      <c r="J6" s="76"/>
      <c r="K6" s="76"/>
      <c r="L6" s="76"/>
      <c r="M6" s="121"/>
      <c r="N6" s="108"/>
      <c r="O6" s="122"/>
      <c r="P6" s="38"/>
      <c r="R6" s="39"/>
    </row>
    <row r="7" spans="1:23" ht="20.100000000000001" customHeight="1">
      <c r="B7" s="360" t="s">
        <v>124</v>
      </c>
      <c r="C7" s="360"/>
      <c r="D7" s="360"/>
      <c r="E7" s="360"/>
      <c r="F7" s="360"/>
      <c r="G7" s="360"/>
      <c r="H7" s="360"/>
      <c r="I7" s="360"/>
      <c r="Q7" s="6"/>
      <c r="R7" s="7"/>
      <c r="S7" s="7"/>
      <c r="T7" s="8"/>
      <c r="U7" s="7"/>
      <c r="V7" s="6"/>
      <c r="W7" s="6"/>
    </row>
    <row r="8" spans="1:23" ht="20.100000000000001" customHeight="1" thickBot="1">
      <c r="B8" s="105"/>
      <c r="H8" s="46"/>
      <c r="U8" s="9"/>
    </row>
    <row r="9" spans="1:23" s="10" customFormat="1" ht="30" customHeight="1" thickBot="1">
      <c r="A9" s="109"/>
      <c r="B9" s="182" t="s">
        <v>121</v>
      </c>
      <c r="C9" s="183"/>
      <c r="D9" s="183"/>
      <c r="E9" s="183"/>
      <c r="F9" s="98"/>
      <c r="G9" s="184"/>
      <c r="H9" s="41"/>
      <c r="I9" s="195" t="s">
        <v>89</v>
      </c>
      <c r="J9" s="124"/>
      <c r="K9" s="125"/>
      <c r="L9" s="125"/>
      <c r="M9" s="126"/>
      <c r="N9" s="127"/>
      <c r="O9" s="109"/>
      <c r="U9" s="9"/>
    </row>
    <row r="10" spans="1:23" ht="30" customHeight="1">
      <c r="B10" s="40" t="s">
        <v>75</v>
      </c>
      <c r="C10" s="202"/>
      <c r="D10" s="78"/>
      <c r="E10" s="42" t="s">
        <v>76</v>
      </c>
      <c r="F10" s="42"/>
      <c r="G10" s="103"/>
      <c r="H10" s="46"/>
      <c r="I10" s="196"/>
      <c r="J10" s="114"/>
      <c r="K10" s="114"/>
      <c r="L10" s="72"/>
      <c r="M10" s="83"/>
      <c r="N10" s="96"/>
      <c r="U10" s="6"/>
    </row>
    <row r="11" spans="1:23" ht="20.100000000000001" customHeight="1">
      <c r="B11" s="51" t="s">
        <v>110</v>
      </c>
      <c r="C11" s="171">
        <v>8.5</v>
      </c>
      <c r="D11" s="78"/>
      <c r="E11" s="88" t="s">
        <v>100</v>
      </c>
      <c r="F11" s="169">
        <v>50.8</v>
      </c>
      <c r="G11" s="103"/>
      <c r="I11" s="128"/>
      <c r="J11" s="41"/>
      <c r="K11" s="72"/>
      <c r="L11" s="73"/>
      <c r="M11" s="78"/>
      <c r="N11" s="129"/>
      <c r="U11" s="6"/>
    </row>
    <row r="12" spans="1:23" ht="20.100000000000001" customHeight="1">
      <c r="B12" s="51" t="s">
        <v>111</v>
      </c>
      <c r="C12" s="172">
        <v>15</v>
      </c>
      <c r="D12" s="78"/>
      <c r="E12" s="89" t="s">
        <v>101</v>
      </c>
      <c r="F12" s="169">
        <v>5</v>
      </c>
      <c r="G12" s="103"/>
      <c r="I12" s="128"/>
      <c r="J12" s="41"/>
      <c r="K12" s="46"/>
      <c r="L12" s="72"/>
      <c r="M12" s="78"/>
      <c r="N12" s="130"/>
      <c r="U12" s="9"/>
    </row>
    <row r="13" spans="1:23" ht="20.100000000000001" customHeight="1">
      <c r="B13" s="43" t="s">
        <v>112</v>
      </c>
      <c r="C13" s="172">
        <v>32</v>
      </c>
      <c r="D13" s="78"/>
      <c r="E13" s="89" t="s">
        <v>116</v>
      </c>
      <c r="F13" s="169">
        <v>5</v>
      </c>
      <c r="G13" s="103"/>
      <c r="I13" s="128"/>
      <c r="J13" s="41"/>
      <c r="K13" s="46"/>
      <c r="L13" s="72"/>
      <c r="M13" s="83"/>
      <c r="N13" s="96"/>
      <c r="U13" s="12"/>
    </row>
    <row r="14" spans="1:23" ht="20.100000000000001" customHeight="1">
      <c r="B14" s="51" t="s">
        <v>113</v>
      </c>
      <c r="C14" s="173">
        <v>2200</v>
      </c>
      <c r="D14" s="78"/>
      <c r="E14" s="88" t="s">
        <v>102</v>
      </c>
      <c r="F14" s="170">
        <v>100</v>
      </c>
      <c r="G14" s="103"/>
      <c r="I14" s="128"/>
      <c r="J14" s="41"/>
      <c r="K14" s="46"/>
      <c r="L14" s="72"/>
      <c r="M14" s="83"/>
      <c r="N14" s="129"/>
      <c r="U14" s="9"/>
    </row>
    <row r="15" spans="1:23" ht="20.100000000000001" customHeight="1">
      <c r="B15" s="51" t="s">
        <v>103</v>
      </c>
      <c r="C15" s="174">
        <v>4</v>
      </c>
      <c r="D15" s="78"/>
      <c r="E15" s="79"/>
      <c r="F15" s="79"/>
      <c r="G15" s="103"/>
      <c r="I15" s="128"/>
      <c r="J15" s="41"/>
      <c r="K15" s="46"/>
      <c r="L15" s="72"/>
      <c r="M15" s="83"/>
      <c r="N15" s="130"/>
      <c r="U15" s="9"/>
    </row>
    <row r="16" spans="1:23" ht="20.100000000000001" customHeight="1">
      <c r="B16" s="63"/>
      <c r="C16" s="175"/>
      <c r="D16" s="78"/>
      <c r="E16" s="79"/>
      <c r="F16" s="79"/>
      <c r="G16" s="103"/>
      <c r="I16" s="128"/>
      <c r="J16" s="41"/>
      <c r="K16" s="46"/>
      <c r="L16" s="85"/>
      <c r="M16" s="83"/>
      <c r="N16" s="90"/>
      <c r="U16" s="9"/>
    </row>
    <row r="17" spans="1:34" s="13" customFormat="1" ht="30" customHeight="1">
      <c r="A17" s="86"/>
      <c r="B17" s="40" t="s">
        <v>95</v>
      </c>
      <c r="C17" s="176"/>
      <c r="D17" s="84"/>
      <c r="E17" s="84"/>
      <c r="F17" s="84"/>
      <c r="G17" s="102"/>
      <c r="H17" s="86"/>
      <c r="I17" s="128"/>
      <c r="J17" s="41"/>
      <c r="K17" s="46"/>
      <c r="L17" s="83"/>
      <c r="M17" s="85"/>
      <c r="N17" s="129"/>
      <c r="O17" s="86"/>
      <c r="U17" s="9"/>
    </row>
    <row r="18" spans="1:34" s="13" customFormat="1" ht="20.100000000000001" customHeight="1">
      <c r="A18" s="86"/>
      <c r="B18" s="54" t="s">
        <v>104</v>
      </c>
      <c r="C18" s="177">
        <v>7</v>
      </c>
      <c r="D18" s="84"/>
      <c r="E18" s="84"/>
      <c r="F18" s="84"/>
      <c r="G18" s="102"/>
      <c r="H18" s="86"/>
      <c r="I18" s="197"/>
      <c r="J18" s="85"/>
      <c r="K18" s="131"/>
      <c r="L18" s="72"/>
      <c r="M18" s="41"/>
      <c r="N18" s="130"/>
      <c r="O18" s="86"/>
      <c r="U18" s="9"/>
    </row>
    <row r="19" spans="1:34" ht="20.100000000000001" customHeight="1">
      <c r="B19" s="54" t="s">
        <v>105</v>
      </c>
      <c r="C19" s="178">
        <v>20</v>
      </c>
      <c r="D19" s="78"/>
      <c r="E19" s="79"/>
      <c r="F19" s="79"/>
      <c r="G19" s="103"/>
      <c r="I19" s="197"/>
      <c r="J19" s="85"/>
      <c r="K19" s="131"/>
      <c r="L19" s="72"/>
      <c r="M19" s="83"/>
      <c r="N19" s="96"/>
      <c r="U19" s="9"/>
      <c r="V19" s="6"/>
      <c r="W19" s="6"/>
    </row>
    <row r="20" spans="1:34" ht="20.100000000000001" customHeight="1">
      <c r="B20" s="50" t="s">
        <v>114</v>
      </c>
      <c r="C20" s="175">
        <v>10</v>
      </c>
      <c r="D20" s="78"/>
      <c r="E20" s="79"/>
      <c r="F20" s="79"/>
      <c r="G20" s="103"/>
      <c r="I20" s="128"/>
      <c r="J20" s="41"/>
      <c r="K20" s="59"/>
      <c r="L20" s="83"/>
      <c r="M20" s="41"/>
      <c r="N20" s="132"/>
      <c r="U20" s="9"/>
      <c r="V20" s="6"/>
      <c r="W20" s="6"/>
      <c r="Z20" s="15"/>
      <c r="AA20" s="15"/>
      <c r="AB20" s="15"/>
    </row>
    <row r="21" spans="1:34" ht="20.100000000000001" customHeight="1">
      <c r="B21" s="355" t="s">
        <v>115</v>
      </c>
      <c r="C21" s="178">
        <v>200</v>
      </c>
      <c r="D21" s="78"/>
      <c r="E21" s="79"/>
      <c r="F21" s="79"/>
      <c r="G21" s="103"/>
      <c r="I21" s="128"/>
      <c r="J21" s="41"/>
      <c r="K21" s="59"/>
      <c r="L21" s="133"/>
      <c r="M21" s="41"/>
      <c r="N21" s="134"/>
      <c r="U21" s="6"/>
      <c r="V21" s="6"/>
      <c r="W21" s="6"/>
      <c r="Z21" s="15"/>
      <c r="AA21" s="15"/>
      <c r="AB21" s="15"/>
    </row>
    <row r="22" spans="1:34" ht="20.100000000000001" customHeight="1" thickBot="1">
      <c r="B22" s="356"/>
      <c r="C22" s="80"/>
      <c r="D22" s="82"/>
      <c r="E22" s="80"/>
      <c r="F22" s="80"/>
      <c r="G22" s="104"/>
      <c r="I22" s="128"/>
      <c r="J22" s="41"/>
      <c r="K22" s="59"/>
      <c r="L22" s="72"/>
      <c r="M22" s="41"/>
      <c r="N22" s="96"/>
      <c r="U22" s="6"/>
      <c r="V22" s="6"/>
      <c r="W22" s="6"/>
      <c r="Z22" s="15"/>
      <c r="AA22" s="15"/>
      <c r="AB22" s="15"/>
    </row>
    <row r="23" spans="1:34" ht="20.100000000000001" customHeight="1" thickBot="1">
      <c r="B23" s="95"/>
      <c r="C23" s="94"/>
      <c r="I23" s="128"/>
      <c r="J23" s="41"/>
      <c r="K23" s="59"/>
      <c r="L23" s="72"/>
      <c r="M23" s="41"/>
      <c r="N23" s="97"/>
      <c r="U23" s="6"/>
      <c r="V23" s="6"/>
      <c r="W23" s="6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ht="30" customHeight="1">
      <c r="B24" s="185" t="s">
        <v>127</v>
      </c>
      <c r="C24" s="186"/>
      <c r="D24" s="186"/>
      <c r="E24" s="186"/>
      <c r="F24" s="187"/>
      <c r="G24" s="188"/>
      <c r="I24" s="128"/>
      <c r="J24" s="41"/>
      <c r="K24" s="59"/>
      <c r="L24" s="72"/>
      <c r="M24" s="41"/>
      <c r="N24" s="130"/>
      <c r="U24" s="6"/>
      <c r="V24" s="6"/>
      <c r="W24" s="6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 ht="30" customHeight="1">
      <c r="B25" s="93" t="s">
        <v>94</v>
      </c>
      <c r="C25" s="84"/>
      <c r="D25" s="84"/>
      <c r="E25" s="84"/>
      <c r="F25" s="84"/>
      <c r="G25" s="102"/>
      <c r="I25" s="128"/>
      <c r="J25" s="41"/>
      <c r="K25" s="59"/>
      <c r="L25" s="72"/>
      <c r="M25" s="41"/>
      <c r="N25" s="96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ht="20.100000000000001" customHeight="1">
      <c r="B26" s="180" t="s">
        <v>106</v>
      </c>
      <c r="C26" s="321">
        <f>F59+F60*F61</f>
        <v>2.6916885798632856E-2</v>
      </c>
      <c r="D26" s="363" t="s">
        <v>4</v>
      </c>
      <c r="E26" s="84"/>
      <c r="F26" s="84"/>
      <c r="G26" s="102"/>
      <c r="I26" s="128"/>
      <c r="J26" s="41"/>
      <c r="K26" s="59"/>
      <c r="L26" s="41"/>
      <c r="M26" s="41"/>
      <c r="N26" s="96"/>
      <c r="Z26" s="1"/>
      <c r="AA26" s="15"/>
      <c r="AB26" s="15"/>
      <c r="AC26" s="15"/>
      <c r="AD26" s="15"/>
      <c r="AE26" s="15"/>
      <c r="AF26" s="15"/>
      <c r="AG26" s="15"/>
      <c r="AH26" s="15"/>
    </row>
    <row r="27" spans="1:34" ht="20.100000000000001" customHeight="1" thickBot="1">
      <c r="B27" s="180" t="s">
        <v>107</v>
      </c>
      <c r="C27" s="322">
        <f>F59/F61+F60</f>
        <v>3.3265763617436404E-2</v>
      </c>
      <c r="D27" s="363"/>
      <c r="E27" s="79"/>
      <c r="F27" s="79"/>
      <c r="G27" s="103"/>
      <c r="I27" s="128"/>
      <c r="J27" s="41"/>
      <c r="K27" s="59"/>
      <c r="L27" s="41"/>
      <c r="M27" s="41"/>
      <c r="N27" s="96"/>
      <c r="U27" s="15"/>
      <c r="V27" s="15"/>
      <c r="Z27" s="16"/>
      <c r="AA27" s="17"/>
      <c r="AB27" s="18"/>
      <c r="AC27" s="17"/>
      <c r="AD27" s="19"/>
      <c r="AE27" s="17"/>
      <c r="AF27" s="19"/>
      <c r="AG27" s="15"/>
      <c r="AH27" s="15"/>
    </row>
    <row r="28" spans="1:34" ht="20.100000000000001" customHeight="1" thickBot="1">
      <c r="B28" s="181" t="s">
        <v>108</v>
      </c>
      <c r="C28" s="323">
        <f>(C54-C56)/C53</f>
        <v>27.281003672876427</v>
      </c>
      <c r="D28" s="363"/>
      <c r="E28" s="79"/>
      <c r="F28" s="79"/>
      <c r="G28" s="103"/>
      <c r="I28" s="135" t="s">
        <v>8</v>
      </c>
      <c r="J28" s="124"/>
      <c r="K28" s="136"/>
      <c r="L28" s="124"/>
      <c r="M28" s="125"/>
      <c r="N28" s="127"/>
      <c r="V28" s="15"/>
      <c r="Z28" s="16"/>
      <c r="AA28" s="17"/>
      <c r="AB28" s="18"/>
      <c r="AC28" s="17"/>
      <c r="AD28" s="19"/>
      <c r="AE28" s="17"/>
      <c r="AF28" s="19"/>
      <c r="AG28" s="15"/>
      <c r="AH28" s="15"/>
    </row>
    <row r="29" spans="1:34" ht="20.100000000000001" customHeight="1">
      <c r="B29" s="181" t="s">
        <v>109</v>
      </c>
      <c r="C29" s="324">
        <f>(C55-C57)/C53</f>
        <v>-1.6484263708277608E-3</v>
      </c>
      <c r="D29" s="363"/>
      <c r="E29" s="79"/>
      <c r="F29" s="79"/>
      <c r="G29" s="103"/>
      <c r="I29" s="128"/>
      <c r="J29" s="41"/>
      <c r="K29" s="41"/>
      <c r="L29" s="114"/>
      <c r="M29" s="114"/>
      <c r="N29" s="137"/>
      <c r="V29" s="15"/>
      <c r="Z29" s="16"/>
      <c r="AA29" s="17"/>
      <c r="AB29" s="18"/>
      <c r="AC29" s="17"/>
      <c r="AD29" s="19"/>
      <c r="AE29" s="17"/>
      <c r="AF29" s="19"/>
      <c r="AG29" s="15"/>
      <c r="AH29" s="15"/>
    </row>
    <row r="30" spans="1:34" ht="20.100000000000001" customHeight="1" thickBot="1">
      <c r="B30" s="74"/>
      <c r="C30" s="82"/>
      <c r="D30" s="179"/>
      <c r="E30" s="80"/>
      <c r="F30" s="80"/>
      <c r="G30" s="104"/>
      <c r="I30" s="128"/>
      <c r="J30" s="41"/>
      <c r="K30" s="41"/>
      <c r="L30" s="114"/>
      <c r="M30" s="114"/>
      <c r="N30" s="190" t="s">
        <v>126</v>
      </c>
      <c r="V30" s="15"/>
      <c r="Z30" s="16"/>
      <c r="AA30" s="17"/>
      <c r="AB30" s="18"/>
      <c r="AC30" s="17"/>
      <c r="AD30" s="19"/>
      <c r="AE30" s="17"/>
      <c r="AF30" s="19"/>
      <c r="AG30" s="15"/>
      <c r="AH30" s="15"/>
    </row>
    <row r="31" spans="1:34" ht="20.100000000000001" customHeight="1" thickBot="1">
      <c r="I31" s="128"/>
      <c r="J31" s="41"/>
      <c r="K31" s="138"/>
      <c r="L31" s="111"/>
      <c r="M31" s="111"/>
      <c r="N31" s="189">
        <f>0.01*N32</f>
        <v>0.5</v>
      </c>
      <c r="V31" s="15"/>
      <c r="Z31" s="16"/>
      <c r="AA31" s="17"/>
      <c r="AB31" s="18"/>
      <c r="AC31" s="17"/>
      <c r="AD31" s="19"/>
      <c r="AE31" s="17"/>
      <c r="AF31" s="19"/>
      <c r="AG31" s="15"/>
      <c r="AH31" s="15"/>
    </row>
    <row r="32" spans="1:34" ht="30" customHeight="1" thickBot="1">
      <c r="B32" s="320" t="s">
        <v>99</v>
      </c>
      <c r="C32" s="203"/>
      <c r="D32" s="203"/>
      <c r="E32" s="204"/>
      <c r="F32" s="203"/>
      <c r="G32" s="205"/>
      <c r="I32" s="128"/>
      <c r="J32" s="41"/>
      <c r="K32" s="138"/>
      <c r="L32" s="59"/>
      <c r="M32" s="41"/>
      <c r="N32" s="193">
        <v>50</v>
      </c>
      <c r="V32" s="15"/>
      <c r="Z32" s="15"/>
      <c r="AA32" s="17"/>
      <c r="AB32" s="19"/>
      <c r="AC32" s="17"/>
      <c r="AD32" s="19"/>
      <c r="AE32" s="17"/>
      <c r="AF32" s="19"/>
      <c r="AG32" s="15"/>
      <c r="AH32" s="15"/>
    </row>
    <row r="33" spans="2:34" ht="30" customHeight="1">
      <c r="B33" s="206" t="s">
        <v>96</v>
      </c>
      <c r="C33" s="207"/>
      <c r="D33" s="207"/>
      <c r="E33" s="208" t="s">
        <v>97</v>
      </c>
      <c r="F33" s="207"/>
      <c r="G33" s="209"/>
      <c r="H33" s="85"/>
      <c r="I33" s="128"/>
      <c r="J33" s="41"/>
      <c r="K33" s="138"/>
      <c r="L33" s="48"/>
      <c r="M33" s="48"/>
      <c r="N33" s="190" t="s">
        <v>11</v>
      </c>
      <c r="V33" s="1"/>
      <c r="Z33" s="15"/>
      <c r="AA33" s="17"/>
      <c r="AB33" s="19"/>
      <c r="AC33" s="17"/>
      <c r="AD33" s="19"/>
      <c r="AE33" s="17"/>
      <c r="AF33" s="19"/>
      <c r="AG33" s="15"/>
      <c r="AH33" s="15"/>
    </row>
    <row r="34" spans="2:34" ht="20.100000000000001" customHeight="1">
      <c r="B34" s="210" t="s">
        <v>24</v>
      </c>
      <c r="C34" s="211">
        <f>10^-(C11)</f>
        <v>3.1622776601683779E-9</v>
      </c>
      <c r="D34" s="211"/>
      <c r="E34" s="212" t="s">
        <v>98</v>
      </c>
      <c r="F34" s="213">
        <f>C15+(C21/1000)</f>
        <v>4.2</v>
      </c>
      <c r="G34" s="214"/>
      <c r="H34" s="85"/>
      <c r="I34" s="128"/>
      <c r="J34" s="41"/>
      <c r="K34" s="138"/>
      <c r="L34" s="46"/>
      <c r="M34" s="59"/>
      <c r="N34" s="96" t="s">
        <v>9</v>
      </c>
      <c r="V34" s="16"/>
      <c r="Z34" s="15"/>
      <c r="AA34" s="17"/>
      <c r="AB34" s="19"/>
      <c r="AC34" s="17"/>
      <c r="AD34" s="19"/>
      <c r="AE34" s="17"/>
      <c r="AF34" s="19"/>
      <c r="AG34" s="15"/>
      <c r="AH34" s="15"/>
    </row>
    <row r="35" spans="2:34" ht="20.100000000000001" customHeight="1">
      <c r="B35" s="210" t="s">
        <v>25</v>
      </c>
      <c r="C35" s="215">
        <f>(C14/10^6)/(1+(C66/C34)+(C66*C68/(C34^2)))</f>
        <v>5.1359609448718182E-6</v>
      </c>
      <c r="D35" s="364" t="s">
        <v>3</v>
      </c>
      <c r="E35" s="216" t="s">
        <v>31</v>
      </c>
      <c r="F35" s="217">
        <f>(((C14/10^6)*C15/1000)+((F43+C44)*(C21/10^6)))/(F34)</f>
        <v>2.1459167604049494E-6</v>
      </c>
      <c r="G35" s="218"/>
      <c r="H35" s="85"/>
      <c r="I35" s="128"/>
      <c r="J35" s="41"/>
      <c r="K35" s="138"/>
      <c r="L35" s="46"/>
      <c r="M35" s="59"/>
      <c r="N35" s="191">
        <f>N36/10</f>
        <v>7</v>
      </c>
      <c r="V35" s="16"/>
      <c r="Z35" s="15"/>
      <c r="AA35" s="17"/>
      <c r="AB35" s="19"/>
      <c r="AC35" s="17"/>
      <c r="AD35" s="19"/>
      <c r="AE35" s="17"/>
      <c r="AF35" s="19"/>
      <c r="AG35" s="15"/>
      <c r="AH35" s="15"/>
    </row>
    <row r="36" spans="2:34" ht="20.100000000000001" customHeight="1">
      <c r="B36" s="210" t="s">
        <v>26</v>
      </c>
      <c r="C36" s="219">
        <f>(C14/10^6)/(1+(C34/C66)+(C68/C34))</f>
        <v>1.775967188434131E-3</v>
      </c>
      <c r="D36" s="364"/>
      <c r="E36" s="220" t="s">
        <v>32</v>
      </c>
      <c r="F36" s="221">
        <f>F35*F34</f>
        <v>9.0128503937007881E-6</v>
      </c>
      <c r="G36" s="222"/>
      <c r="H36" s="46"/>
      <c r="I36" s="128"/>
      <c r="J36" s="41"/>
      <c r="K36" s="138"/>
      <c r="L36" s="46"/>
      <c r="M36" s="59"/>
      <c r="N36" s="194">
        <v>70</v>
      </c>
      <c r="V36" s="16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2:34" ht="20.100000000000001" customHeight="1">
      <c r="B37" s="223" t="s">
        <v>27</v>
      </c>
      <c r="C37" s="224">
        <f>(C14/10^6)/(1+(C34/C68)+(C34^2/(C66*C68)))</f>
        <v>4.1889685062099756E-4</v>
      </c>
      <c r="D37" s="364"/>
      <c r="E37" s="225"/>
      <c r="F37" s="225"/>
      <c r="G37" s="226"/>
      <c r="H37" s="46"/>
      <c r="I37" s="128"/>
      <c r="J37" s="41"/>
      <c r="K37" s="138"/>
      <c r="L37" s="46"/>
      <c r="M37" s="59"/>
      <c r="N37" s="192"/>
      <c r="V37" s="16"/>
      <c r="Z37" s="21"/>
      <c r="AA37" s="15"/>
      <c r="AB37" s="15"/>
      <c r="AC37" s="17"/>
      <c r="AD37" s="19"/>
      <c r="AE37" s="17"/>
      <c r="AF37" s="19"/>
      <c r="AG37" s="15"/>
      <c r="AH37" s="15"/>
    </row>
    <row r="38" spans="2:34" ht="20.100000000000001" customHeight="1">
      <c r="B38" s="227" t="s">
        <v>23</v>
      </c>
      <c r="C38" s="219">
        <f>(C14/10^6)*(C15/1000)</f>
        <v>8.8000000000000004E-6</v>
      </c>
      <c r="D38" s="364"/>
      <c r="E38" s="225"/>
      <c r="F38" s="228"/>
      <c r="G38" s="229"/>
      <c r="H38" s="46"/>
      <c r="I38" s="128"/>
      <c r="J38" s="41"/>
      <c r="K38" s="138"/>
      <c r="L38" s="46"/>
      <c r="M38" s="59"/>
      <c r="N38" s="96"/>
      <c r="V38" s="16"/>
      <c r="Z38" s="21"/>
      <c r="AA38" s="15"/>
      <c r="AB38" s="15"/>
      <c r="AC38" s="23"/>
      <c r="AD38" s="24"/>
      <c r="AE38" s="23"/>
      <c r="AF38" s="24"/>
      <c r="AG38" s="15"/>
      <c r="AH38" s="15"/>
    </row>
    <row r="39" spans="2:34" ht="20.100000000000001" customHeight="1">
      <c r="B39" s="210" t="s">
        <v>28</v>
      </c>
      <c r="C39" s="215">
        <f>C35*C15/1000</f>
        <v>2.0543843779487272E-8</v>
      </c>
      <c r="D39" s="364"/>
      <c r="E39" s="230"/>
      <c r="F39" s="225"/>
      <c r="G39" s="226"/>
      <c r="H39" s="46"/>
      <c r="I39" s="128"/>
      <c r="J39" s="41"/>
      <c r="K39" s="138"/>
      <c r="L39" s="46"/>
      <c r="M39" s="59"/>
      <c r="N39" s="139" t="s">
        <v>10</v>
      </c>
      <c r="V39" s="15"/>
      <c r="Z39" s="21"/>
      <c r="AA39" s="15"/>
      <c r="AB39" s="15"/>
      <c r="AC39" s="23"/>
      <c r="AD39" s="24"/>
      <c r="AE39" s="23"/>
      <c r="AF39" s="24"/>
      <c r="AG39" s="15"/>
      <c r="AH39" s="15"/>
    </row>
    <row r="40" spans="2:34" ht="20.100000000000001" customHeight="1">
      <c r="B40" s="210" t="s">
        <v>29</v>
      </c>
      <c r="C40" s="219">
        <f>C36*C15/1000</f>
        <v>7.1038687537365243E-6</v>
      </c>
      <c r="D40" s="364"/>
      <c r="E40" s="225"/>
      <c r="F40" s="225"/>
      <c r="G40" s="226"/>
      <c r="H40" s="110"/>
      <c r="I40" s="143"/>
      <c r="J40" s="41"/>
      <c r="K40" s="41"/>
      <c r="L40" s="59"/>
      <c r="M40" s="59"/>
      <c r="N40" s="140" t="s">
        <v>58</v>
      </c>
      <c r="V40" s="15"/>
      <c r="Z40" s="21"/>
      <c r="AA40" s="15"/>
      <c r="AB40" s="15"/>
      <c r="AC40" s="23"/>
      <c r="AD40" s="24"/>
      <c r="AE40" s="23"/>
      <c r="AF40" s="24"/>
      <c r="AG40" s="15"/>
      <c r="AH40" s="15"/>
    </row>
    <row r="41" spans="2:34" ht="20.100000000000001" customHeight="1" thickBot="1">
      <c r="B41" s="210" t="s">
        <v>30</v>
      </c>
      <c r="C41" s="231">
        <f>C35/(C14/10^6)</f>
        <v>2.3345277022144627E-3</v>
      </c>
      <c r="D41" s="231"/>
      <c r="E41" s="232"/>
      <c r="F41" s="233"/>
      <c r="G41" s="234"/>
      <c r="H41" s="41"/>
      <c r="I41" s="143"/>
      <c r="J41" s="41"/>
      <c r="K41" s="41"/>
      <c r="L41" s="59"/>
      <c r="M41" s="59"/>
      <c r="N41" s="141">
        <f>N31*N35</f>
        <v>3.5</v>
      </c>
      <c r="V41" s="15"/>
      <c r="Z41" s="21"/>
      <c r="AA41" s="15"/>
      <c r="AB41" s="15"/>
      <c r="AC41" s="23"/>
      <c r="AD41" s="24"/>
      <c r="AE41" s="23"/>
      <c r="AF41" s="24"/>
      <c r="AG41" s="15"/>
      <c r="AH41" s="15"/>
    </row>
    <row r="42" spans="2:34" ht="30" customHeight="1">
      <c r="B42" s="206" t="s">
        <v>79</v>
      </c>
      <c r="C42" s="207"/>
      <c r="D42" s="207"/>
      <c r="E42" s="235"/>
      <c r="F42" s="236"/>
      <c r="G42" s="237"/>
      <c r="H42" s="44"/>
      <c r="I42" s="143"/>
      <c r="J42" s="41"/>
      <c r="K42" s="41"/>
      <c r="L42" s="59"/>
      <c r="M42" s="41"/>
      <c r="N42" s="142"/>
      <c r="V42" s="15"/>
      <c r="Z42" s="25"/>
      <c r="AA42" s="15"/>
      <c r="AB42" s="15"/>
      <c r="AC42" s="23"/>
      <c r="AD42" s="24"/>
      <c r="AE42" s="23"/>
      <c r="AF42" s="24"/>
      <c r="AG42" s="15"/>
      <c r="AH42" s="15"/>
    </row>
    <row r="43" spans="2:34" ht="20.100000000000001" customHeight="1">
      <c r="B43" s="238" t="s">
        <v>37</v>
      </c>
      <c r="C43" s="239">
        <f>10^-(C18)</f>
        <v>9.9999999999999995E-8</v>
      </c>
      <c r="D43" s="353" t="s">
        <v>22</v>
      </c>
      <c r="E43" s="216" t="s">
        <v>34</v>
      </c>
      <c r="F43" s="215">
        <f>C76</f>
        <v>9.8425196850393699E-4</v>
      </c>
      <c r="G43" s="226"/>
      <c r="H43" s="47"/>
      <c r="I43" s="143"/>
      <c r="J43" s="41"/>
      <c r="K43" s="41"/>
      <c r="L43" s="59"/>
      <c r="M43" s="41"/>
      <c r="N43" s="140" t="s">
        <v>59</v>
      </c>
      <c r="V43" s="15"/>
      <c r="Z43" s="26"/>
      <c r="AB43" s="15"/>
      <c r="AC43" s="15"/>
      <c r="AD43" s="15"/>
      <c r="AE43" s="15"/>
      <c r="AF43" s="15"/>
      <c r="AG43" s="15"/>
      <c r="AH43" s="15"/>
    </row>
    <row r="44" spans="2:34" ht="20.100000000000001" customHeight="1">
      <c r="B44" s="238" t="s">
        <v>33</v>
      </c>
      <c r="C44" s="239">
        <v>8.0000000000000007E-5</v>
      </c>
      <c r="D44" s="353"/>
      <c r="E44" s="216" t="s">
        <v>43</v>
      </c>
      <c r="F44" s="240">
        <f>F43/(1+(F66/C43)+(F66*F68/(C43^2)))</f>
        <v>1.9104825225630537E-4</v>
      </c>
      <c r="G44" s="241"/>
      <c r="H44" s="49"/>
      <c r="I44" s="143"/>
      <c r="J44" s="41"/>
      <c r="K44" s="59"/>
      <c r="L44" s="41"/>
      <c r="M44" s="41"/>
      <c r="N44" s="141">
        <f>(1-N31)*N35</f>
        <v>3.5</v>
      </c>
      <c r="V44" s="15"/>
      <c r="Z44" s="26"/>
      <c r="AB44" s="15"/>
      <c r="AC44" s="15"/>
      <c r="AD44" s="15"/>
      <c r="AE44" s="15"/>
      <c r="AF44" s="15"/>
      <c r="AG44" s="15"/>
      <c r="AH44" s="15"/>
    </row>
    <row r="45" spans="2:34" ht="20.100000000000001" customHeight="1">
      <c r="B45" s="242" t="s">
        <v>38</v>
      </c>
      <c r="C45" s="239">
        <f>$C$44/(1+($F$66/$C$43)+($F$66*$F$68/($C$43^2)))</f>
        <v>1.5528401943392501E-5</v>
      </c>
      <c r="D45" s="353"/>
      <c r="E45" s="365" t="s">
        <v>92</v>
      </c>
      <c r="F45" s="239">
        <f>F43-F44</f>
        <v>7.9320371624763165E-4</v>
      </c>
      <c r="G45" s="243"/>
      <c r="H45" s="46"/>
      <c r="I45" s="128"/>
      <c r="J45" s="41"/>
      <c r="K45" s="59"/>
      <c r="L45" s="41"/>
      <c r="M45" s="41"/>
      <c r="N45" s="96"/>
      <c r="V45" s="15"/>
      <c r="Z45" s="26"/>
      <c r="AB45" s="15"/>
      <c r="AC45" s="15"/>
      <c r="AD45" s="15"/>
      <c r="AE45" s="15"/>
      <c r="AF45" s="15"/>
      <c r="AG45" s="15"/>
      <c r="AH45" s="15"/>
    </row>
    <row r="46" spans="2:34" ht="20.100000000000001" customHeight="1">
      <c r="B46" s="244" t="s">
        <v>39</v>
      </c>
      <c r="C46" s="239">
        <f>C44/(1+(C43/F66)+(F68/C43))</f>
        <v>6.444453054923834E-5</v>
      </c>
      <c r="D46" s="353"/>
      <c r="E46" s="365"/>
      <c r="F46" s="225"/>
      <c r="G46" s="245"/>
      <c r="H46" s="52"/>
      <c r="I46" s="128"/>
      <c r="J46" s="41"/>
      <c r="K46" s="59"/>
      <c r="L46" s="41"/>
      <c r="M46" s="41"/>
      <c r="N46" s="96"/>
      <c r="Z46" s="26"/>
    </row>
    <row r="47" spans="2:34" ht="20.100000000000001" customHeight="1">
      <c r="B47" s="244" t="s">
        <v>27</v>
      </c>
      <c r="C47" s="239">
        <f>C44/(1+(C43/F68)+(C43^2/(F66*F68)))</f>
        <v>2.7067507369174859E-8</v>
      </c>
      <c r="D47" s="353"/>
      <c r="E47" s="216" t="s">
        <v>36</v>
      </c>
      <c r="F47" s="240">
        <f>C75</f>
        <v>1.968503937007874E-7</v>
      </c>
      <c r="G47" s="226"/>
      <c r="H47" s="46"/>
      <c r="I47" s="144" t="s">
        <v>0</v>
      </c>
      <c r="J47" s="145" t="s">
        <v>60</v>
      </c>
      <c r="K47" s="146" t="s">
        <v>61</v>
      </c>
      <c r="L47" s="146" t="s">
        <v>62</v>
      </c>
      <c r="M47" s="146" t="s">
        <v>63</v>
      </c>
      <c r="N47" s="147" t="s">
        <v>64</v>
      </c>
    </row>
    <row r="48" spans="2:34" ht="20.100000000000001" customHeight="1">
      <c r="B48" s="238" t="s">
        <v>35</v>
      </c>
      <c r="C48" s="239">
        <f>C44*(C21/10^6)</f>
        <v>1.6000000000000001E-8</v>
      </c>
      <c r="D48" s="353"/>
      <c r="E48" s="216" t="s">
        <v>45</v>
      </c>
      <c r="F48" s="246">
        <f>F44*(C21/10^6)</f>
        <v>3.8209650451261075E-8</v>
      </c>
      <c r="G48" s="243"/>
      <c r="H48" s="46"/>
      <c r="I48" s="144"/>
      <c r="J48" s="146" t="s">
        <v>67</v>
      </c>
      <c r="K48" s="146" t="s">
        <v>67</v>
      </c>
      <c r="L48" s="146" t="s">
        <v>67</v>
      </c>
      <c r="M48" s="146" t="s">
        <v>66</v>
      </c>
      <c r="N48" s="147" t="s">
        <v>65</v>
      </c>
      <c r="Y48" s="26"/>
    </row>
    <row r="49" spans="2:28" ht="20.100000000000001" customHeight="1">
      <c r="B49" s="247" t="s">
        <v>40</v>
      </c>
      <c r="C49" s="239">
        <f>C45*(C21/10^6)</f>
        <v>3.1056803886785002E-9</v>
      </c>
      <c r="D49" s="353"/>
      <c r="E49" s="365" t="s">
        <v>93</v>
      </c>
      <c r="F49" s="239">
        <f>F47-F48</f>
        <v>1.5864074324952632E-7</v>
      </c>
      <c r="G49" s="248"/>
      <c r="H49" s="76"/>
      <c r="I49" s="148">
        <v>0</v>
      </c>
      <c r="J49" s="149">
        <f t="shared" ref="J49:J61" si="0">($N$41*(($C$26*I49)+($C$28*(1-EXP(-$C$26*I49)))))/$C$26</f>
        <v>0</v>
      </c>
      <c r="K49" s="149">
        <f t="shared" ref="K49:K61" si="1">($N$44*(($C$27*I49)+($C$29*(1-EXP(-$C$27*I49)))))/$C$27</f>
        <v>0</v>
      </c>
      <c r="L49" s="149">
        <f t="shared" ref="L49:L60" si="2">K49+J49</f>
        <v>0</v>
      </c>
      <c r="M49" s="150">
        <f t="shared" ref="M49:M61" si="3">($C$53+$F$54*EXP(-$C$26*I49))</f>
        <v>69660346517752.242</v>
      </c>
      <c r="N49" s="151">
        <f t="shared" ref="N49:N61" si="4">($C$53+$F$55*EXP(-$C$27*I49))</f>
        <v>2459089407503.9731</v>
      </c>
      <c r="Y49" s="26"/>
    </row>
    <row r="50" spans="2:28" ht="20.100000000000001" customHeight="1">
      <c r="B50" s="249" t="s">
        <v>41</v>
      </c>
      <c r="C50" s="239">
        <f>C46*(C21/10^6)+(C47*(C21/10^6))</f>
        <v>1.2894319611321502E-8</v>
      </c>
      <c r="D50" s="353"/>
      <c r="E50" s="365"/>
      <c r="F50" s="225"/>
      <c r="G50" s="245"/>
      <c r="H50" s="77"/>
      <c r="I50" s="152">
        <v>5</v>
      </c>
      <c r="J50" s="153">
        <f t="shared" si="0"/>
        <v>464.18510505434324</v>
      </c>
      <c r="K50" s="153">
        <f t="shared" si="1"/>
        <v>17.473423960364833</v>
      </c>
      <c r="L50" s="153">
        <f t="shared" si="2"/>
        <v>481.65852901470805</v>
      </c>
      <c r="M50" s="150">
        <f t="shared" si="3"/>
        <v>61198813551950.094</v>
      </c>
      <c r="N50" s="151">
        <f t="shared" si="4"/>
        <v>2459711579597.8091</v>
      </c>
      <c r="Y50" s="28"/>
      <c r="AB50" s="29"/>
    </row>
    <row r="51" spans="2:28" ht="20.100000000000001" customHeight="1" thickBot="1">
      <c r="B51" s="250" t="s">
        <v>42</v>
      </c>
      <c r="C51" s="251">
        <f>C45/C44</f>
        <v>0.19410502429240625</v>
      </c>
      <c r="D51" s="354"/>
      <c r="E51" s="252" t="s">
        <v>44</v>
      </c>
      <c r="F51" s="251">
        <f>F44/F43</f>
        <v>0.19410502429240625</v>
      </c>
      <c r="G51" s="253"/>
      <c r="H51" s="46"/>
      <c r="I51" s="152">
        <v>10</v>
      </c>
      <c r="J51" s="153">
        <f t="shared" si="0"/>
        <v>872.12320990118576</v>
      </c>
      <c r="K51" s="153">
        <f t="shared" si="1"/>
        <v>34.950920226923486</v>
      </c>
      <c r="L51" s="153">
        <f t="shared" si="2"/>
        <v>907.07413012810923</v>
      </c>
      <c r="M51" s="150">
        <f t="shared" si="3"/>
        <v>53802764617511.266</v>
      </c>
      <c r="N51" s="151">
        <f t="shared" si="4"/>
        <v>2460238414865.4619</v>
      </c>
      <c r="Y51" s="28"/>
    </row>
    <row r="52" spans="2:28" ht="30" customHeight="1">
      <c r="B52" s="254" t="s">
        <v>77</v>
      </c>
      <c r="C52" s="255"/>
      <c r="D52" s="255"/>
      <c r="E52" s="256"/>
      <c r="F52" s="256"/>
      <c r="G52" s="257"/>
      <c r="H52" s="45"/>
      <c r="I52" s="152">
        <v>15</v>
      </c>
      <c r="J52" s="153">
        <f t="shared" si="0"/>
        <v>1230.8969886582547</v>
      </c>
      <c r="K52" s="153">
        <f t="shared" si="1"/>
        <v>52.43186479105902</v>
      </c>
      <c r="L52" s="153">
        <f t="shared" si="2"/>
        <v>1283.3288534493138</v>
      </c>
      <c r="M52" s="150">
        <f t="shared" si="3"/>
        <v>47338032982984.312</v>
      </c>
      <c r="N52" s="151">
        <f t="shared" si="4"/>
        <v>2460684521982.7563</v>
      </c>
      <c r="Y52" s="28"/>
    </row>
    <row r="53" spans="2:28" ht="20.100000000000001" customHeight="1">
      <c r="B53" s="258" t="s">
        <v>80</v>
      </c>
      <c r="C53" s="225">
        <f>(C73*F80)/(C38+C48+F47)</f>
        <v>2463149728471.6831</v>
      </c>
      <c r="D53" s="259"/>
      <c r="E53" s="260" t="s">
        <v>50</v>
      </c>
      <c r="F53" s="261"/>
      <c r="G53" s="262"/>
      <c r="H53" s="56"/>
      <c r="I53" s="152">
        <v>20</v>
      </c>
      <c r="J53" s="153">
        <f t="shared" si="0"/>
        <v>1546.6972585891722</v>
      </c>
      <c r="K53" s="153">
        <f t="shared" si="1"/>
        <v>69.915729262395246</v>
      </c>
      <c r="L53" s="153">
        <f t="shared" si="2"/>
        <v>1616.6129878515674</v>
      </c>
      <c r="M53" s="150">
        <f t="shared" si="3"/>
        <v>41687346315424.484</v>
      </c>
      <c r="N53" s="151">
        <f t="shared" si="4"/>
        <v>2461062271105.3384</v>
      </c>
      <c r="Y53" s="28"/>
    </row>
    <row r="54" spans="2:28" ht="20.100000000000001" customHeight="1">
      <c r="B54" s="263" t="s">
        <v>46</v>
      </c>
      <c r="C54" s="225">
        <f>(C73*F80*F51)/(C39+C49+F48)</f>
        <v>69660346517752.242</v>
      </c>
      <c r="D54" s="259"/>
      <c r="E54" s="264" t="s">
        <v>81</v>
      </c>
      <c r="F54" s="225">
        <f>($C$54-$C$56)</f>
        <v>67197196789280.562</v>
      </c>
      <c r="G54" s="226"/>
      <c r="H54" s="55"/>
      <c r="I54" s="152">
        <v>30</v>
      </c>
      <c r="J54" s="153">
        <f t="shared" si="0"/>
        <v>2070.3409360275596</v>
      </c>
      <c r="K54" s="153">
        <f t="shared" si="1"/>
        <v>104.8904967907109</v>
      </c>
      <c r="L54" s="153">
        <f t="shared" si="2"/>
        <v>2175.2314328182706</v>
      </c>
      <c r="M54" s="150">
        <f t="shared" si="3"/>
        <v>32430994271465.719</v>
      </c>
      <c r="N54" s="151">
        <f t="shared" si="4"/>
        <v>2461652988908.1421</v>
      </c>
      <c r="Y54" s="28"/>
    </row>
    <row r="55" spans="2:28" ht="20.100000000000001" customHeight="1">
      <c r="B55" s="263" t="s">
        <v>47</v>
      </c>
      <c r="C55" s="225">
        <f>(C73*F80*(1-C51))/(C40+C50+F49)</f>
        <v>2459089407503.9736</v>
      </c>
      <c r="D55" s="225"/>
      <c r="E55" s="264" t="s">
        <v>82</v>
      </c>
      <c r="F55" s="225">
        <f>($C$55-$C$57)</f>
        <v>-4060320967.7099609</v>
      </c>
      <c r="G55" s="265"/>
      <c r="H55" s="46"/>
      <c r="I55" s="152">
        <v>60</v>
      </c>
      <c r="J55" s="153">
        <f t="shared" si="0"/>
        <v>3051.8214212113057</v>
      </c>
      <c r="K55" s="153">
        <f t="shared" si="1"/>
        <v>209.8501310691384</v>
      </c>
      <c r="L55" s="153">
        <f t="shared" si="2"/>
        <v>3261.6715522804443</v>
      </c>
      <c r="M55" s="150">
        <f t="shared" si="3"/>
        <v>15827869530240.553</v>
      </c>
      <c r="N55" s="151">
        <f t="shared" si="4"/>
        <v>2462597991468.8984</v>
      </c>
      <c r="Y55" s="28"/>
    </row>
    <row r="56" spans="2:28" ht="20.100000000000001" customHeight="1">
      <c r="B56" s="263" t="s">
        <v>48</v>
      </c>
      <c r="C56" s="225">
        <f>(C73*F80*C41)/(F36*C41)</f>
        <v>2463149728471.6831</v>
      </c>
      <c r="D56" s="266"/>
      <c r="E56" s="225"/>
      <c r="F56" s="225"/>
      <c r="G56" s="267"/>
      <c r="H56" s="56"/>
      <c r="I56" s="152">
        <v>120</v>
      </c>
      <c r="J56" s="153">
        <f t="shared" si="0"/>
        <v>3827.0257576399995</v>
      </c>
      <c r="K56" s="153">
        <f t="shared" si="1"/>
        <v>419.82976611883475</v>
      </c>
      <c r="L56" s="153">
        <f t="shared" si="2"/>
        <v>4246.8555237588344</v>
      </c>
      <c r="M56" s="150">
        <f t="shared" si="3"/>
        <v>5121232861610.4463</v>
      </c>
      <c r="N56" s="151">
        <f t="shared" si="4"/>
        <v>2463074755649.9131</v>
      </c>
      <c r="Y56" s="26"/>
    </row>
    <row r="57" spans="2:28" ht="20.100000000000001" customHeight="1" thickBot="1">
      <c r="B57" s="263" t="s">
        <v>49</v>
      </c>
      <c r="C57" s="225">
        <f>(C73*F80*(1-C41))/(F36*(1-C41))</f>
        <v>2463149728471.6836</v>
      </c>
      <c r="D57" s="230"/>
      <c r="E57" s="268"/>
      <c r="F57" s="268"/>
      <c r="G57" s="267"/>
      <c r="H57" s="57"/>
      <c r="I57" s="152">
        <v>240</v>
      </c>
      <c r="J57" s="153">
        <f t="shared" si="0"/>
        <v>4381.7956309868123</v>
      </c>
      <c r="K57" s="153">
        <f t="shared" si="1"/>
        <v>839.82662279235058</v>
      </c>
      <c r="L57" s="153">
        <f t="shared" si="2"/>
        <v>5221.6222537791627</v>
      </c>
      <c r="M57" s="150">
        <f t="shared" si="3"/>
        <v>2568294083895.21</v>
      </c>
      <c r="N57" s="151">
        <f t="shared" si="4"/>
        <v>2463148344117.0845</v>
      </c>
      <c r="X57" s="26"/>
      <c r="Y57" s="26"/>
    </row>
    <row r="58" spans="2:28" ht="30" customHeight="1" thickBot="1">
      <c r="B58" s="206" t="s">
        <v>78</v>
      </c>
      <c r="C58" s="207"/>
      <c r="D58" s="269"/>
      <c r="E58" s="235"/>
      <c r="F58" s="235"/>
      <c r="G58" s="270"/>
      <c r="H58" s="55"/>
      <c r="I58" s="152">
        <v>340</v>
      </c>
      <c r="J58" s="153">
        <f t="shared" si="0"/>
        <v>4736.9700682844241</v>
      </c>
      <c r="K58" s="153">
        <f t="shared" si="1"/>
        <v>1189.8265657835345</v>
      </c>
      <c r="L58" s="153">
        <f t="shared" si="2"/>
        <v>5926.7966340679586</v>
      </c>
      <c r="M58" s="150">
        <f t="shared" si="3"/>
        <v>2470274984360.0088</v>
      </c>
      <c r="N58" s="151">
        <f t="shared" si="4"/>
        <v>2463149678751.4004</v>
      </c>
      <c r="X58" s="26"/>
      <c r="Y58" s="26"/>
    </row>
    <row r="59" spans="2:28" ht="20.100000000000001" customHeight="1">
      <c r="B59" s="271" t="s">
        <v>51</v>
      </c>
      <c r="C59" s="272">
        <f>EXP(1346.24-0.126*(SQRT(C13))-64400/(C12+273.15)-196.4*LN((C12+273.15)))</f>
        <v>16727.768648970097</v>
      </c>
      <c r="D59" s="273"/>
      <c r="E59" s="274" t="s">
        <v>1</v>
      </c>
      <c r="F59" s="272">
        <f>C61+C62*C70/C34</f>
        <v>2.6854047583078605E-2</v>
      </c>
      <c r="G59" s="361" t="s">
        <v>4</v>
      </c>
      <c r="H59" s="75"/>
      <c r="I59" s="152">
        <v>440</v>
      </c>
      <c r="J59" s="153">
        <f t="shared" si="0"/>
        <v>5087.3207213430223</v>
      </c>
      <c r="K59" s="153">
        <f t="shared" si="1"/>
        <v>1539.8265637360139</v>
      </c>
      <c r="L59" s="153">
        <f t="shared" si="2"/>
        <v>6627.147285079036</v>
      </c>
      <c r="M59" s="150">
        <f t="shared" si="3"/>
        <v>2463632581509.9619</v>
      </c>
      <c r="N59" s="151">
        <f t="shared" si="4"/>
        <v>2463149726685.9365</v>
      </c>
      <c r="X59" s="26"/>
      <c r="Y59" s="26"/>
    </row>
    <row r="60" spans="2:28" ht="20.100000000000001" customHeight="1">
      <c r="B60" s="275" t="s">
        <v>52</v>
      </c>
      <c r="C60" s="211">
        <f>EXP(-2225.22-0.049*C13^0.5+89100/(C12+273.15)+336.6*LN((C12+273.15)))</f>
        <v>4.7467261517488225E-5</v>
      </c>
      <c r="D60" s="276"/>
      <c r="E60" s="277" t="s">
        <v>2</v>
      </c>
      <c r="F60" s="211">
        <f>C61*C34/C66+C62*C70/C66</f>
        <v>7.7659846700223276E-5</v>
      </c>
      <c r="G60" s="362"/>
      <c r="H60" s="46"/>
      <c r="I60" s="152">
        <v>540</v>
      </c>
      <c r="J60" s="153">
        <f t="shared" si="0"/>
        <v>5437.3444838432579</v>
      </c>
      <c r="K60" s="153">
        <f t="shared" si="1"/>
        <v>1889.8265636624756</v>
      </c>
      <c r="L60" s="153">
        <f t="shared" si="2"/>
        <v>7327.1710475057334</v>
      </c>
      <c r="M60" s="150">
        <f t="shared" si="3"/>
        <v>2463182449690.4336</v>
      </c>
      <c r="N60" s="151">
        <f t="shared" si="4"/>
        <v>2463149728407.5464</v>
      </c>
    </row>
    <row r="61" spans="2:28" ht="20.100000000000001" customHeight="1">
      <c r="B61" s="275" t="s">
        <v>53</v>
      </c>
      <c r="C61" s="211">
        <f>EXP(1246.98-61900/(C12+273.15)-183*LN((C12+273.15)))</f>
        <v>1.4182784859358458E-2</v>
      </c>
      <c r="D61" s="276"/>
      <c r="E61" s="278" t="s">
        <v>55</v>
      </c>
      <c r="F61" s="211">
        <f>C36/(C36+C37)</f>
        <v>0.80914678851755706</v>
      </c>
      <c r="G61" s="362"/>
      <c r="H61" s="46"/>
      <c r="I61" s="152">
        <v>640</v>
      </c>
      <c r="J61" s="153">
        <f t="shared" si="0"/>
        <v>5787.3460941426802</v>
      </c>
      <c r="K61" s="153">
        <f t="shared" si="1"/>
        <v>2239.8265636598344</v>
      </c>
      <c r="L61" s="153">
        <f>K61+J61</f>
        <v>8027.1726578025145</v>
      </c>
      <c r="M61" s="150">
        <f t="shared" si="3"/>
        <v>2463151945871.3301</v>
      </c>
      <c r="N61" s="151">
        <f t="shared" si="4"/>
        <v>2463149728469.3794</v>
      </c>
    </row>
    <row r="62" spans="2:28" ht="20.100000000000001" customHeight="1" thickBot="1">
      <c r="B62" s="275" t="s">
        <v>54</v>
      </c>
      <c r="C62" s="211">
        <f>(EXP(-930.13+0.11*(C13^0.5)+31000/(C12+273.15)+140.9*LN((C12+273.15))))/C70</f>
        <v>1769.2928002479703</v>
      </c>
      <c r="D62" s="276"/>
      <c r="E62" s="279"/>
      <c r="F62" s="280"/>
      <c r="G62" s="281"/>
      <c r="H62" s="46"/>
      <c r="I62" s="198"/>
      <c r="J62" s="58"/>
      <c r="K62" s="199"/>
      <c r="L62" s="58"/>
      <c r="M62" s="53" t="s">
        <v>68</v>
      </c>
      <c r="N62" s="200"/>
    </row>
    <row r="63" spans="2:28" ht="30" customHeight="1" thickBot="1">
      <c r="B63" s="351" t="s">
        <v>90</v>
      </c>
      <c r="C63" s="352"/>
      <c r="D63" s="282"/>
      <c r="E63" s="283"/>
      <c r="F63" s="283"/>
      <c r="G63" s="284"/>
      <c r="H63" s="41"/>
      <c r="U63" s="6"/>
    </row>
    <row r="64" spans="2:28" ht="30" customHeight="1">
      <c r="B64" s="254" t="s">
        <v>83</v>
      </c>
      <c r="C64" s="255"/>
      <c r="D64" s="285"/>
      <c r="E64" s="256"/>
      <c r="F64" s="255"/>
      <c r="G64" s="286"/>
      <c r="H64" s="60"/>
      <c r="Q64" s="2"/>
      <c r="U64" s="6"/>
    </row>
    <row r="65" spans="1:29" ht="20.100000000000001" customHeight="1" thickBot="1">
      <c r="B65" s="287" t="s">
        <v>56</v>
      </c>
      <c r="C65" s="288"/>
      <c r="D65" s="334" t="s">
        <v>91</v>
      </c>
      <c r="E65" s="289" t="s">
        <v>57</v>
      </c>
      <c r="F65" s="288"/>
      <c r="G65" s="290"/>
      <c r="H65" s="60"/>
      <c r="O65" s="41"/>
      <c r="P65" s="6"/>
      <c r="Q65" s="31"/>
      <c r="R65" s="6"/>
      <c r="S65" s="6"/>
      <c r="T65" s="6"/>
      <c r="U65" s="6"/>
    </row>
    <row r="66" spans="1:29" ht="20.100000000000001" customHeight="1">
      <c r="B66" s="291" t="s">
        <v>15</v>
      </c>
      <c r="C66" s="292">
        <f>EXP((2.83655-2307.1266/(C12+273.15)-1.5529413*LN((C12+273.15))-(0.20760841 + 4.0484/(C12+273.15))*SQRT(C13)+0.0846834*C13-0.00654208*C13^(3/2)+LN(1-0.001005*C13)))</f>
        <v>1.0934859952128123E-6</v>
      </c>
      <c r="D66" s="334"/>
      <c r="E66" s="293" t="s">
        <v>15</v>
      </c>
      <c r="F66" s="294">
        <f>10^-F67</f>
        <v>4.1501070608659872E-7</v>
      </c>
      <c r="G66" s="337" t="s">
        <v>5</v>
      </c>
      <c r="H66" s="61"/>
      <c r="I66" s="100" t="s">
        <v>88</v>
      </c>
      <c r="J66" s="101"/>
      <c r="K66" s="101"/>
      <c r="L66" s="101"/>
      <c r="M66" s="101"/>
      <c r="N66" s="99"/>
      <c r="P66" s="11"/>
      <c r="Q66" s="22"/>
      <c r="R66" s="32"/>
      <c r="U66" s="6"/>
    </row>
    <row r="67" spans="1:29" ht="20.100000000000001" customHeight="1">
      <c r="B67" s="291" t="s">
        <v>16</v>
      </c>
      <c r="C67" s="292">
        <f>-LOG(C66)</f>
        <v>5.9611867748035223</v>
      </c>
      <c r="D67" s="334"/>
      <c r="E67" s="293" t="s">
        <v>16</v>
      </c>
      <c r="F67" s="294">
        <f>3404.71/(C19+273.15)+0.032786*(C19+273.15)-14.8435</f>
        <v>6.3819406995906558</v>
      </c>
      <c r="G67" s="337"/>
      <c r="H67" s="61"/>
      <c r="I67" s="342" t="s">
        <v>14</v>
      </c>
      <c r="J67" s="343"/>
      <c r="K67" s="343"/>
      <c r="L67" s="343"/>
      <c r="M67" s="343"/>
      <c r="N67" s="344"/>
      <c r="P67" s="31"/>
      <c r="Q67" s="22"/>
      <c r="R67" s="32"/>
    </row>
    <row r="68" spans="1:29" ht="20.100000000000001" customHeight="1">
      <c r="B68" s="291" t="s">
        <v>17</v>
      </c>
      <c r="C68" s="292">
        <f>EXP(-9.226508-3351.6106/(C12+273.15)-0.2005743*LN((C12+273.15))-(0.106901773+23.9722/(C12+273.15))*SQRT(C13)+0.1130822*C13-0.00846934*C13^(3/2)+LN(1-0.001005*C13))</f>
        <v>7.4588548778405621E-10</v>
      </c>
      <c r="D68" s="334"/>
      <c r="E68" s="293" t="s">
        <v>17</v>
      </c>
      <c r="F68" s="240">
        <f>10^-F69</f>
        <v>4.2001248420134184E-11</v>
      </c>
      <c r="G68" s="337"/>
      <c r="H68" s="61"/>
      <c r="I68" s="342"/>
      <c r="J68" s="343"/>
      <c r="K68" s="343"/>
      <c r="L68" s="343"/>
      <c r="M68" s="343"/>
      <c r="N68" s="344"/>
      <c r="P68" s="31"/>
      <c r="Q68" s="6"/>
      <c r="T68" s="5"/>
    </row>
    <row r="69" spans="1:29" ht="20.100000000000001" customHeight="1">
      <c r="B69" s="291" t="s">
        <v>18</v>
      </c>
      <c r="C69" s="292">
        <f>-LOG(C68)</f>
        <v>9.1273278425552924</v>
      </c>
      <c r="D69" s="334"/>
      <c r="E69" s="293" t="s">
        <v>18</v>
      </c>
      <c r="F69" s="294">
        <f>2902.39/(C19+273.15)+0.02379*(C19+273.15)-6.498</f>
        <v>10.376737800699299</v>
      </c>
      <c r="G69" s="337"/>
      <c r="H69" s="62"/>
      <c r="I69" s="339" t="s">
        <v>118</v>
      </c>
      <c r="J69" s="340"/>
      <c r="K69" s="340"/>
      <c r="L69" s="340"/>
      <c r="M69" s="340"/>
      <c r="N69" s="341"/>
      <c r="P69" s="26"/>
      <c r="Q69" s="2"/>
      <c r="T69" s="5"/>
    </row>
    <row r="70" spans="1:29" ht="30" customHeight="1" thickBot="1">
      <c r="B70" s="295" t="s">
        <v>21</v>
      </c>
      <c r="C70" s="296">
        <f>EXP(148.96502-13847.26/(C12+273.15)-23.6521*LN((C12+273.15))+(118.67/(C12+273.15)-5.977+1.0495*LN((C12+273.15)))*(C13^0.5)-0.01615*C13)</f>
        <v>2.264749567269399E-14</v>
      </c>
      <c r="D70" s="335"/>
      <c r="E70" s="283"/>
      <c r="F70" s="297"/>
      <c r="G70" s="338"/>
      <c r="I70" s="339"/>
      <c r="J70" s="340"/>
      <c r="K70" s="340"/>
      <c r="L70" s="340"/>
      <c r="M70" s="340"/>
      <c r="N70" s="341"/>
      <c r="P70" s="3"/>
      <c r="Q70" s="2"/>
      <c r="T70" s="5"/>
    </row>
    <row r="71" spans="1:29" ht="30" customHeight="1">
      <c r="B71" s="298" t="s">
        <v>119</v>
      </c>
      <c r="C71" s="207"/>
      <c r="D71" s="207"/>
      <c r="E71" s="299"/>
      <c r="F71" s="299"/>
      <c r="G71" s="300"/>
      <c r="I71" s="325" t="s">
        <v>12</v>
      </c>
      <c r="J71" s="326"/>
      <c r="K71" s="326"/>
      <c r="L71" s="326"/>
      <c r="M71" s="326"/>
      <c r="N71" s="327"/>
      <c r="P71" s="3"/>
      <c r="Q71" s="2"/>
      <c r="T71" s="5"/>
    </row>
    <row r="72" spans="1:29" ht="28.5" customHeight="1">
      <c r="B72" s="301" t="s">
        <v>6</v>
      </c>
      <c r="C72" s="302"/>
      <c r="D72" s="225"/>
      <c r="E72" s="288" t="s">
        <v>84</v>
      </c>
      <c r="F72" s="225"/>
      <c r="G72" s="303"/>
      <c r="I72" s="325"/>
      <c r="J72" s="326"/>
      <c r="K72" s="326"/>
      <c r="L72" s="326"/>
      <c r="M72" s="326"/>
      <c r="N72" s="327"/>
      <c r="P72" s="3"/>
      <c r="Q72" s="2"/>
      <c r="T72" s="5"/>
    </row>
    <row r="73" spans="1:29" ht="20.100000000000001" customHeight="1">
      <c r="B73" s="304" t="s">
        <v>85</v>
      </c>
      <c r="C73" s="305">
        <f>(C20/1000)*F76*1000</f>
        <v>10</v>
      </c>
      <c r="D73" s="225"/>
      <c r="E73" s="306" t="s">
        <v>74</v>
      </c>
      <c r="F73" s="232">
        <f>F12*F79/10^6</f>
        <v>0.185</v>
      </c>
      <c r="G73" s="265"/>
      <c r="I73" s="345" t="s">
        <v>117</v>
      </c>
      <c r="J73" s="346"/>
      <c r="K73" s="346"/>
      <c r="L73" s="346"/>
      <c r="M73" s="346"/>
      <c r="N73" s="347"/>
      <c r="P73" s="3"/>
      <c r="Q73" s="14"/>
      <c r="T73" s="5"/>
    </row>
    <row r="74" spans="1:29" ht="20.100000000000001" customHeight="1">
      <c r="B74" s="304" t="s">
        <v>86</v>
      </c>
      <c r="C74" s="307">
        <f>C73*F79/1000</f>
        <v>370</v>
      </c>
      <c r="D74" s="308"/>
      <c r="E74" s="220" t="s">
        <v>120</v>
      </c>
      <c r="F74" s="232">
        <f>F11*F79/10^6</f>
        <v>1.8795999999999999</v>
      </c>
      <c r="G74" s="309"/>
      <c r="I74" s="345"/>
      <c r="J74" s="346"/>
      <c r="K74" s="346"/>
      <c r="L74" s="346"/>
      <c r="M74" s="346"/>
      <c r="N74" s="347"/>
      <c r="P74" s="3"/>
      <c r="Q74" s="2"/>
      <c r="T74" s="5"/>
    </row>
    <row r="75" spans="1:29" ht="20.100000000000001" customHeight="1">
      <c r="B75" s="304" t="s">
        <v>71</v>
      </c>
      <c r="C75" s="225">
        <f>(C73/F11)/1000000</f>
        <v>1.968503937007874E-7</v>
      </c>
      <c r="D75" s="310"/>
      <c r="E75" s="306" t="s">
        <v>69</v>
      </c>
      <c r="F75" s="232">
        <f>F12/F13</f>
        <v>1</v>
      </c>
      <c r="G75" s="311"/>
      <c r="I75" s="348" t="s">
        <v>19</v>
      </c>
      <c r="J75" s="349"/>
      <c r="K75" s="349"/>
      <c r="L75" s="349"/>
      <c r="M75" s="349"/>
      <c r="N75" s="350"/>
      <c r="P75" s="3"/>
      <c r="Q75" s="2"/>
      <c r="T75" s="5"/>
    </row>
    <row r="76" spans="1:29" s="15" customFormat="1" ht="20.100000000000001" customHeight="1">
      <c r="A76" s="41"/>
      <c r="B76" s="304" t="s">
        <v>72</v>
      </c>
      <c r="C76" s="225">
        <f>C75/(C21/10^6)</f>
        <v>9.8425196850393699E-4</v>
      </c>
      <c r="D76" s="312"/>
      <c r="E76" s="336" t="s">
        <v>87</v>
      </c>
      <c r="F76" s="213">
        <f>F75/100*F14</f>
        <v>1</v>
      </c>
      <c r="G76" s="313"/>
      <c r="H76" s="41"/>
      <c r="I76" s="348"/>
      <c r="J76" s="349"/>
      <c r="K76" s="349"/>
      <c r="L76" s="349"/>
      <c r="M76" s="349"/>
      <c r="N76" s="350"/>
      <c r="O76" s="41"/>
      <c r="P76" s="27"/>
      <c r="T76" s="36"/>
    </row>
    <row r="77" spans="1:29" s="15" customFormat="1" ht="30" customHeight="1">
      <c r="A77" s="41"/>
      <c r="B77" s="314"/>
      <c r="C77" s="259"/>
      <c r="D77" s="225"/>
      <c r="E77" s="336"/>
      <c r="F77" s="225"/>
      <c r="G77" s="265"/>
      <c r="H77" s="41"/>
      <c r="I77" s="325" t="s">
        <v>13</v>
      </c>
      <c r="J77" s="326"/>
      <c r="K77" s="326"/>
      <c r="L77" s="326"/>
      <c r="M77" s="326"/>
      <c r="N77" s="327"/>
      <c r="O77" s="41"/>
      <c r="P77" s="27"/>
      <c r="T77" s="36"/>
    </row>
    <row r="78" spans="1:29" s="15" customFormat="1" ht="20.100000000000001" customHeight="1">
      <c r="A78" s="41"/>
      <c r="B78" s="314"/>
      <c r="C78" s="259"/>
      <c r="D78" s="293"/>
      <c r="E78" s="288" t="s">
        <v>7</v>
      </c>
      <c r="F78" s="232"/>
      <c r="G78" s="309"/>
      <c r="H78" s="70"/>
      <c r="I78" s="325"/>
      <c r="J78" s="326"/>
      <c r="K78" s="326"/>
      <c r="L78" s="326"/>
      <c r="M78" s="326"/>
      <c r="N78" s="327"/>
      <c r="O78" s="41"/>
      <c r="P78" s="27"/>
      <c r="R78" s="20"/>
      <c r="T78" s="36"/>
      <c r="Y78" s="20"/>
      <c r="Z78" s="20"/>
      <c r="AA78" s="20"/>
      <c r="AB78" s="20"/>
      <c r="AC78" s="20"/>
    </row>
    <row r="79" spans="1:29" s="15" customFormat="1" ht="20.100000000000001" customHeight="1">
      <c r="A79" s="41"/>
      <c r="B79" s="314"/>
      <c r="C79" s="259"/>
      <c r="D79" s="294"/>
      <c r="E79" s="220" t="s">
        <v>73</v>
      </c>
      <c r="F79" s="225">
        <v>37000</v>
      </c>
      <c r="G79" s="315"/>
      <c r="H79" s="71"/>
      <c r="I79" s="328" t="s">
        <v>20</v>
      </c>
      <c r="J79" s="329"/>
      <c r="K79" s="329"/>
      <c r="L79" s="329"/>
      <c r="M79" s="329"/>
      <c r="N79" s="330"/>
      <c r="O79" s="41"/>
      <c r="P79" s="27"/>
      <c r="R79" s="20"/>
      <c r="T79" s="36"/>
      <c r="Y79" s="20"/>
      <c r="Z79" s="20"/>
      <c r="AA79" s="20"/>
      <c r="AB79" s="20"/>
      <c r="AC79" s="20"/>
    </row>
    <row r="80" spans="1:29" ht="20.100000000000001" customHeight="1" thickBot="1">
      <c r="B80" s="316"/>
      <c r="C80" s="317"/>
      <c r="D80" s="317"/>
      <c r="E80" s="318" t="s">
        <v>70</v>
      </c>
      <c r="F80" s="283">
        <f>37000*60</f>
        <v>2220000</v>
      </c>
      <c r="G80" s="319"/>
      <c r="H80" s="41"/>
      <c r="I80" s="331"/>
      <c r="J80" s="332"/>
      <c r="K80" s="332"/>
      <c r="L80" s="332"/>
      <c r="M80" s="332"/>
      <c r="N80" s="333"/>
      <c r="P80" s="3"/>
      <c r="Q80" s="15"/>
      <c r="R80" s="20"/>
      <c r="T80" s="5"/>
      <c r="Y80" s="14"/>
      <c r="Z80" s="14"/>
      <c r="AA80" s="14"/>
      <c r="AB80" s="14"/>
      <c r="AC80" s="14"/>
    </row>
    <row r="81" spans="3:29" ht="20.100000000000001" customHeight="1">
      <c r="H81" s="66"/>
      <c r="K81" s="69"/>
      <c r="P81" s="3"/>
      <c r="Q81" s="33"/>
      <c r="R81" s="27"/>
      <c r="S81" s="20"/>
      <c r="T81" s="20"/>
      <c r="U81" s="14"/>
      <c r="V81" s="14"/>
      <c r="W81" s="14"/>
      <c r="X81" s="14"/>
      <c r="Y81" s="14"/>
      <c r="Z81" s="14"/>
      <c r="AA81" s="14"/>
      <c r="AB81" s="14"/>
      <c r="AC81" s="14"/>
    </row>
    <row r="82" spans="3:29" ht="20.100000000000001" customHeight="1">
      <c r="H82" s="64"/>
      <c r="K82" s="72"/>
      <c r="Q82" s="27"/>
      <c r="R82" s="20"/>
      <c r="S82" s="20"/>
      <c r="T82" s="20"/>
      <c r="U82" s="14"/>
      <c r="V82" s="14"/>
      <c r="W82" s="14"/>
      <c r="X82" s="14"/>
      <c r="Y82" s="14"/>
      <c r="Z82" s="14"/>
      <c r="AA82" s="14"/>
      <c r="AB82" s="14"/>
      <c r="AC82" s="14"/>
    </row>
    <row r="83" spans="3:29" ht="20.100000000000001" customHeight="1">
      <c r="H83" s="65"/>
      <c r="I83" s="154"/>
      <c r="J83" s="72"/>
      <c r="K83" s="72"/>
      <c r="Q83" s="34"/>
      <c r="R83" s="20"/>
      <c r="S83" s="35"/>
      <c r="T83" s="20"/>
      <c r="U83" s="14"/>
      <c r="V83" s="14"/>
      <c r="W83" s="14"/>
      <c r="X83" s="14"/>
      <c r="Y83" s="14"/>
      <c r="Z83" s="14"/>
      <c r="AA83" s="14"/>
      <c r="AB83" s="14"/>
      <c r="AC83" s="14"/>
    </row>
    <row r="84" spans="3:29" ht="20.100000000000001" customHeight="1">
      <c r="H84" s="41"/>
      <c r="I84" s="154"/>
      <c r="J84" s="72"/>
      <c r="K84" s="72"/>
      <c r="L84" s="72"/>
      <c r="P84" s="3"/>
      <c r="Q84" s="27"/>
      <c r="R84" s="20"/>
      <c r="S84" s="35"/>
      <c r="T84" s="20"/>
      <c r="U84" s="14"/>
      <c r="V84" s="14"/>
      <c r="W84" s="14"/>
      <c r="X84" s="14"/>
      <c r="Y84" s="14"/>
      <c r="Z84" s="14"/>
      <c r="AA84" s="14"/>
      <c r="AB84" s="14"/>
      <c r="AC84" s="14"/>
    </row>
    <row r="85" spans="3:29" ht="20.100000000000001" customHeight="1">
      <c r="H85" s="66"/>
      <c r="I85" s="41"/>
      <c r="J85" s="72"/>
      <c r="K85" s="155"/>
      <c r="L85" s="72"/>
      <c r="P85" s="3"/>
      <c r="Q85" s="27"/>
      <c r="R85" s="20"/>
      <c r="S85" s="20"/>
      <c r="T85" s="20"/>
      <c r="U85" s="14"/>
      <c r="V85" s="14"/>
      <c r="W85" s="14"/>
      <c r="X85" s="14"/>
      <c r="Y85" s="14"/>
      <c r="Z85" s="14"/>
      <c r="AA85" s="14"/>
      <c r="AB85" s="14"/>
      <c r="AC85" s="14"/>
    </row>
    <row r="86" spans="3:29" ht="20.100000000000001" customHeight="1">
      <c r="H86" s="67"/>
      <c r="I86" s="41"/>
      <c r="J86" s="72"/>
      <c r="K86" s="72"/>
      <c r="L86" s="41"/>
      <c r="P86" s="3"/>
      <c r="Q86" s="27"/>
      <c r="R86" s="20"/>
      <c r="S86" s="20"/>
      <c r="T86" s="20"/>
      <c r="U86" s="14"/>
      <c r="V86" s="14"/>
      <c r="W86" s="14"/>
      <c r="X86" s="14"/>
      <c r="Y86" s="14"/>
      <c r="Z86" s="14"/>
      <c r="AA86" s="14"/>
      <c r="AB86" s="14"/>
      <c r="AC86" s="14"/>
    </row>
    <row r="87" spans="3:29" ht="20.100000000000001" customHeight="1">
      <c r="H87" s="68"/>
      <c r="I87" s="41"/>
      <c r="J87" s="72"/>
      <c r="K87" s="72"/>
      <c r="L87" s="41"/>
      <c r="P87" s="3"/>
      <c r="Q87" s="27"/>
      <c r="R87" s="20"/>
      <c r="S87" s="20"/>
      <c r="T87" s="20"/>
      <c r="U87" s="14"/>
      <c r="V87" s="14"/>
      <c r="W87" s="14"/>
      <c r="X87" s="14"/>
      <c r="Y87" s="14"/>
      <c r="Z87" s="14"/>
      <c r="AA87" s="14"/>
      <c r="AB87" s="14"/>
      <c r="AC87" s="14"/>
    </row>
    <row r="88" spans="3:29" ht="20.100000000000001" customHeight="1">
      <c r="C88" s="78"/>
      <c r="D88" s="78"/>
      <c r="E88" s="79"/>
      <c r="F88" s="79"/>
      <c r="G88" s="79"/>
      <c r="H88" s="46"/>
      <c r="I88" s="41"/>
      <c r="J88" s="72"/>
      <c r="K88" s="72"/>
      <c r="L88" s="72"/>
      <c r="P88" s="3"/>
      <c r="Q88" s="20"/>
      <c r="R88" s="20"/>
      <c r="S88" s="20"/>
      <c r="T88" s="20"/>
      <c r="U88" s="14"/>
      <c r="V88" s="14"/>
      <c r="W88" s="14"/>
      <c r="X88" s="14"/>
      <c r="Y88" s="14"/>
      <c r="Z88" s="14"/>
      <c r="AA88" s="14"/>
      <c r="AB88" s="14"/>
      <c r="AC88" s="14"/>
    </row>
    <row r="89" spans="3:29" ht="20.100000000000001" customHeight="1">
      <c r="C89" s="78"/>
      <c r="D89" s="78"/>
      <c r="E89" s="79"/>
      <c r="F89" s="79"/>
      <c r="G89" s="79"/>
      <c r="H89" s="46"/>
      <c r="I89" s="41"/>
      <c r="J89" s="72"/>
      <c r="K89" s="72"/>
      <c r="L89" s="72"/>
      <c r="P89" s="3"/>
      <c r="Q89" s="27"/>
      <c r="R89" s="27"/>
      <c r="S89" s="27"/>
      <c r="T89" s="20"/>
      <c r="U89" s="14"/>
      <c r="V89" s="14"/>
      <c r="W89" s="14"/>
      <c r="X89" s="14"/>
      <c r="Y89" s="14"/>
      <c r="Z89" s="14"/>
      <c r="AA89" s="14"/>
      <c r="AB89" s="14"/>
      <c r="AC89" s="14"/>
    </row>
    <row r="90" spans="3:29" ht="20.100000000000001" customHeight="1">
      <c r="C90" s="78"/>
      <c r="D90" s="78"/>
      <c r="E90" s="78"/>
      <c r="F90" s="83"/>
      <c r="G90" s="83"/>
      <c r="H90" s="72"/>
      <c r="I90" s="41"/>
      <c r="J90" s="72"/>
      <c r="K90" s="156"/>
      <c r="L90" s="72"/>
      <c r="M90" s="92"/>
      <c r="N90" s="72"/>
      <c r="O90" s="72"/>
      <c r="P90" s="27"/>
      <c r="Q90" s="20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</row>
    <row r="91" spans="3:29" ht="20.100000000000001" customHeight="1">
      <c r="C91" s="78"/>
      <c r="D91" s="78"/>
      <c r="E91" s="78"/>
      <c r="F91" s="157"/>
      <c r="G91" s="157"/>
      <c r="H91" s="111"/>
      <c r="I91" s="41"/>
      <c r="J91" s="72"/>
      <c r="K91" s="72"/>
      <c r="L91" s="72"/>
      <c r="M91" s="155"/>
      <c r="N91" s="155"/>
      <c r="O91" s="155"/>
      <c r="P91" s="20"/>
      <c r="Q91" s="20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</row>
    <row r="92" spans="3:29" ht="20.100000000000001" customHeight="1">
      <c r="C92" s="78"/>
      <c r="D92" s="78"/>
      <c r="E92" s="88"/>
      <c r="F92" s="158"/>
      <c r="G92" s="158"/>
      <c r="H92" s="112"/>
      <c r="I92" s="41"/>
      <c r="J92" s="72"/>
      <c r="K92" s="72"/>
      <c r="L92" s="72"/>
      <c r="M92" s="155"/>
      <c r="N92" s="155"/>
      <c r="O92" s="155"/>
      <c r="P92" s="20"/>
      <c r="Q92" s="20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3:29" ht="20.100000000000001" customHeight="1">
      <c r="C93" s="78"/>
      <c r="D93" s="78"/>
      <c r="E93" s="78"/>
      <c r="F93" s="157"/>
      <c r="G93" s="157"/>
      <c r="H93" s="111"/>
      <c r="I93" s="41"/>
      <c r="J93" s="72"/>
      <c r="K93" s="72"/>
      <c r="L93" s="41"/>
      <c r="M93" s="155"/>
      <c r="N93" s="155"/>
      <c r="O93" s="155"/>
      <c r="P93" s="20"/>
      <c r="Q93" s="20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</row>
    <row r="94" spans="3:29" ht="20.100000000000001" customHeight="1">
      <c r="L94" s="41"/>
      <c r="M94" s="159"/>
      <c r="N94" s="155"/>
      <c r="O94" s="155"/>
      <c r="P94" s="20"/>
      <c r="Q94" s="20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spans="3:29" ht="20.100000000000001" customHeight="1">
      <c r="C95" s="78"/>
      <c r="D95" s="78"/>
      <c r="E95" s="78"/>
      <c r="F95" s="78"/>
      <c r="G95" s="78"/>
      <c r="H95" s="41"/>
      <c r="I95" s="41"/>
      <c r="J95" s="72"/>
      <c r="K95" s="72"/>
      <c r="L95" s="72"/>
      <c r="M95" s="159"/>
      <c r="N95" s="155"/>
      <c r="O95" s="155"/>
      <c r="P95" s="20"/>
      <c r="Q95" s="20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</row>
    <row r="96" spans="3:29" ht="20.100000000000001" customHeight="1">
      <c r="C96" s="78"/>
      <c r="D96" s="78"/>
      <c r="E96" s="78"/>
      <c r="F96" s="78"/>
      <c r="G96" s="78"/>
      <c r="H96" s="41"/>
      <c r="I96" s="41"/>
      <c r="J96" s="72"/>
      <c r="K96" s="72"/>
      <c r="L96" s="72"/>
      <c r="M96" s="159"/>
      <c r="N96" s="155"/>
      <c r="O96" s="155"/>
      <c r="P96" s="20"/>
      <c r="Q96" s="20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</row>
    <row r="97" spans="2:29" ht="20.100000000000001" customHeight="1">
      <c r="C97" s="78"/>
      <c r="D97" s="78"/>
      <c r="E97" s="88"/>
      <c r="F97" s="78"/>
      <c r="G97" s="78"/>
      <c r="H97" s="41"/>
      <c r="I97" s="41"/>
      <c r="J97" s="72"/>
      <c r="K97" s="72"/>
      <c r="L97" s="72"/>
      <c r="M97" s="72"/>
      <c r="N97" s="72"/>
      <c r="O97" s="160"/>
      <c r="P97" s="27"/>
      <c r="Q97" s="20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</row>
    <row r="98" spans="2:29" ht="20.100000000000001" customHeight="1">
      <c r="C98" s="78"/>
      <c r="D98" s="78"/>
      <c r="E98" s="78"/>
      <c r="F98" s="161"/>
      <c r="G98" s="161"/>
      <c r="H98" s="113"/>
      <c r="I98" s="41"/>
      <c r="J98" s="72"/>
      <c r="K98" s="72"/>
      <c r="L98" s="72"/>
      <c r="M98" s="72"/>
      <c r="N98" s="48"/>
      <c r="O98" s="48"/>
      <c r="P98" s="30"/>
      <c r="Q98" s="20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</row>
    <row r="99" spans="2:29" ht="20.100000000000001" customHeight="1">
      <c r="C99" s="78"/>
      <c r="D99" s="78"/>
      <c r="E99" s="88"/>
      <c r="F99" s="88"/>
      <c r="G99" s="88"/>
      <c r="H99" s="114"/>
      <c r="I99" s="41"/>
      <c r="J99" s="72"/>
      <c r="K99" s="72"/>
      <c r="L99" s="72"/>
      <c r="M99" s="72"/>
      <c r="N99" s="72"/>
      <c r="O99" s="72"/>
      <c r="P99" s="27"/>
      <c r="Q99" s="20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</row>
    <row r="100" spans="2:29" ht="20.100000000000001" customHeight="1">
      <c r="C100" s="78"/>
      <c r="D100" s="78"/>
      <c r="E100" s="78"/>
      <c r="F100" s="78"/>
      <c r="G100" s="78"/>
      <c r="H100" s="41"/>
      <c r="I100" s="41"/>
      <c r="J100" s="72"/>
      <c r="K100" s="72"/>
      <c r="L100" s="162"/>
      <c r="M100" s="155"/>
      <c r="N100" s="72"/>
      <c r="O100" s="72"/>
      <c r="P100" s="27"/>
      <c r="Q100" s="36"/>
    </row>
    <row r="101" spans="2:29" ht="20.100000000000001" customHeight="1">
      <c r="B101" s="78"/>
      <c r="C101" s="78"/>
      <c r="D101" s="78"/>
      <c r="E101" s="88"/>
      <c r="F101" s="88"/>
      <c r="G101" s="88"/>
      <c r="H101" s="114"/>
      <c r="I101" s="41"/>
      <c r="J101" s="72"/>
      <c r="K101" s="72"/>
      <c r="L101" s="163"/>
      <c r="M101" s="155"/>
      <c r="N101" s="72"/>
      <c r="O101" s="72"/>
      <c r="P101" s="27"/>
      <c r="Q101" s="36"/>
    </row>
    <row r="102" spans="2:29" ht="20.100000000000001" customHeight="1">
      <c r="B102" s="78"/>
      <c r="C102" s="78"/>
      <c r="D102" s="78"/>
      <c r="E102" s="78"/>
      <c r="F102" s="78"/>
      <c r="G102" s="78"/>
      <c r="H102" s="41"/>
      <c r="I102" s="41"/>
      <c r="J102" s="72"/>
      <c r="K102" s="72"/>
      <c r="L102" s="72"/>
      <c r="M102" s="72"/>
      <c r="N102" s="41"/>
      <c r="O102" s="41"/>
      <c r="P102" s="15"/>
      <c r="Q102" s="36"/>
    </row>
    <row r="103" spans="2:29" ht="20.100000000000001" customHeight="1">
      <c r="B103" s="78"/>
      <c r="C103" s="78"/>
      <c r="D103" s="78"/>
      <c r="E103" s="78"/>
      <c r="F103" s="78"/>
      <c r="G103" s="78"/>
      <c r="H103" s="41"/>
      <c r="I103" s="41"/>
      <c r="J103" s="72"/>
      <c r="K103" s="72"/>
      <c r="L103" s="72"/>
      <c r="M103" s="72"/>
      <c r="N103" s="41"/>
      <c r="O103" s="41"/>
      <c r="P103" s="15"/>
      <c r="Q103" s="36"/>
    </row>
    <row r="104" spans="2:29" ht="20.100000000000001" customHeight="1">
      <c r="B104" s="78"/>
      <c r="C104" s="78"/>
      <c r="D104" s="78"/>
      <c r="E104" s="88"/>
      <c r="F104" s="164"/>
      <c r="G104" s="164"/>
      <c r="H104" s="115"/>
      <c r="I104" s="41"/>
      <c r="J104" s="72"/>
      <c r="K104" s="72"/>
      <c r="L104" s="72"/>
      <c r="M104" s="72"/>
      <c r="N104" s="41"/>
      <c r="O104" s="41"/>
      <c r="P104" s="15"/>
      <c r="Q104" s="36"/>
    </row>
    <row r="105" spans="2:29" ht="20.100000000000001" customHeight="1">
      <c r="B105" s="78"/>
      <c r="C105" s="78"/>
      <c r="D105" s="78"/>
      <c r="E105" s="78"/>
      <c r="F105" s="78"/>
      <c r="G105" s="78"/>
      <c r="H105" s="41"/>
      <c r="I105" s="41"/>
      <c r="J105" s="72"/>
      <c r="K105" s="72"/>
      <c r="L105" s="72"/>
      <c r="M105" s="72"/>
      <c r="N105" s="41"/>
      <c r="O105" s="41"/>
      <c r="P105" s="15"/>
      <c r="Q105" s="36"/>
    </row>
    <row r="106" spans="2:29" ht="20.100000000000001" customHeight="1">
      <c r="B106" s="78"/>
      <c r="C106" s="78"/>
      <c r="D106" s="78"/>
      <c r="E106" s="78"/>
      <c r="F106" s="165"/>
      <c r="G106" s="165"/>
      <c r="H106" s="116"/>
      <c r="I106" s="41"/>
      <c r="J106" s="72"/>
      <c r="K106" s="72"/>
      <c r="L106" s="72"/>
      <c r="M106" s="72"/>
      <c r="N106" s="41"/>
      <c r="O106" s="41"/>
      <c r="P106" s="15"/>
      <c r="Q106" s="36"/>
    </row>
    <row r="107" spans="2:29" ht="20.100000000000001" customHeight="1">
      <c r="B107" s="78"/>
      <c r="C107" s="78"/>
      <c r="D107" s="78"/>
      <c r="E107" s="78"/>
      <c r="F107" s="78"/>
      <c r="G107" s="78"/>
      <c r="H107" s="41"/>
      <c r="I107" s="41"/>
      <c r="J107" s="72"/>
      <c r="K107" s="72"/>
      <c r="M107" s="72"/>
      <c r="N107" s="41"/>
      <c r="O107" s="41"/>
      <c r="P107" s="15"/>
      <c r="Q107" s="36"/>
    </row>
    <row r="108" spans="2:29" ht="20.100000000000001" customHeight="1">
      <c r="B108" s="78"/>
      <c r="C108" s="78"/>
      <c r="D108" s="78"/>
      <c r="E108" s="78"/>
      <c r="F108" s="158"/>
      <c r="G108" s="158"/>
      <c r="H108" s="112"/>
      <c r="I108" s="41"/>
      <c r="J108" s="72"/>
      <c r="K108" s="72"/>
      <c r="L108" s="72"/>
      <c r="M108" s="72"/>
      <c r="N108" s="41"/>
      <c r="O108" s="41"/>
      <c r="P108" s="15"/>
      <c r="Q108" s="36"/>
    </row>
    <row r="109" spans="2:29" ht="20.100000000000001" customHeight="1">
      <c r="B109" s="78"/>
      <c r="C109" s="78"/>
      <c r="D109" s="78"/>
      <c r="E109" s="79"/>
      <c r="F109" s="79"/>
      <c r="G109" s="79"/>
      <c r="H109" s="46"/>
      <c r="I109" s="41"/>
      <c r="J109" s="72"/>
      <c r="K109" s="72"/>
      <c r="L109" s="72"/>
    </row>
    <row r="110" spans="2:29" ht="20.100000000000001" customHeight="1">
      <c r="B110" s="78"/>
      <c r="C110" s="78"/>
      <c r="D110" s="78"/>
      <c r="E110" s="166"/>
      <c r="F110" s="166"/>
      <c r="G110" s="166"/>
      <c r="H110" s="117"/>
      <c r="I110" s="117"/>
      <c r="J110" s="117"/>
      <c r="L110" s="72"/>
    </row>
    <row r="111" spans="2:29" ht="20.100000000000001" customHeight="1">
      <c r="B111" s="78"/>
      <c r="C111" s="78"/>
      <c r="D111" s="78"/>
      <c r="E111" s="81"/>
      <c r="F111" s="167"/>
      <c r="G111" s="167"/>
      <c r="H111" s="118"/>
      <c r="I111" s="64"/>
      <c r="J111" s="118"/>
      <c r="L111" s="72"/>
    </row>
    <row r="112" spans="2:29" ht="20.100000000000001" customHeight="1">
      <c r="B112" s="78"/>
      <c r="C112" s="78"/>
      <c r="D112" s="78"/>
      <c r="E112" s="81"/>
      <c r="F112" s="168"/>
      <c r="G112" s="168"/>
      <c r="H112" s="119"/>
      <c r="I112" s="64"/>
      <c r="J112" s="119"/>
      <c r="L112" s="72"/>
    </row>
    <row r="113" spans="2:12" ht="20.100000000000001" customHeight="1">
      <c r="B113" s="78"/>
      <c r="C113" s="78"/>
      <c r="D113" s="78"/>
      <c r="E113" s="79"/>
      <c r="F113" s="79"/>
      <c r="G113" s="79"/>
      <c r="H113" s="46"/>
      <c r="I113" s="41"/>
      <c r="J113" s="72"/>
      <c r="L113" s="72"/>
    </row>
    <row r="114" spans="2:12" ht="20.100000000000001" customHeight="1">
      <c r="B114" s="78"/>
      <c r="C114" s="78"/>
      <c r="D114" s="78"/>
      <c r="E114" s="79"/>
      <c r="F114" s="79"/>
      <c r="G114" s="79"/>
      <c r="H114" s="46"/>
      <c r="I114" s="41"/>
      <c r="J114" s="72"/>
      <c r="L114" s="72"/>
    </row>
    <row r="115" spans="2:12" ht="20.100000000000001" customHeight="1">
      <c r="B115" s="78"/>
      <c r="C115" s="78"/>
      <c r="D115" s="78"/>
      <c r="E115" s="79"/>
      <c r="F115" s="79"/>
      <c r="G115" s="79"/>
      <c r="H115" s="46"/>
      <c r="I115" s="41"/>
      <c r="J115" s="72"/>
      <c r="L115" s="72"/>
    </row>
    <row r="116" spans="2:12" ht="20.100000000000001" customHeight="1">
      <c r="B116" s="78"/>
      <c r="C116" s="78"/>
      <c r="D116" s="78"/>
      <c r="E116" s="79"/>
      <c r="F116" s="79"/>
      <c r="G116" s="79"/>
      <c r="H116" s="46"/>
      <c r="I116" s="41"/>
      <c r="J116" s="72"/>
      <c r="L116" s="72"/>
    </row>
    <row r="117" spans="2:12" ht="20.100000000000001" customHeight="1">
      <c r="B117" s="78"/>
      <c r="C117" s="78"/>
      <c r="D117" s="78"/>
      <c r="E117" s="79"/>
      <c r="F117" s="79"/>
      <c r="G117" s="79"/>
      <c r="H117" s="46"/>
      <c r="I117" s="41"/>
      <c r="J117" s="72"/>
      <c r="L117" s="72"/>
    </row>
    <row r="118" spans="2:12" ht="20.100000000000001" customHeight="1">
      <c r="B118" s="78"/>
      <c r="C118" s="78"/>
      <c r="D118" s="78"/>
      <c r="E118" s="79"/>
      <c r="F118" s="79"/>
      <c r="G118" s="79"/>
      <c r="H118" s="46"/>
      <c r="I118" s="41"/>
      <c r="J118" s="72"/>
      <c r="L118" s="72"/>
    </row>
    <row r="119" spans="2:12" ht="20.100000000000001" customHeight="1">
      <c r="B119" s="78"/>
      <c r="C119" s="78"/>
      <c r="D119" s="78"/>
      <c r="E119" s="79"/>
      <c r="F119" s="79"/>
      <c r="G119" s="79"/>
      <c r="H119" s="46"/>
      <c r="I119" s="41"/>
      <c r="J119" s="72"/>
      <c r="L119" s="72"/>
    </row>
    <row r="120" spans="2:12" ht="20.100000000000001" customHeight="1">
      <c r="B120" s="78"/>
      <c r="C120" s="78"/>
      <c r="D120" s="78"/>
      <c r="E120" s="79"/>
      <c r="F120" s="79"/>
      <c r="G120" s="79"/>
      <c r="H120" s="46"/>
      <c r="I120" s="41"/>
      <c r="J120" s="72"/>
      <c r="L120" s="72"/>
    </row>
    <row r="121" spans="2:12" ht="20.100000000000001" customHeight="1">
      <c r="B121" s="78"/>
      <c r="C121" s="78"/>
      <c r="D121" s="78"/>
      <c r="E121" s="79"/>
      <c r="F121" s="79"/>
      <c r="G121" s="79"/>
      <c r="H121" s="46"/>
      <c r="I121" s="41"/>
      <c r="J121" s="72"/>
      <c r="L121" s="72"/>
    </row>
    <row r="122" spans="2:12" ht="20.100000000000001" customHeight="1">
      <c r="B122" s="78"/>
      <c r="C122" s="78"/>
      <c r="D122" s="78"/>
      <c r="E122" s="79"/>
      <c r="F122" s="79"/>
      <c r="G122" s="79"/>
      <c r="H122" s="46"/>
      <c r="I122" s="41"/>
      <c r="J122" s="72"/>
      <c r="L122" s="72"/>
    </row>
    <row r="123" spans="2:12" ht="20.100000000000001" customHeight="1">
      <c r="B123" s="78"/>
      <c r="C123" s="78"/>
      <c r="D123" s="78"/>
      <c r="E123" s="79"/>
      <c r="F123" s="79"/>
      <c r="G123" s="79"/>
      <c r="H123" s="46"/>
      <c r="I123" s="41"/>
      <c r="J123" s="72"/>
    </row>
    <row r="124" spans="2:12" ht="20.100000000000001" customHeight="1">
      <c r="B124" s="78"/>
      <c r="C124" s="78"/>
      <c r="D124" s="78"/>
      <c r="E124" s="79"/>
      <c r="F124" s="79"/>
      <c r="G124" s="79"/>
      <c r="H124" s="46"/>
      <c r="I124" s="41"/>
      <c r="J124" s="72"/>
    </row>
    <row r="125" spans="2:12" ht="20.100000000000001" customHeight="1">
      <c r="B125" s="166"/>
    </row>
    <row r="126" spans="2:12" ht="20.100000000000001" customHeight="1">
      <c r="B126" s="166"/>
    </row>
    <row r="127" spans="2:12" ht="20.100000000000001" customHeight="1">
      <c r="B127" s="166"/>
    </row>
    <row r="128" spans="2:12" ht="20.100000000000001" customHeight="1">
      <c r="B128" s="78"/>
    </row>
    <row r="129" spans="2:2" ht="20.100000000000001" customHeight="1">
      <c r="B129" s="78"/>
    </row>
    <row r="130" spans="2:2" ht="20.100000000000001" customHeight="1">
      <c r="B130" s="78"/>
    </row>
    <row r="131" spans="2:2" ht="20.100000000000001" customHeight="1">
      <c r="B131" s="78"/>
    </row>
    <row r="132" spans="2:2" ht="20.100000000000001" customHeight="1">
      <c r="B132" s="78"/>
    </row>
    <row r="133" spans="2:2" ht="20.100000000000001" customHeight="1">
      <c r="B133" s="78"/>
    </row>
    <row r="134" spans="2:2" ht="20.100000000000001" customHeight="1">
      <c r="B134" s="78"/>
    </row>
    <row r="135" spans="2:2" ht="20.100000000000001" customHeight="1">
      <c r="B135" s="78"/>
    </row>
    <row r="136" spans="2:2" ht="20.100000000000001" customHeight="1">
      <c r="B136" s="78"/>
    </row>
  </sheetData>
  <sheetProtection selectLockedCells="1" selectUnlockedCells="1"/>
  <customSheetViews>
    <customSheetView guid="{450BA114-F55A-4005-81D2-705DE5125121}" scale="115" showPageBreaks="1">
      <colBreaks count="1" manualBreakCount="1">
        <brk id="8" max="1048575" man="1"/>
      </colBreaks>
      <pageMargins left="0.78749999999999998" right="0.78749999999999998" top="0.98402777777777772" bottom="0.98402777777777772" header="0.5" footer="0.5"/>
      <printOptions gridLines="1"/>
      <pageSetup scale="47" firstPageNumber="0" orientation="portrait" horizontalDpi="300" verticalDpi="300" r:id="rId1"/>
      <headerFooter alignWithMargins="0">
        <oddHeader>&amp;C&amp;F</oddHeader>
        <oddFooter>&amp;CPage &amp;P</oddFooter>
      </headerFooter>
    </customSheetView>
  </customSheetViews>
  <mergeCells count="23">
    <mergeCell ref="B63:C63"/>
    <mergeCell ref="D43:D51"/>
    <mergeCell ref="B21:B22"/>
    <mergeCell ref="B3:I3"/>
    <mergeCell ref="B4:I4"/>
    <mergeCell ref="B5:I5"/>
    <mergeCell ref="B6:I6"/>
    <mergeCell ref="B7:I7"/>
    <mergeCell ref="G59:G61"/>
    <mergeCell ref="D26:D29"/>
    <mergeCell ref="D35:D40"/>
    <mergeCell ref="E45:E46"/>
    <mergeCell ref="E49:E50"/>
    <mergeCell ref="I77:N78"/>
    <mergeCell ref="I79:N80"/>
    <mergeCell ref="D65:D70"/>
    <mergeCell ref="E76:E77"/>
    <mergeCell ref="G66:G70"/>
    <mergeCell ref="I69:N70"/>
    <mergeCell ref="I71:N72"/>
    <mergeCell ref="I67:N68"/>
    <mergeCell ref="I73:N74"/>
    <mergeCell ref="I75:N76"/>
  </mergeCells>
  <printOptions gridLines="1"/>
  <pageMargins left="0.78749999999999998" right="0.78749999999999998" top="0.98402777777777772" bottom="0.98402777777777772" header="0.5" footer="0.5"/>
  <pageSetup scale="44" firstPageNumber="0" orientation="portrait" horizontalDpi="300" verticalDpi="300" r:id="rId2"/>
  <headerFooter alignWithMargins="0">
    <oddHeader>&amp;C&amp;F</oddHeader>
    <oddFooter>&amp;CPage &amp;P</oddFooter>
  </headerFooter>
  <colBreaks count="1" manualBreakCount="1">
    <brk id="12" max="1048575" man="1"/>
  </colBreaks>
  <ignoredErrors>
    <ignoredError sqref="C68 F67" formula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Spinner 15">
              <controlPr defaultSize="0" autoFill="0" autoLine="0" autoPict="0">
                <anchor moveWithCells="1" sizeWithCells="1">
                  <from>
                    <xdr:col>13</xdr:col>
                    <xdr:colOff>1066800</xdr:colOff>
                    <xdr:row>30</xdr:row>
                    <xdr:rowOff>19050</xdr:rowOff>
                  </from>
                  <to>
                    <xdr:col>13</xdr:col>
                    <xdr:colOff>1314450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6" name="Spinner 144">
              <controlPr defaultSize="0" autoPict="0">
                <anchor moveWithCells="1" sizeWithCells="1">
                  <from>
                    <xdr:col>22</xdr:col>
                    <xdr:colOff>581025</xdr:colOff>
                    <xdr:row>96</xdr:row>
                    <xdr:rowOff>0</xdr:rowOff>
                  </from>
                  <to>
                    <xdr:col>22</xdr:col>
                    <xdr:colOff>742950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7" name="Spinner 628">
              <controlPr defaultSize="0" autoFill="0" autoLine="0" autoPict="0">
                <anchor moveWithCells="1" sizeWithCells="1">
                  <from>
                    <xdr:col>13</xdr:col>
                    <xdr:colOff>1066800</xdr:colOff>
                    <xdr:row>34</xdr:row>
                    <xdr:rowOff>47625</xdr:rowOff>
                  </from>
                  <to>
                    <xdr:col>13</xdr:col>
                    <xdr:colOff>1314450</xdr:colOff>
                    <xdr:row>35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/>
  <sheetData/>
  <customSheetViews>
    <customSheetView guid="{450BA114-F55A-4005-81D2-705DE5125121}" showPageBreaks="1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calculations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Dorothee Kottmeier</dc:creator>
  <cp:lastModifiedBy>Dorothee Kottmeier</cp:lastModifiedBy>
  <cp:lastPrinted>2013-04-12T11:51:54Z</cp:lastPrinted>
  <dcterms:created xsi:type="dcterms:W3CDTF">2011-01-12T21:15:07Z</dcterms:created>
  <dcterms:modified xsi:type="dcterms:W3CDTF">2014-02-07T14:56:02Z</dcterms:modified>
</cp:coreProperties>
</file>